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URLs Incubeta" sheetId="5" r:id="rId9"/>
    <sheet state="visible" name="URLs Sortlist" sheetId="6" r:id="rId10"/>
    <sheet state="visible" name="URLs Clutch.co" sheetId="7" r:id="rId11"/>
    <sheet state="visible" name="URLs Semrush" sheetId="8" r:id="rId12"/>
    <sheet state="visible" name="URLs Directive Consulting" sheetId="9" r:id="rId13"/>
    <sheet state="visible" name="URLs Design Rush" sheetId="10" r:id="rId14"/>
    <sheet state="hidden" name="URLs TripAdvisor" sheetId="11" r:id="rId15"/>
    <sheet state="visible" name="URLs Reddit" sheetId="12" r:id="rId16"/>
    <sheet state="visible" name="URLs Quora" sheetId="13" r:id="rId17"/>
    <sheet state="visible" name="URLs Medium" sheetId="14" r:id="rId18"/>
    <sheet state="visible" name="URLs Directories" sheetId="15" r:id="rId19"/>
    <sheet state="visible" name="URLs Facebook" sheetId="16" r:id="rId20"/>
    <sheet state="visible" name="URLs LinkedIn" sheetId="17" r:id="rId21"/>
    <sheet state="visible" name="URLs Wikipedia" sheetId="18" r:id="rId22"/>
    <sheet state="visible" name="Types Alternative" sheetId="19" r:id="rId23"/>
    <sheet state="visible" name="Types Article" sheetId="20" r:id="rId24"/>
    <sheet state="visible" name="Types Category" sheetId="21" r:id="rId25"/>
    <sheet state="visible" name="Types Comparison" sheetId="22" r:id="rId26"/>
    <sheet state="visible" name="Types Discussion" sheetId="23" r:id="rId27"/>
    <sheet state="visible" name="Types Homepage" sheetId="24" r:id="rId28"/>
    <sheet state="visible" name="Types How-to guide" sheetId="25" r:id="rId29"/>
    <sheet state="visible" name="Types Listicle" sheetId="26" r:id="rId30"/>
    <sheet state="visible" name="Types Other" sheetId="27" r:id="rId31"/>
    <sheet state="visible" name="Types Product page" sheetId="28" r:id="rId32"/>
    <sheet state="visible" name="Types Profile" sheetId="29" r:id="rId33"/>
  </sheets>
  <definedNames>
    <definedName hidden="1" localSheetId="0" name="_xlnm._FilterDatabase">'PEEC - Domains'!$A$1:$Z$999</definedName>
    <definedName hidden="1" localSheetId="1" name="_xlnm._FilterDatabase">'PEEC - URLs - All'!$A$1:$Z$2076</definedName>
    <definedName hidden="1" localSheetId="2" name="_xlnm._FilterDatabase">'Title Contains Besttop'!$A$1:$Z$801</definedName>
    <definedName hidden="1" localSheetId="3" name="_xlnm._FilterDatabase">'URLs YouTube'!$A$1:$Z$802</definedName>
    <definedName hidden="1" localSheetId="4" name="_xlnm._FilterDatabase">'URLs Incubeta'!$A$1:$Z$802</definedName>
    <definedName hidden="1" localSheetId="5" name="_xlnm._FilterDatabase">'URLs Sortlist'!$A$1:$Z$802</definedName>
    <definedName hidden="1" localSheetId="6" name="_xlnm._FilterDatabase">'URLs Clutch.co'!$A$1:$Z$802</definedName>
    <definedName hidden="1" localSheetId="7" name="_xlnm._FilterDatabase">'URLs Semrush'!$A$1:$Z$802</definedName>
    <definedName hidden="1" localSheetId="8" name="_xlnm._FilterDatabase">'URLs Directive Consulting'!$A$1:$Z$802</definedName>
    <definedName hidden="1" localSheetId="9" name="_xlnm._FilterDatabase">'URLs Design Rush'!$A$1:$Z$802</definedName>
    <definedName hidden="1" localSheetId="10" name="_xlnm._FilterDatabase">'URLs TripAdvisor'!$A$1:$Z$802</definedName>
    <definedName hidden="1" localSheetId="11" name="_xlnm._FilterDatabase">'URLs Reddit'!$A$1:$Z$802</definedName>
    <definedName hidden="1" localSheetId="12" name="_xlnm._FilterDatabase">'URLs Quora'!$A$1:$Z$802</definedName>
    <definedName hidden="1" localSheetId="13" name="_xlnm._FilterDatabase">'URLs Medium'!$A$1:$Z$802</definedName>
    <definedName hidden="1" localSheetId="14" name="_xlnm._FilterDatabase">'URLs Directories'!$A$1:$Z$802</definedName>
    <definedName hidden="1" localSheetId="15" name="_xlnm._FilterDatabase">'URLs Facebook'!$A$1:$Z$802</definedName>
    <definedName hidden="1" localSheetId="16" name="_xlnm._FilterDatabase">'URLs LinkedIn'!$A$1:$Z$802</definedName>
    <definedName hidden="1" localSheetId="17" name="_xlnm._FilterDatabase">'URLs Wikipedia'!$A$1:$Z$802</definedName>
    <definedName hidden="1" localSheetId="18" name="_xlnm._FilterDatabase">'Types Alternative'!$A$1:$Z$802</definedName>
    <definedName hidden="1" localSheetId="19" name="_xlnm._FilterDatabase">'Types Article'!$A$1:$Z$802</definedName>
    <definedName hidden="1" localSheetId="20" name="_xlnm._FilterDatabase">'Types Category'!$A$1:$Z$802</definedName>
    <definedName hidden="1" localSheetId="21" name="_xlnm._FilterDatabase">'Types Comparison'!$A$1:$Z$802</definedName>
    <definedName hidden="1" localSheetId="22" name="_xlnm._FilterDatabase">'Types Discussion'!$A$1:$Z$802</definedName>
    <definedName hidden="1" localSheetId="23" name="_xlnm._FilterDatabase">'Types Homepage'!$A$1:$Z$802</definedName>
    <definedName hidden="1" localSheetId="24" name="_xlnm._FilterDatabase">'Types How-to guide'!$A$1:$Z$802</definedName>
    <definedName hidden="1" localSheetId="25" name="_xlnm._FilterDatabase">'Types Listicle'!$A$1:$Z$802</definedName>
    <definedName hidden="1" localSheetId="26" name="_xlnm._FilterDatabase">'Types Other'!$A$1:$Z$802</definedName>
    <definedName hidden="1" localSheetId="27" name="_xlnm._FilterDatabase">'Types Product page'!$A$1:$Z$802</definedName>
    <definedName hidden="1" localSheetId="28" name="_xlnm._FilterDatabase">'Types Profile'!$A$1:$Z$802</definedName>
  </definedNames>
  <calcPr/>
</workbook>
</file>

<file path=xl/sharedStrings.xml><?xml version="1.0" encoding="utf-8"?>
<sst xmlns="http://schemas.openxmlformats.org/spreadsheetml/2006/main" count="15559" uniqueCount="6372">
  <si>
    <t>url</t>
  </si>
  <si>
    <t>domain</t>
  </si>
  <si>
    <t>title</t>
  </si>
  <si>
    <t>url_classification</t>
  </si>
  <si>
    <t>domain_classification</t>
  </si>
  <si>
    <t>type</t>
  </si>
  <si>
    <t>mentions</t>
  </si>
  <si>
    <t>mentioned</t>
  </si>
  <si>
    <t>retrievals</t>
  </si>
  <si>
    <t>retrievals_delta</t>
  </si>
  <si>
    <t>retrieved</t>
  </si>
  <si>
    <t>retrieved_percentage</t>
  </si>
  <si>
    <t>retrieval_rate</t>
  </si>
  <si>
    <t>citation_rate</t>
  </si>
  <si>
    <t>citation_rate_delta</t>
  </si>
  <si>
    <t>clutch.co</t>
  </si>
  <si>
    <t>https://clutch.co/us/agencies</t>
  </si>
  <si>
    <t>Competitor</t>
  </si>
  <si>
    <t>Top Advertising Agencies in the United States - Jul 2026 Rankings \| Clutch.co</t>
  </si>
  <si>
    <t>WebFX, Ignite Visibility, SmartSites, NinjaPromo, Storm Brain, Clutch, Disruptive Advertising, KlientBoost, LYFE Marketing, AdVenture Media, Accelerated Digital Media, Acadia, HawkSEM, Intero Digital, Searchbloom, Funnel Boost Media, Elit-Web, Power Digital, Sociallyin, Brighter Click, The SEO Works, Siege Media, Go Fish Digital, Silverback Strategies, Victorious, RevenueZen, Thrive Internet Marketing Agency, Epsilon, VML, Circana, Huge, Jellyfish, Tinuiti, NoGood, Marcel Digital, Momentum, Clay, Haus, inBeat, GrowthSpree, Viral Nation, Major Tom, Single Grain, DEPT, MuteSix, Directive, Digital Authority Partners, Measured, Web Tonic</t>
  </si>
  <si>
    <t>webtonic.io</t>
  </si>
  <si>
    <t>CATEGORY_PAGE</t>
  </si>
  <si>
    <t>COMPETITOR</t>
  </si>
  <si>
    <t>Web Tonic, Dentsu, Power Digital, Tinuiti, PMG, Brainlabs, Disruptive Advertising, NoGood, Wpromote, Ignite Visibility, KlientBoost, Directive, inBeat, HawkSEM, MuteSix, Sociallyin, VaynerMedia, Common Thread Collective, LYFE Marketing, The Social Shepherd, iProspect, TransUnion, Horizon Media, Incubeta, Merkle, Jellyfish, Amsive, DEPT, Hawke Media, GroupM, Metric Theory, AdVenture Media, Measured, WPP, WebFX, Ogilvy, SmartSites, Single Grain, NP Digital, R/GA, BBDO, Intero Digital, Refine Labs, Victorious, Funnel Boost Media, Major Tom, IBM, Thrive Internet Marketing Agency, Searchbloom, Seer Interactive, Superside, Silverback Strategies, Clutch, Huge, Accenture Song, Wieden+Kennedy, Droga5, 72andSunny, TBWA\Chiat\Day, Anomaly, Triple Whale, AKQA, Momentum, Publicis Groupe, VML, PwC, Monks, Rockerbox, Croud, NinjaPromo, Avenue Z, Accelerated Digital Media, Publicis Sapient, Viral Nation, Deloitte Digital, Digitas, Epsilon, Adswerve, Bounteous, Cardinal Path, InfoTrust</t>
  </si>
  <si>
    <t>Category Page</t>
  </si>
  <si>
    <t>Clutch, SmartSites, WebFX, Ignite Visibility, Momentum, NinjaPromo, KlientBoost, AdVenture Media, Sociallyin, Funnel Boost Media</t>
  </si>
  <si>
    <t>designrush.com</t>
  </si>
  <si>
    <t>https://clutch.co/us/agencies/digital-marketing</t>
  </si>
  <si>
    <t>Corporate</t>
  </si>
  <si>
    <t>Power Digital, Measured, Silverback Strategies, Web Tonic, Huge, Disruptive Advertising, WebFX, SmartSites, Searchbloom, Funnel Boost Media, AdVenture Media, PwC, Intero Digital, NinjaPromo, Major Tom, Elit-Web, IBM, KlientBoost, HawkSEM, McKinsey, Clutch, Momentum, Nielsen, Directive, Single Grain, Jellyfish, Amsive, Ignite Visibility, Ruler Analytics, Monks, NoGood, Wpromote, MuteSix, DEPT, VML</t>
  </si>
  <si>
    <t>sortlist.com</t>
  </si>
  <si>
    <t>Top Digital Marketing Agencies in the United States - Jul 2026 Rankings \| Clutch.co</t>
  </si>
  <si>
    <t>Northbeam, Triple Whale, NinjaPromo, HockeyStack, Clutch, Nielsen, Clay, IBM, WPP, Momentum, Measured, Anomaly, Directive, Publicis Groupe</t>
  </si>
  <si>
    <t>Clutch, Ignite Visibility, Funnel Boost Media, SmartSites, Accelerated Digital Media, Thrive Internet Marketing Agency, Intero Digital, Disruptive Advertising, Elit-Web, NinjaPromo, HawkSEM</t>
  </si>
  <si>
    <t>https://www.influencer-hero.com/blogs/top-paid-media-agencies-in-the-us</t>
  </si>
  <si>
    <t>inbeat.agency</t>
  </si>
  <si>
    <t>Top Paid Media Agencies in the US</t>
  </si>
  <si>
    <t>influencer-hero.com</t>
  </si>
  <si>
    <t>Measured, inBeat, Nielsen, Tinuiti, Bark London, Darkroom, Brighter Click, WebFX, Artefact, McKinsey, Momentum, NP Digital, Noble Studios, Forthea, IBM, Clutch, Ogilvy, Wieden+Kennedy, 72andSunny, WPP, DEPT, Anomaly, Power Digital, Single Grain, Accenture Song, Droga5, BBDO, NoGood, Avenue Z, Keenfolks, Disruptive Advertising, Wpromote, Siege Media, KlientBoost, Directive, SmartSites, HawkSEM, Seer Interactive, Intero Digital, Victorious, Graphite, Thrive Internet Marketing Agency, Percepture, Hawke Media, Huge, Sociallyin, MuteSix, VaynerMedia, LYFE Marketing, NinjaPromo, Amsive, Major Tom, BCG</t>
  </si>
  <si>
    <t>LISTICLE</t>
  </si>
  <si>
    <t>semrush.com</t>
  </si>
  <si>
    <t>CORPORATE</t>
  </si>
  <si>
    <t>Listicle</t>
  </si>
  <si>
    <t>Tinuiti, Wpromote, Disruptive Advertising, Monks, Power Digital, NP Digital, Merkle, Dentsu</t>
  </si>
  <si>
    <t>https://www.webtonic.io/blog/best-paid-media-agencies-us</t>
  </si>
  <si>
    <t>SmartSites, Elit-Web, Clutch, Brighter Click, Silverback Strategies, LYFE Marketing, WebFX, Measured, Funnel Boost Media</t>
  </si>
  <si>
    <t>digitalagencynetwork.com</t>
  </si>
  <si>
    <t>The 29 Best Paid Media Agencies in the US for 2026</t>
  </si>
  <si>
    <t>Reference</t>
  </si>
  <si>
    <t>SmartSites, McKinsey, BCG, The SEO Works, Major Tom, QuantumBlack, Web Tonic, NoGood, Measured, Ignite Visibility, Amsive, Victorious, Intero Digital, PwC, Brighter Click, Forthea, Dentsu, NinjaPromo, Clay, Monks, Clutch, Momentum, IBM, Power Digital, Storm Brain, WebFX, Seer Interactive</t>
  </si>
  <si>
    <t>Web Tonic, Wpromote, TransUnion, Tinuiti, PMG, Horizon Media, KlientBoost, Disruptive Advertising, NoGood, Brainlabs, HawkSEM, The Social Shepherd, Power Digital, iProspect, Dentsu, MuteSix, LYFE Marketing, VaynerMedia, Sociallyin, inBeat, Directive, Ignite Visibility, Common Thread Collective</t>
  </si>
  <si>
    <t>https://www.dataally.ai/blog/top-paid-media-agencies</t>
  </si>
  <si>
    <t>directiveconsulting.com</t>
  </si>
  <si>
    <t>Top 15 Paid Media Agencies in 2026</t>
  </si>
  <si>
    <t>dataally.ai</t>
  </si>
  <si>
    <t>Brighter Click, NinjaPromo, inBeat, The Social Shepherd, Darkroom, KlientBoost, Disruptive Advertising, VaynerMedia, NP Digital, Viral Nation, Marcel Digital, WebFX</t>
  </si>
  <si>
    <t>https://hawkemedia.com/insights/top-performance-marketing-agencies/</t>
  </si>
  <si>
    <t>Croud, Tinuiti, Momentum, PMG, Merkle, Wpromote, KlientBoost, Directive, Measured, R/GA, Jellyfish, Seer Interactive, AKQA, iProspect, Refine Labs, IBM, Accelerated Digital Media, Clutch, Monks, Dentsu, Brainlabs, Disruptive Advertising, WebFX, HawkSEM, Silverback Strategies, DEPT, TransUnion, iPullRank, Omniscient Digital, First Page Sage, Siege Media, Single Grain, Intero Digital, Animalz, Victorious, RevenueZen, Kepler Group, Accenture Song, Deloitte Digital, Ogilvy, PwC, VML, McKinsey, Slalom, BCG, Publicis Sapient, Bain &amp; Company, Power Digital, RevPartners, NoGood, SmartSites, Ignite Visibility, Amsive, Thrive Internet Marketing Agency, Bounteous, inBeat, Darkroom, Brighter Click, Right Side Up, Common Thread Collective, Metric Theory, Hey Digital, Sociallyin, LYFE Marketing, Hawke Media, Viral Nation</t>
  </si>
  <si>
    <t>Top 25 Performance Marketing Agencies In The U.S. 2026 | Hawke Media</t>
  </si>
  <si>
    <t>thesocialshepherd.com</t>
  </si>
  <si>
    <t>hawkemedia.com</t>
  </si>
  <si>
    <t>Hawke Media, Tinuiti, Wpromote, Power Digital, WebFX, KlientBoost, Measured, Disruptive Advertising, Ignite Visibility, NP Digital, New Engen, SmartSites, NoGood, R/GA, Wieden+Kennedy, VML, Ogilvy, BBDO, 72andSunny, Monks, Merkle, Siege Media</t>
  </si>
  <si>
    <t>https://www.searchbloom.com/strategy/best-ai-seo-agency-companies-services-usa/</t>
  </si>
  <si>
    <t>Disruptive Advertising, The Social Shepherd, Marcel Digital, Power Digital, KlientBoost, Single Grain, Digitas, Publicis Groupe, Intero Digital, VaynerMedia, Refine Labs, WebFX, Directive, Metric Theory, Dentsu, inBeat, Ignite Visibility, Tinuiti, Jellyfish, iProspect, Kobe Digital</t>
  </si>
  <si>
    <t>Best AI SEO Companies + Services in the US 2026 (AEO/GEO) - Best AEO Agencies in USA</t>
  </si>
  <si>
    <t>searchbloom.com</t>
  </si>
  <si>
    <t>beomniscient.com</t>
  </si>
  <si>
    <t>Searchbloom, The SEO Works, Tinuiti, Digital Authority Partners, Omniscient Digital, iPullRank, Seer Interactive, Single Grain, Amsive, Siege Media, Clutch</t>
  </si>
  <si>
    <t>https://digitalagencynetwork.com/agencies/usa/ai-marketing/</t>
  </si>
  <si>
    <t>NoGood, iPullRank, Omniscient Digital, Discovered Labs, Measured, Single Grain, Optimist, Daydream, McKinsey, Clay, Huge, Seer Interactive, Evolytics, Momentum, Disruptive Advertising, Ignite Visibility, Directive, NP Digital, Superside, Graphite, LYFE Marketing</t>
  </si>
  <si>
    <t>Top AI Marketing Agencies in USA (2026)</t>
  </si>
  <si>
    <t>reddit.com</t>
  </si>
  <si>
    <t>PROFILE</t>
  </si>
  <si>
    <t>REFERENCE</t>
  </si>
  <si>
    <t>Profile</t>
  </si>
  <si>
    <t>Major Tom, NoGood, Clay, Clutch, SmartSites, Ignite Visibility, Amsive, NinjaPromo, Victorious, BCG, Intero Digital</t>
  </si>
  <si>
    <t>UGC</t>
  </si>
  <si>
    <t>https://beomniscient.com/blog/best-ai-marketing-agencies/</t>
  </si>
  <si>
    <t>Brainlabs, iPullRank, Omniscient Digital, Siege Media, HawkSEM, Animalz, Victorious, Measured, Huge, First Page Sage, Directive, Single Grain, Seer Interactive, Funnel Boost Media, Clutch, NoGood, Rockerbox, Haus, Recast, Northbeam, SegmentStream, LifeSight, Power Digital, Tinuiti, Disruptive Advertising, WebFX, Ignite Visibility, KlientBoost, Ogilvy, SmartSites, Sociallyin, Silverback Strategies, VaynerMedia, LYFE Marketing, Refine Labs, Metric Theory, Kobe Digital, Thrive Internet Marketing Agency, Triple Whale, HockeyStack, Ruler Analytics, Cometly, Anomaly, Slalom, PwC, McKinsey, QuantumBlack, IBM, BCG, LatentView Analytics, Fractal Analytics, Superside, NinjaPromo, DEPT, Keenfolks, INCRMNTAL, LiftLab, Intero Digital, Searchbloom, The SEO Works</t>
  </si>
  <si>
    <t>yesoptimist.com</t>
  </si>
  <si>
    <t>The 5 Best AI Marketing Agencies For B2B (2026 Update) - Omniscient Digital</t>
  </si>
  <si>
    <t>Omniscient Digital, NoGood, Optimist, Daydream, Single Grain, Measured, Clay, McKinsey</t>
  </si>
  <si>
    <t>https://www.measured.com/faq/best-incrementality-testing-companies-software-for-marketing-2026/</t>
  </si>
  <si>
    <t>iPullRank, Omniscient Digital, Measured, First Page Sage, Siege Media, Optimist, Animalz, Clutch, Single Grain, Seer Interactive, Intero Digital, RevenueZen, NoGood, Discovered Labs, Graphite</t>
  </si>
  <si>
    <t>Best Incrementality Testing Companies &amp;amp; Software for Marketing (2026)</t>
  </si>
  <si>
    <t>measured.com</t>
  </si>
  <si>
    <t>Measured, Clay, Neustar, TransUnion, Rockerbox, Haus, Recast, Analytic Partners</t>
  </si>
  <si>
    <t>https://inbeat.agency/blog/top-marketing-measurement-and-analytics-companies</t>
  </si>
  <si>
    <t>WebFX, Disruptive Advertising, KlientBoost, inBeat, Darkroom, NP Digital, VaynerMedia, Brighter Click, NinjaPromo, The Social Shepherd, Marcel Digital, Viral Nation, Power Digital, Tinuiti, NoGood, Wpromote, Directive, Nielsen, MuteSix, Right Side Up, Common Thread Collective, Momentum, Northbeam, Triple Whale, Siege Media, Animalz</t>
  </si>
  <si>
    <t>Top 15 Marketing Measurement and Analytics Firms Unlocking ROI Clarity in 2026 - inBeat Agency</t>
  </si>
  <si>
    <t>inBeat, Nielsen, Artefact, McKinsey, Measured, WebFX</t>
  </si>
  <si>
    <t>https://www.sortlist.com/s/paid-media/united-states-us</t>
  </si>
  <si>
    <t>Rockerbox, Measured, Haus, Analytic Partners, Recast, Neustar, Clay, TransUnion, WPP, Gain Theory, Nielsen, Kantar, Anomaly, Circana</t>
  </si>
  <si>
    <t>The 10 Best Paid Media Agencies in the United States - 2026 Reviews</t>
  </si>
  <si>
    <t>NinjaPromo, Triple Whale, Northbeam, HockeyStack, Clutch</t>
  </si>
  <si>
    <t>https://agencies.semrush.com/list/display-advertising/united-states/</t>
  </si>
  <si>
    <t>Best Display Ads Agencies in United States 2026 | Semrush</t>
  </si>
  <si>
    <t>Tinuiti, iPullRank, Omniscient Digital, Siege Media, Single Grain, Searchbloom, Seer Interactive, Digital Authority Partners, Amsive, The SEO Works, Clutch, Disruptive Advertising, Measured, KlientBoost, LYFE Marketing, BCG, Power Digital, Directive, HawkSEM, Metric Theory, AdVenture Media, Monks</t>
  </si>
  <si>
    <t>SmartSites, Elit-Web, Brighter Click</t>
  </si>
  <si>
    <t>goodfirms.co</t>
  </si>
  <si>
    <t>https://www.triplewhale.com/blog/best-incrementality-testing-tools</t>
  </si>
  <si>
    <t>The Best Incrementality Testing Tools for Marketers in 2026 | Triple Whale</t>
  </si>
  <si>
    <t>triplewhale.com</t>
  </si>
  <si>
    <t>WebFX, SmartSites, Elit-Web, Go Fish Digital, Searchbloom, Storm Brain, Funnel Boost Media, Brighter Click, Clutch, Daydream, The SEO Works, Ignite Visibility, Measured, Intero Digital, Momentum, Accelerated Digital Media, Power Digital, LYFE Marketing, Bounteous, IBM</t>
  </si>
  <si>
    <t>COMPARISON</t>
  </si>
  <si>
    <t>silverbackstrategies.com</t>
  </si>
  <si>
    <t>Comparison</t>
  </si>
  <si>
    <t>Triple Whale, Haus, Measured, INCRMNTAL</t>
  </si>
  <si>
    <t>https://www.yesoptimist.com/best-aeo-agencies/</t>
  </si>
  <si>
    <t>The Best AEO Agencies for Growing AI Visibility &amp;amp; Revenue (2026) | Optimist</t>
  </si>
  <si>
    <t>Measured, Silverback Strategies, Intero Digital, Elit-Web, Clutch, Brainlabs, WebFX, Omniscient Digital, Directive, Momentum, Sociallyin, LYFE Marketing, NinjaPromo, Disruptive Advertising, Ignite Visibility, Accelerated Digital Media, Siege Media, Go Fish Digital, Victorious, Graphite, KlientBoost, Single Grain, HawkSEM</t>
  </si>
  <si>
    <t>Optimist, Discovered Labs, iPullRank, First Page Sage, Clutch, Omniscient Digital, RevenueZen, Animalz, Siege Media, Graphite, NoGood, Seer Interactive</t>
  </si>
  <si>
    <t>nogood.io</t>
  </si>
  <si>
    <t>https://clutch.co/us/agencies/creative</t>
  </si>
  <si>
    <t>Top Creative Agencies in the United States - Jul 2026 Rankings | Clutch.co</t>
  </si>
  <si>
    <t>Clutch, Clay, Huge</t>
  </si>
  <si>
    <t>Dentsu, Disruptive Advertising, NoGood, Ignite Visibility, Ogilvy, Digitas, Publicis Groupe, Wieden+Kennedy, BBDO, LYFE Marketing, DEPT, Funnel Boost Media, Metric Theory, IBM, Major Tom, Clutch, Monks, Huge, Power Digital, Wpromote, Measured, Directive, inBeat, MuteSix, Right Side Up, Intero Digital, Amsive, Traktor, Kobe Digital, TransUnion, Single Grain, Keenfolks, VaynerMedia, Viral Nation, Omnicom Media Group, Momentum, Brandtech, Merkle, Jellyfish, Sociallyin, Storm Brain, RevenueZen, Omniscient Digital, iPullRank, Avenue Z, Marcel Digital, Go Fish Digital, Pentagram, WPP, AKQA, Anomaly, Clay, Rockerbox, Triple Whale, Northbeam, LifeSight</t>
  </si>
  <si>
    <t>https://directiveconsulting.com/blog/25-best-paid-media-agencies-that-turn-ad-spend-into-revenue/</t>
  </si>
  <si>
    <t>sociallyin.com</t>
  </si>
  <si>
    <t>25 Best Paid Media Agencies For B2B - Directive</t>
  </si>
  <si>
    <t>Tinuiti, Momentum, Wpromote, Sociallyin, Marcel Digital, WebFX, Disruptive Advertising, SmartSites, Measured, Ignite Visibility, KlientBoost, Single Grain, AdVenture Media, Thrive Internet Marketing Agency, inBeat, McKinsey, DEPT, Power Digital, NP Digital, VaynerMedia, Clutch, Accenture Song, Wieden+Kennedy, BBDO, Droga5, R/GA, Viral Nation, Merkle, TransUnion</t>
  </si>
  <si>
    <t>Directive, Jellyfish, Brainlabs, DEPT, Wpromote, Merkle, Seer Interactive, WebFX, KlientBoost, HawkSEM, Silverback Strategies, Disruptive Advertising, IBM, TransUnion, Dentsu, Clutch</t>
  </si>
  <si>
    <t>https://www.silverbackstrategies.com/lists/best-social-media-advertising-agencies-in-the-us-ranked-reviewed/</t>
  </si>
  <si>
    <t>linkedin.com</t>
  </si>
  <si>
    <t>Best Social Media Advertising Agencies in the U.S. in 2026 (Ranked &amp;amp; Reviewed) | Silverback Strategies</t>
  </si>
  <si>
    <t>New Engen, Power Digital, Tinuiti, WebFX, Disruptive Advertising, Merkle, NoGood, Wpromote, Ignite Visibility, Siege Media, KlientBoost, Ogilvy, Measured, SmartSites, Wieden+Kennedy, NP Digital, R/GA, 72andSunny, VML, BBDO, Hawke Media, Monks, iPullRank, First Page Sage, Epsilon, Huge, Dentsu, Publicis Groupe, VaynerMedia, DEPT, Omniscient Digital, Single Grain, RevenueZen, MuteSix, Common Thread Collective, The Social Shepherd, Pentagram, AKQA, Wolff Olins, HawkSEM, AdVenture Media, Elit-Web, Clutch, Victorious, Momentum, Artefact, IBM, BCG, Graphite, Directive, Intero Digital, Thrive Internet Marketing Agency, Acxiom, InfoTrust, Adswerve</t>
  </si>
  <si>
    <t>lyfemarketing.com</t>
  </si>
  <si>
    <t>Silverback Strategies, Clutch, Sociallyin, LYFE Marketing, NinjaPromo, Momentum</t>
  </si>
  <si>
    <t>https://inbeat.agency/blog/top-marketing-analytics-agencies#:~:text=NP%20Digital%20is%20a%20full%2Dfunnel%20analytics%20partner,rigorous%20analytics%2C%20delivering%20clarity%20across%20every%20channel.</t>
  </si>
  <si>
    <t>Top 15 Marketing Analytics Agencies Defining 2026 - inBeat Agency</t>
  </si>
  <si>
    <t>inBeat, Nielsen, NP Digital, Artefact, Forthea, Noble Studios, Momentum, McKinsey, Clutch, WebFX, IBM</t>
  </si>
  <si>
    <t>Power Digital, Tinuiti, LYFE Marketing, Marcel Digital, Anomaly, Jellyfish, Disruptive Advertising, Ogilvy, Wieden+Kennedy, Refine Labs, Kobe Digital, Deloitte Digital, KlientBoost, Publicis Groupe, VaynerMedia, Major Tom, Dentsu, Noble Studios, Brainlabs, Wpromote, Ignite Visibility, Directive, Sociallyin, MuteSix, Right Side Up, WPP, Amsive, Single Grain, Intero Digital, NinjaPromo, AdVenture Media</t>
  </si>
  <si>
    <t>https://www.designrush.com/agency/digital-marketing/analytics/us</t>
  </si>
  <si>
    <t>firstpagesage.com</t>
  </si>
  <si>
    <t>Top United States Marketing Analytics Companies | 2026</t>
  </si>
  <si>
    <t>SmartSites, Huge, KlientBoost, Funnel Boost Media, Elit-Web, AdVenture Media, Monks, Ignite Visibility, IBM, Measured</t>
  </si>
  <si>
    <t>https://unifiedplatforms.com/blogs/aeo/top-answer-engine-optimization-aeo-agencies-united-states/</t>
  </si>
  <si>
    <t>First Page Sage, Measured, Epsilon, Publicis Groupe, Clay, Searchbloom, Clutch, Sociallyin, Viral Nation, Metric Theory, Power Digital, Disruptive Advertising, iPullRank, Omniscient Digital, Avenue Z, Marcel Digital, Tinuiti, Directive, Monks, SmartSites</t>
  </si>
  <si>
    <t>gartner.com</t>
  </si>
  <si>
    <t>Top AEO Agencies in the United States 2026 | Best Answer Engine Optimization</t>
  </si>
  <si>
    <t>unifiedplatforms.com</t>
  </si>
  <si>
    <t>NoGood, Single Grain, iPullRank, WebFX, Siege Media, Go Fish Digital, First Page Sage, Avenue Z, Marcel Digital, Measured, Merkle</t>
  </si>
  <si>
    <t>Measured, Haus, SegmentStream, Recast, INCRMNTAL, LifeSight, Huge, Accenture Song, Deloitte Digital, Ogilvy, SmartSites, Merkle, Digitas, AKQA, R/GA, VML, Dentsu, Analytic Partners, Nielsen, Gain Theory, Kantar, Circana, Northbeam, Triple Whale, HockeyStack, Ruler Analytics, Acxiom, LatentView Analytics, Anomaly, PwC</t>
  </si>
  <si>
    <t>https://www.webtonic.io/blog/best-paid-social-agencies-us</t>
  </si>
  <si>
    <t>27 Best Paid Social Agencies in the US for 2026</t>
  </si>
  <si>
    <t>agencycluster.com</t>
  </si>
  <si>
    <t>Web Tonic, Sociallyin, Tinuiti, Disruptive Advertising, Metric Theory, Power Digital, DEPT, Wpromote, TransUnion, Viral Nation, Jellyfish, The Social Shepherd, Ignite Visibility, MuteSix, Directive, Hawke Media</t>
  </si>
  <si>
    <t>https://www.linkedin.com/pulse/top-25-performance-marketing-agencies-us-hawkemedia-iqbnc</t>
  </si>
  <si>
    <t>Top 25 Performance Marketing Agencies In The U.S.</t>
  </si>
  <si>
    <t>Momentum, Wieden+Kennedy, Pentagram, R/GA, Avenue Z, Clay, Wolff Olins, New Engen, Power Digital, Tinuiti, WebFX, Disruptive Advertising, NoGood, Wpromote, Ignite Visibility, KlientBoost, SmartSites, NP Digital, Intero Digital, HawkSEM, Seer Interactive, Amsive, Kobe Digital, Thrive Internet Marketing Agency, MuteSix, Digital Authority Partners, AdVenture Media</t>
  </si>
  <si>
    <t>https://www.nutshell.com/blog/top-geo-agencies</t>
  </si>
  <si>
    <t>The 10 Top GEO Agencies of 2026 (Reviewed)</t>
  </si>
  <si>
    <t>nutshell.com</t>
  </si>
  <si>
    <t>Dentsu, Power Digital, Tinuiti, Disruptive Advertising, Merkle, Wpromote, NP Digital, Monks</t>
  </si>
  <si>
    <t>Clutch, WebFX, Victorious, Siege Media, Major Tom, The SEO Works</t>
  </si>
  <si>
    <t>https://www.darkroomagency.com/observatory/best-performance-marketing-agencies-in-2026#:~:text=Their%20service%20positioning%20spans%20SEO%2C%20PPC%2C%20social,a%20traditional%20agency%20in%20the%20classic%20sense.</t>
  </si>
  <si>
    <t>uforocks.com</t>
  </si>
  <si>
    <t>Best Performance Marketing Agencies for Ecommerce in 2026</t>
  </si>
  <si>
    <t>darkroomagency.com</t>
  </si>
  <si>
    <t>Dentsu, Tinuiti, WebFX, Disruptive Advertising, Wpromote, Ignite Visibility, KlientBoost, Directive, SmartSites, NP Digital, MuteSix, Seer Interactive, Silverback Strategies, AdVenture Media, Thrive Internet Marketing Agency, NoGood, Single Grain, Clay, IBM, HawkSEM, New Engen, Power Digital, Publicis Groupe, Amsive, Hawke Media, Kobe Digital, Accelerated Digital Media, Siege Media, LYFE Marketing, Victorious, iPullRank, Omniscient Digital, First Page Sage, Marcel Digital, Clutch, Merkle, McKinsey, TransUnion, Noble Studios, Searchbloom</t>
  </si>
  <si>
    <t>Darkroom, Tinuiti, Wpromote, Power Digital, Common Thread Collective, Disruptive Advertising, Ignite Visibility, WebFX, Right Side Up, Amsive, Measured, Droga5</t>
  </si>
  <si>
    <t>cometly.com</t>
  </si>
  <si>
    <t>https://disruptiveadvertising.com/blog/business/top-us-digital-marketing-agencies/</t>
  </si>
  <si>
    <t>Top U.S. Digital Marketing Agencies In 2026 | Disruptive Advertising</t>
  </si>
  <si>
    <t>Rockerbox, Haus, Measured, Recast, Northbeam, Cometly, Triple Whale, Ruler Analytics, Anomaly, LifeSight, HockeyStack</t>
  </si>
  <si>
    <t>disruptiveadvertising.com</t>
  </si>
  <si>
    <t>Disruptive Advertising, KlientBoost, inBeat, Silverback Strategies, Sociallyin, Funnel Boost Media</t>
  </si>
  <si>
    <t>https://www.agencycluster.com/top-50/ppc-performance-marketing-agencies</t>
  </si>
  <si>
    <t>New Engen, Power Digital, Tinuiti, WebFX, Disruptive Advertising, Merkle, NoGood, Wpromote, Ignite Visibility, Siege Media, KlientBoost, Ogilvy, Measured, SmartSites, Wieden+Kennedy, NP Digital, R/GA, 72andSunny, VML, BBDO, Hawke Media, Monks</t>
  </si>
  <si>
    <t>Top 50 PPC &amp;amp; Performance Marketing Agencies in the USA (2026) | AgencyCluster</t>
  </si>
  <si>
    <t>Disruptive Advertising, Ignite Visibility, KlientBoost, NP Digital, Power Digital, SmartSites, Tinuiti, WebFX, Wpromote, Amsive, HawkSEM, Intero Digital, Kobe Digital, New Engen, NoGood, Seer Interactive, Thrive Internet Marketing Agency, AdVenture Media, Digital Authority Partners, MuteSix</t>
  </si>
  <si>
    <t>https://nogood.io/blog/performance-marketing-agencies/</t>
  </si>
  <si>
    <t>Top Performance Marketing Agencies in 2026 | NoGood</t>
  </si>
  <si>
    <t>Power Digital, Tinuiti, Disruptive Advertising, NoGood, Wpromote, Directive, inBeat, Darkroom, MuteSix, HawkSEM, Droga5, LYFE Marketing, Brainlabs, KlientBoost, Common Thread Collective, Right Side Up, WebFX, Measured, Ignite Visibility, Amsive, Croud, Momentum, Superside, Silverback Strategies, Noble Studios, Accenture Song, WPP, Publicis Sapient</t>
  </si>
  <si>
    <t>NoGood, Traktor, inBeat, Kobe Digital, Ignite Visibility, Right Side Up, Disruptive Advertising, Wpromote, MuteSix, Power Digital, Monks, Intero Digital, Amsive, Directive, Measured, Clutch, TransUnion, Huge</t>
  </si>
  <si>
    <t>https://thesocialshepherd.com/blog/top-paid-media-agencies-us</t>
  </si>
  <si>
    <t>The Social Shepherd | Top 17 Paid Media Agencies in the U.S. (2026)</t>
  </si>
  <si>
    <t>Momentum, Disruptive Advertising, KlientBoost, SmartSites, Single Grain, HawkSEM, Intero Digital, Silverback Strategies, Clutch, Ignite Visibility, Avenue Z, Victorious, Elit-Web, Thrive Internet Marketing Agency, inBeat, Sociallyin, Funnel Boost Media, Huge, Searchbloom, Measured</t>
  </si>
  <si>
    <t>The Social Shepherd, Marcel Digital, Disruptive Advertising</t>
  </si>
  <si>
    <t>https://www.yesoptimist.com/best-geo-agencies/</t>
  </si>
  <si>
    <t>influencermarketinghub.com</t>
  </si>
  <si>
    <t>The 7 Best GEO Agencies Driving Real Revenue from AI in 2026 | Optimist</t>
  </si>
  <si>
    <t>Optimist, Measured, Clutch, iPullRank, Siege Media, Animalz, Omniscient Digital, First Page Sage</t>
  </si>
  <si>
    <t>https://agencies.semrush.com/list/united-states/</t>
  </si>
  <si>
    <t>Directive, SmartSites, McKinsey, Viral Nation, Stratabeat, Power Digital, Disruptive Advertising, WebFX, Measured, Ignite Visibility, Sociallyin, LYFE Marketing, NinjaPromo, Storm Brain, Funnel Boost Media, Major Tom, Clutch, Thrive Internet Marketing Agency, KlientBoost, Single Grain, Intero Digital, Dentsu, Momentum, Wpromote, WPP, Noble Studios, GroupM, Forthea, R/GA, Brighter Click, VML</t>
  </si>
  <si>
    <t>Best Digital Marketing Agencies in United States 2026 | Semrush</t>
  </si>
  <si>
    <t>Clutch</t>
  </si>
  <si>
    <t>https://clutch.co/us/agencies/ppc/display#:~:text=The%20agency%20consistently%20received%20high%20ratings%20for,2%20of%202%20reviews%20are%205%20stars.</t>
  </si>
  <si>
    <t>superside.com</t>
  </si>
  <si>
    <t>Top Display Advertising Agencies in the United States - Jul 2026 Rankings \| Clutch.co</t>
  </si>
  <si>
    <t>OTHER</t>
  </si>
  <si>
    <t>Other</t>
  </si>
  <si>
    <t>Clutch, Elit-Web, AdVenture Media, Storm Brain</t>
  </si>
  <si>
    <t>Accenture Song, Ogilvy, Wieden+Kennedy, Droga5, 72andSunny, Superside, BBDO, Anomaly, Deloitte Digital, Publicis Groupe, WPP, GroupM, Huge, Giant Spoon, Animalz, Croud, Silverback Strategies, Noble Studios, Pentagram, McKinsey, Major Tom, Clutch, Dentsu, Merkle, R/GA, VML, PwC, Keenfolks, Brandtech, NoGood, Jellyfish, DEPT, Monks, Momentum</t>
  </si>
  <si>
    <t>https://www.measured.com/faq/best-incrementality-testing-companies-software-for-marketing-2025/</t>
  </si>
  <si>
    <t>onelittleweb.com</t>
  </si>
  <si>
    <t>Best Incrementality Testing Companies &amp; Software for Marketing (2026)</t>
  </si>
  <si>
    <t>https://support.google.com/analytics/answer/7237700?hl=en</t>
  </si>
  <si>
    <t>Disruptive Advertising, WebFX, SmartSites, HawkSEM, Searchbloom, DEPT, Funnel Boost Media, Clutch, Huge, Power Digital, Ignite Visibility, KlientBoost, Silverback Strategies, Intero Digital, NinjaPromo, Elit-Web, Momentum, Siege Media, Go Fish Digital, Marcel Digital, Storm Brain, Stratabeat, Thrive Internet Marketing Agency, The SEO Works, Measured, Directive</t>
  </si>
  <si>
    <t>Google Marketing Platform Partners - Analytics Help</t>
  </si>
  <si>
    <t>google.com</t>
  </si>
  <si>
    <t>segmentstream.com</t>
  </si>
  <si>
    <t>https://www.thegrowthsyndicate.com/agencies/best-b2b-performance-marketing-agencies-us</t>
  </si>
  <si>
    <t>The 11 Best B2B Performance Marketing Agencies in the US</t>
  </si>
  <si>
    <t>thegrowthsyndicate.com</t>
  </si>
  <si>
    <t>Rockerbox, Measured, Northbeam, SegmentStream, LifeSight, Anomaly, Haus, Recast, INCRMNTAL, LiftLab, Momentum, Sellforte, Triple Whale, Ruler Analytics</t>
  </si>
  <si>
    <t>Disruptive Advertising, KlientBoost, Tinuiti, Metric Theory, Brainlabs, NP Digital, Silverback Strategies, Anomaly, Clutch, Measured</t>
  </si>
  <si>
    <t>https://clutch.co/us/agencies/ppc</t>
  </si>
  <si>
    <t>Top PPC Companies in the United States - Jul 2026 Rankings | Clutch.co</t>
  </si>
  <si>
    <t>Clutch, KlientBoost, Disruptive Advertising, AdVenture Media, HawkSEM, SmartSites, Intero Digital, Elit-Web, Searchbloom, Acadia, Ignite Visibility, Storm Brain, Funnel Boost Media</t>
  </si>
  <si>
    <t>Triple Whale, Measured, Haus, INCRMNTAL</t>
  </si>
  <si>
    <t>https://www.goodfirms.co/directory/country/top-digital-marketing-companies/us</t>
  </si>
  <si>
    <t>thriveagency.com</t>
  </si>
  <si>
    <t>Top Digital Marketing Agencies in USA - 2026 Reviews | Goodfirms</t>
  </si>
  <si>
    <t>WebFX, Searchbloom, SmartSites, Funnel Boost Media, Elit-Web, Storm Brain, Go Fish Digital</t>
  </si>
  <si>
    <t>https://onelittleweb.com/top-agencies/top-performance-marketing-agencies/</t>
  </si>
  <si>
    <t>Power Digital, Measured, Siege Media, Directive, Percepture, Go Fish Digital, Victorious, Thrive Internet Marketing Agency, Tinuiti, Disruptive Advertising, KlientBoost, Ogilvy, Single Grain, NP Digital, Intero Digital, VaynerMedia, Refine Labs, Major Tom, Seer Interactive, Funnel Boost Media, Momentum, HawkSEM, Metric Theory, AdVenture Media, Monks, Hawke Media, Sociallyin, Clutch</t>
  </si>
  <si>
    <t>ritnerdigital.com</t>
  </si>
  <si>
    <t>Top Performance Marketing Agencies 2026 – Ranked &amp;amp; Reviewed</t>
  </si>
  <si>
    <t>Clutch, WebFX, SmartSites, Disruptive Advertising, Funnel Boost Media, Searchbloom, DEPT, HawkSEM</t>
  </si>
  <si>
    <t>https://www.m1-project.com/blog/10-best-ai-marketing-agencies-in-depth-comparison</t>
  </si>
  <si>
    <t>WebFX, First Page Sage, iPullRank, Ignite Visibility, Siege Media, Single Grain, SmartSites, Searchbloom, Silverback Strategies, Victorious, Graphite, Funnel Boost Media, Clutch, Thrive Internet Marketing Agency, Measured</t>
  </si>
  <si>
    <t>sellforte.com</t>
  </si>
  <si>
    <t>10 Best AI Marketing Agencies: In-Depth Comparison | M1-Project</t>
  </si>
  <si>
    <t>m1-project.com</t>
  </si>
  <si>
    <t>NinjaPromo, Ignite Visibility, Major Tom, McKinsey, Measured</t>
  </si>
  <si>
    <t>https://sellforte.com/blog/best-incrementality-testing-tools</t>
  </si>
  <si>
    <t>Huge, Measured, Sellforte, Haus, Recast, BCG, Triple Whale, INCRMNTAL, LifeSight</t>
  </si>
  <si>
    <t>Best Incrementality Testing Tools in 2026: In-depth Vendor Comparison</t>
  </si>
  <si>
    <t>Sellforte, Measured, Haus, Recast, BCG</t>
  </si>
  <si>
    <t>https://clutch.co/us/agencies/social-media-marketing</t>
  </si>
  <si>
    <t>New Engen, Wpromote, DEPT, Merkle</t>
  </si>
  <si>
    <t>Top Social Media Marketing Companies in the United States - Jul 2026 Rankings \| Clutch.co</t>
  </si>
  <si>
    <t>revvgrowth.com</t>
  </si>
  <si>
    <t>Clutch, Sociallyin, LYFE Marketing, SmartSites, Ignite Visibility, Elit-Web, KlientBoost, Disruptive Advertising, AdVenture Media, HawkSEM</t>
  </si>
  <si>
    <t>https://directiveconsulting.com/blog/top-performance-marketing-agencies/</t>
  </si>
  <si>
    <t>NoGood, iPullRank, Omniscient Digital, Measured, First Page Sage, Siege Media, Directive, Go Fish Digital, Animalz, Clutch, WebFX, Single Grain, Avenue Z, RevenueZen, Intero Digital</t>
  </si>
  <si>
    <t>18 Best Performance Marketing Agencies For B2B - Directive</t>
  </si>
  <si>
    <t>Directive, NoGood, Common Thread Collective, Amsive, Hey Digital, Right Side Up, Wpromote, Darkroom, inBeat, Single Grain, Omniscient Digital, Seer Interactive, Brighter Click, Metric Theory, Measured, TransUnion, Clutch</t>
  </si>
  <si>
    <t>https://firstpagesage.com/seo-blog/the-top-saas-geo-aeo-agencies/</t>
  </si>
  <si>
    <t>The Top SaaS GEO / AEO Agencies of 2026 – First Page Sage</t>
  </si>
  <si>
    <t>Tinuiti, Brainlabs, Disruptive Advertising, KlientBoost, Measured, NP Digital, Silverback Strategies, Metric Theory, Clutch, Anomaly, Directive, Single Grain, HawkSEM, Seer Interactive, AdVenture Media, Monks, Animalz, Refine Labs</t>
  </si>
  <si>
    <t>First Page Sage, Clutch, Searchbloom</t>
  </si>
  <si>
    <t>https://nationalmarketingawards.com/leaderboard/</t>
  </si>
  <si>
    <t>qoulomb.com</t>
  </si>
  <si>
    <t>Award-Winning Marketing Agencies in the USA: 2026 National Leaderboard | National Marketing Awards</t>
  </si>
  <si>
    <t>nationalmarketingawards.com</t>
  </si>
  <si>
    <t>Momentum, WebFX, NoGood, iPullRank, Directive, Avenue Z, Omniscient Digital, Measured, Single Grain, Searchbloom, Seer Interactive, Clutch, Victorious, Siege Media</t>
  </si>
  <si>
    <t>Clutch, WebFX, Ignite Visibility, SmartSites, Disruptive Advertising, LYFE Marketing, Directive, Power Digital, Wpromote, KlientBoost, Single Grain, Sociallyin, Viral Nation, Tinuiti, Hawke Media, NoGood</t>
  </si>
  <si>
    <t>https://riseopp.com/blog/top-25-geo-agencies-in-the-united-states</t>
  </si>
  <si>
    <t>Top 25 GEO Agencies in the United States - RiseOpp</t>
  </si>
  <si>
    <t>riseopp.com</t>
  </si>
  <si>
    <t>WebFX, Siege Media, Victorious, The SEO Works, Major Tom, Clutch</t>
  </si>
  <si>
    <t>scopicstudios.com</t>
  </si>
  <si>
    <t>WebFX, Intero Digital, Siege Media, iPullRank, Omniscient Digital, First Page Sage, Hawke Media, Single Grain, Go Fish Digital</t>
  </si>
  <si>
    <t>https://sociallyin.com/resources/top-paid-media-agencies-us/</t>
  </si>
  <si>
    <t>Top 5 Paid Media Agencies US: An Expert 2026 Review</t>
  </si>
  <si>
    <t>Clutch, NoGood, Epsilon, Measured, Keenfolks, Single Grain, Anomaly, Brighter Click, Acadia</t>
  </si>
  <si>
    <t>Sociallyin, Wpromote, Marcel Digital, Tinuiti, Momentum</t>
  </si>
  <si>
    <t>https://www.superside.com/blog/creative-agencies</t>
  </si>
  <si>
    <t>14 Best Creative Agencies That Make Brands Stand Out in 2026</t>
  </si>
  <si>
    <t>WebFX, NoGood, iPullRank, First Page Sage, Measured, Siege Media, Single Grain, Merkle, Go Fish Digital, Avenue Z, Marcel Digital</t>
  </si>
  <si>
    <t>Superside, Giant Spoon, Wieden+Kennedy, Huge, Ogilvy</t>
  </si>
  <si>
    <t>https://clutch.co/us/agencies/ppc/advertising-industry</t>
  </si>
  <si>
    <t>percepture.com</t>
  </si>
  <si>
    <t>Top PPC Agencies for Ad Agencies in the United States - Jul 2026 Rankings \| Clutch.co</t>
  </si>
  <si>
    <t>Clutch, AdVenture Media, Disruptive Advertising, KlientBoost, LYFE Marketing</t>
  </si>
  <si>
    <t>https://www.cometly.com/post/marketing-incrementality-testing-tools</t>
  </si>
  <si>
    <t>WebFX, iPullRank, First Page Sage, Siege Media, Percepture, Intero Digital, Go Fish Digital, Searchbloom, Huge, Daydream</t>
  </si>
  <si>
    <t>9 Best Marketing Incrementality Testing Tools 2026</t>
  </si>
  <si>
    <t>wildnetmarketing.agency</t>
  </si>
  <si>
    <t>Dentsu, Accenture Song, Deloitte Digital, Merkle, Ogilvy, Digitas, AKQA, VML, Publicis Groupe, Epsilon, Anomaly, iProspect</t>
  </si>
  <si>
    <t>Cometly, Measured, Rockerbox, Northbeam, LifeSight, Haus, Recast</t>
  </si>
  <si>
    <t>https://www.creativefrontiers.co/blog/the-20-best-creative-marketing-agencies-in-the-usa-2025-guide</t>
  </si>
  <si>
    <t>The 20 Best Creative Marketing Agencies in the USA [2025 Guide] | Creative Frontiers</t>
  </si>
  <si>
    <t>creativefrontiers.co</t>
  </si>
  <si>
    <t>WebFX, Ignite Visibility, SmartSites, Power Digital, Tinuiti, Disruptive Advertising, Wpromote, NoGood, KlientBoost, Directive, Single Grain, Sociallyin, LYFE Marketing, Hawke Media, Viral Nation, Clutch, Huge, PMG, Accenture Song, First Page Sage, Siege Media, Measured, NP Digital, Wieden+Kennedy, BBDO, Publicis Groupe, HawkSEM, Droga5, Intero Digital, R/GA, Searchbloom, Seer Interactive, WPP, Silverback Strategies, 72andSunny, Bounteous, Clay, Victorious, Marcel Digital, Noble Studios, Horizon Media, VML, Anomaly</t>
  </si>
  <si>
    <t>youtube.com</t>
  </si>
  <si>
    <t>Wieden+Kennedy, Droga5, Accenture Song, R/GA, BBDO, 72andSunny, Huge, TBWA\Chiat\Day, Giant Spoon, DEPT, Clutch</t>
  </si>
  <si>
    <t>Huge, Haus, Measured, Disruptive Advertising, Single Grain, NoGood, Wpromote, GrowthSpree, Refine Labs, Clutch, Tinuiti, Right Side Up, PwC, McKinsey, QuantumBlack, IBM, BCG, Northbeam, Searchbloom, AdVenture Media, Sociallyin, Amsive, Cometly, First Page Sage, Siege Media, Recast, Omniscient Digital, Major Tom, Directive</t>
  </si>
  <si>
    <t>https://quimbydigital.com/top-social-media-agencies-in-the-us-2026/</t>
  </si>
  <si>
    <t>coolnerdsmarketing.com</t>
  </si>
  <si>
    <t>Top Social Media Marketing Agencies in the USA | 2026</t>
  </si>
  <si>
    <t>quimbydigital.com</t>
  </si>
  <si>
    <t>Momentum, Accenture Song, Wieden+Kennedy, Droga5, BBDO, TBWA\Chiat\Day, Anomaly, Disruptive Advertising, WebFX, Ignite Visibility, KlientBoost, Directive, HawkSEM, Power Digital, Single Grain, VaynerMedia, Publicis Groupe, Intero Digital, Refine Labs, Dentsu, Huge, Ogilvy, 72andSunny, VML, R/GA, AKQA, Tinuiti, Bounteous, DEPT, inBeat, Wpromote, NinjaPromo, SmartSites</t>
  </si>
  <si>
    <t>inBeat, Wpromote, Disruptive Advertising, MuteSix, Tinuiti, Sociallyin, Ignite Visibility, WebFX, Thrive Internet Marketing Agency, The Social Shepherd, NoGood, Viral Nation, Amsive</t>
  </si>
  <si>
    <t>themanifest.com</t>
  </si>
  <si>
    <t>https://www.ritnerdigital.com/blog/the-best-seo-and-ai-search-agencies-in-the-united-states-right-now</t>
  </si>
  <si>
    <t>Amsive, DEPT, Accelerated Digital Media, Clutch, Tinuiti, NP Digital, MuteSix, Disruptive Advertising, KlientBoost, SmartSites, HawkSEM, Intero Digital, LYFE Marketing, NinjaPromo, Funnel Boost Media, AdVenture Media, Elit-Web, Ignite Visibility, Storm Brain, Major Tom, Power Digital, Sociallyin, Brighter Click, Acadia, Viral Nation, The SEO Works, PwC, Clay, IBM</t>
  </si>
  <si>
    <t>The Best SEO and AI Search Agencies in the United States Right Now (2026) — Ritner Digital | AI Search &amp;amp; SEO Agency</t>
  </si>
  <si>
    <t>clicksgeek.com</t>
  </si>
  <si>
    <t>Rockerbox, Measured, Northbeam, Triple Whale, Ruler Analytics, Momentum, Tinuiti, Disruptive Advertising, WebFX, Ignite Visibility, KlientBoost, Directive, AdVenture Media, Brainlabs, Thrive Internet Marketing Agency</t>
  </si>
  <si>
    <t>WebFX, Thrive Internet Marketing Agency, Ignite Visibility, Silverback Strategies, Victorious, First Page Sage, iPullRank, Siege Media, Single Grain, Graphite, SmartSites, Funnel Boost Media, Clutch, Searchbloom</t>
  </si>
  <si>
    <t>https://www.callboxinc.com/growth-hacking/best-aeo-agencies/</t>
  </si>
  <si>
    <t>scalixai.com</t>
  </si>
  <si>
    <t>8 Top AEO Agencies in 2026 for Lead Generation</t>
  </si>
  <si>
    <t>Power Digital, WebFX, Disruptive Advertising, KlientBoost, Directive, Intero Digital, NoGood, Omniscient Digital, Wpromote, Single Grain, Darkroom, Common Thread Collective, Seer Interactive, Refine Labs, Hey Digital</t>
  </si>
  <si>
    <t>callboxinc.com</t>
  </si>
  <si>
    <t>lifesight.io</t>
  </si>
  <si>
    <t>DEPT, Clutch, First Page Sage, iPullRank, Omniscient Digital, Directive, Siege Media, Animalz</t>
  </si>
  <si>
    <t>https://directiveconsulting.com/blog/best-marketing-data-agency/</t>
  </si>
  <si>
    <t>Haus, Measured, Recast, Northbeam, LifeSight, LiftLab, Rockerbox, Anomaly, Triple Whale</t>
  </si>
  <si>
    <t>18 Best Marketing Data Agencies for B2B - Directive</t>
  </si>
  <si>
    <t>Directive, RevPartners, KlientBoost, Brainlabs, Power Digital, Measured, Clutch</t>
  </si>
  <si>
    <t>Measured, Ignite Visibility, NinjaPromo, McKinsey, Major Tom</t>
  </si>
  <si>
    <t>https://www.linkedin.com/pulse/top-10-aeo-agencies-usa-2026-best-answer-engine-companies-sam-israel-pgcwc</t>
  </si>
  <si>
    <t>agencyvista.com</t>
  </si>
  <si>
    <t>Top 10 AEO Agencies in the USA (2026): The Best Answer Engine Optimization Companies for AI Search Visibility</t>
  </si>
  <si>
    <t>Dentsu, Croud, Adswerve, Making Science, Deloitte Digital, Brainlabs, Ogilvy, Merkle, Digitas, Artefact, Jellyfish, Seer Interactive, AKQA, iProspect, Bounteous, DEPT, Cardinal Path, InfoTrust, Kepler Group, VML, Publicis Sapient, SmartSites, Haus, Publicis Groupe, SegmentStream, Noble Studios, Major Tom, Omnicom Media Group, Monks, PMG, VaynerMedia, Evolytics, Marcel Digital</t>
  </si>
  <si>
    <t>iPullRank, Omniscient Digital, Siege Media, WebFX, Single Grain, First Page Sage, NoGood, RevenueZen</t>
  </si>
  <si>
    <t>https://percepture.com/geo-insights/best-ai-seo-agencies-usa/</t>
  </si>
  <si>
    <t>First Page Sage, iPullRank, Omniscient Digital, Directive, Siege Media, Animalz, DEPT, Clutch, Tinuiti, Disruptive Advertising, WebFX, Measured, Single Grain, NP Digital, Refine Labs</t>
  </si>
  <si>
    <t>Best AI SEO Agencies In The USA: Search Growth Guide for</t>
  </si>
  <si>
    <t>agencyspotter.com</t>
  </si>
  <si>
    <t>Percepture, Daydream, iPullRank, First Page Sage, Siege Media, Intero Digital, WebFX, Searchbloom</t>
  </si>
  <si>
    <t>https://www.sortlist.com/s/display-advertising/united-states-us</t>
  </si>
  <si>
    <t>Huge, Dentsu, Deloitte Digital, Merkle, Ogilvy, WPP, Publicis Groupe, Digitas, Epsilon, PwC, BBDO, GroupM, Acxiom, IBM, Omnicom Media Group, SmartSites, Sociallyin, Haus, Major Tom</t>
  </si>
  <si>
    <t>The 10 Best Display Advertising Agencies in the United States - 2026 Reviews</t>
  </si>
  <si>
    <t>Triple Whale, Northbeam, HockeyStack, NinjaPromo, Clutch, IBM</t>
  </si>
  <si>
    <t>https://www.agencycluster.com/top-50/branding-creative-agencies</t>
  </si>
  <si>
    <t>WebFX, iPullRank, Omniscient Digital, First Page Sage, Siege Media, Single Grain, Go Fish Digital, Intero Digital, Hawke Media</t>
  </si>
  <si>
    <t>Top 50 Branding &amp;amp; Creative Design Agencies in the USA (2026) | AgencyCluster</t>
  </si>
  <si>
    <t>Clay, Pentagram, R/GA, Wolff Olins, Wieden+Kennedy, Avenue Z, Momentum</t>
  </si>
  <si>
    <t>Tinuiti, Disruptive Advertising, WebFX, NoGood, Wpromote, Ignite Visibility, inBeat, Sociallyin, MuteSix, The Social Shepherd, Amsive, Viral Nation, Thrive Internet Marketing Agency</t>
  </si>
  <si>
    <t>https://clutch.co/agencies</t>
  </si>
  <si>
    <t>Top Advertising Agencies &amp;amp; Marketing Companies - Jul 2026 Rankings | Clutch.co</t>
  </si>
  <si>
    <t>Huge, Accenture Song, Wieden+Kennedy, 72andSunny, Droga5, BBDO, R/GA, DEPT, Giant Spoon, TBWA\Chiat\Day, Clutch, Pentagram</t>
  </si>
  <si>
    <t>Clutch, Power Digital, Ignite Visibility, SmartSites, LYFE Marketing, NinjaPromo, WebFX, KlientBoost, AdVenture Media, Sociallyin, Funnel Boost Media, The SEO Works</t>
  </si>
  <si>
    <t>https://digitalagencynetwork.com/agencies/usa/creative/</t>
  </si>
  <si>
    <t>techbehemoths.com</t>
  </si>
  <si>
    <t>Top Creative Agencies in USA (2026)</t>
  </si>
  <si>
    <t>Storm Brain</t>
  </si>
  <si>
    <t>Major Tom, Momentum, Clay, Brighter Click, PwC, NoGood, Forthea</t>
  </si>
  <si>
    <t>https://inbeat.agency/blog/top-advertising-agencies</t>
  </si>
  <si>
    <t>marketingltb.com</t>
  </si>
  <si>
    <t>Leading Advertising Agencies in the USA - inBeat Agency</t>
  </si>
  <si>
    <t>inBeat, Nielsen, Wieden+Kennedy, Droga5, BBDO, 72andSunny, Anomaly, Ogilvy, Accenture Song, WPP, IBM</t>
  </si>
  <si>
    <t>Tinuiti, Disruptive Advertising, WebFX, Ignite Visibility, Directive, SmartSites, MuteSix, HawkSEM, Clutch, Dentsu, Momentum, Measured, Ogilvy, Merkle, Publicis Groupe, WPP, R/GA, iProspect, GroupM, IBM, VML, Publicis Sapient, Noble Studios, Accenture Song, Brainlabs, Wpromote, Jellyfish, Hawke Media, LYFE Marketing, KlientBoost, Thrive Internet Marketing Agency</t>
  </si>
  <si>
    <t>https://thesocialshepherd.com/blog/top-paid-social-agencies-us</t>
  </si>
  <si>
    <t>g2.com</t>
  </si>
  <si>
    <t>The Social Shepherd | Top 17 Paid Social Agencies in the U.S. (2026)</t>
  </si>
  <si>
    <t>Rockerbox, Measured, Triple Whale, Huge, Momentum, SmartSites, IBM, WebFX, KlientBoost</t>
  </si>
  <si>
    <t>The Social Shepherd, Disruptive Advertising, Jellyfish, Tinuiti, iProspect</t>
  </si>
  <si>
    <t>https://www.webtonic.io/blog/top-performance-marketing-agencies-us</t>
  </si>
  <si>
    <t>growthspreeofficial.com</t>
  </si>
  <si>
    <t>The 50 Top Performance Marketing Agencies in the US as of 2026</t>
  </si>
  <si>
    <t>Measured, GrowthSpree, Clutch, NoGood, Directive, Refine Labs, Bain &amp; Company, Optimist, Single Grain</t>
  </si>
  <si>
    <t>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t>
  </si>
  <si>
    <t>https://agencyvista.com/lists/google-marketing-platform-sales-partners/</t>
  </si>
  <si>
    <t>thedigitalelevator.com</t>
  </si>
  <si>
    <t>Google Marketing Platform Sales Partners. May 2025 Reviews. | Agency Vista</t>
  </si>
  <si>
    <t>iPullRank, Siege Media, Directive, Go Fish Digital, Intero Digital, Animalz, Graphite</t>
  </si>
  <si>
    <t>piperocket.digital</t>
  </si>
  <si>
    <t>AKQA, Seer Interactive, Brainlabs, Artefact, Merkle, Cardinal Path, Jellyfish, Publicis Sapient, Bounteous, Kepler Group, VML, Adswerve, Digitas, InfoTrust, Deloitte Digital, Dentsu, Croud, Making Science, Ogilvy, iProspect, DEPT</t>
  </si>
  <si>
    <t>Power Digital, WebFX, NoGood, iPullRank, Omniscient Digital, First Page Sage, Siege Media, KlientBoost, Single Grain, Animalz, RevenueZen, Clutch, Dentsu, Tinuiti, Disruptive Advertising, Ignite Visibility, Directive, The Social Shepherd, Measured, Discovered Labs, Hey Digital</t>
  </si>
  <si>
    <t>https://clutch.co/agencies/ppc/display</t>
  </si>
  <si>
    <t>withgoogle.com</t>
  </si>
  <si>
    <t>Top Display Advertising Agencies - Jul 2026 Rankings | Clutch.co</t>
  </si>
  <si>
    <t>Clutch, Elit-Web, AdVenture Media, NinjaPromo, Storm Brain, The SEO Works</t>
  </si>
  <si>
    <t>Acadia, Accelerated Digital Media</t>
  </si>
  <si>
    <t>https://www.designrush.com/agency/digital-marketing/us</t>
  </si>
  <si>
    <t>munro.agency</t>
  </si>
  <si>
    <t>Tinuiti, Brainlabs, Disruptive Advertising, Ignite Visibility, KlientBoost, Merkle, Jellyfish, HawkSEM, Seer Interactive, DEPT, Metric Theory, Dentsu, Croud, Accenture Song, Deloitte Digital, Ogilvy, Publicis Groupe, Digitas, WPP, PwC, AKQA, R/GA, VML, McKinsey, IBM, BCG, Publicis Sapient, Wieden+Kennedy, 72andSunny, BBDO, LYFE Marketing, Funnel Boost Media, Major Tom, Power Digital, inBeat, WebFX, Directive, Intero Digital, Amsive, Viral Nation, Omniscient Digital, First Page Sage, Siege Media, Go Fish Digital, Analytic Partners, Artefact, Measured, LatentView Analytics, Fractal Analytics, RevenueZen, Victorious, NoGood, Thrive Internet Marketing Agency, Noble Studios, iPullRank, Single Grain, Momentum</t>
  </si>
  <si>
    <t>Digital Marketing Agencies in US - Jul 2026 | DesignRush</t>
  </si>
  <si>
    <t>thatware.co</t>
  </si>
  <si>
    <t>Funnel Boost Media, Huge, SmartSites, Searchbloom, Silverback Strategies, Disruptive Advertising, PwC, Clutch, Intero Digital, IBM, NinjaPromo, KlientBoost, Elit-Web, McKinsey, HawkSEM</t>
  </si>
  <si>
    <t>https://www.agencycluster.com/top-25/branding-creative-agencies</t>
  </si>
  <si>
    <t>Momentum, Clutch, Anomaly, WebFX, Ignite Visibility, SmartSites, Intero Digital, Victorious, Funnel Boost Media</t>
  </si>
  <si>
    <t>Top 25 Branding &amp;amp; Creative Design Agencies in the USA (2026) | AgencyCluster</t>
  </si>
  <si>
    <t>haus.io</t>
  </si>
  <si>
    <t>Clay, Pentagram, R/GA, Wolff Olins, Wieden+Kennedy</t>
  </si>
  <si>
    <t>https://www.alphaapexgroup.com/blog/top-ai-consulting-firms</t>
  </si>
  <si>
    <t>Haus, Momentum, Anomaly</t>
  </si>
  <si>
    <t>solved6.com</t>
  </si>
  <si>
    <t>Top AI Consulting Firms for Business Transformation in 2026 — Alpha Apex Group - Consulting &amp;amp; Executive Search Firm</t>
  </si>
  <si>
    <t>alphaapexgroup.com</t>
  </si>
  <si>
    <t>New Engen, Disruptive Advertising, NoGood, Wieden+Kennedy, Clutch</t>
  </si>
  <si>
    <t>50pros.com</t>
  </si>
  <si>
    <t>Artefact, McKinsey, QuantumBlack, Ogilvy, Clutch</t>
  </si>
  <si>
    <t>https://clutch.co/agencies/performance-marketing</t>
  </si>
  <si>
    <t>AdVenture Media, Huge, The SEO Works, Clutch, Momentum</t>
  </si>
  <si>
    <t>Top Performance Marketing Agencies - Jul 2026 Rankings | Clutch.co</t>
  </si>
  <si>
    <t>onely.com</t>
  </si>
  <si>
    <t>Clutch, Disruptive Advertising, Accelerated Digital Media, Momentum, Web Tonic</t>
  </si>
  <si>
    <t>https://nogood.io/blog/marketing-agencies-usa/#:~:text=%2D%20NoGood.%20Born%20in%20New%20York%20City,%2D%20BBDO.%20%2D%20Digitas.%20%2D%20Disruptive%20Advertising.</t>
  </si>
  <si>
    <t>iPullRank, Omniscient Digital, Siege Media, Directive, Single Grain, Searchbloom, Thrive Internet Marketing Agency, WebFX, First Page Sage, Measured, Ignite Visibility, Go Fish Digital, Seer Interactive, Victorious, Clutch, Power Digital, Disruptive Advertising, KlientBoost, SmartSites, NP Digital, NinjaPromo, IBM, Intero Digital</t>
  </si>
  <si>
    <t>Top Digital Marketing Agencies In The USA (2026)</t>
  </si>
  <si>
    <t>NoGood, Ogilvy, DEPT, Disruptive Advertising, Ignite Visibility, Clutch, IBM, BBDO, Digitas, Publicis Groupe, Wieden+Kennedy, Dentsu, Monks, Major Tom, LYFE Marketing, Funnel Boost Media, Metric Theory</t>
  </si>
  <si>
    <t>https://www.revvgrowth.com/aeo/aeo-agency-in-usa</t>
  </si>
  <si>
    <t>Ogilvy, Artefact, McKinsey, QuantumBlack, Clutch</t>
  </si>
  <si>
    <t>AEO | Discover the 10 Best AEO Agencies in the USA for AI Visibility</t>
  </si>
  <si>
    <t>seoprofy.com</t>
  </si>
  <si>
    <t>RevenueZen, Omniscient Digital, iPullRank, WebFX, First Page Sage, Single Grain, Avenue Z, NoGood, Siege Media, Clutch</t>
  </si>
  <si>
    <t>WebFX, NoGood, iPullRank, Omniscient Digital, Measured, First Page Sage, Siege Media, Go Fish Digital, Intero Digital, Victorious, RevenueZen, The SEO Works, Clutch, NP Digital, McKinsey</t>
  </si>
  <si>
    <t>https://sociallyin.com/resources/top-google-ads-agencies-us/</t>
  </si>
  <si>
    <t>rankshift.ai</t>
  </si>
  <si>
    <t>Top 15 Google Ads Agencies in the US: 2026 Review</t>
  </si>
  <si>
    <t>WebFX, iPullRank, Go Fish Digital, Seer Interactive, Graphite, Clutch, Measured</t>
  </si>
  <si>
    <t>aeovision.ai</t>
  </si>
  <si>
    <t>Sociallyin, WebFX, SmartSites, AdVenture Media, Ignite Visibility, Disruptive Advertising, KlientBoost, Single Grain, Thrive Internet Marketing Agency, Measured</t>
  </si>
  <si>
    <t>https://www.solved6.com/blogs/best-digital-marketing-agencies-usa-2026_report</t>
  </si>
  <si>
    <t>NoGood, Omniscient Digital, iPullRank, Wpromote, First Page Sage, Siege Media, Directive, Single Grain, Darkroom, Optimist, Animalz, Avenue Z, Discovered Labs, RevenueZen</t>
  </si>
  <si>
    <t>The 7 Best Digital Marketing Agencies in the USA (2026 Rankings) - BrightEdge</t>
  </si>
  <si>
    <t>businessofapps.com</t>
  </si>
  <si>
    <t>NoGood, Disruptive Advertising, Clutch, New Engen, Wieden+Kennedy</t>
  </si>
  <si>
    <t>Editorial</t>
  </si>
  <si>
    <t>VaynerMedia, NinjaPromo, Clutch, Thrive Internet Marketing Agency, Huge, Anomaly, Incubeta, Measured, Directive, The Social Shepherd</t>
  </si>
  <si>
    <t>https://www.uforocks.com/blog/top-ai-marketing-agencies-in-the-u-s/</t>
  </si>
  <si>
    <t>adbeacon.com</t>
  </si>
  <si>
    <t>Top AI Marketing Agencies in the U.S. - UFO Digital Marketing Agency</t>
  </si>
  <si>
    <t>Rockerbox, Triple Whale, HockeyStack, Ruler Analytics, Anomaly, Northbeam, Cometly</t>
  </si>
  <si>
    <t>NoGood, SmartSites, Single Grain, IBM, NP Digital, Tinuiti, WebFX, Wpromote, Clay</t>
  </si>
  <si>
    <t>thedrum.com</t>
  </si>
  <si>
    <t>https://aeovision.ai/articles/best-aeo-geo-agencies-2026/</t>
  </si>
  <si>
    <t>Dentsu, Publicis Groupe, WPP, Ogilvy, Wieden+Kennedy, Droga5, 72andSunny, AKQA, R/GA, BBDO, VML, Anomaly, Incubeta, Brandtech, Accenture Song, PwC, McKinsey, DEPT, Digitas, Momentum, Merkle</t>
  </si>
  <si>
    <t>Best 60+ AEO/GEO Agencies in 2026 (US, Europe &amp;amp; Asia Directory) | AEO Vision</t>
  </si>
  <si>
    <t>growth-hackers.net</t>
  </si>
  <si>
    <t>First Page Sage, iPullRank, Siege Media, Omniscient Digital, Optimist, NoGood, Directive, Animalz, RevenueZen, Single Grain, Avenue Z, Darkroom, Wpromote, Amsive, Discovered Labs</t>
  </si>
  <si>
    <t>https://www.designrush.com/agency/digital-marketing/analytics</t>
  </si>
  <si>
    <t>IDHL, Disruptive Advertising, inBeat, Intero Digital, Marcel Digital, IBM, Seer Interactive, Evolytics, Tinuiti, Jellyfish, iProspect</t>
  </si>
  <si>
    <t>Top Marketing Analytics Agencies in 2026</t>
  </si>
  <si>
    <t>ninjapromo.io</t>
  </si>
  <si>
    <t>SmartSites, Huge, KlientBoost, Funnel Boost Media, Elit-Web, AdVenture Media, Monks, Ignite Visibility, Ruler Analytics, Amsive, Intero Digital</t>
  </si>
  <si>
    <t>https://www.haus.io/blog/choosing-the-best-incrementality-testing-tool</t>
  </si>
  <si>
    <t>Incrementality Testing: How to Choose the Best Tool</t>
  </si>
  <si>
    <t>Momentum, Measured, NinjaPromo, Clutch, Pentagram, Superside, McKinsey, IBM, Keenfolks, WebFX, MuteSix, Single Grain</t>
  </si>
  <si>
    <t>Haus, Anomaly</t>
  </si>
  <si>
    <t>https://www.rankshift.ai/blog/best-geo-agencies/</t>
  </si>
  <si>
    <t>techradar.com</t>
  </si>
  <si>
    <t>20 Best GEO Agencies in 2026 for Generative Engine Optimization</t>
  </si>
  <si>
    <t>Huge, IBM, BCG</t>
  </si>
  <si>
    <t>Graphite, Seer Interactive, Go Fish Digital, iPullRank, WebFX, Clutch</t>
  </si>
  <si>
    <t>primeavenuegroup.com</t>
  </si>
  <si>
    <t>https://www.silverbackstrategies.com/lists/best-ai-search-agencies-in-2026-ranked-reviewed/</t>
  </si>
  <si>
    <t>NoGood, First Page Sage, Siege Media, Directive, Animalz, Amsive, Clutch</t>
  </si>
  <si>
    <t>rightsideup.com</t>
  </si>
  <si>
    <t>Best AI Search Agencies in 2026 (Ranked &amp;amp; Reviewed) | Silverback Strategies</t>
  </si>
  <si>
    <t>Silverback Strategies, Clutch, WebFX, Directive, Brainlabs, Omniscient Digital, Measured</t>
  </si>
  <si>
    <t>https://www.sortlist.com/s/performance-marketing/united-states-us</t>
  </si>
  <si>
    <t>Measured, Right Side Up, Huge</t>
  </si>
  <si>
    <t>rzlt.io</t>
  </si>
  <si>
    <t>The 10 Best Performance Marketing Agencies in the United States - 2026 Reviews</t>
  </si>
  <si>
    <t>Clutch, IBM</t>
  </si>
  <si>
    <t>Wpromote, NoGood, Jellyfish, Superside, Viral Nation, Clutch, Monks, Single Grain, NinjaPromo</t>
  </si>
  <si>
    <t>https://thriveagency.com/news/top-generative-engine-optimization-geo-agencies/</t>
  </si>
  <si>
    <t>singlegrain.com</t>
  </si>
  <si>
    <t>10 Top Generative Engine Optimization (GEO) Agencies in 2026</t>
  </si>
  <si>
    <t>Ignite Visibility, Single Grain, Superside, VML, Major Tom, WebFX, NoGood, iPullRank, First Page Sage, Siege Media, SmartSites, RevenueZen, Momentum</t>
  </si>
  <si>
    <t>Thrive Internet Marketing Agency, Siege Media, Victorious, Power Digital, Percepture, Go Fish Digital, Directive, Measured</t>
  </si>
  <si>
    <t>weareqry.com</t>
  </si>
  <si>
    <t>https://www.yesoptimist.com/best-ai-seo-agencies/</t>
  </si>
  <si>
    <t>Power Digital, Tinuiti, WebFX, Wpromote, Directive, Single Grain, NoGood, Hawke Media, Measured, Right Side Up, Major Tom</t>
  </si>
  <si>
    <t>The 7 Best AI SEO Agencies Helping Clients Win AI Search in 2026 | Optimist</t>
  </si>
  <si>
    <t>gtm8020.com</t>
  </si>
  <si>
    <t>Measured, Optimist, iPullRank, Omniscient Digital, RevenueZen, Siege Media, Single Grain, Clutch, Seer Interactive, Intero Digital</t>
  </si>
  <si>
    <t>https://clutch.co/us/seo-firms/generative-engine-optimization</t>
  </si>
  <si>
    <t>Omniscient Digital, Directive, NP Digital, Clutch, Momentum, Siege Media, Amsive, Graphite</t>
  </si>
  <si>
    <t>Top Generative Engine Optimization (GEO) Agencies in the United States - Jul 2026 Rankings | Clutch.co</t>
  </si>
  <si>
    <t>hockeystack.com</t>
  </si>
  <si>
    <t>Clutch, Funnel Boost Media, WebFX, Intero Digital, Ignite Visibility, Elit-Web, Victorious, HawkSEM, Siege Media, Thrive Internet Marketing Agency, RevenueZen, Go Fish Digital, Silverback Strategies</t>
  </si>
  <si>
    <t>https://www.g2.com/categories/marketing-analytics-services</t>
  </si>
  <si>
    <t>Rockerbox, Northbeam, Triple Whale, HockeyStack, Ruler Analytics, Anomaly, Huge</t>
  </si>
  <si>
    <t>Best Marketing Analytics Service Providers: User Reviews from January 2026</t>
  </si>
  <si>
    <t>zipdo.co</t>
  </si>
  <si>
    <t>Dentsu, Merkle, Publicis Groupe, PwC, Cardinal Path, Clutch, Jellyfish, WPP, GroupM, Wpromote, Northbeam, Bounteous, VML, Measured, Momentum, Epsilon, Kantar, Deloitte Digital, iProspect, IBM, Omnicom Media Group, Publicis Sapient, Croud, Accenture Song, Disruptive Advertising, Ignite Visibility, WebFX, Victorious, Thrive Internet Marketing Agency</t>
  </si>
  <si>
    <t>https://www.growthspreeofficial.com/blogs/top-6-ai-powered-b2b-saas-marketing-agencies-in-the-united-states-2026</t>
  </si>
  <si>
    <t>sweatpantsagency.com</t>
  </si>
  <si>
    <t>Tinuiti, KlientBoost, MuteSix, Sociallyin, Superside, LYFE Marketing, The Social Shepherd, WebFX, Disruptive Advertising, Wieden+Kennedy, NoGood, First Page Sage</t>
  </si>
  <si>
    <t>Top 6 AI-Powered B2B SaaS Marketing Agencies USA 2026</t>
  </si>
  <si>
    <t>fahrenheitmarketing.com</t>
  </si>
  <si>
    <t>GrowthSpree, Clutch, Measured</t>
  </si>
  <si>
    <t>https://lifesight.io/blog/best-incrementality-testing-tools/</t>
  </si>
  <si>
    <t>Tinuiti, Disruptive Advertising, WebFX, NoGood, Measured, Ignite Visibility, Thrive Internet Marketing Agency</t>
  </si>
  <si>
    <t>6 Best Incrementality Testing Tools in 2025 [UPDATED] - Lifesight</t>
  </si>
  <si>
    <t>inbeat.co</t>
  </si>
  <si>
    <t>LifeSight, Haus, Measured, Recast, LiftLab, Northbeam, Triple Whale</t>
  </si>
  <si>
    <t>https://www.lyfemarketing.com/blog/top-paid-media-agencies-us/</t>
  </si>
  <si>
    <t>Web Tonic, Power Digital, Disruptive Advertising, NoGood, Single Grain, inBeat, The Social Shepherd, Marcel Digital, Clutch, Brighter Click, Tinuiti, Brainlabs, Wpromote, Ignite Visibility, SmartSites, Merkle, NP Digital, Jellyfish, Momentum, Bark London</t>
  </si>
  <si>
    <t>Top 20 Paid Media Agencies In The US 2026</t>
  </si>
  <si>
    <t>leewayhertz.com</t>
  </si>
  <si>
    <t>LYFE Marketing, Marcel Digital, Power Digital, Anomaly, Tinuiti</t>
  </si>
  <si>
    <t>https://thesocialshepherd.com/blog/top-creative-agencies-us</t>
  </si>
  <si>
    <t>mightyandtrue.com</t>
  </si>
  <si>
    <t>The Social Shepherd | Top 17 Creative Agencies in the U.S. (2026)</t>
  </si>
  <si>
    <t>NoGood, Omniscient Digital, Directive, Single Grain, Jellyfish, Daydream, Optimist, Superside, Keenfolks</t>
  </si>
  <si>
    <t>The Social Shepherd, inBeat, Dentsu</t>
  </si>
  <si>
    <t>loudface.co</t>
  </si>
  <si>
    <t>https://agencies.semrush.com/list/smm/united-states/</t>
  </si>
  <si>
    <t>NoGood, First Page Sage, iPullRank, Omniscient Digital, Measured, Siege Media, Animalz, Avenue Z</t>
  </si>
  <si>
    <t>Best Social Media Marketing Agencies in United States 2026 | Semrush</t>
  </si>
  <si>
    <t>ie.edu</t>
  </si>
  <si>
    <t>https://www.dataally.ai/blog/best-performance-marketing-agencies</t>
  </si>
  <si>
    <t>Institutional</t>
  </si>
  <si>
    <t>Dentsu, Ogilvy, Merkle, Publicis Groupe, WPP, BBDO, iProspect, GroupM, VML, Publicis Sapient, PwC, McKinsey, QuantumBlack, BCG</t>
  </si>
  <si>
    <t>10 Best Performance Marketing Agencies in 2026</t>
  </si>
  <si>
    <t>getapexanalytics.com</t>
  </si>
  <si>
    <t>Nielsen, Power Digital, Brighter Click, Common Thread Collective, Tinuiti, Wpromote, MuteSix, Directive, NoGood, Right Side Up</t>
  </si>
  <si>
    <t>https://primeavenuegroup.com/best-aeo-agencies/</t>
  </si>
  <si>
    <t>Measured</t>
  </si>
  <si>
    <t>Top 9 Best AEO Agencies in 2026 - Complete Guide to Answer Engine Optimization Providers - Prime Avenue Group</t>
  </si>
  <si>
    <t>phosailabs.com</t>
  </si>
  <si>
    <t>First Page Sage, NoGood, Siege Media, Directive, Animalz, Amsive, Clutch</t>
  </si>
  <si>
    <t>https://qoulomb.com/best-geo-agencies-in-the-usa/</t>
  </si>
  <si>
    <t>amworldgroup.com</t>
  </si>
  <si>
    <t>Best GEO Agencies in the USA</t>
  </si>
  <si>
    <t>Ignite Visibility, Siege Media, Directive, R/GA, Thrive Internet Marketing Agency, Clutch, Silverback Strategies, Jellyfish</t>
  </si>
  <si>
    <t>iPullRank, NoGood, WebFX, Directive, Avenue Z, Momentum</t>
  </si>
  <si>
    <t>andersoncollaborative.com</t>
  </si>
  <si>
    <t>https://www.ritnerdigital.com/blog/best-ai-search-agencies-in-the-us</t>
  </si>
  <si>
    <t>Best AI Search Agencies in the US: Who's Doing Real Work and How to Choose — Ritner Digital | AI Search &amp;amp; SEO Agency</t>
  </si>
  <si>
    <t>Metric Theory, Tinuiti, Power Digital, NoGood, Disruptive Advertising, WebFX, Wpromote, KlientBoost, Directive, Single Grain, NP Digital, Seer Interactive, Thrive Internet Marketing Agency, DEPT, Kobe Digital, Victorious, Sociallyin, Silverback Strategies, Clutch</t>
  </si>
  <si>
    <t>Measured, iPullRank, Siege Media</t>
  </si>
  <si>
    <t>arxiv.org</t>
  </si>
  <si>
    <t>https://www.searchbloom.com/strategy/5-top-rated-google-ads-agencies/</t>
  </si>
  <si>
    <t>5 Top-Rated Google Ads Agencies for 2026</t>
  </si>
  <si>
    <t>artefact.com</t>
  </si>
  <si>
    <t>Searchbloom, BCG, LYFE Marketing, Clutch, Measured, KlientBoost, Disruptive Advertising</t>
  </si>
  <si>
    <t>https://segmentstream.com/blog/articles/top-10-incrementality-testing-tools</t>
  </si>
  <si>
    <t>Artefact</t>
  </si>
  <si>
    <t>10 Best Incrementality Testing Tools (2026) — SegmentStream</t>
  </si>
  <si>
    <t>effectivesoft.com</t>
  </si>
  <si>
    <t>SegmentStream, Measured, Haus, LifeSight, Rockerbox, Recast, LiftLab, INCRMNTAL</t>
  </si>
  <si>
    <t>https://www.adbeacon.com/19-best-marketing-attribution-software-solutions-in-2026/</t>
  </si>
  <si>
    <t>mintcopywritingstudios.com</t>
  </si>
  <si>
    <t>Huge, WebFX, NoGood, Omniscient Digital, Measured, Siege Media, Single Grain, Intero Digital, Victorious, The SEO Works</t>
  </si>
  <si>
    <t>19 Best Marketing Attribution Software Solutions in 2026 | AdBeacon</t>
  </si>
  <si>
    <t>semfirms.com</t>
  </si>
  <si>
    <t>HockeyStack, Ruler Analytics, Anomaly, Triple Whale, Rockerbox</t>
  </si>
  <si>
    <t>Momentum, Disruptive Advertising, Ignite Visibility, Intero Digital, Funnel Boost Media</t>
  </si>
  <si>
    <t>https://agencies.semrush.com/list/ai-optimization/united-states/</t>
  </si>
  <si>
    <t>Best AI Search Optimization Agencies in United States 2026 | Semrush</t>
  </si>
  <si>
    <t>SmartSites, Elit-Web</t>
  </si>
  <si>
    <t>upliftgtm.com</t>
  </si>
  <si>
    <t>https://clicksgeek.com/marketing-attribution-tracking-services/</t>
  </si>
  <si>
    <t>NoGood, Omniscient Digital, Ignite Visibility, Siege Media, Single Grain, Animalz, Victorious, Measured</t>
  </si>
  <si>
    <t>9 Best Marketing Attribution Tracking Services 2026</t>
  </si>
  <si>
    <t>marketerhire.com</t>
  </si>
  <si>
    <t>Measured, Triple Whale, Northbeam, Ruler Analytics, Rockerbox</t>
  </si>
  <si>
    <t>https://www.designrush.com/agency/digital-marketing/performance-marketing-agencies</t>
  </si>
  <si>
    <t>Momentum, Percepture, Avenue Z, Hawke Media, Clutch, Right Side Up, Digital Authority Partners, inBeat, Measured, Single Grain, MuteSix, Tinuiti, Disruptive Advertising, KlientBoost, Directive, HawkSEM, Kobe Digital, NoGood, Power Digital, Rockerbox, Triple Whale, Sociallyin</t>
  </si>
  <si>
    <t>stratabeat.com</t>
  </si>
  <si>
    <t>Top Performance Marketing Agencies in 2026</t>
  </si>
  <si>
    <t>Amsive, MuteSix, Wpromote, NoGood, Power Digital, Huge, Searchbloom, Funnel Boost Media, SmartSites, Intero Digital, Silverback Strategies, Disruptive Advertising, PwC, Web Tonic, KlientBoost, DEPT</t>
  </si>
  <si>
    <t>https://www.gartner.com/reviews/market/advanced-analytics-service-providers-for-marketing</t>
  </si>
  <si>
    <t>iPullRank, Omniscient Digital, First Page Sage, Go Fish Digital, Avenue Z, RevenueZen, Clutch, Stratabeat</t>
  </si>
  <si>
    <t>digitalnomadshq.com.au</t>
  </si>
  <si>
    <t>Best Advanced Analytics Service Providers for Marketing Reviews 2026 \| Gartner Peer Insights</t>
  </si>
  <si>
    <t>Disruptive Advertising, NoGood, Ignite Visibility, SmartSites, Ogilvy, Wieden+Kennedy, BBDO, Metric Theory, Major Tom, Clutch</t>
  </si>
  <si>
    <t>Measured, Acxiom, Nielsen, Anomaly, Analytic Partners, LatentView Analytics, Merkle</t>
  </si>
  <si>
    <t>https://partnersdirectory.withgoogle.com/</t>
  </si>
  <si>
    <t>aimerce.ai</t>
  </si>
  <si>
    <t>Measured, Northbeam, Triple Whale</t>
  </si>
  <si>
    <t>Google Partners Directory - Find a Partner for Business Growth</t>
  </si>
  <si>
    <t>decisionfoundry.com</t>
  </si>
  <si>
    <t>HOMEPAGE</t>
  </si>
  <si>
    <t>Homepage</t>
  </si>
  <si>
    <t>https://www.rightsideup.com/blog/guide-to-marketing-incrementality-testing</t>
  </si>
  <si>
    <t>marketinginsidergroup.com</t>
  </si>
  <si>
    <t>Marketing Incrementality Testing: A Complete Guide to Measuring What Matters</t>
  </si>
  <si>
    <t>Omniscient Digital, Ignite Visibility, Siege Media, Single Grain, Directive, NP Digital, Animalz, Victorious</t>
  </si>
  <si>
    <t>HOW_TO_GUIDE</t>
  </si>
  <si>
    <t>How-To Guide</t>
  </si>
  <si>
    <t>Right Side Up, Measured</t>
  </si>
  <si>
    <t>https://www.rzlt.io/blog/best-ai-marketing-agencies-in-2026-the-definitive-guide-by-specialty</t>
  </si>
  <si>
    <t>relevance.com</t>
  </si>
  <si>
    <t>Best AI Marketing Agencies in 2026: The Definitive Guide</t>
  </si>
  <si>
    <t>Omniscient Digital, Siege Media, Directive, Go Fish Digital, Victorious</t>
  </si>
  <si>
    <t>topgeoagencies.com</t>
  </si>
  <si>
    <t>Monks, NoGood, Superside, Wpromote, Viral Nation, Jellyfish, Clutch</t>
  </si>
  <si>
    <t>https://www.weareqry.com/blog/best-paid-media-agencies</t>
  </si>
  <si>
    <t>First Page Sage, iPullRank, Siege Media, Silverback Strategies, Graphite, Clutch</t>
  </si>
  <si>
    <t>Best Paid Media Agencies for 2026 | QRY</t>
  </si>
  <si>
    <t>enterprisemarketingportal.google</t>
  </si>
  <si>
    <t>Incubeta, Tinuiti, PMG, Adswerve, Making Science, Brainlabs, Wpromote, Merkle, Jellyfish, Digitas, Bounteous, Marcel Digital, DEPT, Acxiom, Cardinal Path, InfoTrust, Horizon Media, Monks, Publicis Sapient</t>
  </si>
  <si>
    <t>aeoagency.us</t>
  </si>
  <si>
    <t>Wpromote, Power Digital, WebFX, Single Grain, Directive, Tinuiti</t>
  </si>
  <si>
    <t>https://www.adbeacon.com/7-best-marketing-attribution-tools-compared-2026/</t>
  </si>
  <si>
    <t>lengreo.com</t>
  </si>
  <si>
    <t>7 Best Marketing Attribution Tools Compared (2026) | AdBeacon</t>
  </si>
  <si>
    <t>Cometly, Triple Whale, Northbeam, Rockerbox, Ruler Analytics</t>
  </si>
  <si>
    <t>https://clutch.co/us/consulting/ai/strategy</t>
  </si>
  <si>
    <t>Disruptive Advertising, WebFX, Ignite Visibility, KlientBoost, Sociallyin, Silverback Strategies, LYFE Marketing, Metric Theory, Clutch, Monks, Thrive Internet Marketing Agency, Keenfolks, Brainlabs, Funnel Boost Media, Searchbloom, Directive, NP Digital, Power Digital, Single Grain, SmartSites, NoGood, Avenue Z, Marcel Digital, PwC, McKinsey, QuantumBlack, NinjaPromo, Bain &amp; Company, Momentum, BCG</t>
  </si>
  <si>
    <t>nuundigital.com</t>
  </si>
  <si>
    <t>Top AI Strategy Companies in the United States - Jul 2026 Rankings \| Clutch.co</t>
  </si>
  <si>
    <t>Clutch, Go Fish Digital</t>
  </si>
  <si>
    <t>https://www.designrush.com/agency/creative-agencies/us</t>
  </si>
  <si>
    <t>Huge, Dentsu, Tinuiti, Brandtech, NoGood, Wpromote, Measured, Single Grain, WPP, R/GA, Jellyfish, MuteSix, VaynerMedia, AKQA, GroupM</t>
  </si>
  <si>
    <t>sageitinc.com</t>
  </si>
  <si>
    <t>Top Creative Agencies - Jul 2026 | DesignRush</t>
  </si>
  <si>
    <t>PwC, Disruptive Advertising, IBM, Huge, Major Tom, Directive, McKinsey, Nielsen, Measured</t>
  </si>
  <si>
    <t>https://www.fahrenheitmarketing.com/services/strategy/top-10-marketing-agencies-usa/#:~:text=A%20powerhouse%20in%20the%20top%2010%20media,them%20a%20place%20among%20top%20marketing%20firms.</t>
  </si>
  <si>
    <t>McKinsey, IBM, QuantumBlack, Clutch, Anomaly</t>
  </si>
  <si>
    <t>supermetrics.com</t>
  </si>
  <si>
    <t>Top 10 Marketing Agencies in the USA — and What to Look for When Choosing One - Fahrenheit Marketing</t>
  </si>
  <si>
    <t>Haus, Measured</t>
  </si>
  <si>
    <t>thecmo.com</t>
  </si>
  <si>
    <t>Ignite Visibility, Thrive Internet Marketing Agency, WebFX, Disruptive Advertising, NoGood, Tinuiti, Measured</t>
  </si>
  <si>
    <t>https://www.leewayhertz.com/top-ai-consulting-companies/</t>
  </si>
  <si>
    <t>Huge, Triple Whale, Neustar, HockeyStack, Ruler Analytics, Anomaly, WebFX, KlientBoost, SmartSites, Searchbloom, Victorious, Thrive Internet Marketing Agency</t>
  </si>
  <si>
    <t>visionlabs.com</t>
  </si>
  <si>
    <t>Omniscient Digital, Artefact, IBM</t>
  </si>
  <si>
    <t>Top 10 AI Consulting Companies 2026 | Top AI Consultants</t>
  </si>
  <si>
    <t>zyppy.com</t>
  </si>
  <si>
    <t>Go Fish Digital, Seer Interactive, RevenueZen, Clutch</t>
  </si>
  <si>
    <t>https://nogood.io/blog/ai-marketing-agency/</t>
  </si>
  <si>
    <t>dmidigitalmarketing.com</t>
  </si>
  <si>
    <t>Top 5 AI Marketing Agencies for Growth in 2026 | NoGood</t>
  </si>
  <si>
    <t>NoGood, Keenfolks, Single Grain, inBeat</t>
  </si>
  <si>
    <t>NoGood, Ignite Visibility, Directive, SmartSites, Single Grain, Amsive, Viral Nation</t>
  </si>
  <si>
    <t>https://thatware.co/10-best-aeo-companies-in-usa/</t>
  </si>
  <si>
    <t>enzuzo.com</t>
  </si>
  <si>
    <t>10 Best AEO Companies in the United States You Should Partner</t>
  </si>
  <si>
    <t>SmartSites, NinjaPromo, Clutch, MuteSix, Amsive</t>
  </si>
  <si>
    <t>intellectyx.com</t>
  </si>
  <si>
    <t>WebFX, Victorious, Funnel Boost Media, SmartSites, Ignite Visibility, Intero Digital, Clutch</t>
  </si>
  <si>
    <t>PwC, BCG, IBM, Clutch, Fractal Analytics, McKinsey</t>
  </si>
  <si>
    <t>https://clutch.co/agencies/social-media-marketing</t>
  </si>
  <si>
    <t>liftlab.com</t>
  </si>
  <si>
    <t>Top Social Media Marketing Agencies - Jul 2026 Rankings | Clutch.co</t>
  </si>
  <si>
    <t>Haus, Measured, Recast, LiftLab, Analytic Partners</t>
  </si>
  <si>
    <t>Clutch, Sociallyin, LYFE Marketing, KlientBoost, Viral Nation, SmartSites, Huge, Ignite Visibility</t>
  </si>
  <si>
    <t>fieldtrip.agency</t>
  </si>
  <si>
    <t>https://www.darkroomagency.com/observatory/the-12-top-rated-paid-media-agencies-this-year</t>
  </si>
  <si>
    <t>WebFX, iPullRank, Omniscient Digital, First Page Sage, Measured, Siege Media, inBeat, NP Digital, Intero Digital, Graphite, Major Tom, TransUnion, Clutch, Dentsu, Nielsen, R/GA, Power Digital, Brainlabs, Wpromote, Single Grain, Jellyfish, Superside, McKinsey, Keenfolks, QuantumBlack, Monks, DEPT, NoGood, Tinuiti</t>
  </si>
  <si>
    <t>wsj.com</t>
  </si>
  <si>
    <t>Top-Rated Paid Media Agencies for Scalable Growth</t>
  </si>
  <si>
    <t>McKinsey, BCG, Deloitte Digital, Publicis Groupe, Epsilon, IBM, Momentum</t>
  </si>
  <si>
    <t>Darkroom, Tinuiti, NoGood, Power Digital, MuteSix, Disruptive Advertising, Wpromote, HawkSEM, LYFE Marketing, Directive, inBeat, Droga5</t>
  </si>
  <si>
    <t>barchart.com</t>
  </si>
  <si>
    <t>https://disruptiveadvertising.com/blog/business/best-ppc-agencies-in-the-us/</t>
  </si>
  <si>
    <t>Momentum, WebFX, NoGood, Omniscient Digital, iPullRank, First Page Sage, Siege Media, Go Fish Digital, Intero Digital, RevenueZen, Disruptive Advertising, SmartSites, Silverback Strategies, Searchbloom, Funnel Boost Media, Ignite Visibility, Single Grain, Seer Interactive, McKinsey, QuantumBlack, Clutch</t>
  </si>
  <si>
    <t>Best PPC Agencies In The U.S For 2026 | Disruptive Advertising</t>
  </si>
  <si>
    <t>maxiomtech.com</t>
  </si>
  <si>
    <t>Disruptive Advertising, Momentum, KlientBoost, SmartSites, Silverback Strategies, Single Grain, Clutch, HawkSEM, Intero Digital</t>
  </si>
  <si>
    <t>https://www.gartner.com/reviews/market/global-digital-marketing-agencies</t>
  </si>
  <si>
    <t>Dentsu, Accenture Song, Deloitte Digital, Ogilvy, Single Grain, Merkle, Publicis Groupe, Droga5, WPP, PwC, VML, Publicis Sapient</t>
  </si>
  <si>
    <t>Best Global Digital Marketing Agencies Reviews 2026 | Gartner Peer Insights</t>
  </si>
  <si>
    <t>advertising-in-the-united-states.com</t>
  </si>
  <si>
    <t>SmartSites, Accenture Song, Deloitte Digital, Huge, Merkle, AKQA, Digitas, VML, Ogilvy, R/GA</t>
  </si>
  <si>
    <t>https://www.getapexanalytics.com/</t>
  </si>
  <si>
    <t>NinjaPromo, Clay, IBM, Clutch</t>
  </si>
  <si>
    <t>Apex Analytics: Marketing Attribution &amp;amp; Incrementality Measurement</t>
  </si>
  <si>
    <t>creativemilkshake.com</t>
  </si>
  <si>
    <t>https://www.goodfirms.co/big-data-analytics/marketing-analytics</t>
  </si>
  <si>
    <t>NoGood, Wpromote, KlientBoost, NP Digital, MuteSix, Amsive, TransUnion, Clutch</t>
  </si>
  <si>
    <t>cygnet.one</t>
  </si>
  <si>
    <t>Dentsu, Accenture Song, Deloitte Digital, Merkle, Ogilvy, WPP, Publicis Groupe, McKinsey, Publicis Sapient</t>
  </si>
  <si>
    <t>Top Marketing Analytics Companies - 2026 Reviews | Goodfirms</t>
  </si>
  <si>
    <t>funnel.io</t>
  </si>
  <si>
    <t>https://www.loudface.co/blog/best-aeo-agencies-2026</t>
  </si>
  <si>
    <t>Northbeam, SegmentStream, HockeyStack</t>
  </si>
  <si>
    <t>Best AEO &amp;amp; AI Search Agencies in 2026 (Ranked) | LoudFace</t>
  </si>
  <si>
    <t>inflectionpointe.com</t>
  </si>
  <si>
    <t>iPullRank, First Page Sage, NoGood, Omniscient Digital, Animalz, Siege Media, Avenue Z, Measured</t>
  </si>
  <si>
    <t>Clay</t>
  </si>
  <si>
    <t>https://www.lyfemarketing.com/blog/top-performance-marketing-agencies-us/</t>
  </si>
  <si>
    <t>perceptive-analytics.com</t>
  </si>
  <si>
    <t>Top 36 Performance Marketing Agencies In The US 2026</t>
  </si>
  <si>
    <t>LYFE Marketing, Tinuiti, Directive, Kobe Digital, Power Digital, Amsive, Wpromote, Disruptive Advertising, Right Side Up, Ignite Visibility, MuteSix, Brainlabs, WPP, Publicis Groupe, Sociallyin</t>
  </si>
  <si>
    <t>PwC, Slalom, BCG, IBM</t>
  </si>
  <si>
    <t>https://mightyandtrue.com/insights/blog/best-ai-marketing-agencies/</t>
  </si>
  <si>
    <t>quoleady.com</t>
  </si>
  <si>
    <t>The 10 Best AI Marketing Agencies in 2026 (Verified List) | Inference — Mighty &amp;amp; True</t>
  </si>
  <si>
    <t>Huge, Avenue Z, NoGood, Omniscient Digital, Measured, Discovered Labs, Darkroom</t>
  </si>
  <si>
    <t>sage.agency</t>
  </si>
  <si>
    <t>WebFX, Disruptive Advertising, KlientBoost, SmartSites, Clutch, Thrive Internet Marketing Agency</t>
  </si>
  <si>
    <t>Directive, Superside, NoGood, Single Grain, Omniscient Digital, Jellyfish, Keenfolks, Optimist, Daydream</t>
  </si>
  <si>
    <t>https://www.webtonic.io/blog/top-display-advertising-agencies</t>
  </si>
  <si>
    <t>stellaheystella.com</t>
  </si>
  <si>
    <t>The 50 Top Display Advertising Agencies as of 2026</t>
  </si>
  <si>
    <t>Haus, Measured, Northbeam, Sellforte, Triple Whale</t>
  </si>
  <si>
    <t>Web Tonic, WPP, GroupM, Measured, AdVenture Media</t>
  </si>
  <si>
    <t>https://beomniscient.com/blog/best-analytics-agency/</t>
  </si>
  <si>
    <t>thebrandsbureau.com</t>
  </si>
  <si>
    <t>The 6 Best Web Analytics Agencies in 2026 - Omniscient Digital</t>
  </si>
  <si>
    <t>Huge, Ogilvy, Wieden+Kennedy, Pentagram, Droga5, Superside, AKQA, R/GA, BBDO, IBM, VML</t>
  </si>
  <si>
    <t>Omniscient Digital, Seer Interactive, Evolytics, Huge</t>
  </si>
  <si>
    <t>https://clutch.co/agencies/creative</t>
  </si>
  <si>
    <t>topseobrands.com</t>
  </si>
  <si>
    <t>Disruptive Advertising</t>
  </si>
  <si>
    <t>Top Creative Agencies - Jul 2026 Rankings | Clutch.co</t>
  </si>
  <si>
    <t>rightleftagency.com</t>
  </si>
  <si>
    <t>Clutch, Clay, Momentum</t>
  </si>
  <si>
    <t>https://www.effectivesoft.com/blog/top-ai-consulting-companies-usa.html</t>
  </si>
  <si>
    <t>Power Digital, Tinuiti, WebFX, Disruptive Advertising, Wpromote, Ignite Visibility, KlientBoost, Single Grain, NP Digital, IBM, Thrive Internet Marketing Agency</t>
  </si>
  <si>
    <t>thekeenfolks.com</t>
  </si>
  <si>
    <t>Top 10 AI Consulting Companies in the USA [2026] - EffectiveSoft</t>
  </si>
  <si>
    <t>Croud, Tinuiti, Disruptive Advertising, WebFX, Ignite Visibility, DEPT, Keenfolks, Wpromote, Measured, Clay</t>
  </si>
  <si>
    <t>https://www.ie.edu/uncover-ie/the-big-six-agencies-marcom-ie-business-school/</t>
  </si>
  <si>
    <t>incremental.com</t>
  </si>
  <si>
    <t>Big Six Agency Networks: Owners, Brands &amp;amp; Services (2026)</t>
  </si>
  <si>
    <t>WPP</t>
  </si>
  <si>
    <t>pedowitzgroup.com</t>
  </si>
  <si>
    <t>ARTICLE</t>
  </si>
  <si>
    <t>INSTITUTIONAL</t>
  </si>
  <si>
    <t>Article</t>
  </si>
  <si>
    <t>WPP, Dentsu, Ogilvy, VML, GroupM, BBDO, Publicis Groupe, Publicis Sapient, iProspect, Merkle</t>
  </si>
  <si>
    <t>https://marketingltb.com/blog/agency/best-display-ads-agencies/</t>
  </si>
  <si>
    <t>Measured, McKinsey, Deloitte Digital, PwC, Merkle, IBM, Slalom, Dentsu, Accenture Song, BCG, Publicis Sapient</t>
  </si>
  <si>
    <t>10 Best Display Ads Agencies in 2026 - Marketing LTB</t>
  </si>
  <si>
    <t>20northmarketing.com</t>
  </si>
  <si>
    <t>Disruptive Advertising, WebFX, Ignite Visibility, HawkSEM, Tinuiti, SmartSites, Directive, MuteSix, Clutch</t>
  </si>
  <si>
    <t>iPullRank, First Page Sage, Siege Media, Intero Digital, Avenue Z, Omniscient Digital</t>
  </si>
  <si>
    <t>https://www.mintcopywritingstudios.com/blog/ai-search-optimization-geo-agencies</t>
  </si>
  <si>
    <t>worldmetrics.org</t>
  </si>
  <si>
    <t>Dentsu, Merkle, Publicis Groupe, WPP, iProspect, Kantar, Clutch, Croud, Momentum, Measured, Nielsen, PwC, IBM, Wieden+Kennedy, AKQA, R/GA, VML, Accenture Song, Deloitte Digital, GroupM, Ignite Visibility, Disruptive Advertising, Ogilvy, Publicis Sapient</t>
  </si>
  <si>
    <t>Top Generative Engine Optimization (GEO) Agencies in 2026: 10+ AI Search Specialists Compared | Mint Studios</t>
  </si>
  <si>
    <t>improvado.io</t>
  </si>
  <si>
    <t>NoGood, Intero Digital, Victorious, WebFX, The SEO Works, Siege Media, Omniscient Digital, Single Grain, Huge, Measured</t>
  </si>
  <si>
    <t>Rockerbox, Northbeam, Triple Whale, Neustar, SegmentStream, HockeyStack, Ruler Analytics, Huge, Dentsu, Deloitte Digital, WebFX, NoGood, inBeat, Merkle, KlientBoost, Directive, Ogilvy, Publicis Groupe, Common Thread Collective, Seer Interactive, WPP, VaynerMedia, McKinsey, BCG, DEPT, Bain &amp; Company, Measured, Analytic Partners, Recast, LifeSight, Cometly, GroupM, Omnicom Media Group</t>
  </si>
  <si>
    <t>https://phosailabs.com/blog/best-ai-consulting-firms-marketing-agencies</t>
  </si>
  <si>
    <t>aeoagency.org</t>
  </si>
  <si>
    <t>Best AI Consulting for Marketing Agencies (2026)</t>
  </si>
  <si>
    <t>Amsive, Marcel Digital, Graphite</t>
  </si>
  <si>
    <t>webfx.com</t>
  </si>
  <si>
    <t>https://scalixai.com/blog/best-performance-marketing-agencies#:~:text=Growth%2Dstage%20startups.%20%24%24.%20TikTok.%20Multi%2Dchannel.%20ScalixAI.%20B2B,%2B%20SEO.%20%24%24%24.%20IKEA.%20Paid%20search%2C%20analytics.</t>
  </si>
  <si>
    <t>WebFX, The SEO Works, Major Tom, Clutch, Huge, Momentum</t>
  </si>
  <si>
    <t>businessinsider.com</t>
  </si>
  <si>
    <t>The Best Performance Marketing Agencies for 2026 | ScalixAI</t>
  </si>
  <si>
    <t>Directive, Refine Labs, NoGood, Hey Digital, Single Grain, Wpromote, Seer Interactive, Omniscient Digital, Darkroom, Common Thread Collective</t>
  </si>
  <si>
    <t>PwC, McKinsey, BCG, WPP, QuantumBlack</t>
  </si>
  <si>
    <t>https://thedigitalelevator.com/blog/best-generative-engine-optimization-geo-agencies/</t>
  </si>
  <si>
    <t>centricconsulting.com</t>
  </si>
  <si>
    <t>The 12 Best Generative Engine Optimization (GEO) Agencies of 2026 | Digital Elevator</t>
  </si>
  <si>
    <t>Momentum</t>
  </si>
  <si>
    <t>deducive.com</t>
  </si>
  <si>
    <t>Graphite, Directive, Animalz, Siege Media, Intero Digital, iPullRank, Go Fish Digital</t>
  </si>
  <si>
    <t>https://www.agencycluster.com/top-10/branding-creative-agencies</t>
  </si>
  <si>
    <t>forrester.com</t>
  </si>
  <si>
    <t>Top 10 Branding &amp;amp; Creative Design Agencies in the USA (2026) | AgencyCluster</t>
  </si>
  <si>
    <t>Clay, Pentagram, R/GA, Wolff Olins</t>
  </si>
  <si>
    <t>Analytic Partners, Nielsen, Gain Theory, TransUnion, Kantar, Circana</t>
  </si>
  <si>
    <t>https://www.agencyspotter.com/top/paid-search-and-paid-social-advertising</t>
  </si>
  <si>
    <t>growthmanager.ai</t>
  </si>
  <si>
    <t>Top 80 Paid Search &amp;amp; Paid Social Advertising Agencies Report | Agency Spotter</t>
  </si>
  <si>
    <t>joseangelostudios.com</t>
  </si>
  <si>
    <t>Sociallyin, SmartSites</t>
  </si>
  <si>
    <t>https://www.aimerce.ai/blogs/seo/top-5-incrementality-testing-tools-for-dtc-brands-in-2026</t>
  </si>
  <si>
    <t>Huge, Acadia, KlientBoost, SmartSites, AdVenture Media, Clutch</t>
  </si>
  <si>
    <t>Top 5 Incrementality Testing Tools for DTC Brands in 2026</t>
  </si>
  <si>
    <t>nealschaffer.com</t>
  </si>
  <si>
    <t>Northbeam, Triple Whale, Measured</t>
  </si>
  <si>
    <t>https://www.andersoncollaborative.com/best-growth-marketing-agencies-in-the-united-states-accelerating-brand-expansion-through-innovative-strategies/</t>
  </si>
  <si>
    <t>Measured, McKinsey, QuantumBlack, Clutch</t>
  </si>
  <si>
    <t>techstepsolutions.com</t>
  </si>
  <si>
    <t>Best Growth Marketing Agencies in the United States (2026 Rankings)</t>
  </si>
  <si>
    <t>Power Digital, Tinuiti, Disruptive Advertising, KlientBoost, Directive, Ogilvy, Single Grain, NP Digital, Intero Digital, VaynerMedia, Refine Labs, Victorious, Major Tom</t>
  </si>
  <si>
    <t>theverge.com</t>
  </si>
  <si>
    <t>Tinuiti, Power Digital, NoGood, Directive, KlientBoost, Single Grain, Metric Theory, WebFX, Disruptive Advertising, NP Digital, Wpromote, Seer Interactive, Thrive Internet Marketing Agency</t>
  </si>
  <si>
    <t>https://www.businessofapps.com/marketplace/ai-marketing/</t>
  </si>
  <si>
    <t>Huge, Digitas, Publicis Groupe, Recast</t>
  </si>
  <si>
    <t>Top AI Marketing Companies (2026) - Business of Apps</t>
  </si>
  <si>
    <t>wearetenet.com</t>
  </si>
  <si>
    <t>EDITORIAL</t>
  </si>
  <si>
    <t>Avenue Z, Thrive Internet Marketing Agency</t>
  </si>
  <si>
    <t>Huge, NinjaPromo, Anomaly</t>
  </si>
  <si>
    <t>https://clutch.co/us/agencies/media-buying</t>
  </si>
  <si>
    <t>campaignlive.com</t>
  </si>
  <si>
    <t>Top Media Buying Agencies in the United States - Jul 2026 Rankings \| Clutch.co</t>
  </si>
  <si>
    <t>Clutch, Accelerated Digital Media</t>
  </si>
  <si>
    <t>Dentsu, Momentum, Digitas, Publicis Groupe, WPP, Omnicom Media Group, Horizon Media, PMG, Labelium, Wpromote, Giant Spoon, Brainlabs, VaynerMedia, GroupM, Accenture Song, VML, iProspect</t>
  </si>
  <si>
    <t>https://www.decisionfoundry.com/marketing-measurement-analytics-services/</t>
  </si>
  <si>
    <t>aimadethisbrand.com</t>
  </si>
  <si>
    <t>Marketing Measurement Analytics Services</t>
  </si>
  <si>
    <t>Momentum, McKinsey, IBM</t>
  </si>
  <si>
    <t>bconic.com</t>
  </si>
  <si>
    <t>PRODUCT_PAGE</t>
  </si>
  <si>
    <t>Product Page</t>
  </si>
  <si>
    <t>https://www.designrush.com/agency/digital-marketing/artificial-intelligence</t>
  </si>
  <si>
    <t>Top AI Marketing Companies in 2026</t>
  </si>
  <si>
    <t>askattest.com</t>
  </si>
  <si>
    <t>Amsive, Single Grain, Jellyfish, Major Tom, Searchbloom, SmartSites, Funnel Boost Media, Huge, Intero Digital, Disruptive Advertising, NinjaPromo, PwC, WebFX, IBM</t>
  </si>
  <si>
    <t>https://digitalagencynetwork.com/agencies/usa/</t>
  </si>
  <si>
    <t>Merkle, Nielsen</t>
  </si>
  <si>
    <t>blueprintdemand.com</t>
  </si>
  <si>
    <t>Top Digital Marketing Agencies in USA (2026)</t>
  </si>
  <si>
    <t>Major Tom, Ignite Visibility, Dentsu, NinjaPromo, PwC, Monks, SmartSites, Victorious, BCG, Clay, Brighter Click, NoGood, Web Tonic, Amsive</t>
  </si>
  <si>
    <t>Momentum, Measured, Single Grain, MuteSix</t>
  </si>
  <si>
    <t>https://digitalagencynetwork.com/agencies/usa/geo/</t>
  </si>
  <si>
    <t>copilot-experts.com</t>
  </si>
  <si>
    <t>Top GEO Agencies in USA for Generative Engine Optimization (2026)</t>
  </si>
  <si>
    <t>Measured, PwC, McKinsey, IBM, QuantumBlack, BCG</t>
  </si>
  <si>
    <t>Measured, Amsive, NoGood, Major Tom, Victorious, BCG, Web Tonic, Ignite Visibility</t>
  </si>
  <si>
    <t>https://digitalnomadshq.com.au/blog/marketing-agencies-usa/</t>
  </si>
  <si>
    <t>csp.agency</t>
  </si>
  <si>
    <t>Momentum, Intero Digital</t>
  </si>
  <si>
    <t>deviatelabs.com</t>
  </si>
  <si>
    <t>15 Top Marketing Agencies in the USA [2026]</t>
  </si>
  <si>
    <t>NoGood, SmartSites, Single Grain, Major Tom</t>
  </si>
  <si>
    <t>BBDO, Ogilvy, SmartSites, NoGood, Clutch, Wieden+Kennedy, Ignite Visibility, Major Tom, Metric Theory, Disruptive Advertising</t>
  </si>
  <si>
    <t>entermind.com</t>
  </si>
  <si>
    <t>https://www.hockeystack.com/blog-posts/best-marketing-attribution-software</t>
  </si>
  <si>
    <t>IBM</t>
  </si>
  <si>
    <t>growthmarshal.io</t>
  </si>
  <si>
    <t>19 Best Marketing Attribution Software Solutions Reviewed for 2026</t>
  </si>
  <si>
    <t>First Page Sage, Directive, Go Fish Digital, Silverback Strategies, Omniscient Digital, Siege Media, Animalz, RevenueZen</t>
  </si>
  <si>
    <t>HockeyStack, Ruler Analytics, Anomaly, Triple Whale, Rockerbox, Northbeam</t>
  </si>
  <si>
    <t>https://marketinginsidergroup.com/content-marketing/best-geo-aeo-agencies-in-us/</t>
  </si>
  <si>
    <t>hashmeta.ai</t>
  </si>
  <si>
    <t>Tinuiti, Disruptive Advertising, WebFX, KlientBoost, Directive, SmartSites, Victorious, Clutch</t>
  </si>
  <si>
    <t>The Best Generative Engine Optimization (GEO/AEO) Agencies In The US - Marketing Insider Group</t>
  </si>
  <si>
    <t>marketri.com</t>
  </si>
  <si>
    <t>NP Digital, Single Grain, Victorious, Ignite Visibility, Siege Media, Directive, Omniscient Digital, Animalz</t>
  </si>
  <si>
    <t>Huge</t>
  </si>
  <si>
    <t>https://qoulomb.com/best-ai-seo-agencies-in-the-usa/</t>
  </si>
  <si>
    <t>techaheadcorp.com</t>
  </si>
  <si>
    <t>7 Best AI SEO Agencies in the USA (2026)</t>
  </si>
  <si>
    <t>Measured, Anomaly</t>
  </si>
  <si>
    <t>Searchbloom, iPullRank, Seer Interactive, Omniscient Digital, Single Grain, Clutch, Victorious, Siege Media, Directive, Measured</t>
  </si>
  <si>
    <t>appsflyer.com</t>
  </si>
  <si>
    <t>https://www.relevance.com/2026-report-the-best-generative-engine-optimization-agencies/</t>
  </si>
  <si>
    <t>cbinsights.com</t>
  </si>
  <si>
    <t>The Best Generative Engine Optimization Agencies [2026 Report] - Relevance</t>
  </si>
  <si>
    <t>Rockerbox, Measured, Northbeam, HockeyStack</t>
  </si>
  <si>
    <t>Go Fish Digital, Siege Media, Victorious, Omniscient Digital, Directive</t>
  </si>
  <si>
    <t>digitalmarketingsupermarket.com</t>
  </si>
  <si>
    <t>https://scopicstudios.com/blog/top-marketing-analytics-agencies/</t>
  </si>
  <si>
    <t>NoGood, SmartSites, Single Grain, Superside, NinjaPromo, DEPT, Keenfolks, Major Tom, Clutch</t>
  </si>
  <si>
    <t>gestisoft.com</t>
  </si>
  <si>
    <t>https://sociallyin.com/resources/top-paid-social-agencies-us/</t>
  </si>
  <si>
    <t>Fractal Analytics</t>
  </si>
  <si>
    <t>metaflow.life</t>
  </si>
  <si>
    <t>Power Digital, NoGood, iPullRank, Animalz, Victorious, Ignite Visibility, Amsive, First Page Sage</t>
  </si>
  <si>
    <t>Top 5 Paid Social Agencies US for 2026: An Expert Review</t>
  </si>
  <si>
    <t>Sociallyin, Tinuiti, Power Digital, VaynerMedia, NP Digital, Clutch</t>
  </si>
  <si>
    <t>moburst.com</t>
  </si>
  <si>
    <t>https://stratabeat.com/best-geo-agency/#:~:text=%23%20%233%20iPullRank%20Headquarters%20%7C%20New%20York%2C,Pricing%20%7C%20Custom%20%E2%80%94%20contact%20for%20quote</t>
  </si>
  <si>
    <t>The 10 Best GEO Agencies in 2026 | Stratabeat</t>
  </si>
  <si>
    <t>Momentum, Power Digital, Disruptive Advertising, WebFX, NoGood, Ignite Visibility, KlientBoost, Dentsu, Single Grain, inBeat, Percepture</t>
  </si>
  <si>
    <t>omnieclipse.ai</t>
  </si>
  <si>
    <t>Stratabeat, Clutch, Go Fish Digital, iPullRank, First Page Sage, Omniscient Digital, RevenueZen, Avenue Z</t>
  </si>
  <si>
    <t>https://www.thedrum.com/news/meet-the-us-agencies-with-the-biggest-increase-in-this-year-s-world-creative-rankings</t>
  </si>
  <si>
    <t>NoGood, First Page Sage, iPullRank, Siege Media, McKinsey, Discovered Labs, RevenueZen, Graphite</t>
  </si>
  <si>
    <t>plerdy.com</t>
  </si>
  <si>
    <t>Rising stars (and stripes): the US agencies storming up the World Creative Rankings \| The Drum</t>
  </si>
  <si>
    <t>Power Digital, Sociallyin, LYFE Marketing, Clutch, Disruptive Advertising, WebFX, Ignite Visibility, KlientBoost, SmartSites, Intero Digital, Storm Brain, Thrive Internet Marketing Agency, Directive, Publicis Groupe, Kobe Digital</t>
  </si>
  <si>
    <t>VML, Wieden+Kennedy, AKQA</t>
  </si>
  <si>
    <t>rankarise.com</t>
  </si>
  <si>
    <t>https://topgeoagencies.com/</t>
  </si>
  <si>
    <t>WebFX, Ignite Visibility, Victorious, Thrive Internet Marketing Agency</t>
  </si>
  <si>
    <t>The GEO 250 — Best Generative Engine Optimization (GEO) Agencies | TopGEOAgencies.com</t>
  </si>
  <si>
    <t>xponent21.com</t>
  </si>
  <si>
    <t>Clutch, Siege Media, iPullRank, Silverback Strategies, First Page Sage, Graphite</t>
  </si>
  <si>
    <t>Huge, WebFX, NoGood, iPullRank, Omniscient Digital, First Page Sage, Siege Media, NP Digital, Clutch</t>
  </si>
  <si>
    <t>https://www.uforocks.com/blog/top-performance-marketing-agencies-in-the-u-s/</t>
  </si>
  <si>
    <t>brandmentions.com</t>
  </si>
  <si>
    <t>Top Performance Marketing Agencies in the U.S. - UFO Digital Marketing Agency</t>
  </si>
  <si>
    <t>Accelerated Digital Media, Amsive, Hawke Media, Kobe Digital, New Engen, Publicis Groupe, Power Digital</t>
  </si>
  <si>
    <t>Dentsu, Accenture Song, Ogilvy, Wieden+Kennedy, Droga5, 72andSunny, R/GA, BBDO, LYFE Marketing, TBWA\Chiat\Day</t>
  </si>
  <si>
    <t>https://aeoagency.us/</t>
  </si>
  <si>
    <t>saffronedge.com</t>
  </si>
  <si>
    <t>AEO Agency USA | #1 Answer Engine Optimization Agency in the US</t>
  </si>
  <si>
    <t>NoGood, iPullRank, First Page Sage, Searchbloom, Marcel Digital, Clutch</t>
  </si>
  <si>
    <t>mma.com</t>
  </si>
  <si>
    <t>https://agencies.semrush.com/list/display-advertising/</t>
  </si>
  <si>
    <t>chiefoutsiders.com</t>
  </si>
  <si>
    <t>Best Display Ads Agencies in the World 2026 | Semrush</t>
  </si>
  <si>
    <t>SmartSites</t>
  </si>
  <si>
    <t>https://www.artefact.com/offers/marketing-data-driven/marketing-analytics/#:~:text=Amazon%20Marketing%20Cloud%20(AMC)%20is%20a%20secure%2C,media%20strategy%E2%80%94all%20within%20a%20dedicated%2C%20pseudonymized%20environment.</t>
  </si>
  <si>
    <t>agencylist.com</t>
  </si>
  <si>
    <t>Our Marketing Analytics Services - Artefact</t>
  </si>
  <si>
    <t>75way.com</t>
  </si>
  <si>
    <t>https://clutch.co/us/consulting/ai</t>
  </si>
  <si>
    <t>Top AI Consultants in the United States - Jul 2026 Rankings \| Clutch.co</t>
  </si>
  <si>
    <t>accordtechsolutions.com</t>
  </si>
  <si>
    <t>Clutch, Momentum</t>
  </si>
  <si>
    <t>https://www.designrush.com/agency/paid-media-pay-per-click/display-advertising-agency</t>
  </si>
  <si>
    <t>Huge, NoGood, SmartSites, Viral Nation</t>
  </si>
  <si>
    <t>Top Display Advertising Agencies in 2026</t>
  </si>
  <si>
    <t>compass-360.ai</t>
  </si>
  <si>
    <t>Searchbloom, SmartSites, Funnel Boost Media, Huge, Disruptive Advertising, AdVenture Media, Web Tonic, WebFX</t>
  </si>
  <si>
    <t>https://www.lyfemarketing.com/blog/top-paid-social-agencies-us/</t>
  </si>
  <si>
    <t>derivatex.agency</t>
  </si>
  <si>
    <t>iPullRank, Omniscient Digital, Siege Media, Directive, RevenueZen, Clutch</t>
  </si>
  <si>
    <t>Top 20 Paid Social Agencies In The US 2026</t>
  </si>
  <si>
    <t>LYFE Marketing, Marcel Digital, Jellyfish, Tinuiti, Power Digital, Anomaly</t>
  </si>
  <si>
    <t>designity.com</t>
  </si>
  <si>
    <t>https://www.nationalmarketingawards.com/</t>
  </si>
  <si>
    <t>Momentum, NoGood, Omniscient Digital, Siege Media, Single Grain, Jellyfish, McKinsey, Keenfolks, Clutch, Ogilvy, Pentagram, Clay, IBM, Brainlabs, WebFX, KlientBoost, Disruptive Advertising, The Social Shepherd, NP Digital, Power Digital</t>
  </si>
  <si>
    <t>Best Marketing Agencies in the US, Ranked (2026) | National Marketing Awards</t>
  </si>
  <si>
    <t>digitalreference.co</t>
  </si>
  <si>
    <t>WebFX, Ignite Visibility, SmartSites</t>
  </si>
  <si>
    <t>https://sageitinc.com/reference-center/best-ai-consulting-companies</t>
  </si>
  <si>
    <t>10 Best AI Consulting Companies to De-Risk Your AI Adoption</t>
  </si>
  <si>
    <t>embarque.io</t>
  </si>
  <si>
    <t>Huge, WebFX, NoGood, iPullRank, Omniscient Digital, First Page Sage, Measured, Siege Media, Single Grain, Animalz, Marcel Digital, Graphite, IBM, Clutch, Intero Digital, RevenueZen</t>
  </si>
  <si>
    <t>IBM, QuantumBlack, McKinsey, Anomaly, Clutch</t>
  </si>
  <si>
    <t>https://www.sortlist.com/s/marketing-analytics/united-states-us</t>
  </si>
  <si>
    <t>krowdbase.com</t>
  </si>
  <si>
    <t>The 10 Best Marketing Analytics Companies in the United States - 2026 Reviews</t>
  </si>
  <si>
    <t>NinjaPromo, IBM, Clutch</t>
  </si>
  <si>
    <t>leadsrx.com</t>
  </si>
  <si>
    <t>https://supermetrics.com/blog/incrementality-testing</t>
  </si>
  <si>
    <t>Huge, Rockerbox, Measured, Nielsen, Neustar, Ruler Analytics</t>
  </si>
  <si>
    <t>Incrementality Testing – The Only Guide You Need</t>
  </si>
  <si>
    <t>minuttia.com</t>
  </si>
  <si>
    <t>Huge, Measured, Intero Digital, Clutch, NoGood, Siege Media, iPullRank, Avenue Z, Single Grain, First Page Sage, Go Fish Digital</t>
  </si>
  <si>
    <t>https://sweatpantsagency.com/the-top-9-social-media-ad-agencies</t>
  </si>
  <si>
    <t>mordorintelligence.com</t>
  </si>
  <si>
    <t>9 Best Paid Social Agencies for DTC Brands (2026) | Sweat Pants Agency</t>
  </si>
  <si>
    <t>Nielsen, Neustar, IBM</t>
  </si>
  <si>
    <t>outreachz.com</t>
  </si>
  <si>
    <t>LYFE Marketing, The Social Shepherd, Sociallyin, Superside, MuteSix</t>
  </si>
  <si>
    <t>https://techbehemoths.com/companies/marketing-analytics/united-states</t>
  </si>
  <si>
    <t>Huge, NoGood, Single Grain, NP Digital, NinjaPromo, Hawke Media, Keenfolks, WebFX, Victorious, Searchbloom, Directive, iPullRank, Amsive, First Page Sage</t>
  </si>
  <si>
    <t>Top 20+ Marketing analytics Companies in United States (2026) - TechBehemoths</t>
  </si>
  <si>
    <t>smacient.com</t>
  </si>
  <si>
    <t>https://thesocialshepherd.com/blog/top-google-ads-agencies-us</t>
  </si>
  <si>
    <t>First Page Sage, Directive, Intero Digital, Stratabeat</t>
  </si>
  <si>
    <t>sourceloop.ai</t>
  </si>
  <si>
    <t>The Social Shepherd | Top 17 Google Ads Agencies in the U.S. (2026)</t>
  </si>
  <si>
    <t>The Social Shepherd, KlientBoost, Directive, Metric Theory, WebFX, Single Grain</t>
  </si>
  <si>
    <t>Rockerbox, Measured, Analytic Partners, Nielsen, Triple Whale, Northbeam, Sellforte, Recast, INCRMNTAL, TransUnion, Cometly</t>
  </si>
  <si>
    <t>https://thesocialshepherd.com/blog/top-social-media-agencies-us</t>
  </si>
  <si>
    <t>wikipedia.org</t>
  </si>
  <si>
    <t>The Social Shepherd | Top 17 Social Media Marketing Agencies in the…</t>
  </si>
  <si>
    <t>The Social Shepherd, inBeat, Ignite Visibility</t>
  </si>
  <si>
    <t>Ogilvy, WPP, AKQA, IBM, Kantar, VML, Wieden+Kennedy, Huge, Momentum, R/GA, Acxiom, Dentsu, Deloitte Digital, Droga5, PwC</t>
  </si>
  <si>
    <t>https://thriveagency.com/news/best-digital-marketing-agencies/</t>
  </si>
  <si>
    <t>brillmedia.co</t>
  </si>
  <si>
    <t>20 Best Digital Marketing Agencies in 2026 | Thrive Agency</t>
  </si>
  <si>
    <t>WebFX, KlientBoost, Disruptive Advertising, NinjaPromo, AdVenture Media, Thrive Internet Marketing Agency</t>
  </si>
  <si>
    <t>Thrive Internet Marketing Agency, Disruptive Advertising, Power Digital, Intero Digital, KlientBoost, NP Digital, Directive, Victorious, VaynerMedia, Ogilvy, Tinuiti, Refine Labs, Single Grain, Major Tom</t>
  </si>
  <si>
    <t>https://visionlabs.com/blog/top-web-analytics-agencies/</t>
  </si>
  <si>
    <t>getrecast.com</t>
  </si>
  <si>
    <t>Recast, Acadia</t>
  </si>
  <si>
    <t>starfishco.com</t>
  </si>
  <si>
    <t>Best 7 Web Analytics Agencies of 2026 - A curated list | Vision Labs</t>
  </si>
  <si>
    <t>Momentum, Pentagram, Superside, McKinsey, Wolff Olins, Clutch, Anomaly</t>
  </si>
  <si>
    <t>indatalabs.com</t>
  </si>
  <si>
    <t>https://clutch.co/agencies/digital-marketing</t>
  </si>
  <si>
    <t>McKinsey, IBM, Clutch, Slalom, QuantumBlack, Fractal Analytics, Huge, Nielsen</t>
  </si>
  <si>
    <t>avenuez.com</t>
  </si>
  <si>
    <t>Best Digital Marketing Agencies - Jul 2026 Rankings | Clutch.co</t>
  </si>
  <si>
    <t>Clutch, Ignite Visibility, Disruptive Advertising, Silverback Strategies, SmartSites, Power Digital, WebFX, Funnel Boost Media, Accelerated Digital Media, Thrive Internet Marketing Agency, Intero Digital, NinjaPromo, Elit-Web</t>
  </si>
  <si>
    <t>NoGood, First Page Sage, Siege Media, Avenue Z, Thrive Internet Marketing Agency, Tinuiti, Power Digital, Momentum, Common Thread Collective, Disruptive Advertising, Wpromote, Marcel Digital, IBM, inBeat, LYFE Marketing, Hawke Media, VaynerMedia</t>
  </si>
  <si>
    <t>https://clutch.co/us/agencies/ppc/google-adwords</t>
  </si>
  <si>
    <t>respona.com</t>
  </si>
  <si>
    <t>Top Adwords PPC Agencies in the United States - Jul 2026 Rankings \| Clutch.co</t>
  </si>
  <si>
    <t>Clutch, KlientBoost, Disruptive Advertising, AdVenture Media, HawkSEM, SmartSites, Intero Digital, Elit-Web, Accelerated Digital Media, Ignite Visibility, Searchbloom</t>
  </si>
  <si>
    <t>NoGood, Marcel Digital, Clutch</t>
  </si>
  <si>
    <t>https://www.cometly.com/post/marketing-attribution-tools-for-agencies</t>
  </si>
  <si>
    <t>tripledart.com</t>
  </si>
  <si>
    <t>Best Marketing Attribution Tools For Agencies 2026</t>
  </si>
  <si>
    <t>WebFX, NoGood, First Page Sage, iPullRank, Ignite Visibility, Siege Media, Avenue Z, Victorious, TransUnion, Clutch, Croud, Single Grain, Major Tom, Omniscient Digital, Directive, Optimist, Measured, SmartSites</t>
  </si>
  <si>
    <t>https://dmidigitalmarketing.com/top-15-ai-marketing-agencies-in-the-us-2026/</t>
  </si>
  <si>
    <t>architecturaldigest.com</t>
  </si>
  <si>
    <t>&amp;nbsp;Top 15 AI Marketing Agencies in the US (2026) -</t>
  </si>
  <si>
    <t>avidtrak.com</t>
  </si>
  <si>
    <t>Amsive, Viral Nation, Directive, Single Grain, Ignite Visibility, SmartSites, NoGood</t>
  </si>
  <si>
    <t>https://enterprisemarketingportal.google/find-a-partner</t>
  </si>
  <si>
    <t>Nielsen, Ruler Analytics</t>
  </si>
  <si>
    <t>awisee.com</t>
  </si>
  <si>
    <t>Find a Partner Gallery</t>
  </si>
  <si>
    <t>Momentum, Power Digital, VaynerMedia</t>
  </si>
  <si>
    <t>Making Science, Jellyfish, Incubeta, Brainlabs, Acxiom, Monks, Adswerve, Bounteous, InfoTrust, Merkle, Cardinal Path, Publicis Sapient, DEPT, Horizon Media, Wpromote, PMG, Digitas, Tinuiti, Marcel Digital</t>
  </si>
  <si>
    <t>grizzle.io</t>
  </si>
  <si>
    <t>https://www.haus.io/use-cases/incrementality</t>
  </si>
  <si>
    <t>Tinuiti, Brainlabs, Omniscient Digital, Measured, Siege Media, IBM</t>
  </si>
  <si>
    <t>Haus Incrementality Testing</t>
  </si>
  <si>
    <t>Haus, Momentum</t>
  </si>
  <si>
    <t>intlda.com</t>
  </si>
  <si>
    <t>https://www.nuundigital.com/services/data-analytics/marketing-analytics-attribution</t>
  </si>
  <si>
    <t>modernmarketingpartners.com</t>
  </si>
  <si>
    <t>NUUN Digital | Revenue-accountable partner</t>
  </si>
  <si>
    <t>NoGood, First Page Sage, iPullRank, Omniscient Digital, Siege Media, Single Grain, Avenue Z, Clutch</t>
  </si>
  <si>
    <t>https://thecmo.com/tools/best-marketing-attribution-software/</t>
  </si>
  <si>
    <t>museaward.com</t>
  </si>
  <si>
    <t>10 Best Marketing Attribution Software Reviewed For 2026</t>
  </si>
  <si>
    <t>Haus</t>
  </si>
  <si>
    <t>HockeyStack, Triple Whale, Anomaly, Ruler Analytics, Neustar, Huge</t>
  </si>
  <si>
    <t>neurons-lab.com</t>
  </si>
  <si>
    <t>https://thesocialshepherd.com/blog/top-performance-marketing-agencies-us</t>
  </si>
  <si>
    <t>Momentum, BCG</t>
  </si>
  <si>
    <t>The Social Shepherd | Top 17 Performance Marketing Agencies in the…</t>
  </si>
  <si>
    <t>newform.com</t>
  </si>
  <si>
    <t>The Social Shepherd, Single Grain, Tinuiti, Power Digital</t>
  </si>
  <si>
    <t>https://advertising-in-the-united-states.com/display-advertising-agencies</t>
  </si>
  <si>
    <t>Dentsu, NoGood, Directive, inBeat, Measured, Darkroom, MuteSix, Superside, Droga5, Wieden+Kennedy, Huge, Ogilvy, Tinuiti, R/GA, Power Digital</t>
  </si>
  <si>
    <t>pikaseo.com</t>
  </si>
  <si>
    <t>The best Display Advertising Agencies</t>
  </si>
  <si>
    <t>WebFX, NoGood, iPullRank, Omniscient Digital, First Page Sage, Siege Media, Directive, Single Grain, Measured, Go Fish Digital</t>
  </si>
  <si>
    <t>ragan.com</t>
  </si>
  <si>
    <t>Clay, NinjaPromo, Clutch, IBM</t>
  </si>
  <si>
    <t>https://agencies.semrush.com/list/display-advertising/united-states/enterprise-business/</t>
  </si>
  <si>
    <t>techradiant.co</t>
  </si>
  <si>
    <t>Best Display Ads Agencies for Enterprise Business in United States 2026 | Semrush</t>
  </si>
  <si>
    <t>Directive, Intero Digital, RevenueZen, Elit-Web, Sociallyin, Power Digital</t>
  </si>
  <si>
    <t>https://business.google.com/us/support/work-with-a-partner/</t>
  </si>
  <si>
    <t>icreativez.com</t>
  </si>
  <si>
    <t>Rockerbox, Measured, Northbeam, Triple Whale</t>
  </si>
  <si>
    <t>Get a Google Partner for a Successful Ad Campaign - Google Ads</t>
  </si>
  <si>
    <t>New Engen, Wpromote</t>
  </si>
  <si>
    <t>charleagency.com</t>
  </si>
  <si>
    <t>https://clutch.co/agencies/ppc/google-adwords</t>
  </si>
  <si>
    <t>Top Google Ads PPC Agencies - Jul 2026 Rankings \| Clutch.co</t>
  </si>
  <si>
    <t>Momentum, Disruptive Advertising, NoGood, inBeat, Sociallyin, Silverback Strategies, LYFE Marketing, The Social Shepherd, Clutch</t>
  </si>
  <si>
    <t>Clutch, KlientBoost, SmartSites, HawkSEM, Silverback Strategies, Disruptive Advertising, AdVenture Media, Accelerated Digital Media, Intero Digital, Elit-Web, Ignite Visibility, Searchbloom</t>
  </si>
  <si>
    <t>agencyanalytics.com</t>
  </si>
  <si>
    <t>https://clutch.co/us/agencies/ppc/display?page=2</t>
  </si>
  <si>
    <t>Anomaly</t>
  </si>
  <si>
    <t>Page 2 - Top Display Advertising Agencies in the United States - Jul 2026 Rankings | Clutch.co</t>
  </si>
  <si>
    <t>Clutch, Go Fish Digital, NoGood, Tinuiti, Elit-Web, AdVenture Media, Storm Brain</t>
  </si>
  <si>
    <t>aikenhouse.com</t>
  </si>
  <si>
    <t>https://clutch.co/us/agencies/ppc/display?page=8</t>
  </si>
  <si>
    <t>Merkle, McKinsey, QuantumBlack, IBM, BCG, Anomaly, Superside</t>
  </si>
  <si>
    <t>Page 8 - Top Display Advertising Agencies in the United States - Jul 2026 Rankings | Clutch.co</t>
  </si>
  <si>
    <t>Clutch, Elit-Web, AdVenture Media, Go Fish Digital, Storm Brain, NoGood, Tinuiti</t>
  </si>
  <si>
    <t>commercepundit.com</t>
  </si>
  <si>
    <t>https://www.cometly.com/post/best-top-marketing-attribution-firms-in-usa</t>
  </si>
  <si>
    <t>PwC, McKinsey, IBM, QuantumBlack, Clutch, BCG, WebFX, Measured, First Page Sage, Siege Media, Directive, Intero Digital, Victorious, Thrive Internet Marketing Agency</t>
  </si>
  <si>
    <t>Top Marketing Attribution Firms In Usa: 2026 Guide</t>
  </si>
  <si>
    <t>Cometly, Triple Whale, Northbeam, Rockerbox, Measured</t>
  </si>
  <si>
    <t>einpresswire.com</t>
  </si>
  <si>
    <t>https://www.cometly.com/post/incrementality-measurement-tool</t>
  </si>
  <si>
    <t>NoGood, SmartSites, Clay, Major Tom</t>
  </si>
  <si>
    <t>9 Best Incrementality Measurement Tools: 2026 Guide</t>
  </si>
  <si>
    <t>gaper.io</t>
  </si>
  <si>
    <t>Cometly, Measured, Rockerbox, Northbeam, Recast, Haus</t>
  </si>
  <si>
    <t>https://www.creativemilkshake.com/blog/top-us-performance-marketing-agencies</t>
  </si>
  <si>
    <t>NoGood, Directive, Clutch</t>
  </si>
  <si>
    <t>gemfind.com</t>
  </si>
  <si>
    <t>Top 12 US Performance Marketing Agencies Turning Ad Spend into Revenue in 2026 | Creative Milkshake</t>
  </si>
  <si>
    <t>DEPT, Monks</t>
  </si>
  <si>
    <t>itprofiles.com</t>
  </si>
  <si>
    <t>Amsive, MuteSix, Clutch, NP Digital, NoGood, KlientBoost, Wpromote, TransUnion</t>
  </si>
  <si>
    <t>https://www.cygnet.one/feeds/blog/compare-ai-consulting-marketing-automation</t>
  </si>
  <si>
    <t>Acadia, Power Digital, Disruptive Advertising, WebFX, Measured, Ignite Visibility, Siege Media, KlientBoost, Directive, SmartSites, Intero Digital, AdVenture Media, Clutch, Dentsu, Tinuiti, MuteSix, GroupM, Omnicom Media Group, Horizon Media, Seer Interactive, Wpromote, Thrive Internet Marketing Agency, Marcel Digital, Momentum</t>
  </si>
  <si>
    <t>Top AI Marketing Automation Consulting Services — 2026</t>
  </si>
  <si>
    <t>presenc.ai</t>
  </si>
  <si>
    <t>Accenture Song, Deloitte Digital, Merkle, Publicis Sapient, Ogilvy, Dentsu, Publicis Groupe, WPP, McKinsey</t>
  </si>
  <si>
    <t>https://funnel.io/blog/top-mta-tools</t>
  </si>
  <si>
    <t>Top multi-touch attribution (MTA) tools for 2026</t>
  </si>
  <si>
    <t>rampiq.agency</t>
  </si>
  <si>
    <t>WebFX, Omniscient Digital, First Page Sage, Siege Media, Directive, Single Grain</t>
  </si>
  <si>
    <t>rtslabs.com</t>
  </si>
  <si>
    <t>HockeyStack, SegmentStream, Northbeam</t>
  </si>
  <si>
    <t>https://www.growth-hackers.net/best-analytics-marketing-agencies/</t>
  </si>
  <si>
    <t>Measured, Slalom, IBM, Fractal Analytics, Artefact, McKinsey, QuantumBlack</t>
  </si>
  <si>
    <t>Top 11 Analytics Marketing Agencies in 2026 | Hire the Best Analytics Marketing Agency | Growth Hackers</t>
  </si>
  <si>
    <t>strategylinc.com</t>
  </si>
  <si>
    <t>Seer Interactive, Evolytics</t>
  </si>
  <si>
    <t>https://www.inbeat.co/articles/paid-media-agencies/</t>
  </si>
  <si>
    <t>15 Top Paid Media Agencies: Finding the Right Partner for 2026</t>
  </si>
  <si>
    <t>McKinsey</t>
  </si>
  <si>
    <t>inBeat, Web Tonic, NoGood, Power Digital, Clutch, Disruptive Advertising, The Social Shepherd, Single Grain, Marcel Digital</t>
  </si>
  <si>
    <t>https://inflectionpointe.com/</t>
  </si>
  <si>
    <t>wsiworld.com</t>
  </si>
  <si>
    <t>Inflection Pointe | AI GTM Strategy &amp;amp; Implementation for B2B Revenue Teams</t>
  </si>
  <si>
    <t>digitalsilk.com</t>
  </si>
  <si>
    <t>https://influencermarketinghub.com/ai-marketing-agencies/</t>
  </si>
  <si>
    <t>Momentum, Measured, IBM, Clutch</t>
  </si>
  <si>
    <t>phable.io</t>
  </si>
  <si>
    <t>Best AI Marketing Agencies For 2026</t>
  </si>
  <si>
    <t>Huge, BBDO, Pentagram, R/GA, Wolff Olins, Ogilvy, Wieden+Kennedy, Droga5, AKQA, IBM, VML</t>
  </si>
  <si>
    <t>aeo-collective.com</t>
  </si>
  <si>
    <t>Viral Nation, SmartSites, McKinsey, Momentum, Clutch, Wpromote, Dentsu, Sociallyin</t>
  </si>
  <si>
    <t>https://influencermarketinghub.com/google-ads-agencies/</t>
  </si>
  <si>
    <t>First Page Sage, Single Grain, Discovered Labs</t>
  </si>
  <si>
    <t>airconsulting.ai</t>
  </si>
  <si>
    <t>22 of the Best Google Ads Agencies for 2025</t>
  </si>
  <si>
    <t>Viral Nation, SmartSites, NinjaPromo, McKinsey, LYFE Marketing, Measured, WebFX, Intero Digital, KlientBoost, Ignite Visibility, Single Grain, Disruptive Advertising, Thrive Internet Marketing Agency, Directive</t>
  </si>
  <si>
    <t>https://influencermarketinghub.com/marketing-analytics-agency/</t>
  </si>
  <si>
    <t>amos-os.com</t>
  </si>
  <si>
    <t>Top 12 Marketing Analytics Agency Selections for Data-Driven Success</t>
  </si>
  <si>
    <t>arcintermedia.com</t>
  </si>
  <si>
    <t>Viral Nation, SmartSites, McKinsey, Noble Studios, Forthea, GroupM, WPP, Disruptive Advertising</t>
  </si>
  <si>
    <t>https://www.maxiomtech.com/top-10-ai-marketing-automation-agencies/</t>
  </si>
  <si>
    <t>NoGood, First Page Sage, Intero Digital</t>
  </si>
  <si>
    <t>circana.com</t>
  </si>
  <si>
    <t>Top 10 AI Marketing Automation Agencies in 2026</t>
  </si>
  <si>
    <t>Circana</t>
  </si>
  <si>
    <t>Accenture Song, Droga5, Deloitte Digital, PwC, VML, WPP, Single Grain, Merkle, Dentsu, Publicis Sapient, Publicis Groupe, Ogilvy</t>
  </si>
  <si>
    <t>https://www.measured.com/</t>
  </si>
  <si>
    <t>deloitte.com</t>
  </si>
  <si>
    <t>Measured | Media Effectiveness Platform</t>
  </si>
  <si>
    <t>https://nationalmarketingawards.com/awards/categories/ppc/</t>
  </si>
  <si>
    <t>Deloitte Digital</t>
  </si>
  <si>
    <t>Best PPC &amp;amp; Paid Media Agencies in the US (2026) | National Marketing Awards</t>
  </si>
  <si>
    <t>WebFX, Ignite Visibility, SmartSites, Clutch, HawkSEM, Measured, Disruptive Advertising, LYFE Marketing, Intero Digital, Noble Studios, NP Digital, Marcel Digital, Directive, Seer Interactive, Silverback Strategies, Power Digital, Searchbloom, Wpromote, KlientBoost, Single Grain, PMG, Sociallyin, First Page Sage, Clay, Tinuiti, Hawke Media</t>
  </si>
  <si>
    <t>emarketer.com</t>
  </si>
  <si>
    <t>https://www.revvgrowth.com/geo/geo-agency-usa</t>
  </si>
  <si>
    <t>Haus, TransUnion</t>
  </si>
  <si>
    <t>Best GEO Agency in the USA for B2B SaaS (2026)</t>
  </si>
  <si>
    <t>iPullRank, First Page Sage, Omniscient Digital, Siege Media, NoGood, Directive, Go Fish Digital, Animalz, Clutch, Measured</t>
  </si>
  <si>
    <t>eseospace.com</t>
  </si>
  <si>
    <t>https://sage.agency/blog/best-google-ads-agency-partners-for-2026/</t>
  </si>
  <si>
    <t>NoGood, First Page Sage, Avenue Z, Clutch</t>
  </si>
  <si>
    <t>Best Google Ads Agency Partners for 2026 - Sage Digital Agency</t>
  </si>
  <si>
    <t>KlientBoost, SmartSites, Disruptive Advertising, Clutch, WebFX, Thrive Internet Marketing Agency</t>
  </si>
  <si>
    <t>forbes.com</t>
  </si>
  <si>
    <t>https://scalixai.com/blog/top-google-ad-agencies-in-us</t>
  </si>
  <si>
    <t>Top 10 Google Ads Agencies in the US (2026) — Ranked &amp;amp; Reviewed</t>
  </si>
  <si>
    <t>foundgrove.com</t>
  </si>
  <si>
    <t>Disruptive Advertising, Directive, KlientBoost, WebFX, Intero Digital, Power Digital</t>
  </si>
  <si>
    <t>https://sellforte.com/</t>
  </si>
  <si>
    <t>WebFX, NoGood, iPullRank, Omniscient Digital, First Page Sage, Siege Media, Directive, Measured, Go Fish Digital, Clutch</t>
  </si>
  <si>
    <t>MMM, Incrementality Testing &amp;amp; Attribution | Sellforte</t>
  </si>
  <si>
    <t>growandconvert.com</t>
  </si>
  <si>
    <t>Sellforte, Huge, Measured</t>
  </si>
  <si>
    <t>https://seoprofy.com/blog/best-ai-seo-agencies/</t>
  </si>
  <si>
    <t>iPullRank, Omniscient Digital, First Page Sage, Siege Media, Avenue Z</t>
  </si>
  <si>
    <t>The 10 Best AI SEO Agencies &amp;amp; Services for 2026</t>
  </si>
  <si>
    <t>moosend.com</t>
  </si>
  <si>
    <t>WebFX, iPullRank, First Page Sage, Siege Media, Measured, Avenue Z, RevenueZen, Graphite, Clutch</t>
  </si>
  <si>
    <t>iPullRank, NP Digital, Omniscient Digital, NoGood, Siege Media, WebFX, Victorious, Clutch, McKinsey</t>
  </si>
  <si>
    <t>https://techbehemoths.com/companies/google-marketing-platform/united-states</t>
  </si>
  <si>
    <t>position.digital</t>
  </si>
  <si>
    <t>Huge, Ignite Visibility, Avenue Z</t>
  </si>
  <si>
    <t>Top 20+ Google Marketing Platform Companies in United States (2026) - TechBehemoths</t>
  </si>
  <si>
    <t>procloser.ai</t>
  </si>
  <si>
    <t>https://thebrandsbureau.com/top-creative-agencies-2026/</t>
  </si>
  <si>
    <t>iPullRank, First Page Sage, Siege Media, Directive, Single Grain, NP Digital, Victorious, Clutch</t>
  </si>
  <si>
    <t>quora.com</t>
  </si>
  <si>
    <t>14 Best Creative Agencies in the World for Your Brand 2026</t>
  </si>
  <si>
    <t>Victorious, Siege Media, Directive, NP Digital, Single Grain</t>
  </si>
  <si>
    <t>reuters.com</t>
  </si>
  <si>
    <t>Pentagram, R/GA, Wieden+Kennedy, Ogilvy, IBM, Huge, Droga5, AKQA, Superside, BBDO, VML</t>
  </si>
  <si>
    <t>https://www.topseobrands.com/best-display-advertising-firms-in-usa</t>
  </si>
  <si>
    <t>Huge, McKinsey, BCG, Publicis Groupe</t>
  </si>
  <si>
    <t>Best Display Advertising Firms in United States | Top SEO Brands</t>
  </si>
  <si>
    <t>usermaven.com</t>
  </si>
  <si>
    <t>Triple Whale, HockeyStack, Rockerbox, Northbeam, Measured, Ruler Analytics, Cometly</t>
  </si>
  <si>
    <t>wearesocial.com</t>
  </si>
  <si>
    <t>https://aeoagency.org/best-aeo-agencies/</t>
  </si>
  <si>
    <t>Best AEO Agencies 2025-2026</t>
  </si>
  <si>
    <t>incrmntal.com</t>
  </si>
  <si>
    <t>Marcel Digital, Graphite, Amsive</t>
  </si>
  <si>
    <t>https://agencies.semrush.com/list/display-advertising/united-states/mid-business/</t>
  </si>
  <si>
    <t>INCRMNTAL, Measured, Anomaly</t>
  </si>
  <si>
    <t>thegpn.org</t>
  </si>
  <si>
    <t>Best Display Ads Agencies for Mid Business in United States 2026 | Semrush</t>
  </si>
  <si>
    <t>https://www.agencycluster.com/top-10/ppc-performance-marketing-agencies</t>
  </si>
  <si>
    <t>infotrust.com</t>
  </si>
  <si>
    <t>Publicis Groupe, InfoTrust</t>
  </si>
  <si>
    <t>Top 10 PPC &amp;amp; Performance Marketing Agencies in the USA (2026) | AgencyCluster</t>
  </si>
  <si>
    <t>Disruptive Advertising, Ignite Visibility, KlientBoost, NP Digital, Power Digital, SmartSites, Tinuiti, WebFX, Wpromote</t>
  </si>
  <si>
    <t>themarketingagency.ca</t>
  </si>
  <si>
    <t>https://www.agencycluster.com/top-25/ppc-performance-marketing-agencies</t>
  </si>
  <si>
    <t>Power Digital, Tinuiti, Momentum, WebFX, Disruptive Advertising, Single Grain, NoGood, Ignite Visibility, Directive, Measured, MuteSix, Publicis Groupe, The Social Shepherd, Viral Nation, IBM, Clutch, Ogilvy, inBeat, Wieden+Kennedy, Superside, VaynerMedia, DEPT, Giant Spoon</t>
  </si>
  <si>
    <t>Top 25 PPC &amp;amp; Performance Marketing Agencies in the USA (2026) | AgencyCluster</t>
  </si>
  <si>
    <t>Disruptive Advertising, Ignite Visibility, KlientBoost, NP Digital, Power Digital, SmartSites, Tinuiti, WebFX, Wpromote, Amsive, HawkSEM, Intero Digital, Kobe Digital, New Engen, NoGood, Seer Interactive, Thrive Internet Marketing Agency</t>
  </si>
  <si>
    <t>https://beomniscient.com/blog/growth-marketing-agency/#:~:text=Growth%20Marketing%20Pro.%20Olivine%20Marketing.%201.%20%2D,Disruptive%20Advertising.%20%2D%20Skale.%20%2D%20Directive%20Consulting.</t>
  </si>
  <si>
    <t>masterrvdesigners.com</t>
  </si>
  <si>
    <t>The 16 Best Growth Marketing Agencies in 2026 - Omniscient Digital</t>
  </si>
  <si>
    <t>Omniscient Digital, Ignite Visibility, Single Grain, Disruptive Advertising, NoGood, Directive, Graphite, NP Digital, Superside, Momentum</t>
  </si>
  <si>
    <t>https://centricconsulting.com/technology-solutions/artificial-intelligence-consulting/</t>
  </si>
  <si>
    <t>Ogilvy, Wieden+Kennedy, BBDO, R/GA, Pentagram, Publicis Sapient</t>
  </si>
  <si>
    <t>mobileappdaily.com</t>
  </si>
  <si>
    <t>Artificial Intelligence Consulting - Centric Consulting</t>
  </si>
  <si>
    <t>Disruptive Advertising, WebFX, Measured, Ignite Visibility, SmartSites, NP Digital, Searchbloom, PwC, Intero Digital, Thrive Internet Marketing Agency</t>
  </si>
  <si>
    <t>agencyreview.dev</t>
  </si>
  <si>
    <t>https://clutch.co/us/agencies/programmatic#:~:text=List%20of%20the%20Top%20United%20States%20Programmatic,108%20reviews.%20%2D%20Onya.%205.0%2030%20reviews.</t>
  </si>
  <si>
    <t>Power Digital, Tinuiti, Disruptive Advertising, Ignite Visibility, Directive, SmartSites, Silverback Strategies, LYFE Marketing, Viral Nation</t>
  </si>
  <si>
    <t>aismedia.com</t>
  </si>
  <si>
    <t>Top Programmatic Advertising Agencies in the United States - Jul 2026 Rankings \| Clutch.co</t>
  </si>
  <si>
    <t>Clutch, SmartSites, Funnel Boost Media, LYFE Marketing, AdVenture Media, Accelerated Digital Media, Storm Brain, Huge</t>
  </si>
  <si>
    <t>https://www.dataally.ai/blog/best-paid-ads-agency</t>
  </si>
  <si>
    <t>alexbirkett.com</t>
  </si>
  <si>
    <t>8 Best Paid Ads Agency in 2026: Top Paid Social Ad Agencies Ranked</t>
  </si>
  <si>
    <t>Brighter Click, Darkroom, NP Digital, The Social Shepherd, KlientBoost, Disruptive Advertising, Directive, Viral Nation, Northbeam, Triple Whale, Momentum</t>
  </si>
  <si>
    <t>https://www.deducive.com/</t>
  </si>
  <si>
    <t>Huge, NoGood, iPullRank, Omniscient Digital</t>
  </si>
  <si>
    <t>brentonway.com</t>
  </si>
  <si>
    <t>Deducive - Decision-Grade Marketing Measurement</t>
  </si>
  <si>
    <t>Power Digital, Disruptive Advertising, NoGood, Directive, inBeat, Right Side Up, Thrive Internet Marketing Agency</t>
  </si>
  <si>
    <t>https://www.enzuzo.com/blog/best-google-ads-agencies</t>
  </si>
  <si>
    <t>growthmarketingpro.com</t>
  </si>
  <si>
    <t>The 13 Top Google Ads Agencies [Reviewed &amp;amp; Rated]</t>
  </si>
  <si>
    <t>NoGood, iPullRank, First Page Sage, Siege Media, Intero Digital, Avenue Z, Victorious</t>
  </si>
  <si>
    <t>SmartSites, NinjaPromo, Clutch</t>
  </si>
  <si>
    <t>keywordsearch.com</t>
  </si>
  <si>
    <t>https://firstpagesage.com/seo-blog/the-top-growth-marketing-agencies/#:~:text=Power%20Digital%20is%20a%20tech%2Denabled%20growth%20marketing,forecasts%2C%20and%20tracks%20attribution%20across%20every%20channel.</t>
  </si>
  <si>
    <t>The Top Growth Marketing Agencies in 2026 – First Page Sage</t>
  </si>
  <si>
    <t>pinemarsh.com</t>
  </si>
  <si>
    <t>First Page Sage, Power Digital, Disruptive Advertising</t>
  </si>
  <si>
    <t>https://www.gartner.com/reviews/market/incrementality-measurement-platforms</t>
  </si>
  <si>
    <t>quandarypeak.com</t>
  </si>
  <si>
    <t>Best Incrementality Measurement Platforms Reviews 2026 \| Gartner Peer Insights</t>
  </si>
  <si>
    <t>Haus, SegmentStream, Measured, INCRMNTAL, LifeSight, Recast</t>
  </si>
  <si>
    <t>https://www.google.com/ads/publisher/partners/find-a-partner/</t>
  </si>
  <si>
    <t>retailhub.co</t>
  </si>
  <si>
    <t>Find a Publishing Partner \| Certified Publishing Partner – Google</t>
  </si>
  <si>
    <t>https://growthmanager.ai/best-geo-agency</t>
  </si>
  <si>
    <t>First Page Sage, Siege Media, Clutch</t>
  </si>
  <si>
    <t>s360digital.com</t>
  </si>
  <si>
    <t>Best GEO agencies in 2026, reviewed and ranked</t>
  </si>
  <si>
    <t>https://www.gtm8020.com/blog/best-aeo-agencies</t>
  </si>
  <si>
    <t>thefrankagency.com</t>
  </si>
  <si>
    <t>Best AEO Agencies - 2026 — GTM 8020</t>
  </si>
  <si>
    <t>Power Digital, Momentum, WebFX, Sociallyin, Thrive Internet Marketing Agency</t>
  </si>
  <si>
    <t>theinklusive.com</t>
  </si>
  <si>
    <t>Siege Media, Omniscient Digital, Graphite, Amsive, NP Digital, Momentum</t>
  </si>
  <si>
    <t>https://inbeat.agency/blog/incrementality-testing</t>
  </si>
  <si>
    <t>Momentum, Ogilvy, Wieden+Kennedy, Giant Spoon, Dentsu, Pentagram, WPP, BCG, Anomaly</t>
  </si>
  <si>
    <t>Incrementality Testing: Calculations, Examples, and More for 2025 - inBeat Agency</t>
  </si>
  <si>
    <t>tofuhq.com</t>
  </si>
  <si>
    <t>inBeat, Nielsen, Measured</t>
  </si>
  <si>
    <t>https://www.incremental.com/#:~:text=Incremental's%20automated%20model%20creation%20and%20continuous%20learning,measurement%20%E2%80%93%20you%20have%20a%20sales%20pitch.</t>
  </si>
  <si>
    <t>Incremental | Causal Intelligence for Commerce Media</t>
  </si>
  <si>
    <t>typecast.ai</t>
  </si>
  <si>
    <t>https://www.intellectyx.com/list-of-20-leading-ai-consulting-firms-providing-comprehensive-services/</t>
  </si>
  <si>
    <t>NoGood, Ignite Visibility, Single Grain, WPP, Keenfolks</t>
  </si>
  <si>
    <t>List of 20 Leading AI Consulting Firms</t>
  </si>
  <si>
    <t>wifitalents.com</t>
  </si>
  <si>
    <t>IBM, McKinsey, PwC, BCG</t>
  </si>
  <si>
    <t>Momentum, PwC, IBM, Clutch, Dentsu, Tinuiti, Accenture Song, Publicis Groupe, WPP, GroupM</t>
  </si>
  <si>
    <t>https://joseangelostudios.com/paid-social-agency/</t>
  </si>
  <si>
    <t>yahoo.com</t>
  </si>
  <si>
    <t>21 Best Paid Social Media Agencies of 2025</t>
  </si>
  <si>
    <t>Disruptive Advertising, WebFX, SmartSites, Silverback Strategies, Searchbloom, Intero Digital, Funnel Boost Media, Clay, Adswerve</t>
  </si>
  <si>
    <t>o8.agency</t>
  </si>
  <si>
    <t>Measured, NinjaPromo, Keenfolks</t>
  </si>
  <si>
    <t>SmartSites, Clutch, AdVenture Media, KlientBoost, Acadia, Huge</t>
  </si>
  <si>
    <t>https://www.measured.com/faq/top-10-best-media-mix-modeling-companies-software-for-2026/</t>
  </si>
  <si>
    <t>warc.com</t>
  </si>
  <si>
    <t>Top 11 Best Media Mix Modeling Companies &amp; Software for 2026 \| Measured®</t>
  </si>
  <si>
    <t>Ogilvy, WPP, VML</t>
  </si>
  <si>
    <t>Measured, Clay, Nielsen, Analytic Partners, Kantar, Neustar, TransUnion, Gain Theory, WPP, Recast, Anomaly, Haus, Rockerbox</t>
  </si>
  <si>
    <t>https://nealschaffer.com/ai-marketing-agency/</t>
  </si>
  <si>
    <t>avixa.org</t>
  </si>
  <si>
    <t>WebFX, Disruptive Advertising, Ignite Visibility, SmartSites, Clutch, Thrive Internet Marketing Agency, Victorious, LYFE Marketing, Siege Media, Directive, Single Grain</t>
  </si>
  <si>
    <t>15 Best AI Marketing Agencies Helping Brands Grow in 2026</t>
  </si>
  <si>
    <t>search.agency</t>
  </si>
  <si>
    <t>Measured, Bain &amp; Company</t>
  </si>
  <si>
    <t>Clutch, McKinsey, QuantumBlack, Measured</t>
  </si>
  <si>
    <t>bcg.com</t>
  </si>
  <si>
    <t>https://ninjapromo.io/best-ai-marketing-agencies</t>
  </si>
  <si>
    <t>IBM, BCG</t>
  </si>
  <si>
    <t>Top 8 AI Marketing Agencies for AI-Driven Digital Campaigns in 2026</t>
  </si>
  <si>
    <t>oneclub.org</t>
  </si>
  <si>
    <t>NinjaPromo, Keenfolks, Clutch, IBM, McKinsey</t>
  </si>
  <si>
    <t>https://onelittleweb.com/top-agencies/top-google-ads-agencies/</t>
  </si>
  <si>
    <t>Dentsu, Accenture Song, Droga5, Ogilvy, AKQA, BBDO, VML, Monks, 72andSunny</t>
  </si>
  <si>
    <t>todaymade.com</t>
  </si>
  <si>
    <t>Top 50 Google Ads Agencies in 2026 – Ranked &amp;amp; Reviewed</t>
  </si>
  <si>
    <t>KlientBoost, SmartSites, Disruptive Advertising, Power Digital, Intero Digital, Clutch, Funnel Boost Media, Elit-Web, Searchbloom, NinjaPromo, HawkSEM, Ignite Visibility, Silverback Strategies, Huge</t>
  </si>
  <si>
    <t>Huge, Dentsu, Momentum, Accenture Song, Ogilvy, Wieden+Kennedy, Pentagram, Publicis Groupe, Droga5, WPP, Superside, AKQA, R/GA, BBDO, Clay, Graphite, TBWA\Chiat\Day, Monks</t>
  </si>
  <si>
    <t>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t>
  </si>
  <si>
    <t>adcountable.com</t>
  </si>
  <si>
    <t>adswerve.com</t>
  </si>
  <si>
    <t>Adswerve</t>
  </si>
  <si>
    <t>ai-heroes.co</t>
  </si>
  <si>
    <t>NoGood, Measured, Single Grain, Avenue Z</t>
  </si>
  <si>
    <t>aitworldwide.com</t>
  </si>
  <si>
    <t>amplitude.com</t>
  </si>
  <si>
    <t>Unknown</t>
  </si>
  <si>
    <t>https://www.perceptive-analytics.com/top-10-best-ai-consulting-firms-for-mid-market-companies-in-the-us-2026-guide/</t>
  </si>
  <si>
    <t>aventigroup.com</t>
  </si>
  <si>
    <t>Top 10 Best AI Consulting Firms for Mid-Market Companies in the US (2026 Guide) - Perceptive Analytics</t>
  </si>
  <si>
    <t>b2bmarketing.net</t>
  </si>
  <si>
    <t>Slalom, IBM, BCG, PwC</t>
  </si>
  <si>
    <t>Dentsu, Merkle</t>
  </si>
  <si>
    <t>https://www.quoleady.com/ai-marketing-agencies/</t>
  </si>
  <si>
    <t>bignewsnetwork.com</t>
  </si>
  <si>
    <t>Top 11 AI Marketing Agencies in 2025</t>
  </si>
  <si>
    <t>WebFX, NoGood, First Page Sage, Omniscient Digital, Measured, Siege Media, KlientBoost, Single Grain, Discovered Labs, RevenueZen</t>
  </si>
  <si>
    <t>builtin.com</t>
  </si>
  <si>
    <t>Avenue Z, Huge</t>
  </si>
  <si>
    <t>https://rightleftagency.com/blog/best-paid-search-marketing-agencies-in-usa/</t>
  </si>
  <si>
    <t>iPullRank, Seer Interactive, Tinuiti</t>
  </si>
  <si>
    <t>carvertise.com</t>
  </si>
  <si>
    <t>Best 15 Paid Search Marketing Agencies in USA 2026</t>
  </si>
  <si>
    <t>Ogilvy, Wieden+Kennedy, BBDO, Droga5, IBM, TBWA\Chiat\Day, VML</t>
  </si>
  <si>
    <t>Disruptive Advertising, WebFX, IBM, Tinuiti, KlientBoost, Single Grain, Ignite Visibility, Thrive Internet Marketing Agency, NP Digital, Wpromote, Power Digital</t>
  </si>
  <si>
    <t>christianandtimbers.com</t>
  </si>
  <si>
    <t>https://scopicstudios.com/blog/best-incrementality-testing-tools-2026/</t>
  </si>
  <si>
    <t>PwC, McKinsey, QuantumBlack, IBM, BCG, Bain &amp; Company</t>
  </si>
  <si>
    <t>8 Best Incrementality Testing Tools for Measurement</t>
  </si>
  <si>
    <t>delogostudio.com</t>
  </si>
  <si>
    <t>https://www.silverbackstrategies.com/lists/best-google-ads-agencies-in-the-us-ranked-reviewed/</t>
  </si>
  <si>
    <t>Power Digital, Disruptive Advertising, WebFX, Ignite Visibility, Measured, SmartSites, Thrive Internet Marketing Agency</t>
  </si>
  <si>
    <t>dexigner.com</t>
  </si>
  <si>
    <t>Best Google Ads Agencies in the U.S. in 2026 (Ranked &amp;amp; Reviewed) | Silverback Strategies</t>
  </si>
  <si>
    <t>Silverback Strategies, Measured, Clutch, Intero Digital, Elit-Web</t>
  </si>
  <si>
    <t>https://www.stellaheystella.com/blog/incrementality-testing-platforms-the-complete-guide-to-measuring-true-marketing-impact-2025</t>
  </si>
  <si>
    <t>Huge, Momentum, Ogilvy, 72andSunny, Wieden+Kennedy, BBDO, Droga5</t>
  </si>
  <si>
    <t>fuelonline.com</t>
  </si>
  <si>
    <t>Huge, Dentsu, Tinuiti, iPullRank, SmartSites, Jellyfish, Droga5, R/GA, VaynerMedia, Power Digital, Disruptive Advertising, WebFX, Ignite Visibility, KlientBoost, Directive, Single Grain, HawkSEM, Seer Interactive, AdVenture Media</t>
  </si>
  <si>
    <t>Incrementality Testing Platforms: The Complete Guide to Measuring True Marketing Impact (2025) | Stella</t>
  </si>
  <si>
    <t>geovate.com</t>
  </si>
  <si>
    <t>Sellforte, Measured, Haus, Northbeam, Triple Whale</t>
  </si>
  <si>
    <t>NoGood, First Page Sage, Siege Media, Avenue Z, iPullRank, Omniscient Digital</t>
  </si>
  <si>
    <t>https://www.techradar.com/pro/aeo-vs-seo-whats-the-difference-and-do-you-need-both</t>
  </si>
  <si>
    <t>growwithvysta.com</t>
  </si>
  <si>
    <t>AEO vs SEO: What's the difference &amp;amp; do you need both? | TechRadar</t>
  </si>
  <si>
    <t>Tinuiti, Disruptive Advertising, KlientBoost, Common Thread Collective</t>
  </si>
  <si>
    <t>hashmeta.com</t>
  </si>
  <si>
    <t>https://www.techstepsolutions.com/digital-marketing-agencies-usa-2026/</t>
  </si>
  <si>
    <t>iPullRank, Measured, Siege Media, Go Fish Digital, Amsive, Momentum</t>
  </si>
  <si>
    <t>idimension.com</t>
  </si>
  <si>
    <t>Top 20 Digital Marketing Agencies in USA 2026 for Growth</t>
  </si>
  <si>
    <t>Disruptive Advertising, Power Digital, Directive, NP Digital, KlientBoost, Victorious, VaynerMedia, Ogilvy, Tinuiti, Major Tom, Refine Labs, Intero Digital, Single Grain</t>
  </si>
  <si>
    <t>jake-jorgovan.com</t>
  </si>
  <si>
    <t>https://themanifest.com/us/media-buying/agencies</t>
  </si>
  <si>
    <t>Single Grain, inBeat, Keenfolks, IBM</t>
  </si>
  <si>
    <t>The Best Media Planning and Buying Companies in United States - Jun 2026 | The Manifest</t>
  </si>
  <si>
    <t>marketingdive.com</t>
  </si>
  <si>
    <t>Clutch, Accelerated Digital Media, Tinuiti, NP Digital, MuteSix</t>
  </si>
  <si>
    <t>https://www.wearetenet.com/blog/best-ai-seo-agencies</t>
  </si>
  <si>
    <t>motum-us.com</t>
  </si>
  <si>
    <t>10 Best AI SEO Agencies to Win in AI Overviews and LLMs</t>
  </si>
  <si>
    <t>nuoptima.com</t>
  </si>
  <si>
    <t>Thrive Internet Marketing Agency, Avenue Z</t>
  </si>
  <si>
    <t>https://www.webtonic.io/blog/best-performance-marketing-agencies-2026#:~:text=Great%20For%3A%20Mid%2Dmarket%20to%20enterprise%2Dlevel%20businesses%20requiring,and%20advanced%20analytics%20to%20drive%20measurable%20results.</t>
  </si>
  <si>
    <t>WebFX, iPullRank, Omniscient Digital, First Page Sage, Siege Media, Avenue Z, RevenueZen</t>
  </si>
  <si>
    <t>28 Best Performance Marketing Agencies for 2026</t>
  </si>
  <si>
    <t>pearllemon.com</t>
  </si>
  <si>
    <t>Web Tonic, Tinuiti, Wpromote, TransUnion, Metric Theory, Brainlabs, Jellyfish, Croud, Amsive, MuteSix, KlientBoost, Disruptive Advertising, NoGood, Power Digital, Directive, Hawke Media, Ignite Visibility, Single Grain, AdVenture Media</t>
  </si>
  <si>
    <t>https://wildnetmarketing.agency/blog/best-ai-marketing-agencies-in-usa/</t>
  </si>
  <si>
    <t>Ignite Visibility, SmartSites, Intero Digital</t>
  </si>
  <si>
    <t>prescientai.com</t>
  </si>
  <si>
    <t>Best AI Marketing Agencies in USA 2026</t>
  </si>
  <si>
    <t>Ogilvy, Merkle, VML, Digitas, Accenture Song, Deloitte Digital, Publicis Groupe, Epsilon</t>
  </si>
  <si>
    <t>https://www.50pros.com/hire/advertising/attribution-and-measurement</t>
  </si>
  <si>
    <t>Nielsen, Triple Whale, HockeyStack, Ruler Analytics</t>
  </si>
  <si>
    <t>Top Attribution &amp; Measurement Agencies to Hire in June 2026</t>
  </si>
  <si>
    <t>seerinteractive.com</t>
  </si>
  <si>
    <t>The SEO Works, Huge, Clutch</t>
  </si>
  <si>
    <t>https://www.50pros.com/hire/digital-marketing/marketing-attribution</t>
  </si>
  <si>
    <t>Seer Interactive</t>
  </si>
  <si>
    <t>seoworks.com</t>
  </si>
  <si>
    <t>Top Marketing Attribution Agencies to Hire in June 2026</t>
  </si>
  <si>
    <t>The SEO Works, Huge</t>
  </si>
  <si>
    <t>WebFX, Directive, Animalz, Discovered Labs, Victorious, The SEO Works</t>
  </si>
  <si>
    <t>https://amworldgroup.com/best/digital-marketing-agency-usa</t>
  </si>
  <si>
    <t>siegemedia.com</t>
  </si>
  <si>
    <t>Best Digital Marketing Agencies in USA (2026) | AMW®</t>
  </si>
  <si>
    <t>Siege Media, Power Digital, Omniscient Digital, Single Grain, NP Digital, Animalz</t>
  </si>
  <si>
    <t>Thrive Internet Marketing Agency, Ignite Visibility, Siege Media, R/GA, Directive</t>
  </si>
  <si>
    <t>sourceforge.net</t>
  </si>
  <si>
    <t>https://www.askattest.com/blog/articles/market-research-companies-in-the-us</t>
  </si>
  <si>
    <t>Rockerbox, Measured, Haus, Analytic Partners, Sellforte, Recast, LifeSight, Tinuiti, SegmentStream, INCRMNTAL</t>
  </si>
  <si>
    <t>Top 17 Market Research Companies in the US (2026)</t>
  </si>
  <si>
    <t>strategyeye.com</t>
  </si>
  <si>
    <t>Nielsen, Merkle</t>
  </si>
  <si>
    <t>PMG, Tinuiti, Brainlabs, Wpromote, Merkle, iProspect, Metric Theory</t>
  </si>
  <si>
    <t>https://www.bconic.com/</t>
  </si>
  <si>
    <t>stratevaai.com</t>
  </si>
  <si>
    <t>Bconic: Independent Marketing Measurement Platform</t>
  </si>
  <si>
    <t>transparent.partners</t>
  </si>
  <si>
    <t>https://blueprintdemand.com/top-10-display-advertising-agency-partners-for-2026/</t>
  </si>
  <si>
    <t>whyflagshalfmasttoday.com</t>
  </si>
  <si>
    <t>10 Best B2B Display Advertising Agency Partners (2026) – Blueprint Demand: Demand Generation Experts</t>
  </si>
  <si>
    <t>Momentum, iPullRank, Siege Media, Go Fish Digital, Seer Interactive, Victorious, WebFX, Measured</t>
  </si>
  <si>
    <t>bounteous.com</t>
  </si>
  <si>
    <t>Measured, Momentum, MuteSix, Single Grain</t>
  </si>
  <si>
    <t>https://coolnerdsmarketing.com/top-creative-agencies-us/</t>
  </si>
  <si>
    <t>Bounteous, BCG</t>
  </si>
  <si>
    <t>Top 15 Creative Agencies in the U.S. (2026)</t>
  </si>
  <si>
    <t>heydigital.co</t>
  </si>
  <si>
    <t>NoGood, Omniscient Digital, Siege Media, Directive, Single Grain, Animalz, Refine Labs, Hey Digital</t>
  </si>
  <si>
    <t>Dentsu, Momentum</t>
  </si>
  <si>
    <t>https://copilot-experts.com/top-ai-consulting-firm/</t>
  </si>
  <si>
    <t>ritzherald.com</t>
  </si>
  <si>
    <t>Top 10 AI Consulting Firms in 2026 - Copilot Experts</t>
  </si>
  <si>
    <t>Brandtech, Dentsu, Wpromote, Ogilvy, Merkle, Measured, NP Digital, Jellyfish, iProspect</t>
  </si>
  <si>
    <t>aimediagroup.com</t>
  </si>
  <si>
    <t>BCG</t>
  </si>
  <si>
    <t>delivix.digital</t>
  </si>
  <si>
    <t>BCG, McKinsey, QuantumBlack, IBM, PwC, Measured</t>
  </si>
  <si>
    <t>Tinuiti, Disruptive Advertising, WebFX, NoGood, Ignite Visibility, Right Side Up, WPP, Kobe Digital, SmartSites, LYFE Marketing, The Social Shepherd, Viral Nation, Clutch, Power Digital, KlientBoost, Ogilvy, Intero Digital, Victorious</t>
  </si>
  <si>
    <t>https://www.csp.agency/blog/top-8-geo-agencies-for-2026-ranked-by-data/</t>
  </si>
  <si>
    <t>ziptie.dev</t>
  </si>
  <si>
    <t>NoGood, iPullRank, Omniscient Digital, First Page Sage, Siege Media, Directive, Seer Interactive, Searchbloom</t>
  </si>
  <si>
    <t>accuracast.com</t>
  </si>
  <si>
    <t>Top 8 GEO Agencies for 2026 Ranked by Data | CSP</t>
  </si>
  <si>
    <t>Intero Digital, Momentum</t>
  </si>
  <si>
    <t>https://www.designrush.com/agency/digital-marketing/analytics/us?page=23</t>
  </si>
  <si>
    <t>Accenture Song, WebFX, Disruptive Advertising, NoGood, Ignite Visibility, SmartSites, Jellyfish, iProspect, Thrive Internet Marketing Agency</t>
  </si>
  <si>
    <t>adogy.com</t>
  </si>
  <si>
    <t>Top United States Marketing Analytics Companies - Page 23</t>
  </si>
  <si>
    <t>NoGood, Omniscient Digital, First Page Sage, Intero Digital, Avenue Z</t>
  </si>
  <si>
    <t>IBM, Measured</t>
  </si>
  <si>
    <t>https://www.designrush.com/agency/digital-marketing/analytics/us?page=24</t>
  </si>
  <si>
    <t>aidigital.com</t>
  </si>
  <si>
    <t>Top United States Marketing Analytics Companies - Page 24</t>
  </si>
  <si>
    <t>Haus, Analytic Partners, Measured, Triple Whale, LifeSight, TransUnion, Nielsen</t>
  </si>
  <si>
    <t>aiinsiderdaily.com</t>
  </si>
  <si>
    <t>https://entermind.com/media/blog/top-ai-consulting-firms-us</t>
  </si>
  <si>
    <t>Top 8 AI Consulting Firms in the US | Expert Rankings (2026)</t>
  </si>
  <si>
    <t>appkod.com</t>
  </si>
  <si>
    <t>https://www.gartner.com/reviews/product/measured-89579724?marketSeoName=marketing-mix-modeling-solutions</t>
  </si>
  <si>
    <t>Tinuiti, Jellyfish, iProspect, The Social Shepherd, Marcel Digital, IBM</t>
  </si>
  <si>
    <t>Measured Reviews &amp; Ratings 2026 \| Gartner Peer Insights</t>
  </si>
  <si>
    <t>askneedle.com</t>
  </si>
  <si>
    <t>Measured, Nielsen</t>
  </si>
  <si>
    <t>https://www.google.com/partners/</t>
  </si>
  <si>
    <t>Huge, PwC, McKinsey, Power Digital, Tinuiti, Disruptive Advertising, MuteSix, LYFE Marketing, Hawke Media, Clutch</t>
  </si>
  <si>
    <t>atelligen.com</t>
  </si>
  <si>
    <t>https://www.hashmeta.ai/en/generative-ai/best-ai-marketing-agencies</t>
  </si>
  <si>
    <t>Best AI Marketing Agencies: Top 25 Agencies Ranked &amp;amp; Reviewed 2025</t>
  </si>
  <si>
    <t>baselinemix.com</t>
  </si>
  <si>
    <t>SmartSites, Disruptive Advertising, Clutch, WebFX, Victorious, Tinuiti, Directive, KlientBoost</t>
  </si>
  <si>
    <t>https://influencermarketinghub.com/digital-marketing-agency-usa/</t>
  </si>
  <si>
    <t>cleverly.co</t>
  </si>
  <si>
    <t>Top Digital Marketing Agencies in the United States 2026</t>
  </si>
  <si>
    <t>Triple Whale, Ruler Analytics, Cometly</t>
  </si>
  <si>
    <t>Viral Nation, SmartSites, McKinsey, Measured, NinjaPromo, Power Digital, Clutch, Ignite Visibility, WebFX, Storm Brain, Major Tom, Funnel Boost Media, Thrive Internet Marketing Agency, Directive, Sociallyin, Disruptive Advertising, LYFE Marketing</t>
  </si>
  <si>
    <t>clickz.com</t>
  </si>
  <si>
    <t>https://www.lyfemarketing.com/blog/top-creative-agencies-us/</t>
  </si>
  <si>
    <t>Measured, Haus, Merkle, Analytic Partners, Northbeam, Nielsen, Recast, Triple Whale</t>
  </si>
  <si>
    <t>Top 20 Creative Agencies In The U.S. 2026</t>
  </si>
  <si>
    <t>cracklepr.com</t>
  </si>
  <si>
    <t>LYFE Marketing, Wieden+Kennedy, Ogilvy, Dentsu</t>
  </si>
  <si>
    <t>https://marketri.com/ai-marketing-consulting/</t>
  </si>
  <si>
    <t>Power Digital, iPullRank, Siege Media, Single Grain, NP Digital, Amsive</t>
  </si>
  <si>
    <t>AI Consulting for Sales &amp; Marketing Teams \| Marketri</t>
  </si>
  <si>
    <t>deployflow.co</t>
  </si>
  <si>
    <t>Momentum, McKinsey, BCG, QuantumBlack</t>
  </si>
  <si>
    <t>https://www.pedowitzgroup.com/solutions/ai</t>
  </si>
  <si>
    <t>digitalstrategyforce.com</t>
  </si>
  <si>
    <t>Marketing AI Roadmap Accelerator - The Pedowitz Group</t>
  </si>
  <si>
    <t>Tinuiti, NoGood, iPullRank, Omniscient Digital, First Page Sage, Measured, Siege Media, Searchbloom, Digital Authority Partners, McKinsey, Amsive</t>
  </si>
  <si>
    <t>equinoxitsol.com</t>
  </si>
  <si>
    <t>https://percepture.com/geo-insights/best-generative-ai-seo-agencies/</t>
  </si>
  <si>
    <t>Metric Theory, Tinuiti, Power Digital, NoGood, Disruptive Advertising, WebFX, Ignite Visibility, KlientBoost, Thrive Internet Marketing Agency</t>
  </si>
  <si>
    <t>Best Generative AI SEO Agencies in 2026 | Percepture</t>
  </si>
  <si>
    <t>flypix.ai</t>
  </si>
  <si>
    <t>Percepture, iPullRank, Siege Media, First Page Sage, Intero Digital, WebFX, Go Fish Digital, Searchbloom</t>
  </si>
  <si>
    <t>https://www.reddit.com/r/MktgSupermarket/comments/1qom30j/compiled_a_directory_of_25_ai_marketing_agencies/</t>
  </si>
  <si>
    <t>IBM, Anomaly</t>
  </si>
  <si>
    <t>fueler.io</t>
  </si>
  <si>
    <t>Compiled a directory of 25 AI marketing agencies — here's the breakdown by category</t>
  </si>
  <si>
    <t>Dentsu, Power Digital, Tinuiti, Disruptive Advertising, WebFX, NoGood, Wpromote, KlientBoost, Merkle, NP Digital, Publicis Groupe, MuteSix, Common Thread Collective, Accenture Song, Ogilvy, Wieden+Kennedy, BBDO, Droga5, R/GA, IBM, TBWA\Chiat\Day, Kobe Digital, inBeat, Ignite Visibility, Web Tonic</t>
  </si>
  <si>
    <t>DISCUSSION</t>
  </si>
  <si>
    <t>Discussion</t>
  </si>
  <si>
    <t>SmartSites, Single Grain, Superside, DEPT, NoGood, NinjaPromo, Keenfolks, Omniscient Digital</t>
  </si>
  <si>
    <t>https://www.reddit.com/r/TheTopAgencies/comments/1mjdxiv/the_best_generative_engine_optimization_agencies/</t>
  </si>
  <si>
    <t>fusepointinsights.com</t>
  </si>
  <si>
    <t>The Best Generative Engine Optimization Agencies In The United States</t>
  </si>
  <si>
    <t>Power Digital</t>
  </si>
  <si>
    <t>Brainlabs, Siege Media, Victorious, HawkSEM, Animalz, Omniscient Digital, iPullRank</t>
  </si>
  <si>
    <t>https://seoprofy.com/blog/generative-engine-optimization-agencies/</t>
  </si>
  <si>
    <t>hawksem.com</t>
  </si>
  <si>
    <t>TOP 13 Generative Engine Optimization (GEO) Agencies in 2026</t>
  </si>
  <si>
    <t>Tinuiti, Wpromote, Merkle, MuteSix, HawkSEM, Dentsu, Ignite Visibility, Jellyfish, Victorious, Clutch, Thrive Internet Marketing Agency, Power Digital, Silverback Strategies</t>
  </si>
  <si>
    <t>Clutch, Omniscient Digital, Siege Media, RevenueZen, Go Fish Digital, NoGood, First Page Sage, Intero Digital, WebFX, iPullRank, Victorious, The SEO Works, Measured</t>
  </si>
  <si>
    <t>indieagency.news</t>
  </si>
  <si>
    <t>https://www.techaheadcorp.com/services/ai-consulting-company/</t>
  </si>
  <si>
    <t>Wieden+Kennedy</t>
  </si>
  <si>
    <t>isuccessconsulting.com</t>
  </si>
  <si>
    <t>Top AI Consulting Company in the United States - TechAhead</t>
  </si>
  <si>
    <t>Anomaly, Measured</t>
  </si>
  <si>
    <t>iternal.ai</t>
  </si>
  <si>
    <t>https://www.uforocks.com/blog/top-google-ads-agencies-in-the-u-s/</t>
  </si>
  <si>
    <t>Top Google Ads Agencies in the U.S. - UFO Digital Marketing Agency</t>
  </si>
  <si>
    <t>Momentum, PwC, McKinsey, IBM, QuantumBlack, BCG, Bain &amp; Company</t>
  </si>
  <si>
    <t>AdVenture Media, Directive, Disruptive Advertising, Ignite Visibility, KlientBoost, MuteSix, Dentsu, NP Digital, Seer Interactive, Silverback Strategies, SmartSites, Thrive Internet Marketing Agency, Tinuiti, WebFX, Wpromote</t>
  </si>
  <si>
    <t>itpro.com</t>
  </si>
  <si>
    <t>https://www.upliftgtm.com/blog/best-aeo-agencies</t>
  </si>
  <si>
    <t>Best AEO Agencies 2026: Top 12 Answer Engine Optimization Firms</t>
  </si>
  <si>
    <t>madx.digital</t>
  </si>
  <si>
    <t>NoGood, First Page Sage, iPullRank, Siege Media, Single Grain, Searchbloom</t>
  </si>
  <si>
    <t>magier.com</t>
  </si>
  <si>
    <t>Animalz, Omniscient Digital, Single Grain, NoGood, Ignite Visibility, Victorious, Siege Media, Measured</t>
  </si>
  <si>
    <t>https://wildnetmarketing.agency/blog/best-web-analytics-agencies-in-usa/</t>
  </si>
  <si>
    <t>Huge, Momentum, Accenture Song, Ogilvy, Wieden+Kennedy, Droga5, 72andSunny, Pentagram, WPP, Superside, AKQA, R/GA, BBDO, Clay, Clutch, Wolff Olins, Giant Spoon</t>
  </si>
  <si>
    <t>maxconnect.com</t>
  </si>
  <si>
    <t>Best Web Analytics &amp;amp; Attribution Agencies in USA 2026</t>
  </si>
  <si>
    <t>Merkle, Ogilvy, VML, Digitas, Accenture Song, Deloitte Digital, Publicis Groupe, Epsilon, Anomaly</t>
  </si>
  <si>
    <t>https://zyppy.com/companies/c/marketing-attribution/united-states/</t>
  </si>
  <si>
    <t>mckinsey.com</t>
  </si>
  <si>
    <t>Top Marketing Attribution Companies in the United States - July 2026</t>
  </si>
  <si>
    <t>McKinsey, QuantumBlack</t>
  </si>
  <si>
    <t>miniloop.ai</t>
  </si>
  <si>
    <t>https://agencies.semrush.com/list/programmatic-advertising/united-states/</t>
  </si>
  <si>
    <t>Omniscient Digital, NoGood, Siege Media, Go Fish Digital, Intero Digital, Animalz, Refine Labs</t>
  </si>
  <si>
    <t>Best Programmatic Advertising Agencies in United States 2026 | Semrush</t>
  </si>
  <si>
    <t>nexusaiconsulting.com</t>
  </si>
  <si>
    <t>SmartSites, Elit-Web, Silverback Strategies, WebFX</t>
  </si>
  <si>
    <t>https://aimadethisbrand.com/</t>
  </si>
  <si>
    <t>AI Readiness &amp;amp; Training for Government &amp;amp; Marketing Teams | AI Made This Brand</t>
  </si>
  <si>
    <t>nine.am</t>
  </si>
  <si>
    <t>Tinuiti, Power Digital, NoGood, inBeat, VaynerMedia, Amsive, Clutch</t>
  </si>
  <si>
    <t>https://www.appsflyer.com/blog/tips-strategy/incrementality-testing-for-marketers/</t>
  </si>
  <si>
    <t>objectiveplatform.com</t>
  </si>
  <si>
    <t>Incrementality testing 101: Marketers 2023 guide | AppsFlyer</t>
  </si>
  <si>
    <t>Measured, Merkle, Analytic Partners, WPP, Gain Theory, Acxiom, Kantar, Circana</t>
  </si>
  <si>
    <t>omnius.so</t>
  </si>
  <si>
    <t>https://beomniscient.com/blog/aeo-agency/</t>
  </si>
  <si>
    <t>Disruptive Advertising, WebFX, NoGood, Ignite Visibility, SmartSites, LYFE Marketing, NinjaPromo, Clutch, Seer Interactive, Omniscient Digital, iPullRank, Single Grain, Go Fish Digital, The SEO Works, Victorious, Avenue Z, First Page Sage</t>
  </si>
  <si>
    <t>Best AEO Agency for B2B SaaS: 5 That Prove Their Worth - Omniscient Digital</t>
  </si>
  <si>
    <t>outrightcrm.com</t>
  </si>
  <si>
    <t>Omniscient Digital, Optimist, Discovered Labs, Measured</t>
  </si>
  <si>
    <t>https://beomniscient.com/blog/geo-agencies/</t>
  </si>
  <si>
    <t>Huge, Power Digital, Disruptive Advertising, Wpromote, Ignite Visibility, KlientBoost, Directive, SmartSites, Merkle, NP Digital, Jellyfish, Seer Interactive, VaynerMedia, LYFE Marketing, Clutch, Thrive Internet Marketing Agency</t>
  </si>
  <si>
    <t>The 6 Best GEO Agencies for B2B SaaS Brands in 2026 - Omniscient Digital</t>
  </si>
  <si>
    <t>Omniscient Digital, Discovered Labs, NoGood, iPullRank</t>
  </si>
  <si>
    <t>oxdpr.com</t>
  </si>
  <si>
    <t>https://www.cbinsights.com/esp/enterprise-tech/marketing-&amp;-ad-tech/marketing-attribution</t>
  </si>
  <si>
    <t>Accenture Song, Measured, inBeat, Ogilvy, Wieden+Kennedy, Superside, McKinsey, IBM</t>
  </si>
  <si>
    <t>Marketing Attribution - ESP on CB Insights</t>
  </si>
  <si>
    <t>parallel365.com</t>
  </si>
  <si>
    <t>HockeyStack, Measured, Northbeam, Rockerbox</t>
  </si>
  <si>
    <t>Power Digital, WebFX, Disruptive Advertising, NoGood, Omniscient Digital, Directive, Single Grain, Searchbloom, McKinsey, Thrive Internet Marketing Agency</t>
  </si>
  <si>
    <t>https://compare.growthmarshal.io/best-geo-agencies-2026/</t>
  </si>
  <si>
    <t>pixelmojo.io</t>
  </si>
  <si>
    <t>Best GEO Agencies 2026: Top 8 Ranked and Reviewed</t>
  </si>
  <si>
    <t>WebFX, NoGood, iPullRank, Siege Media, Directive, Measured, Seer Interactive</t>
  </si>
  <si>
    <t>rankz.co</t>
  </si>
  <si>
    <t>First Page Sage, Directive, Go Fish Digital, Silverback Strategies</t>
  </si>
  <si>
    <t>https://deviatelabs.com/resources/7-best-ai-marketing-agencies-to-revolutionize-your-growth-in-2025/</t>
  </si>
  <si>
    <t>Huge, WebFX, NoGood, SmartSites, Single Grain, NP Digital, Jellyfish, McKinsey, Keenfolks, Tinuiti, Disruptive Advertising, Siege Media, Directive, IBM, Clutch, Thrive Internet Marketing Agency, Anomaly, iPullRank, Avenue Z, First Page Sage</t>
  </si>
  <si>
    <t>redseo.io</t>
  </si>
  <si>
    <t>7 Best AI Marketing Agencies to Revolutionize Your Growth in 2026 \| Deviate Labs</t>
  </si>
  <si>
    <t>Brainlabs, NoGood, iPullRank, Omniscient Digital, Siege Media, Measured, Seer Interactive, Animalz, Victorious, Graphite, Clutch</t>
  </si>
  <si>
    <t>Single Grain, SmartSites, Major Tom, NoGood</t>
  </si>
  <si>
    <t>resultfirst.com</t>
  </si>
  <si>
    <t>https://digitalmarketingsupermarket.com/blog/best-ai-marketing-agencies/</t>
  </si>
  <si>
    <t>iPullRank, Omniscient Digital, Siege Media, RevenueZen, Thrive Internet Marketing Agency, Measured, Searchbloom, First Page Sage</t>
  </si>
  <si>
    <t>sealglobalholdings.com</t>
  </si>
  <si>
    <t>Best AI Marketing Agencies: The Definitive 2025 Guide to Finding Your Perfect Partner - Digital Marketing Supermarket</t>
  </si>
  <si>
    <t>SmartSites, Superside, Single Grain, DEPT, Major Tom, NinjaPromo, Clutch, NoGood, Keenfolks</t>
  </si>
  <si>
    <t>semnexus.com</t>
  </si>
  <si>
    <t>https://directiveconsulting.com/blog/best-geo-agencies/</t>
  </si>
  <si>
    <t>NoGood, Wpromote, Jellyfish, WebFX, Ignite Visibility, Thrive Internet Marketing Agency</t>
  </si>
  <si>
    <t>25 Best GEO Agencies For B2B - Directive</t>
  </si>
  <si>
    <t>seo.com</t>
  </si>
  <si>
    <t>Directive, iPullRank, Omniscient Digital, Intero Digital, WebFX, First Page Sage, Single Grain, Siege Media, RevenueZen, Victorious, Animalz, IBM, Clutch</t>
  </si>
  <si>
    <t>https://directiveconsulting.com/uk/blog/best-geo-agencies/</t>
  </si>
  <si>
    <t>WebFX, Clutch, Intero Digital, Victorious, Elit-Web</t>
  </si>
  <si>
    <t>slalom.com</t>
  </si>
  <si>
    <t>https://firstpagesage.com/seo-blog/the-top-answer-engine-optimization-aeo-companies/</t>
  </si>
  <si>
    <t>Momentum, Slalom</t>
  </si>
  <si>
    <t>teamai.com</t>
  </si>
  <si>
    <t>The Top Answer Engine Optimization (AEO) Companies of 2026 – First Page Sage</t>
  </si>
  <si>
    <t>First Page Sage, iPullRank, Avenue Z, Omniscient Digital, Marcel Digital</t>
  </si>
  <si>
    <t>https://www.gestisoft.com/en/blog/top-ai-consulting-firms</t>
  </si>
  <si>
    <t>tenten.co</t>
  </si>
  <si>
    <t>Top 10 AI consulting firms in the USA | Gestisoft</t>
  </si>
  <si>
    <t>Web Tonic, Disruptive Advertising, WebFX, Ignite Visibility, Sociallyin, Huge, Power Digital, Tinuiti, Brainlabs, Accenture Song, Wpromote, SmartSites, Hawke Media, Merkle, Jellyfish, VaynerMedia, Seer Interactive, R/GA, iProspect, Publicis Sapient</t>
  </si>
  <si>
    <t>velocitybyca.com</t>
  </si>
  <si>
    <t>https://inbeat.agency/blog/top-creative-agencies</t>
  </si>
  <si>
    <t>McKinsey, QuantumBlack, IBM</t>
  </si>
  <si>
    <t>wamdigital.com</t>
  </si>
  <si>
    <t>Top 16 Creative Agencies Setting the Standard in 2026 - inBeat Agency</t>
  </si>
  <si>
    <t>Superside, DEPT</t>
  </si>
  <si>
    <t>inBeat, Nielsen, WPP, Wieden+Kennedy, Anomaly, 72andSunny, DEPT, Momentum, Ogilvy</t>
  </si>
  <si>
    <t>https://www.loudface.co/blog/best-aeo-agencies-b2b-saas-2026</t>
  </si>
  <si>
    <t>wellows.com</t>
  </si>
  <si>
    <t>Tinuiti, Disruptive Advertising, NoGood, Wpromote, Ignite Visibility, KlientBoost, Measured, inBeat, Sociallyin, MuteSix, VaynerMedia, Silverback Strategies, LYFE Marketing, The Social Shepherd, Viral Nation, Momentum, McKinsey, Funnel Boost Media, Storm Brain, WebFX, Victorious, iPullRank, NP Digital, Avenue Z</t>
  </si>
  <si>
    <t>Best AEO &amp;amp; GEO Agencies for B2B SaaS in 2026 | LoudFace</t>
  </si>
  <si>
    <t>Siege Media, Animalz, NoGood, First Page Sage</t>
  </si>
  <si>
    <t>wpp.com</t>
  </si>
  <si>
    <t>https://omnieclipse.ai/blog/best-aeo-agencies-united-states-2026</t>
  </si>
  <si>
    <t>WPP, Ogilvy, AKQA, VML</t>
  </si>
  <si>
    <t>Best AEO Agencies in the United States for 2026 | Omni Eclipse</t>
  </si>
  <si>
    <t>yall.co</t>
  </si>
  <si>
    <t>Power Digital, Darkroom, MuteSix, Common Thread Collective, DEPT, Hawke Media</t>
  </si>
  <si>
    <t>McKinsey, First Page Sage, iPullRank, NoGood, Siege Media, RevenueZen, Discovered Labs, Graphite</t>
  </si>
  <si>
    <t>https://www.onely.com/blog/best-ai-seo-agencies/</t>
  </si>
  <si>
    <t>maximuslabs.ai</t>
  </si>
  <si>
    <t>Top 10 AI SEO Agencies in 2026: What They Actually Deliver and How to Evaluate Them - Onely</t>
  </si>
  <si>
    <t>WebFX, Ignite Visibility, Measured, Intero Digital, Victorious, Elit-Web, Clutch, SmartSites, NinjaPromo, Funnel Boost Media, Momentum, NoGood, iPullRank, First Page Sage, Single Grain, Amsive</t>
  </si>
  <si>
    <t>tinuiti.com</t>
  </si>
  <si>
    <t>iPullRank, Siege Media, Omniscient Digital, Single Grain, Directive, Thrive Internet Marketing Agency, Searchbloom</t>
  </si>
  <si>
    <t>https://www.onely.com/blog/best-geo-agencies/</t>
  </si>
  <si>
    <t>Tinuiti, InfoTrust</t>
  </si>
  <si>
    <t>exacti.us</t>
  </si>
  <si>
    <t>Top 14 Best GEO Agencies in 2026: An Enterprise Buyer's Evaluation - Onely</t>
  </si>
  <si>
    <t>Siege Media, Go Fish Digital, First Page Sage, Directive, Seer Interactive, Omniscient Digital, Single Grain, Victorious, WebFX, Ignite Visibility, Clutch, Measured</t>
  </si>
  <si>
    <t>https://piperocket.digital/list/best-aeo-agency/</t>
  </si>
  <si>
    <t>Artefact, Measured</t>
  </si>
  <si>
    <t>marksourced.com</t>
  </si>
  <si>
    <t>12 Best AEO Agencies for AI Visibility Tracking &amp;amp; Reporting 2026</t>
  </si>
  <si>
    <t>Clutch, WebFX, First Page Sage, Single Grain, Omniscient Digital, RevenueZen, iPullRank, NoGood, Siege Media, KlientBoost, Animalz, Discovered Labs, Measured</t>
  </si>
  <si>
    <t>NoGood, First Page Sage, Siege Media, Go Fish Digital, Intero Digital, Ignite Visibility</t>
  </si>
  <si>
    <t>https://www.rankarise.com/blog/best-aeo-agencies-in-usa-listing-and-reviews/</t>
  </si>
  <si>
    <t>rockerbox.com</t>
  </si>
  <si>
    <t>Best AEO Agencies in USA | Detailed List - RankArise</t>
  </si>
  <si>
    <t>Rockerbox</t>
  </si>
  <si>
    <t>aimsetwin.com</t>
  </si>
  <si>
    <t>Thrive Internet Marketing Agency, Victorious, Ignite Visibility, WebFX</t>
  </si>
  <si>
    <t>https://www.reddit.com/r/SaaS/comments/1scwc2o/who_is_the_best_answer_engine_optimization_aeo/</t>
  </si>
  <si>
    <t>Huge, Tinuiti, Disruptive Advertising, WebFX, SmartSites, NP Digital</t>
  </si>
  <si>
    <t>customssupport.com</t>
  </si>
  <si>
    <t>Who is the best Answer Engine Optimization (AEO) Agency in USA?</t>
  </si>
  <si>
    <t>Animalz, NoGood</t>
  </si>
  <si>
    <t>https://www.reddit.com/r/ecommerce/comments/1qusfa4/looking_for_best_incrementality_testing_tools/</t>
  </si>
  <si>
    <t>featuredcustomers.com</t>
  </si>
  <si>
    <t>Looking for best incrementality testing tools (advice/recommendation)</t>
  </si>
  <si>
    <t>Haus, LifeSight, Measured, SegmentStream, Recast, Rockerbox, Northbeam</t>
  </si>
  <si>
    <t>https://segmentstream.com/blog/articles/top-enterprise-marketing-analytics-and-attribution-platforms</t>
  </si>
  <si>
    <t>flyingvgroup.com</t>
  </si>
  <si>
    <t>10 Best Enterprise Marketing Analytics &amp;amp; Attribution Platforms in 2026 — SegmentStream</t>
  </si>
  <si>
    <t>SegmentStream, Measured, Rockerbox, LifeSight</t>
  </si>
  <si>
    <t>NoGood, SmartSites, Single Grain, inBeat, Viral Nation, Major Tom, Monks, Power Digital, Clutch</t>
  </si>
  <si>
    <t>https://www.semfirms.com/display-advertising-firms</t>
  </si>
  <si>
    <t>icoda.io</t>
  </si>
  <si>
    <t>Top Display Advertising Firms in United States | SEM Firms</t>
  </si>
  <si>
    <t>Clutch, McKinsey, Brainlabs, Wpromote, Keenfolks, IBM, Tinuiti, Directive, Single Grain, Jellyfish</t>
  </si>
  <si>
    <t>Ignite Visibility, Disruptive Advertising, Intero Digital, Momentum</t>
  </si>
  <si>
    <t>https://www.singlegrain.com/artificial-intelligence/top-14-ai-marketing-agencies-in-2025/</t>
  </si>
  <si>
    <t>klientboost.com</t>
  </si>
  <si>
    <t>Measured, KlientBoost, Clutch</t>
  </si>
  <si>
    <t>Top 14 AI Marketing Agencies in 2025: Expert Analysis &amp;amp; Rankings</t>
  </si>
  <si>
    <t>kuehne-nagel.com</t>
  </si>
  <si>
    <t>Single Grain, VML, Superside, Major Tom, Ignite Visibility</t>
  </si>
  <si>
    <t>https://www.sortlist.com/attribution-marketing</t>
  </si>
  <si>
    <t>marketingattribution.com</t>
  </si>
  <si>
    <t>The 100 Best Attribution Marketing Agencies - 2026 Reviews</t>
  </si>
  <si>
    <t>Triple Whale, Northbeam, HockeyStack, WPP</t>
  </si>
  <si>
    <t>Nielsen</t>
  </si>
  <si>
    <t>https://xponent21.com/insights/10-leading-seo-companies-helping-brands-rank-in-ai-search-and-beyond/</t>
  </si>
  <si>
    <t>monks.com</t>
  </si>
  <si>
    <t>10 Leading AI SEO Agencies in America - 2025 Guide</t>
  </si>
  <si>
    <t>Momentum, Monks</t>
  </si>
  <si>
    <t>mountainstoseamedia.com</t>
  </si>
  <si>
    <t>Omniscient Digital, iPullRank, First Page Sage, WebFX, NoGood, Siege Media, NP Digital, Clutch, Huge</t>
  </si>
  <si>
    <t>https://75way.com/blog/10-top-ai-consulting-companies-usa</t>
  </si>
  <si>
    <t>Measured, Ignite Visibility, Intero Digital</t>
  </si>
  <si>
    <t>Top 10 AI Consulting Companies in USA | 2026 Expert Guide</t>
  </si>
  <si>
    <t>thebusinessrover.com</t>
  </si>
  <si>
    <t>https://www.accordtechsolutions.com/blog/top-7-ai-marketing-agency-in-the-usa</t>
  </si>
  <si>
    <t>NoGood, Omniscient Digital, Wpromote, Single Grain, NP Digital, Right Side Up, Refine Labs, TransUnion, Dentsu, Tinuiti, Momentum, Disruptive Advertising, Brainlabs, KlientBoost, Directive, Merkle, Jellyfish, iProspect, DEPT, AdVenture Media</t>
  </si>
  <si>
    <t>310creative.com</t>
  </si>
  <si>
    <t>Top 7 AI Digital Marketing Agencies in the USA 2026</t>
  </si>
  <si>
    <t>Momentum, Directive</t>
  </si>
  <si>
    <t>Huge, NoGood, Viral Nation, SmartSites</t>
  </si>
  <si>
    <t>42dm.net</t>
  </si>
  <si>
    <t>https://agencylist.com/services/programmatic-display-and-video/us/</t>
  </si>
  <si>
    <t>NoGood, Single Grain, Intero Digital, Avenue Z, Victorious, Marcel Digital, Clutch</t>
  </si>
  <si>
    <t>Top Programmatic Display and Video Agencies in United States</t>
  </si>
  <si>
    <t>abbacustechnologies.com</t>
  </si>
  <si>
    <t>https://brandmentions.com/wiki/Top_advertising_agencies_in_USA#:~:text=Renowned%20for%20its%20mantra%2C%20%E2%80%9CThe%20Work.%20The,results.%20%2D%2072andSunny%20%E2%80%93%20Los%20Angeles%2C%20CA.</t>
  </si>
  <si>
    <t>Measured, IBM, McKinsey, Anomaly</t>
  </si>
  <si>
    <t>addepto.com</t>
  </si>
  <si>
    <t>Top advertising agencies in USA - BrandMentions Wiki</t>
  </si>
  <si>
    <t>McKinsey, IBM, Clutch, BCG, Anomaly</t>
  </si>
  <si>
    <t>Wieden+Kennedy, Droga5, Accenture Song, Ogilvy, BBDO, 72andSunny, R/GA, TBWA\Chiat\Day, Dentsu, LYFE Marketing</t>
  </si>
  <si>
    <t>adobe.com</t>
  </si>
  <si>
    <t>https://www.chiefoutsiders.com/ai</t>
  </si>
  <si>
    <t>AI Marketing &amp;amp; Sales Consultants | Chief Outsiders</t>
  </si>
  <si>
    <t>agencymb.com</t>
  </si>
  <si>
    <t>Dentsu, Measured, WPP</t>
  </si>
  <si>
    <t>https://clutch.co/consulting/ai/strategy</t>
  </si>
  <si>
    <t>aiadvantageagency.com</t>
  </si>
  <si>
    <t>Top AI Strategy Companies - Jul 2026 Rankings \| Clutch.co</t>
  </si>
  <si>
    <t>Northbeam, Triple Whale, Dentsu, Disruptive Advertising, KlientBoost, MuteSix, Common Thread Collective, LYFE Marketing</t>
  </si>
  <si>
    <t>https://clutch.co/seo-firms/generative-engine-optimization</t>
  </si>
  <si>
    <t>animalz.co</t>
  </si>
  <si>
    <t>Top Generative Engine Optimization (GEO) Companies - Jul 2026 Rankings | Clutch.co</t>
  </si>
  <si>
    <t>Momentum, NoGood, iPullRank, Omniscient Digital, First Page Sage, Go Fish Digital, Animalz, Avenue Z, RevenueZen, Stratabeat</t>
  </si>
  <si>
    <t>Clutch, Victorious, Funnel Boost Media, NinjaPromo, WebFX, Intero Digital, Ignite Visibility, Elit-Web, HawkSEM, Siege Media, Huge, The SEO Works, Thrive Internet Marketing Agency</t>
  </si>
  <si>
    <t>auditynow.com</t>
  </si>
  <si>
    <t>https://compass-360.ai/</t>
  </si>
  <si>
    <t>Momentum, NoGood, BCG</t>
  </si>
  <si>
    <t>benly.ai</t>
  </si>
  <si>
    <t>Rockerbox, Measured, Northbeam, Triple Whale, Ruler Analytics, Anomaly</t>
  </si>
  <si>
    <t>bigspy.com</t>
  </si>
  <si>
    <t>https://coolnerdsmarketing.com/top-digital-marketing-agencies-us/</t>
  </si>
  <si>
    <t>Tinuiti, Power Digital, Brainlabs, NoGood, inBeat, NinjaPromo</t>
  </si>
  <si>
    <t>Top 17 Digital Marketing Agencies in the U.S. (January 2026)</t>
  </si>
  <si>
    <t>blog.google</t>
  </si>
  <si>
    <t>Refine Labs, Intero Digital, Single Grain, Power Digital, KlientBoost, VaynerMedia, inBeat, Publicis Groupe</t>
  </si>
  <si>
    <t>brafton.com</t>
  </si>
  <si>
    <t>https://derivatex.agency/blog/best-aeo-agencies-usa/</t>
  </si>
  <si>
    <t>Momentum, Measured</t>
  </si>
  <si>
    <t>6 Best AEO Agencies in the USA for B2B SaaS (2026)</t>
  </si>
  <si>
    <t>businessgoalmag.com</t>
  </si>
  <si>
    <t>Siege Media, Directive, RevenueZen, iPullRank, Clutch, Omniscient Digital</t>
  </si>
  <si>
    <t>https://www.designrush.com/agency/paid-media-pay-per-click/google-adwords/us</t>
  </si>
  <si>
    <t>Ogilvy, NP Digital, Wieden+Kennedy, BBDO, Droga5, VaynerMedia, R/GA, Pentagram, Monks</t>
  </si>
  <si>
    <t>Top Google Ads Agencies in the USA | DesignRush</t>
  </si>
  <si>
    <t>businesswire.com</t>
  </si>
  <si>
    <t>SmartSites, Searchbloom, Huge, Disruptive Advertising, Funnel Boost Media, Silverback Strategies, Intero Digital, KlientBoost, Elit-Web, Major Tom, IBM, AdVenture Media</t>
  </si>
  <si>
    <t>https://firstpagesage.com/seo-blog/the-top-generative-engine-optimization-geo-agencies/</t>
  </si>
  <si>
    <t>The Top Generative Engine Optimization (GEO) Agencies of 2026 – First Page Sage</t>
  </si>
  <si>
    <t>First Page Sage</t>
  </si>
  <si>
    <t>https://firstpagesage.com/seo-blog/top-digital-marketing-agencies/</t>
  </si>
  <si>
    <t>cairrot.com</t>
  </si>
  <si>
    <t>The Top Digital Marketing Agencies of 2026 – First Page Sage</t>
  </si>
  <si>
    <t>Directive, iPullRank, Momentum, Clutch</t>
  </si>
  <si>
    <t>First Page Sage, Viral Nation, Epsilon, Sociallyin, Metric Theory, Clay</t>
  </si>
  <si>
    <t>https://www.forrester.com/press-newsroom/forrester-nine-in-10-us-marketing-agencies-use-ai-to-cut-costs-at-the-expense-of-creativity/</t>
  </si>
  <si>
    <t>cmswire.com</t>
  </si>
  <si>
    <t>Momentum, Measured, McKinsey, QuantumBlack</t>
  </si>
  <si>
    <t>Forrester: Nine In 10 US Marketing Agencies Use AI To Cut Costs At The Expense Of Creativity - Forrester</t>
  </si>
  <si>
    <t>collegian.com</t>
  </si>
  <si>
    <t>WebFX, iPullRank, Omniscient Digital, First Page Sage, Single Grain, RevenueZen</t>
  </si>
  <si>
    <t>https://www.gartner.com/reviews/market/b2b-multitouch-attribution-tools</t>
  </si>
  <si>
    <t>commonthreadco.com</t>
  </si>
  <si>
    <t>Best B2B Multitouch Attribution Tools Reviews 2026 \| Gartner Peer Insights</t>
  </si>
  <si>
    <t>Common Thread Collective</t>
  </si>
  <si>
    <t>Triple Whale, Northbeam, HockeyStack, Ruler Analytics, SegmentStream</t>
  </si>
  <si>
    <t>https://www.goodfirms.co/advertising-companies/creative/usa</t>
  </si>
  <si>
    <t>cornerstonecontent.com</t>
  </si>
  <si>
    <t>Top Creative Agencies in the United States - 2026 Reviews | Goodfirms</t>
  </si>
  <si>
    <t>Omniscient Digital, First Page Sage, Single Grain, Animalz, Avenue Z, Marcel Digital, RevenueZen</t>
  </si>
  <si>
    <t>Brighter Click, SmartSites, PMG</t>
  </si>
  <si>
    <t>https://inbeat.agency/blog/top-digital-marketing-agencies-in-the-us</t>
  </si>
  <si>
    <t>craftandroot.com</t>
  </si>
  <si>
    <t>The Digital Marketing Agencies We'd Consider First in the US - inBeat Agency</t>
  </si>
  <si>
    <t>Dentsu, Disruptive Advertising, WebFX, Ignite Visibility, SmartSites, Clutch, Thrive Internet Marketing Agency, Measured, Clay</t>
  </si>
  <si>
    <t>inBeat, Nielsen, WebFX, Disruptive Advertising, NoGood, Victorious, Thrive Internet Marketing Agency, Directive, Tinuiti, Clutch, Wpromote, Power Digital, SmartSites, KlientBoost, HawkSEM, Siege Media, Seer Interactive, Intero Digital, Measured, Graphite</t>
  </si>
  <si>
    <t>cygnal.co</t>
  </si>
  <si>
    <t>https://www.krowdbase.com/top-marketing-analytics-companies</t>
  </si>
  <si>
    <t>Top Marketing Analytics Companies 2026</t>
  </si>
  <si>
    <t>dawnmarketing.com</t>
  </si>
  <si>
    <t>https://leadsrx.com/resource/35-marketing-attribution-software-companies/</t>
  </si>
  <si>
    <t>dentsu.com</t>
  </si>
  <si>
    <t>35 Best Marketing Attribution Software For You to Consider</t>
  </si>
  <si>
    <t>Dentsu, Merkle, iProspect</t>
  </si>
  <si>
    <t>digipims.com</t>
  </si>
  <si>
    <t>Neustar, Nielsen, Rockerbox, Ruler Analytics, Measured, Huge</t>
  </si>
  <si>
    <t>https://lengreo.com/ai-search-marketing-agencies/</t>
  </si>
  <si>
    <t>VaynerMedia, Amsive, Thrive Internet Marketing Agency</t>
  </si>
  <si>
    <t>13 Best AI Search Marketing Companies for Smarter Growth (2026)</t>
  </si>
  <si>
    <t>digitalrhinos.com</t>
  </si>
  <si>
    <t>WebFX, Keenfolks, Clutch</t>
  </si>
  <si>
    <t>Disruptive Advertising, NoGood, Siege Media, KlientBoost, Directive, Single Grain, Refine Labs, Animalz, Clutch, Hey Digital</t>
  </si>
  <si>
    <t>https://mma.com/solutions/unified-marketing-measurement/</t>
  </si>
  <si>
    <t>dmcinsider.com</t>
  </si>
  <si>
    <t>Unified Marketing Measurement Solutions | Ipsos MMA</t>
  </si>
  <si>
    <t>Accenture Song, Deloitte Digital, Rockerbox, Merkle, Nielsen, Epsilon, Neustar, Bounteous, TransUnion, InfoTrust, LatentView Analytics</t>
  </si>
  <si>
    <t>dontpaniclondon.com</t>
  </si>
  <si>
    <t>https://www.moburst.com/blog/best-web-marketing-agencies-usa/</t>
  </si>
  <si>
    <t>Best Web Marketing Agencies in the USA Right Now | Moburst</t>
  </si>
  <si>
    <t>economictimes.com</t>
  </si>
  <si>
    <t>Ignite Visibility, Disruptive Advertising, Power Digital, WebFX, NoGood, KlientBoost, Momentum</t>
  </si>
  <si>
    <t>IBM, Momentum, Kantar, WPP, BCG, Publicis Sapient</t>
  </si>
  <si>
    <t>https://www.mordorintelligence.com/industry-reports/united-states-marketing-analytics-market/companies</t>
  </si>
  <si>
    <t>evolveamz.com</t>
  </si>
  <si>
    <t>Siege Media, NP Digital, Single Grain, Animalz</t>
  </si>
  <si>
    <t>United States Marketing Analytics Companies - Top Players' List</t>
  </si>
  <si>
    <t>experian.com</t>
  </si>
  <si>
    <t>IBM, Neustar, Nielsen</t>
  </si>
  <si>
    <t>exposureninja.com</t>
  </si>
  <si>
    <t>https://partnersdirectory.withgoogle.com/?authuser=0&amp;gmbsrc=us-en-ot-gs-z-gmb-s-z-h%7Ebgcceg-learn-u-ahpm-0000000179-0000000001-ahpm-0000000189-0000000001%7C-ahpm-0000000179-0000000001-ahpm-0000000179-0000000000-ahpm-0000000175-0000000001-ahpm-0000000200-0000000000-ahpm-0000000200-0000000002-ahpm-0000000200-0000000001-ahpm-0000000213-0000000000-ahpm-0000000200-0000000002%7C-ahpm-0000000179-0000000001-ahpm-0000000213-0000000001-ahpm-0000000200-0000000001%7C-ahpm-0000000179-0000000001-ahpm-0000000210-0000000000-0000000212-0000000000-0000000212-0000000001-0000000209-0000000001%7C-ahpm-0000000200-0000000000%7C-ahpm-0000000179-0000000001&amp;mcsubid=es-es-ha-g-mc-bkws&amp;premier=true&amp;subid=es-es-ha-Sh-bk-c-mrc%21o3-%7Cib%3Anone%7Cib%3A6653296821%7Cib%3A9279461727%7Cib%3A7966379274%7C0000000209-0000000001%7C-ahpm-0000000200-0000000000%7C-ahpm-0000000179-0000000001%7ECjwKCAjwnPOEBhA0EiwA609ReQijHby1yZ7TTk_DLiA0d1HW-5qBysn-N9u3Z4V8ZJUBAWUgiaWmXxoCZeMQAvD_BwE%7E%7Badgroup%7D%7Ekwd-296470545763%7E12694650149%7E512678186366</t>
  </si>
  <si>
    <t>https://www.saffronedge.com/blog/top-aeo-agency/#:~:text=10.%20Flying%20Cat%20Marketing%20%2D%20Strong%20B2B,fit%20for%20software%20companies%20and%20international%20growth.</t>
  </si>
  <si>
    <t>facebook.com</t>
  </si>
  <si>
    <t>Top 10+ Answer Engine Optimization Companies in the USA</t>
  </si>
  <si>
    <t>g-co.agency</t>
  </si>
  <si>
    <t>LYFE Marketing, Power Digital, First Page Sage</t>
  </si>
  <si>
    <t>First Page Sage, Searchbloom, iPullRank, NoGood, Marcel Digital, Clutch</t>
  </si>
  <si>
    <t>https://smacient.com/top-geo-agencies-in-the-usa/</t>
  </si>
  <si>
    <t>gen-optima.com</t>
  </si>
  <si>
    <t>Top GEO Agencies in the USA - Smacient</t>
  </si>
  <si>
    <t>iPullRank, Omniscient Digital, First Page Sage, Siege Media, Single Grain, Intero Digital, Go Fish Digital, Victorious, WebFX, Measured</t>
  </si>
  <si>
    <t>getadlib.com</t>
  </si>
  <si>
    <t>First Page Sage, Intero Digital, Directive, Stratabeat</t>
  </si>
  <si>
    <t>https://www.sortlist.com/s/ai-marketing/united-states-us</t>
  </si>
  <si>
    <t>gitnux.org</t>
  </si>
  <si>
    <t>The 10 Best AI Marketing Companies in the United States - 2026 Reviews</t>
  </si>
  <si>
    <t>Dentsu, Accenture Song, Merkle, Publicis Groupe, WPP, AKQA, VML, GroupM, IBM, Clutch, PwC</t>
  </si>
  <si>
    <t>https://sourceloop.ai/blog/best-marketing-measurement-tools/</t>
  </si>
  <si>
    <t>gogloby.com</t>
  </si>
  <si>
    <t>10 Best Marketing Measurement Tools: Compared in 2026 | SourceLoop</t>
  </si>
  <si>
    <t>McKinsey, IBM, Clutch, QuantumBlack, BCG, Huge, Momentum, Measured</t>
  </si>
  <si>
    <t>gracker.ai</t>
  </si>
  <si>
    <t>Northbeam, Triple Whale, Measured, Recast, INCRMNTAL, Rockerbox, Sellforte, Analytic Partners, Cometly, Nielsen, TransUnion</t>
  </si>
  <si>
    <t>https://thedigitalelevator.com/blog/best-ai-seo-agencies/</t>
  </si>
  <si>
    <t>NoGood, Single Grain, Daydream, Avenue Z, Clay</t>
  </si>
  <si>
    <t>gripped.io</t>
  </si>
  <si>
    <t>The 10 Best AI SEO Agencies in 2026 | Digital Elevator</t>
  </si>
  <si>
    <t>Graphite, Siege Media, Intero Digital, iPullRank, Go Fish Digital</t>
  </si>
  <si>
    <t>Momentum, Directive, Ogilvy, Incubeta, Croud, Dentsu, Accenture Song, Brainlabs, Merkle, Measured, Jellyfish, Publicis Groupe, iProspect, VML</t>
  </si>
  <si>
    <t>https://wildnetmarketing.agency/blog/best-performance-marketing-agencies-in-usa/</t>
  </si>
  <si>
    <t>helloroketto.com</t>
  </si>
  <si>
    <t>Best Performance Marketing Agencies in USA 2026</t>
  </si>
  <si>
    <t>PwC, McKinsey, QuantumBlack, Clutch, BCG, Bain &amp; Company, IBM, NoGood, Major Tom</t>
  </si>
  <si>
    <t>Merkle, Ogilvy, VML, Digitas, iProspect, Accenture Song, Deloitte Digital, Publicis Groupe, Dentsu</t>
  </si>
  <si>
    <t>https://ads.google.com/intl/us-EN/home/partners/work-with-a-partner/</t>
  </si>
  <si>
    <t>hikemytraffic.com</t>
  </si>
  <si>
    <t>WebFX, Victorious, Omniscient Digital, Siege Media, Directive, NP Digital, Single Grain, Clutch, McKinsey</t>
  </si>
  <si>
    <t>https://amworldgroup.com/best/digital-marketing-agency-worldwide</t>
  </si>
  <si>
    <t>hivergentai.com</t>
  </si>
  <si>
    <t>Best Digital Marketing Agencies Worldwide (2026) | AMW®</t>
  </si>
  <si>
    <t>https://www.architecturaldigest.com/story/is-your-business-ready-for-the-ai-overview-era</t>
  </si>
  <si>
    <t>iab.com</t>
  </si>
  <si>
    <t>ingestlabs.com</t>
  </si>
  <si>
    <t>Is Your Business Ready for the AI Overview Era? | Architectural Digest</t>
  </si>
  <si>
    <t>Dentsu, Disruptive Advertising, WebFX, First Page Sage, KlientBoost, Ogilvy, BBDO, Epsilon, Metric Theory, IBM, Clutch, Thrive Internet Marketing Agency</t>
  </si>
  <si>
    <t>intuz.com</t>
  </si>
  <si>
    <t>https://avidtrak.com/resource/best-market-attribution-software</t>
  </si>
  <si>
    <t>McKinsey, Clutch, Anomaly</t>
  </si>
  <si>
    <t>9 Best Marketing Attribution Software for Agencies</t>
  </si>
  <si>
    <t>ishir.com</t>
  </si>
  <si>
    <t>Momentum, Clutch</t>
  </si>
  <si>
    <t>Ruler Analytics, Nielsen</t>
  </si>
  <si>
    <t>https://brillmedia.co/resources/best-display-advertising-agencies/</t>
  </si>
  <si>
    <t>m8l.com</t>
  </si>
  <si>
    <t>NoGood, First Page Sage, Siege Media, Avenue Z</t>
  </si>
  <si>
    <t>Best Display Advertising Agencies | Brill Media</t>
  </si>
  <si>
    <t>marketersmedia.com</t>
  </si>
  <si>
    <t>WebFX</t>
  </si>
  <si>
    <t>https://clutch.co/agencies/ppc/display%3Fpage%3D0</t>
  </si>
  <si>
    <t>iPullRank, Omniscient Digital, Single Grain, Go Fish Digital, Intero Digital, Avenue Z, Victorious</t>
  </si>
  <si>
    <t>martechoutlook.com</t>
  </si>
  <si>
    <t>Clutch, Elit-Web, AdVenture Media, NinjaPromo, Storm Brain, Huge, The SEO Works</t>
  </si>
  <si>
    <t>https://clutch.co/us/agencies/digital-marketing/enterprise</t>
  </si>
  <si>
    <t>LiftLab</t>
  </si>
  <si>
    <t>medianug.com</t>
  </si>
  <si>
    <t>Top Digital Marketing Agencies for Enterprise in the United States - Jul 2026 Rankings | Clutch.co</t>
  </si>
  <si>
    <t>Clutch, Thrive Internet Marketing Agency, Intero Digital, Disruptive Advertising, Ignite Visibility, Elit-Web, NinjaPromo, HawkSEM, WebFX, KlientBoost, Victorious, Siege Media, Searchbloom, Marcel Digital, Brighter Click, Storm Brain, Power Digital</t>
  </si>
  <si>
    <t>Power Digital, Tinuiti, WebFX, Disruptive Advertising, Wpromote, KlientBoost, Directive, NP Digital, VaynerMedia, Momentum</t>
  </si>
  <si>
    <t>https://www.cometly.com/post/incrementality-testing-software</t>
  </si>
  <si>
    <t>medium.com</t>
  </si>
  <si>
    <t>Best Incrementality Testing Software Tools Guide 2026</t>
  </si>
  <si>
    <t>Cometly, Measured, Rockerbox, Northbeam, Haus, Recast</t>
  </si>
  <si>
    <t>Dentsu, Accenture Song, Deloitte Digital, Ogilvy, Merkle, Wieden+Kennedy, Publicis Groupe, BBDO, Epsilon, IBM, Omnicom Media Group</t>
  </si>
  <si>
    <t>https://www.fieldtrip.agency/post/best-ai-marketing-agencies#:~:text=The%20agency%20offers%20proprietary%20Integrative%20AI%C2%AE%20methodology,local%20implementation%20in%20more%20than%2040%20markets.</t>
  </si>
  <si>
    <t>mikekhorev.com</t>
  </si>
  <si>
    <t>Intero Digital</t>
  </si>
  <si>
    <t>Best AI Marketing Agencies Building the Next Era of Advertising</t>
  </si>
  <si>
    <t>Jellyfish, Keenfolks, Monks, Superside, Single Grain, Wpromote, TransUnion, Brainlabs, Measured, Power Digital, McKinsey, QuantumBlack, inBeat</t>
  </si>
  <si>
    <t>mmaglobal.com</t>
  </si>
  <si>
    <t>https://www.goodfirms.co/advertising-companies/programmatic</t>
  </si>
  <si>
    <t>Top Programmatic Advertising Companies - 2026 Reviews | Goodfirms</t>
  </si>
  <si>
    <t>nectivdigital.com</t>
  </si>
  <si>
    <t>Funnel Boost Media, The SEO Works, Daydream</t>
  </si>
  <si>
    <t>https://www.goodfirms.co/directory/country/top-digital-marketing-companies/advertising-ppc/usa</t>
  </si>
  <si>
    <t>Huge, iPullRank, Ignite Visibility, Siege Media, Go Fish Digital</t>
  </si>
  <si>
    <t>netpeak.us</t>
  </si>
  <si>
    <t>Top PPC Agencies in the USA - 2026 Reviews | Goodfirms</t>
  </si>
  <si>
    <t>https://www.goodfirms.co/directory/country/top-digital-marketing-companies/media-planning-buying/usa</t>
  </si>
  <si>
    <t>neuralcapital.ai</t>
  </si>
  <si>
    <t>Top Media Buying Agencies in the United States - 2026 Reviews | Goodfirms</t>
  </si>
  <si>
    <t>Momentum, Optimist</t>
  </si>
  <si>
    <t>WebFX, SmartSites, Elit-Web</t>
  </si>
  <si>
    <t>newengen.com</t>
  </si>
  <si>
    <t>https://grizzle.io/blog/best-generative-engine-optimization-agencies-for-b2b</t>
  </si>
  <si>
    <t>6 best generative engine optimization (GEO) agencies for B2B to grow AI visibility in 2026</t>
  </si>
  <si>
    <t>New Engen, Power Digital, Tinuiti, Wpromote, Measured, TransUnion</t>
  </si>
  <si>
    <t>nexusexpertresearch.co</t>
  </si>
  <si>
    <t>Siege Media, Omniscient Digital, IBM, Measured, Brainlabs, Tinuiti</t>
  </si>
  <si>
    <t>https://www.gtm8020.com/blog/marketing-analytics-agencies-b2b</t>
  </si>
  <si>
    <t>PwC, McKinsey, IBM, QuantumBlack, BCG</t>
  </si>
  <si>
    <t>nga.mil</t>
  </si>
  <si>
    <t>The 7 Best Marketing Analytics Agencies for B2B in 2026 — GTM 8020</t>
  </si>
  <si>
    <t>Directive, Clutch, Omniscient Digital, NP Digital</t>
  </si>
  <si>
    <t>https://www.intlda.com/</t>
  </si>
  <si>
    <t>ogilvy.com</t>
  </si>
  <si>
    <t>INTLDA | Data &amp;amp; AI Consulting Firm</t>
  </si>
  <si>
    <t>Ogilvy, IBM, Huge, Momentum, Deloitte Digital, WPP, Victorious, Graphite</t>
  </si>
  <si>
    <t>powerdigitalmarketing.com</t>
  </si>
  <si>
    <t>https://liftlab.com/blog/best-mmm-platforms-2026/</t>
  </si>
  <si>
    <t>Power Digital, NoGood</t>
  </si>
  <si>
    <t>Best MMM Platforms 2026: LiftLab vs Measured vs Recast vs Haus</t>
  </si>
  <si>
    <t>prometheusagency.co</t>
  </si>
  <si>
    <t>LiftLab, Measured, Recast, Haus</t>
  </si>
  <si>
    <t>https://www.measured.com/faq/top-10-best-media-mix-modeling-companies-software-for-2025/</t>
  </si>
  <si>
    <t>Momentum, Measured, Directive, Anomaly</t>
  </si>
  <si>
    <t>ranktracker.com</t>
  </si>
  <si>
    <t>Top 10 Best Media Mix Modeling Companies &amp; Software for 2026</t>
  </si>
  <si>
    <t>IBM, Momentum, First Page Sage, Ignite Visibility, Single Grain, Intero Digital, Clutch</t>
  </si>
  <si>
    <t>Measured, Nielsen, Circana, Analytic Partners, Kantar, Neustar, TransUnion, Gain Theory, WPP, Recast</t>
  </si>
  <si>
    <t>rebootonline.com</t>
  </si>
  <si>
    <t>https://museaward.com/top-agencies.php</t>
  </si>
  <si>
    <t>MUSE Agency of the Year | MUSE Awards</t>
  </si>
  <si>
    <t>PMG, Brainlabs, Directive, WebFX, NP Digital, The SEO Works, Clutch</t>
  </si>
  <si>
    <t>https://neurons-lab.com/articles/top-ai-consulting-firms/</t>
  </si>
  <si>
    <t>revsure.ai</t>
  </si>
  <si>
    <t>Top AI Consulting Firms in 2026 for FSIs</t>
  </si>
  <si>
    <t>Momentum, HockeyStack, Ruler Analytics</t>
  </si>
  <si>
    <t>rhblake.com</t>
  </si>
  <si>
    <t>BCG, Momentum</t>
  </si>
  <si>
    <t>https://outreachz.com/blog/best-ai-marketing-agencies-2026/</t>
  </si>
  <si>
    <t>NoGood, WebFX, iPullRank, Omniscient Digital, First Page Sage, Ignite Visibility, Intero Digital, Avenue Z</t>
  </si>
  <si>
    <t>Best AI Marketing Agencies (2026): 10 Top Picks for Brands That Want Smarter Growth</t>
  </si>
  <si>
    <t>rocketium.ai</t>
  </si>
  <si>
    <t>Superside</t>
  </si>
  <si>
    <t>NoGood, Single Grain, NinjaPromo, NP Digital, Keenfolks, Hawke Media, Huge</t>
  </si>
  <si>
    <t>https://pikaseo.com/articles/best-ai-seo-agencies</t>
  </si>
  <si>
    <t>rocktherankings.com</t>
  </si>
  <si>
    <t>10 Best AI SEO Agencies (GEO &amp;amp; AEO) in 2026 | PikaSEO</t>
  </si>
  <si>
    <t>First Page Sage, Siege Media, Directive, Animalz, Victorious, The SEO Works, RevenueZen, Clutch</t>
  </si>
  <si>
    <t>rssing.com</t>
  </si>
  <si>
    <t>iPullRank, Single Grain, NoGood, Omniscient Digital, Directive, Siege Media, WebFX, Go Fish Digital, First Page Sage, Measured</t>
  </si>
  <si>
    <t>https://piperocket.digital/list/best-geo-agencies/</t>
  </si>
  <si>
    <t>Huge, WebFX, Omniscient Digital, iPullRank, First Page Sage, RevenueZen</t>
  </si>
  <si>
    <t>12 Best GEO (Generative Engine Optimization) Agencies 2026</t>
  </si>
  <si>
    <t>saas-hackers.com</t>
  </si>
  <si>
    <t>Clutch, iPullRank, First Page Sage, Omniscient Digital, RevenueZen, Single Grain, Animalz, WebFX, NoGood, Siege Media, KlientBoost, Power Digital</t>
  </si>
  <si>
    <t>https://www.plerdy.com/blog/digital-marketing-agencies-in-the-united-states/</t>
  </si>
  <si>
    <t>Tinuiti, Dentsu, Measured, Merkle, Seer Interactive, Silverback Strategies, Metric Theory</t>
  </si>
  <si>
    <t>Best Digital Marketing Agencies in the United States 2025 – Plerdy</t>
  </si>
  <si>
    <t>selectedfirms.co</t>
  </si>
  <si>
    <t>SmartSites, Ignite Visibility, KlientBoost, Disruptive Advertising, WebFX, Intero Digital, Storm Brain, Thrive Internet Marketing Agency</t>
  </si>
  <si>
    <t>Huge, Momentum, HawkSEM, Silverback Strategies, RevenueZen, AdVenture Media, Elit-Web, IBM, Clutch, Avenue Z</t>
  </si>
  <si>
    <t>https://www.ragan.com/press-releases/ragans-center-for-ai-strategy-launches-ai-team-readiness-assessment/</t>
  </si>
  <si>
    <t>seodiscovery.com</t>
  </si>
  <si>
    <t>Ragan’s Center for AI Strategy Launches AI Team Readiness Assessment - Ragan Communications</t>
  </si>
  <si>
    <t>Huge, WebFX, SmartSites, Searchbloom, Funnel Boost Media</t>
  </si>
  <si>
    <t>seostrategylab.com</t>
  </si>
  <si>
    <t>https://www.reddit.com/r/u_Large_Let1715/comments/1tdt8px/best_marketing_analytics_firms_a_complete/</t>
  </si>
  <si>
    <t>iPullRank, Single Grain, Darkroom, Omniscient Digital, Go Fish Digital, Thrive Internet Marketing Agency</t>
  </si>
  <si>
    <t>Best Marketing Analytics firms - a complete breakdown in the USA</t>
  </si>
  <si>
    <t>shiftelevates.com</t>
  </si>
  <si>
    <t>LatentView Analytics, Fractal Analytics</t>
  </si>
  <si>
    <t>https://respona.com/blog/answer-engine-optimization-agencies/#:~:text=NoGood%20is%20a%20growth%20marketing%20agency%20where,not%20as%20a%20bolt%2Don%20to%20traditional%20SEO.</t>
  </si>
  <si>
    <t>shopiator.com</t>
  </si>
  <si>
    <t>23 Best Answer Engine Optimization (AEO) Agencies in 2026</t>
  </si>
  <si>
    <t>Huge, Tinuiti, WebFX, Disruptive Advertising, SmartSites, Ignite Visibility, KlientBoost, Directive, Single Grain, HawkSEM, Searchbloom, LYFE Marketing, Clutch</t>
  </si>
  <si>
    <t>shuttergen.com</t>
  </si>
  <si>
    <t>https://www.singlegrain.com/aeo/top-14-aeo-agencies-in-2025/</t>
  </si>
  <si>
    <t>Rockerbox, Northbeam, Common Thread Collective, Triple Whale</t>
  </si>
  <si>
    <t>signaldepth.com</t>
  </si>
  <si>
    <t>Top 14 AEO Agencies in 2025</t>
  </si>
  <si>
    <t>Single Grain, NoGood, RevenueZen, iPullRank, WebFX, First Page Sage, SmartSites, Siege Media</t>
  </si>
  <si>
    <t>https://www.sortlist.com/s/international-marketing/united-states-us</t>
  </si>
  <si>
    <t>silverspoonagency.com</t>
  </si>
  <si>
    <t>The 10 Best International Marketing Agencies in the United States - 2026 Reviews</t>
  </si>
  <si>
    <t>https://www.starfishco.com/branding/10-must%E2%80%91know-branding-agencies-in-2026-for-creative-campaigns/#:~:text=Anomaly%20is%20known%20for%20integrated%2C%20culture%E2%80%91forward%20campaigns,lines%20between%20advertising%2C%20experiences%2C%20and%20earned%20media.</t>
  </si>
  <si>
    <t>slashdot.org</t>
  </si>
  <si>
    <t>10 Must‑Know Branding Agencies in 2026 for Creative Campaigns - Starfish</t>
  </si>
  <si>
    <t>Rockerbox, Measured, Haus, Analytic Partners, Sellforte, Recast, LifeSight, Momentum</t>
  </si>
  <si>
    <t>sociallypowerful.com</t>
  </si>
  <si>
    <t>Clutch, Pentagram, Wolff Olins, Momentum, Superside, Anomaly, McKinsey</t>
  </si>
  <si>
    <t>https://www.superside.com/blog/ad-creative-agencies</t>
  </si>
  <si>
    <t>Web Tonic, WebFX, NoGood, Ignite Visibility, inBeat, AKQA, R/GA, Disruptive Advertising, SmartSites, BBDO</t>
  </si>
  <si>
    <t>statista.com</t>
  </si>
  <si>
    <t>12 Top Ad Creative Agencies for Enterprises &amp;amp; Brands (2026)</t>
  </si>
  <si>
    <t>Superside, Anomaly, Droga5, Wieden+Kennedy, 72andSunny, Ogilvy, Accenture Song, BBDO</t>
  </si>
  <si>
    <t>https://www.superside.com/blog/ai-design-agencies</t>
  </si>
  <si>
    <t>Dentsu, Publicis Groupe, WPP</t>
  </si>
  <si>
    <t>stonehillinnovation.com</t>
  </si>
  <si>
    <t>Top 11 AI Design Agencies &amp;amp; Studios for Creative Innovation in 2026</t>
  </si>
  <si>
    <t>Superside, McKinsey, Clutch, Pentagram, Major Tom, Huge</t>
  </si>
  <si>
    <t>https://agencyanalytics.com/blog/best-marketing-analytics-tools</t>
  </si>
  <si>
    <t>stridec.com</t>
  </si>
  <si>
    <t>Best Marketing Analytics Tools for Agencies in 2026 - AgencyAnalytics</t>
  </si>
  <si>
    <t>WebFX, Siege Media, First Page Sage</t>
  </si>
  <si>
    <t>thehackettgroup.com</t>
  </si>
  <si>
    <t>https://aimadethisbrand.com/government-ai-consulting/</t>
  </si>
  <si>
    <t>therealsocialcompany.com</t>
  </si>
  <si>
    <t>Government AI Consulting &amp;amp; Training | Georgia Certified | AI Made This Brand</t>
  </si>
  <si>
    <t>IBM, McKinsey</t>
  </si>
  <si>
    <t>https://www.charleagency.com/articles/top-social-media-marketing-agencies/</t>
  </si>
  <si>
    <t>topbrandingagencies.io</t>
  </si>
  <si>
    <t>Top 12 Social Media Agencies USA (2026) | Charle</t>
  </si>
  <si>
    <t>Wieden+Kennedy, BBDO, 72andSunny, Clay, Wolff Olins</t>
  </si>
  <si>
    <t>The Social Shepherd, Disruptive Advertising, Sociallyin, LYFE Marketing, NoGood, inBeat, Silverback Strategies, Clutch, Momentum</t>
  </si>
  <si>
    <t>trustradius.com</t>
  </si>
  <si>
    <t>https://clutch.co/us/seo-firms/generative-engine-optimization%3Fpage%3D2</t>
  </si>
  <si>
    <t>tryxlr8.ai</t>
  </si>
  <si>
    <t>Clutch, Funnel Boost Media, WebFX, Intero Digital, Ignite Visibility, Elit-Web, Victorious, HawkSEM, Siege Media, Thrive Internet Marketing Agency</t>
  </si>
  <si>
    <t>https://clutch.co/us/seo-firms/generative-engine-optimization%3Fpage%3D4</t>
  </si>
  <si>
    <t>WebFX, iPullRank, Omniscient Digital, Directive, Measured, First Page Sage, Siege Media, Go Fish Digital, Graphite</t>
  </si>
  <si>
    <t>usanews.com</t>
  </si>
  <si>
    <t>Clutch, Funnel Boost Media, WebFX, Intero Digital, Ignite Visibility, Elit-Web, Victorious, HawkSEM, Thrive Internet Marketing Agency</t>
  </si>
  <si>
    <t>https://www.designrush.com/agency/digital-marketing/trends/incrementality-testing</t>
  </si>
  <si>
    <t>Disruptive Advertising, WebFX, Ignite Visibility, SmartSites</t>
  </si>
  <si>
    <t>valasys.com</t>
  </si>
  <si>
    <t>Incrementality Testing: Measure True Marketing Impact</t>
  </si>
  <si>
    <t>Measured, Silverback Strategies, Power Digital</t>
  </si>
  <si>
    <t>NoGood, iPullRank, First Page Sage, Siege Media, Single Grain, Thrive Internet Marketing Agency</t>
  </si>
  <si>
    <t>https://www.einpresswire.com/article/845296836/digital-agency-network-s-comprehensive-ai-agency-directory-to-spotlight-the-future-of-marketing-in-the-usa</t>
  </si>
  <si>
    <t>vaynermedia.com</t>
  </si>
  <si>
    <t>Digitas, VaynerMedia</t>
  </si>
  <si>
    <t>Digital Agency Network’s Comprehensive AI Agency Directory to Spotlight the Future of Marketing in the USA</t>
  </si>
  <si>
    <t>viewed.video</t>
  </si>
  <si>
    <t>PwC, McKinsey, IBM, Bain &amp; Company, BCG</t>
  </si>
  <si>
    <t>warroominc.com</t>
  </si>
  <si>
    <t>Major Tom, NoGood, Clay, SmartSites</t>
  </si>
  <si>
    <t>https://gaper.io/best-aeo-agencies</t>
  </si>
  <si>
    <t>Best AEO Agencies in 2026: Answer Engine Optimization Shortlist · Gaper</t>
  </si>
  <si>
    <t>welcometothejungle.com</t>
  </si>
  <si>
    <t>Clutch, Directive, NoGood</t>
  </si>
  <si>
    <t>https://gemfind.com/blogs/digital-marketing/google-marketing-partner</t>
  </si>
  <si>
    <t>Top 3 Essential Google Marketing Partner Tips – GemFind Digital Solutions</t>
  </si>
  <si>
    <t>Monks, DEPT</t>
  </si>
  <si>
    <t>https://getrecast.com/experimentation/</t>
  </si>
  <si>
    <t>winmo.com</t>
  </si>
  <si>
    <t>Experimentation - Recast</t>
  </si>
  <si>
    <t>Recast</t>
  </si>
  <si>
    <t>https://improvado.io/blog/multi-touch-attribution-solutions</t>
  </si>
  <si>
    <t>Dentsu, WPP, BBDO, VML, Horizon Media, Monks</t>
  </si>
  <si>
    <t>wk.com</t>
  </si>
  <si>
    <t>12 Best Multi-Touch Attribution Solutions (2026)</t>
  </si>
  <si>
    <t>Rockerbox, Triple Whale, SegmentStream, Northbeam, HockeyStack, Ruler Analytics, Neustar</t>
  </si>
  <si>
    <t>wolfable.com</t>
  </si>
  <si>
    <t>https://inbeat.agency/blog/top-social-media-agencies-in-the-us</t>
  </si>
  <si>
    <t>Momentum, Measured, Ogilvy, Superside, 72andSunny, AKQA, Wieden+Kennedy, BBDO, WPP, Droga5, VML, The Social Shepherd, Anomaly</t>
  </si>
  <si>
    <t>21 US Social Media Agencies We Vetted (Based on Real Data) - inBeat Agency</t>
  </si>
  <si>
    <t>inBeat, Nielsen, Clutch, Sociallyin, LYFE Marketing, VaynerMedia, NoGood, Tinuiti, Wpromote, MuteSix, NinjaPromo, Huge, Momentum</t>
  </si>
  <si>
    <t>https://liftlab.com/platform/incrementality-testing-engine/</t>
  </si>
  <si>
    <t>xcelacore.com</t>
  </si>
  <si>
    <t>Incrementality Testing &amp;amp; GEO Experimentation Platform | LiftLab</t>
  </si>
  <si>
    <t>PwC, BCG, Slalom</t>
  </si>
  <si>
    <t>https://liftlab.com/solutions/incrementality-testing/</t>
  </si>
  <si>
    <t>zeroado.com</t>
  </si>
  <si>
    <t>Incrementality Testing &amp;amp; MMM Calibration | LiftLab</t>
  </si>
  <si>
    <t>https://minuttia.com/best-geo-agencies/</t>
  </si>
  <si>
    <t>Clutch, Huge, IBM</t>
  </si>
  <si>
    <t>zymr.com</t>
  </si>
  <si>
    <t>10 Best Generative Engine Optimization (GEO) Agencies 2026</t>
  </si>
  <si>
    <t>Measured, McKinsey, Bain &amp; Company</t>
  </si>
  <si>
    <t>Intero Digital, Clutch, Huge, Measured</t>
  </si>
  <si>
    <t>https://www.munro.agency/top-geo-agencies/</t>
  </si>
  <si>
    <t>aisuperior.com</t>
  </si>
  <si>
    <t>Top 13 GEO Agencies</t>
  </si>
  <si>
    <t>Siege Media, First Page Sage, Omniscient Digital, Go Fish Digital</t>
  </si>
  <si>
    <t>https://www.munro.agency/top-performance-marketing-agencies/</t>
  </si>
  <si>
    <t>hunterdigitalmarketing.com</t>
  </si>
  <si>
    <t>Top 15 Performance Marketing Agencies for 2026</t>
  </si>
  <si>
    <t>WebFX, Directive, Intero Digital, Viral Nation, Amsive</t>
  </si>
  <si>
    <t>https://www.newform.com/guides/best-paid-social-performance-creative-agencies-2026</t>
  </si>
  <si>
    <t>Disruptive Advertising, Ignite Visibility, KlientBoost, Clutch</t>
  </si>
  <si>
    <t>Best Paid Social Performance Creative Agencies in 2026 (Ranked) | NewForm</t>
  </si>
  <si>
    <t>greenbananaseo.com</t>
  </si>
  <si>
    <t>Darkroom, inBeat, MuteSix, Superside, NoGood, Directive, Measured, Dentsu</t>
  </si>
  <si>
    <t>https://ninjapromo.io/top-display-advertising-agencies</t>
  </si>
  <si>
    <t>Top 8 Display Advertising Agencies That Get You Seen in 2026</t>
  </si>
  <si>
    <t>indiehackers.com</t>
  </si>
  <si>
    <t>NinjaPromo, Measured, Momentum, Clutch</t>
  </si>
  <si>
    <t>https://presenc.ai/compare/measured-vs-haus-vs-statsig</t>
  </si>
  <si>
    <t>Tinuiti, Power Digital, NoGood, Disruptive Advertising, Measured, Directive, SmartSites, Common Thread Collective</t>
  </si>
  <si>
    <t>Measured vs Haus vs Statsig: Lift Testing Vendors | Presenc AI</t>
  </si>
  <si>
    <t>mediavision2020.com</t>
  </si>
  <si>
    <t>Measured, Haus</t>
  </si>
  <si>
    <t>https://rampiq.agency/blog/best-ai-search-b2b-marketing-agencies/</t>
  </si>
  <si>
    <t>WebFX, Ignite Visibility, IBM, Thrive Internet Marketing Agency, iPullRank, Silverback Strategies</t>
  </si>
  <si>
    <t>smartsites.com</t>
  </si>
  <si>
    <t>7 Best AI Search Agencies For B2B Marketing</t>
  </si>
  <si>
    <t>WebFX, Omniscient Digital, First Page Sage, Directive, Siege Media, Single Grain</t>
  </si>
  <si>
    <t>https://www.reddit.com/r/TheTopAgencies/comments/1me9pid/the_best_digital_marketing_agencies_in_the_united/</t>
  </si>
  <si>
    <t>SmartSites, Huge, Clutch</t>
  </si>
  <si>
    <t>aiag.org</t>
  </si>
  <si>
    <t>The Best Digital Marketing Agencies In The United States</t>
  </si>
  <si>
    <t>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t>
  </si>
  <si>
    <t>https://www.reddit.com/r/agency/comments/1ok212i/performance_marketing_incrementality/</t>
  </si>
  <si>
    <t>braumillerconsulting.com</t>
  </si>
  <si>
    <t>Performance Marketing Incrementality</t>
  </si>
  <si>
    <t>Haus, Measured, Recast</t>
  </si>
  <si>
    <t>https://www.reddit.com/r/b2bmarketing/comments/1rl47cr/the_10_best_visibility_companies_and_agencies_for/#:~:text=Conductor%20is%20the%20enterprise%20tool%20behind%20the,else%20is%20doing.%20Lemonshadehere.%20%E2%80%A2%204mo%20ago.</t>
  </si>
  <si>
    <t>DEPT, BCG</t>
  </si>
  <si>
    <t>createscale.com</t>
  </si>
  <si>
    <t>The 10 Best Visibility Companies and Agencies for SEO and GEO?</t>
  </si>
  <si>
    <t>Seer Interactive, Funnel Boost Media, Huge, Siege Media, Single Grain, First Page Sage, iPullRank, Clutch, Directive</t>
  </si>
  <si>
    <t>https://segmentstream.com/blog/articles/measured-com-alternatives</t>
  </si>
  <si>
    <t>digitalapplied.com</t>
  </si>
  <si>
    <t>9 Best Measured Alternatives &amp;amp; Competitors for Incrementality Testing in 2026 — SegmentStream</t>
  </si>
  <si>
    <t>ALTERNATIVE</t>
  </si>
  <si>
    <t>Alternative</t>
  </si>
  <si>
    <t>SegmentStream, Measured, Haus, LifeSight, INCRMNTAL, Recast, LiftLab, Momentum, Sellforte</t>
  </si>
  <si>
    <t>https://www.sortlist.com/s/programmatic-advertising/united-states-us</t>
  </si>
  <si>
    <t>WPP, GroupM, PwC</t>
  </si>
  <si>
    <t>The 10 Best Programmatic Advertising Companies in the United States - 2026 Reviews</t>
  </si>
  <si>
    <t>evarigisconsulting.com</t>
  </si>
  <si>
    <t>https://strategylinc.com/</t>
  </si>
  <si>
    <t>StrategyLINC | AI Operations Consulting | Where Strategy Meets AI</t>
  </si>
  <si>
    <t>merkle.com</t>
  </si>
  <si>
    <t>Huge, Dentsu, Merkle, iProspect</t>
  </si>
  <si>
    <t>https://techradiant.co/agencies/generative-engine-optimization/</t>
  </si>
  <si>
    <t>movingminds.io</t>
  </si>
  <si>
    <t>Best Generative Engine Optimization Companies 2026 | Top GEO Experts - Techradiant</t>
  </si>
  <si>
    <t>Wieden+Kennedy, Droga5, BBDO, TBWA\Chiat\Day, Anomaly</t>
  </si>
  <si>
    <t>rsmus.com</t>
  </si>
  <si>
    <t>Intero Digital, RevenueZen, Directive</t>
  </si>
  <si>
    <t>https://www.thekeenfolks.com/#:~:text=To%20Fuel%20Your%20Greatness.%20Our%20Clients.%20K,Danone.%20Kellogg's.%20Diageo.%20Johnson%20%26%20Johnson.%20Reckitt.</t>
  </si>
  <si>
    <t>AI Marketing Agency | Keenfolks</t>
  </si>
  <si>
    <t>spicymargarita.co</t>
  </si>
  <si>
    <t>Keenfolks, DEPT</t>
  </si>
  <si>
    <t>https://themanifest.com/programmatic/agencies</t>
  </si>
  <si>
    <t>Go Fish Digital, Intero Digital</t>
  </si>
  <si>
    <t>venturemedia.io</t>
  </si>
  <si>
    <t>The Best Programmatic Advertising Companies - Jul 2026 | The Manifest</t>
  </si>
  <si>
    <t>Clutch, SmartSites, Funnel Boost Media, LYFE Marketing, Major Tom, NinjaPromo, AdVenture Media, Power Digital, The SEO Works, Accelerated Digital Media</t>
  </si>
  <si>
    <t>https://www.theverge.com/tech/900302/ai-seo-industry-google-search-chatgpt-gemini-marketing</t>
  </si>
  <si>
    <t>Sociallyin, Ignite Visibility, LYFE Marketing, VaynerMedia, Disruptive Advertising, Power Digital, Clutch, SmartSites</t>
  </si>
  <si>
    <t>12amagency.com</t>
  </si>
  <si>
    <t>Can AI responses be influenced? The SEO industry is trying | The Verge</t>
  </si>
  <si>
    <t>WebFX, Ignite Visibility, SmartSites, Thrive Internet Marketing Agency</t>
  </si>
  <si>
    <t>Huge, Recast</t>
  </si>
  <si>
    <t>617collective.com</t>
  </si>
  <si>
    <t>https://www.triplewhale.com/blog/incrementality-testing-methods</t>
  </si>
  <si>
    <t>A Guide to Incrementality Testing Methods: Different Ways to Measure True Marketing Impact | Triple Whale</t>
  </si>
  <si>
    <t>72andsunny.com</t>
  </si>
  <si>
    <t>Triple Whale</t>
  </si>
  <si>
    <t>https://www.wsiworld.com/our-services/ai-consulting</t>
  </si>
  <si>
    <t>72andSunny</t>
  </si>
  <si>
    <t>AI Consulting Services for Business Growth and Automation</t>
  </si>
  <si>
    <t>7span.com</t>
  </si>
  <si>
    <t>https://zipdo.co/service/marketing-analytics/</t>
  </si>
  <si>
    <t>a3online.com</t>
  </si>
  <si>
    <t>Best Marketing Analytics Services | 2026 Rankings</t>
  </si>
  <si>
    <t>aaaa.org</t>
  </si>
  <si>
    <t>Merkle, Dentsu, Publicis Groupe, WPP, Measured, Clutch</t>
  </si>
  <si>
    <t>https://www.20northmarketing.com/blog/top-ai-seo-experts</t>
  </si>
  <si>
    <t>abetheagency.com</t>
  </si>
  <si>
    <t>The Top AI SEO Experts in the US | Best AI SEO Agencies | 20North</t>
  </si>
  <si>
    <t>WebFX, Viral Nation, inBeat, Disruptive Advertising, NinjaPromo, NoGood, Measured, Directive, Acadia, Darkroom, Avenue Z, Clutch</t>
  </si>
  <si>
    <t>abry.com</t>
  </si>
  <si>
    <t>iPullRank, Omniscient Digital, First Page Sage, Siege Media</t>
  </si>
  <si>
    <t>https://aeo-collective.com/blog/top-10-aeo-geo-aio-marketing-agencies-in-april-2026/</t>
  </si>
  <si>
    <t>accentmarketing.com</t>
  </si>
  <si>
    <t>Top AEO Agencies for Boosting AI Search Visibility in 2026</t>
  </si>
  <si>
    <t>Discovered Labs, First Page Sage, Single Grain</t>
  </si>
  <si>
    <t>adaptiveco.io</t>
  </si>
  <si>
    <t>https://agencies.semrush.com/list/analytics-data-science/united-states/</t>
  </si>
  <si>
    <t>Best Data Analytics Services in United States 2026 | Semrush</t>
  </si>
  <si>
    <t>adasight.com</t>
  </si>
  <si>
    <t>Elit-Web, Silverback Strategies, WebFX</t>
  </si>
  <si>
    <t>https://agencies.semrush.com/list/ppc/united-states/</t>
  </si>
  <si>
    <t>Kantar, Rockerbox, Ruler Analytics, Cometly, SegmentStream</t>
  </si>
  <si>
    <t>adastracorp.com</t>
  </si>
  <si>
    <t>Best PPC Agencies in United States 2026 | Semrush</t>
  </si>
  <si>
    <t>SmartSites, Elit-Web, Clutch</t>
  </si>
  <si>
    <t>https://www.aikenhouse.com/post/best-ai-consulting-firms-that-go-beyond-strategy-decks</t>
  </si>
  <si>
    <t>McKinsey, IBM</t>
  </si>
  <si>
    <t>addwebsolution.com</t>
  </si>
  <si>
    <t>Best AI Consulting Firms That Go Beyond Strategy Decks | Aiken House Blog</t>
  </si>
  <si>
    <t>McKinsey, BCG, Superside, IBM</t>
  </si>
  <si>
    <t>NoGood, SmartSites, Single Grain, Clutch, Major Tom</t>
  </si>
  <si>
    <t>https://www.airconsulting.ai/</t>
  </si>
  <si>
    <t>adgeeks.agency</t>
  </si>
  <si>
    <t>Merkle, Kepler Group, Tinuiti, Dentsu, Jellyfish</t>
  </si>
  <si>
    <t>adspyder.io</t>
  </si>
  <si>
    <t>Dentsu, Accenture Song, Measured, Ogilvy, Merkle, Wieden+Kennedy, Publicis Groupe, R/GA, Droga5, Epsilon, WPP, 72andSunny, PwC, BBDO, iProspect, VML, Publicis Sapient, Anomaly</t>
  </si>
  <si>
    <t>https://www.amos-os.com/</t>
  </si>
  <si>
    <t>adzooma.com</t>
  </si>
  <si>
    <t>AI Marketing Operating System for Executive Leaders | AMOS</t>
  </si>
  <si>
    <t>Ogilvy, VML</t>
  </si>
  <si>
    <t>https://arxiv.org/abs/2606.16878</t>
  </si>
  <si>
    <t>agencyranks.com</t>
  </si>
  <si>
    <t>[2606.16878] Integrated Marketing Attribution: A Bayesian Framework for Privacy-Safe Granular Measurement Anchored in MMM</t>
  </si>
  <si>
    <t>https://www.barchart.com/story/news/1302801/11-best-ai-search-marketing-agencies-ranked-for-2026</t>
  </si>
  <si>
    <t>agenticmarketingpro.com</t>
  </si>
  <si>
    <t>11 Best AI Search Marketing Agencies Ranked for 2026</t>
  </si>
  <si>
    <t>ahrefs.com</t>
  </si>
  <si>
    <t>Momentum, Omniscient Digital, Siege Media, RevenueZen, Go Fish Digital, NoGood, First Page Sage, Intero Digital, WebFX, iPullRank</t>
  </si>
  <si>
    <t>https://www.businessofapps.com/marketplace/performance-marketing/</t>
  </si>
  <si>
    <t>ai360review.com</t>
  </si>
  <si>
    <t>Top Performance Marketing Agencies (2026) - Business of Apps</t>
  </si>
  <si>
    <t>The Social Shepherd, Measured, Incubeta, Directive</t>
  </si>
  <si>
    <t>https://clutch.co/us/agencies/ppc/display%3Fpage%3D2</t>
  </si>
  <si>
    <t>aiagents4cfo.com</t>
  </si>
  <si>
    <t>Clutch, Elit-Web, AdVenture Media, Storm Brain, Huge</t>
  </si>
  <si>
    <t>Measured, McKinsey, QuantumBlack, IBM, Anomaly</t>
  </si>
  <si>
    <t>https://coolnerdsmarketing.com/best-ad-agencies-2025/</t>
  </si>
  <si>
    <t>aimarketing-agency.com</t>
  </si>
  <si>
    <t>Top 17 Best Ad Agencies in the U.S. (January 2026 List)</t>
  </si>
  <si>
    <t>Momentum, Wieden+Kennedy, Droga5, Anomaly, TBWA\Chiat\Day, BBDO, Accenture Song</t>
  </si>
  <si>
    <t>https://www.deloitte.com/us/en/services/consulting/services/generative-ai-readiness-and-adoption.html</t>
  </si>
  <si>
    <t>airpost.ai</t>
  </si>
  <si>
    <t>GenAI Readiness and Adoption | Deloitte US</t>
  </si>
  <si>
    <t>Brandtech, Dentsu, Power Digital, Tinuiti, Disruptive Advertising, Jellyfish, MuteSix, Common Thread Collective, WPP, AKQA</t>
  </si>
  <si>
    <t>https://www.designrush.com/agency/digital-marketing</t>
  </si>
  <si>
    <t>aisera.com</t>
  </si>
  <si>
    <t>Top Digital Marketing Agencies in 2026</t>
  </si>
  <si>
    <t>SmartSites, Searchbloom, Silverback Strategies, Intero Digital, Funnel Boost Media, Huge, Disruptive Advertising, IBM, PwC, NinjaPromo, KlientBoost, Elit-Web, Momentum</t>
  </si>
  <si>
    <t>aisyndicate.com</t>
  </si>
  <si>
    <t>https://www.emarketer.com/content/faq-on-incrementality-how-prove-your-ads-actually-work-2026</t>
  </si>
  <si>
    <t>FAQ on incrementality: How to prove your ads actually work in 2026</t>
  </si>
  <si>
    <t>ajelix.com</t>
  </si>
  <si>
    <t>TransUnion, Haus</t>
  </si>
  <si>
    <t>https://www.embarque.io/post/we-found-20-ai-seo-agencies-helping-businesses-rank-in-llm-results</t>
  </si>
  <si>
    <t>We Found 30 of the Best AI SEO Agencies for Ranking in AI Results in 2026 \| Embarque</t>
  </si>
  <si>
    <t>algoscale.com</t>
  </si>
  <si>
    <t>NoGood, Marcel Digital, WebFX, iPullRank, Siege Media, Single Grain, Graphite, First Page Sage, Omniscient Digital, Animalz, Measured, Clutch, Huge, IBM</t>
  </si>
  <si>
    <t>https://eseospace.com/blog/top-aeo-agencies-2026/</t>
  </si>
  <si>
    <t>PwC, Slalom, IBM, Clutch, Anomaly, Fractal Analytics</t>
  </si>
  <si>
    <t>Top AEO Agencies in 2026: The Best Answer Engine Optimization Experts - eSEOspace</t>
  </si>
  <si>
    <t>alicelabs.ai</t>
  </si>
  <si>
    <t>NoGood, Avenue Z, First Page Sage, Clutch</t>
  </si>
  <si>
    <t>https://www.forbes.com/lists/ai50/</t>
  </si>
  <si>
    <t>Measured, McKinsey, PwC, BCG</t>
  </si>
  <si>
    <t>Forbes 2026 AI 50 List | Top Artificial Intelligence Companies</t>
  </si>
  <si>
    <t>alignedagency.io</t>
  </si>
  <si>
    <t>https://foundgrove.com/blog/top-generative-engine-optimization-agencies-2026</t>
  </si>
  <si>
    <t>Tinuiti, Momentum, NoGood, inBeat, Omniscient Digital, SmartSites, Single Grain, Viral Nation, Keenfolks</t>
  </si>
  <si>
    <t>Top 10 GEO Agencies Compared (2026) | Foundgrove</t>
  </si>
  <si>
    <t>als-cs.com</t>
  </si>
  <si>
    <t>WebFX, First Page Sage, iPullRank, Go Fish Digital, Directive, Omniscient Digital, Clutch, Siege Media, NoGood, Measured</t>
  </si>
  <si>
    <t>https://www.growandconvert.com/seo/best-ai-seo-agencies/</t>
  </si>
  <si>
    <t>amakc.com</t>
  </si>
  <si>
    <t>11 Best AI SEO Agencies in 2026 (&amp;amp; How to Evaluate Them) | Grow and Convert</t>
  </si>
  <si>
    <t>VML</t>
  </si>
  <si>
    <t>amazon.com</t>
  </si>
  <si>
    <t>Siege Media, iPullRank, Omniscient Digital, Avenue Z, First Page Sage</t>
  </si>
  <si>
    <t>https://www.icreativez.com/categories/online-marketing/10-best-display-advertising-services-companies-consultants-2026.html#:~:text=View%2Dthrough%20conversions%20account%20for%2030%2D50%25%20of%20display,increased%20ROAS%20340%25%20using%20dynamic%20creative%20optimization.</t>
  </si>
  <si>
    <t>Tinuiti</t>
  </si>
  <si>
    <t>analyticsinsight.net</t>
  </si>
  <si>
    <t>10 Best Display Advertising Services Companies &amp; Consultants 2026 | iCreativez</t>
  </si>
  <si>
    <t>Measured, Triple Whale, Northbeam, Rockerbox</t>
  </si>
  <si>
    <t>NoGood, WebFX, iPullRank, First Page Sage, Siege Media, RevenueZen</t>
  </si>
  <si>
    <t>https://info.measured.com/media-mix-modeling-demo</t>
  </si>
  <si>
    <t>anderinger.com</t>
  </si>
  <si>
    <t>Incrementality-Powered Media Mix Modeling | Measured</t>
  </si>
  <si>
    <t>https://lifesight.io/</t>
  </si>
  <si>
    <t>anml.com</t>
  </si>
  <si>
    <t>Lifesight | Agentic Unified Marketing Measurement</t>
  </si>
  <si>
    <t>LifeSight, Measured, Anomaly, Northbeam, Haus, Recast, Triple Whale</t>
  </si>
  <si>
    <t>Huge, Pentagram, R/GA, DEPT, Clutch, Monks</t>
  </si>
  <si>
    <t>https://www.lyfemarketing.com/blog/top-digital-marketing-agencies-us/</t>
  </si>
  <si>
    <t>answermaniac.ai</t>
  </si>
  <si>
    <t>Top 35 Digital Marketing Agencies In US 2025</t>
  </si>
  <si>
    <t>Measured, Intero Digital</t>
  </si>
  <si>
    <t>LYFE Marketing, Major Tom, Power Digital, KlientBoost, Deloitte Digital, VaynerMedia, Publicis Groupe, Refine Labs</t>
  </si>
  <si>
    <t>https://marketerhire.com/blog/performance-marketing-agency</t>
  </si>
  <si>
    <t>argonandco.com</t>
  </si>
  <si>
    <t>10 Best Performance Marketing Agencies to Drive ROI in 2025</t>
  </si>
  <si>
    <t>aspiremarketers.com</t>
  </si>
  <si>
    <t>Tinuiti, Directive, Kobe Digital, Disruptive Advertising, KlientBoost, MuteSix, HawkSEM</t>
  </si>
  <si>
    <t>https://metaflow.life/blog/best-aeo-agencies-2026</t>
  </si>
  <si>
    <t>First Page Sage, Animalz, Victorious, Amsive, iPullRank, Ignite Visibility</t>
  </si>
  <si>
    <t>assemblestudio.com</t>
  </si>
  <si>
    <t>https://moosend.com/blog/best-aeo-agencies/</t>
  </si>
  <si>
    <t>11 Best Answer Engine Optimization (AEO) Agencies In 2026</t>
  </si>
  <si>
    <t>athenahq.ai</t>
  </si>
  <si>
    <t>First Page Sage, Siege Media, iPullRank, Avenue Z, Graphite, WebFX, RevenueZen, Clutch, Measured</t>
  </si>
  <si>
    <t>https://www.position.digital/blog/top-geo-agencies/</t>
  </si>
  <si>
    <t>Top 13 Generative Engine Optimization (GEO) Agencies in 2026</t>
  </si>
  <si>
    <t>attnagency.com</t>
  </si>
  <si>
    <t>https://procloser.ai/blog/best-ai-search-optimization-agencies/</t>
  </si>
  <si>
    <t>attributionapp.com</t>
  </si>
  <si>
    <t>Best AI Search Optimization Agencies in 2026 | ProCloser.ai</t>
  </si>
  <si>
    <t>Clutch, NP Digital, Directive, Victorious, iPullRank, Siege Media, Single Grain, First Page Sage</t>
  </si>
  <si>
    <t>https://www.reddit.com/r/ecommerce/comments/1c4too8/best_tools_for_paid_marketing_attribution/</t>
  </si>
  <si>
    <t>Measured, Rockerbox, Northbeam, Intero Digital, Triple Whale, HockeyStack</t>
  </si>
  <si>
    <t>audigent.com</t>
  </si>
  <si>
    <t>Best tools for paid marketing attribution?</t>
  </si>
  <si>
    <t>Cometly, Huge, Ruler Analytics, Triple Whale, Northbeam, Rockerbox, HockeyStack, SegmentStream</t>
  </si>
  <si>
    <t>https://www.searchbloom.com/strategy/best-ppc-agencies-usa/</t>
  </si>
  <si>
    <t>TransUnion</t>
  </si>
  <si>
    <t>auradigitalmarketers.com</t>
  </si>
  <si>
    <t>Best PPC Agencies 2026: 20 Top Companies in USA Ranked by Data</t>
  </si>
  <si>
    <t>Searchbloom, Clutch, HawkSEM, Disruptive Advertising, KlientBoost, Directive, Power Digital, AdVenture Media, Metric Theory, Monks, Measured</t>
  </si>
  <si>
    <t>https://www.silverbackstrategies.com/lists/best-geo-agencies-generative-engine-optimization-in-2026-ranked-reviewed/</t>
  </si>
  <si>
    <t>austley.com</t>
  </si>
  <si>
    <t>Best GEO Agencies (Generative Engine Optimization) in 2026 (Ranked &amp;amp; Reviewed) | Silverback Strategies</t>
  </si>
  <si>
    <t>Silverback Strategies, Clutch, Siege Media, Omniscient Digital, Victorious, Go Fish Digital, Graphite, Measured</t>
  </si>
  <si>
    <t>avaus.com</t>
  </si>
  <si>
    <t>https://www.tripledart.com/ai-seo/best-generative-engine-optimization-agencies</t>
  </si>
  <si>
    <t>17 Best GEO Agencies in 2026</t>
  </si>
  <si>
    <t>awesomic.com</t>
  </si>
  <si>
    <t>Huge, Momentum, Accenture Song, Ogilvy, Wieden+Kennedy, Droga5, Pentagram, VaynerMedia, BBDO</t>
  </si>
  <si>
    <t>iPullRank, First Page Sage, WebFX, Clutch, Ignite Visibility, NoGood, Avenue Z, Siege Media, Victorious, TransUnion</t>
  </si>
  <si>
    <t>https://www.uforocks.com/blog/top-marketing-agencies-in-the-united-states/</t>
  </si>
  <si>
    <t>awwwards.com</t>
  </si>
  <si>
    <t>Top Marketing Agencies in the United States - UFO Digital Marketing Agency</t>
  </si>
  <si>
    <t>Huge, Droga5, R/GA, AKQA, DEPT</t>
  </si>
  <si>
    <t>Wpromote, Power Digital, Tinuiti, Siege Media, LYFE Marketing, WebFX, HawkSEM, Disruptive Advertising, KlientBoost, Victorious, Seer Interactive, Silverback Strategies</t>
  </si>
  <si>
    <t>backhouse.com</t>
  </si>
  <si>
    <t>https://www.uforocks.com/blog/top-ppc-agencies-in-the-united-states/</t>
  </si>
  <si>
    <t>Top PPC Agencies in the United States - UFO Digital Marketing Agency</t>
  </si>
  <si>
    <t>AdVenture Media, Directive, Disruptive Advertising, Ignite Visibility, KlientBoost, MuteSix, Dentsu, NP Digital, Seer Interactive, Silverback Strategies, SmartSites, Tinuiti, WebFX, Wpromote, HawkSEM</t>
  </si>
  <si>
    <t>barkleyokrp.com</t>
  </si>
  <si>
    <t>https://www.upliftgtm.com/blog/best-geo-agencies</t>
  </si>
  <si>
    <t>Best GEO Agencies 2026: Top 12 Generative Engine Optimization Firms</t>
  </si>
  <si>
    <t>bbdo.com</t>
  </si>
  <si>
    <t>Animalz, Omniscient Digital, Single Grain, Ignite Visibility, Victorious, NoGood, Siege Media</t>
  </si>
  <si>
    <t>https://wearesocial.com/us/</t>
  </si>
  <si>
    <t>BBDO</t>
  </si>
  <si>
    <t>best-masters.com</t>
  </si>
  <si>
    <t>Creative Agency - We Are Social USA</t>
  </si>
  <si>
    <t>Measured, McKinsey</t>
  </si>
  <si>
    <t>https://www.webfx.com/digital-marketing/agency/usa/</t>
  </si>
  <si>
    <t>bestaiseoagencies.com</t>
  </si>
  <si>
    <t>Digital Marketing Company in USA | SEO, PPC, &amp;amp; More | WebFX</t>
  </si>
  <si>
    <t>Directive, Intero Digital, Seer Interactive, Funnel Boost Media, Victorious, Clutch</t>
  </si>
  <si>
    <t>beyondthearc.com</t>
  </si>
  <si>
    <t>WebFX, Huge</t>
  </si>
  <si>
    <t>IBM, Clutch</t>
  </si>
  <si>
    <t>https://www.webtonic.io/blog/best-digital-marketing-agencies-usa</t>
  </si>
  <si>
    <t>bimodal.io</t>
  </si>
  <si>
    <t>41 Top Digital Marketing Agencies in the US for 2026</t>
  </si>
  <si>
    <t>blackthorn-vision.com</t>
  </si>
  <si>
    <t>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t>
  </si>
  <si>
    <t>https://www.webtonic.io/blog/top-creative-agencies</t>
  </si>
  <si>
    <t>WebFX, Ignite Visibility, Siege Media, Directive, SmartSites, NP Digital, Victorious, Clutch, Thrive Internet Marketing Agency</t>
  </si>
  <si>
    <t>The 52 Top Creative Agencies as of 2026</t>
  </si>
  <si>
    <t>blackwelldigital.com</t>
  </si>
  <si>
    <t>Web Tonic, Wieden+Kennedy, Droga5, Accenture Song, BBDO, Ogilvy, WPP, IBM, 72andSunny, R/GA, TBWA\Chiat\Day, Anomaly, Huge</t>
  </si>
  <si>
    <t>https://worldmetrics.org/service/media-mix-modeling/</t>
  </si>
  <si>
    <t>blazonagency.com</t>
  </si>
  <si>
    <t>Best Media Mix Modeling Services | 2026 Rankings</t>
  </si>
  <si>
    <t>Momentum, inBeat, R/GA, VaynerMedia, Anomaly</t>
  </si>
  <si>
    <t>Kantar, Nielsen, Croud, Publicis Groupe, WPP, Measured, Momentum, Clutch</t>
  </si>
  <si>
    <t>https://www.20northmarketing.com/blog/top-ai-optimization-agencies#:~:text=Based%20in%20San%20Francisco%2C%20First,choose%20which%20sources%20to%20cite.</t>
  </si>
  <si>
    <t>blendb2b.com</t>
  </si>
  <si>
    <t>RevenueZen, NoGood, Omniscient Digital, Animalz, First Page Sage</t>
  </si>
  <si>
    <t>Top AI Optimization Agencies | 20North Marketing | 20North</t>
  </si>
  <si>
    <t>bloggingtips.com</t>
  </si>
  <si>
    <t>iPullRank, Siege Media, Avenue Z, Intero Digital, First Page Sage</t>
  </si>
  <si>
    <t>https://www.50pros.com/hire/advertising</t>
  </si>
  <si>
    <t>WebFX, Ignite Visibility, SmartSites, Seer Interactive</t>
  </si>
  <si>
    <t>blueduckagency.com</t>
  </si>
  <si>
    <t>Top Advertising Agencies to Hire in June 2026</t>
  </si>
  <si>
    <t>AdVenture Media</t>
  </si>
  <si>
    <t>https://agencyreview.dev/insights/top-social-media-marketing-agencies</t>
  </si>
  <si>
    <t>bolderagency.com</t>
  </si>
  <si>
    <t>Top Social Media Marketing Agencies by Specialty [2026] | AgencyReview</t>
  </si>
  <si>
    <t>Viral Nation, LYFE Marketing, Ignite Visibility, Disruptive Advertising, Tinuiti, Silverback Strategies, Power Digital, Directive, SmartSites</t>
  </si>
  <si>
    <t>https://www.agencyspotter.com/top/social-media-marketing-agencies</t>
  </si>
  <si>
    <t>Pentagram, Clay, Clutch, Wolff Olins</t>
  </si>
  <si>
    <t>brandburp.com</t>
  </si>
  <si>
    <t>Top 25 Social Media Marketing Agencies Report | Agency Spotter</t>
  </si>
  <si>
    <t>Disruptive Advertising, WebFX, Wpromote, NoGood, SmartSites, Darkroom, Thrive Internet Marketing Agency</t>
  </si>
  <si>
    <t>Sociallyin</t>
  </si>
  <si>
    <t>https://aismedia.com/global-100-awards-2026/</t>
  </si>
  <si>
    <t>brandedagency.com</t>
  </si>
  <si>
    <t>Global 100 Awards 2026 Winner \| AIS Media, Inc.</t>
  </si>
  <si>
    <t>WebFX, Measured, Ignite Visibility, LYFE Marketing, NinjaPromo, Clutch, Thrive Internet Marketing Agency</t>
  </si>
  <si>
    <t>https://alexbirkett.com/answer-engine-optimization-agencies/</t>
  </si>
  <si>
    <t>breakingb2b.com</t>
  </si>
  <si>
    <t>The 7 Best Answer Engine Optimization (AEO) Agencies - Alex Birkett</t>
  </si>
  <si>
    <t>RevenueZen, NoGood, Omniscient Digital, Siege Media, Measured, Animalz, First Page Sage</t>
  </si>
  <si>
    <t>brightlinkconsulting.com</t>
  </si>
  <si>
    <t>Omniscient Digital, iPullRank, NoGood, Huge</t>
  </si>
  <si>
    <t>https://arxiv.org/abs/2509.08919</t>
  </si>
  <si>
    <t>[2509.08919] Generative Engine Optimization: How to Dominate AI Search</t>
  </si>
  <si>
    <t>builtincolorado.com</t>
  </si>
  <si>
    <t>https://awisee.com/blog/ai-marketing-agencies-us/</t>
  </si>
  <si>
    <t>Top 4 AI Marketing Agencies US (2026 Rankings &amp;amp; Expert Guide)&amp;nbsp;</t>
  </si>
  <si>
    <t>busylike.com</t>
  </si>
  <si>
    <t>https://brentonway.com/blog/top-performance-marketing-agencies</t>
  </si>
  <si>
    <t>Top 25 Performance Marketing Agencies in 2026 | Brenton Way</t>
  </si>
  <si>
    <t>byaries.com</t>
  </si>
  <si>
    <t>Right Side Up, NoGood, inBeat, Disruptive Advertising, Directive, Power Digital, Thrive Internet Marketing Agency</t>
  </si>
  <si>
    <t>c3digitus.com</t>
  </si>
  <si>
    <t>https://www.businessinsider.com/ai-adoption-strategies-companies-2026-7</t>
  </si>
  <si>
    <t>Power Digital, Disruptive Advertising, WebFX, Ignite Visibility, KlientBoost, SmartSites, NP Digital, IBM, Clutch</t>
  </si>
  <si>
    <t>Adopting AI Is Easy. Using AI Effectively Is Hard. - Business Insider</t>
  </si>
  <si>
    <t>caa.com</t>
  </si>
  <si>
    <t>BCG, McKinsey, PwC</t>
  </si>
  <si>
    <t>cabinco.com</t>
  </si>
  <si>
    <t>https://www.businessinsider.com/bain-cmo-erika-serow-cannes-lions-2026-7</t>
  </si>
  <si>
    <t>PwC, McKinsey, BCG, IBM, Clutch, QuantumBlack</t>
  </si>
  <si>
    <t>Bain's Erika Serow Says AI Strategy Has Evolved for the Better - Business Insider</t>
  </si>
  <si>
    <t>https://www.circana.com/liquid-testing</t>
  </si>
  <si>
    <t>capitala.co</t>
  </si>
  <si>
    <t>Liquid Testing: Self-Serve Incrementality Testing | Circana</t>
  </si>
  <si>
    <t>capterra.com</t>
  </si>
  <si>
    <t>https://clicksgeek.com/best-paid-advertising-platforms-for-businesses/</t>
  </si>
  <si>
    <t>capterra.com.au</t>
  </si>
  <si>
    <t>Best Paid Advertising Platforms For Businesses 2026</t>
  </si>
  <si>
    <t>causalityengine.ai</t>
  </si>
  <si>
    <t>https://clutch.co/it-services/analytics/marketing</t>
  </si>
  <si>
    <t>Rockerbox, Measured, Northbeam, Recast, Triple Whale</t>
  </si>
  <si>
    <t>cdw.com</t>
  </si>
  <si>
    <t>Top Big Data Marketing Companies - Jul 2026 Rankings \| Clutch.co</t>
  </si>
  <si>
    <t>Clutch, Huge</t>
  </si>
  <si>
    <t>https://clutch.co/us/agencies/market-research</t>
  </si>
  <si>
    <t>ceamarketing.com</t>
  </si>
  <si>
    <t>Top Market Research Agencies in the United States - Jul 2026 Rankings \| Clutch.co</t>
  </si>
  <si>
    <t>Clutch, Acadia, Brighter Click, Momentum, Haus</t>
  </si>
  <si>
    <t>https://clutch.co/us/agencies/ppc/display?page=5</t>
  </si>
  <si>
    <t>chatterbuzzmedia.com</t>
  </si>
  <si>
    <t>Page 5 - Top Display Advertising Agencies in the United States - Jul 2026 Rankings | Clutch.co</t>
  </si>
  <si>
    <t>https://clutch.co/us/agencies?page=1</t>
  </si>
  <si>
    <t>choicehotels.com</t>
  </si>
  <si>
    <t>Page 2 - Top Advertising Agencies in the United States - Jul 2026 Rankings \| Clutch.co</t>
  </si>
  <si>
    <t>Clutch, SmartSites, WebFX, Ignite Visibility, Storm Brain, NinjaPromo, Huge</t>
  </si>
  <si>
    <t>Dentsu, Momentum, 72andSunny</t>
  </si>
  <si>
    <t>https://clutch.co/us/consulting/ai/maturation</t>
  </si>
  <si>
    <t>cieden.com</t>
  </si>
  <si>
    <t>Top AI Maturation Services in the United States - Jul 2026 Rankings \| Clutch.co</t>
  </si>
  <si>
    <t>McKinsey, IBM, Clutch, BCG</t>
  </si>
  <si>
    <t>https://clutch.co/us/consulting/ai/maturation%3Fpage%3D2</t>
  </si>
  <si>
    <t>cigen.io</t>
  </si>
  <si>
    <t>https://co.agencyspotter.com/50-largest-marketing-companies-in-the-world/</t>
  </si>
  <si>
    <t>50 Largest Marketing Companies in the World - Leadership + Insights - Marketing Matters by Agency Spotter</t>
  </si>
  <si>
    <t>cimm-us.org</t>
  </si>
  <si>
    <t>Huge, BBDO, WPP, Dentsu, GroupM, Omnicom Media Group, Merkle, Publicis Groupe, Digitas, Acxiom, IBM, Ogilvy, Epsilon, Deloitte Digital, PwC</t>
  </si>
  <si>
    <t>https://www.darkroomagency.com/observatory/10-best-growth-marketing-agencies-in-2026-(ranked-for-online-sales)#:~:text=Brainlabs%20can%20be%20a%20strong,that%20experimentation%20extends%20beyond%20media.</t>
  </si>
  <si>
    <t>ciocoverage.com</t>
  </si>
  <si>
    <t>Growth Marketing Solutions: 10 Best Agencies (2026)</t>
  </si>
  <si>
    <t>Darkroom, Tinuiti, Wpromote, Brainlabs, Common Thread Collective, Disruptive Advertising, Power Digital, NoGood, Right Side Up, KlientBoost, Droga5</t>
  </si>
  <si>
    <t>Bounteous, Adswerve</t>
  </si>
  <si>
    <t>https://directiveconsulting.com/blog/best-google-ads-agencies/</t>
  </si>
  <si>
    <t>cisin.com</t>
  </si>
  <si>
    <t>20 Best Google Ads Agencies For B2B - Directive</t>
  </si>
  <si>
    <t>citeme.io</t>
  </si>
  <si>
    <t>Directive, Disruptive Advertising, KlientBoost, Single Grain, Ignite Visibility, WebFX, HawkSEM, SmartSites, Monks, Thrive Internet Marketing Agency, Wpromote, Amsive, NoGood, TransUnion, Clutch</t>
  </si>
  <si>
    <t>https://disruptiveadvertising.com/</t>
  </si>
  <si>
    <t>Omniscient Digital, Siege Media, Measured, Directive, Graphite, First Page Sage, Go Fish Digital</t>
  </si>
  <si>
    <t>citrusbug.com</t>
  </si>
  <si>
    <t>Award-Winning Digital Marketing | Internet Marketing Agency</t>
  </si>
  <si>
    <t>Disruptive Advertising, Clutch</t>
  </si>
  <si>
    <t>https://firstpagesage.com/seo-blog/the-top-industrial-geo-aeo-agencies/</t>
  </si>
  <si>
    <t>claritydigital.agency</t>
  </si>
  <si>
    <t>clay.global</t>
  </si>
  <si>
    <t>Momentum, Deloitte Digital, Pentagram, AKQA, R/GA, Clay, DEPT, Clutch</t>
  </si>
  <si>
    <t>The Top Industrial GEO/AEO Agencies of 2026 – First Page Sage</t>
  </si>
  <si>
    <t>clearforge.ai</t>
  </si>
  <si>
    <t>First Page Sage, Measured</t>
  </si>
  <si>
    <t>https://www.gartner.com/reviews/market/marketing-mix-modeling-solutions</t>
  </si>
  <si>
    <t>Best Marketing Mix Modeling Solutions Reviews 2026 \| Gartner Peer Insights</t>
  </si>
  <si>
    <t>clearleaddigital.com</t>
  </si>
  <si>
    <t>Nielsen, Measured, Analytic Partners, Circana, Dentsu, Gain Theory, Haus, LifeSight, Kantar</t>
  </si>
  <si>
    <t>https://www.gartner.com/reviews/product/measured-89579724</t>
  </si>
  <si>
    <t>Disruptive Advertising, NoGood, WebFX, KlientBoost, Directive, SmartSites, Measured, HawkSEM, Funnel Boost Media, Thrive Internet Marketing Agency</t>
  </si>
  <si>
    <t>Measured, Haus, Nielsen</t>
  </si>
  <si>
    <t>clickstrike.com</t>
  </si>
  <si>
    <t>https://getrecast.com/recast-llm-information/</t>
  </si>
  <si>
    <t>About Recast | Company Overview, Platforms &amp;amp; Methodology - Recast</t>
  </si>
  <si>
    <t>NoGood, Directive, Single Grain, NinjaPromo</t>
  </si>
  <si>
    <t>clickup.com</t>
  </si>
  <si>
    <t>https://www.growth-hackers.net/best-paid-media-agencies/</t>
  </si>
  <si>
    <t>cloudconsultingfirms.com</t>
  </si>
  <si>
    <t>Top 23 Paid Media Agencies in 2026 | Hire the Best Paid Media Agency | Growth Hackers</t>
  </si>
  <si>
    <t>inBeat, Intero Digital, Disruptive Advertising, IDHL, Marcel Digital, IBM</t>
  </si>
  <si>
    <t>Measured, Slalom, IBM, Clutch</t>
  </si>
  <si>
    <t>https://infotrust.com/google-marketing-platform-consulting/</t>
  </si>
  <si>
    <t>cloudsecuretech.com</t>
  </si>
  <si>
    <t>Google Marketing Platform Sales Partner and Reseller | GA360, CM360, DV360</t>
  </si>
  <si>
    <t>First Page Sage, IBM, Clutch</t>
  </si>
  <si>
    <t>cmox.co</t>
  </si>
  <si>
    <t>InfoTrust</t>
  </si>
  <si>
    <t>https://itprofiles.com/services/digital-marketing/united-states</t>
  </si>
  <si>
    <t>Momentum, Hawke Media, Digital Authority Partners</t>
  </si>
  <si>
    <t>coalitiontechnologies.com</t>
  </si>
  <si>
    <t>In the Spotlight - Highest-Rated Digital Marketing Agencies in United States for Jul 2026 | ITProfiles</t>
  </si>
  <si>
    <t>WebFX, Ignite Visibility, Clutch, Intero Digital, SmartSites, Power Digital, Disruptive Advertising, Siege Media, Acadia, Directive, KlientBoost, AdVenture Media, Measured</t>
  </si>
  <si>
    <t>https://www.keywordsearch.com/blog/top-ai-marketing-agency-trends-to-watch-in-2025</t>
  </si>
  <si>
    <t>coderoad.com</t>
  </si>
  <si>
    <t>Exploring the Best AI Marketing Agencies in 2025</t>
  </si>
  <si>
    <t>coinbound.io</t>
  </si>
  <si>
    <t>https://marketingltb.com/blog/agency/best-global-digital-marketing-agencies/</t>
  </si>
  <si>
    <t>Momentum, NoGood, Single Grain</t>
  </si>
  <si>
    <t>columnfivemedia.com</t>
  </si>
  <si>
    <t>10 Best Global Digital Marketing Agencies in 2026 - Marketing LTB</t>
  </si>
  <si>
    <t>Ogilvy, GroupM, Dentsu, Publicis Sapient, VML, iProspect, R/GA, IBM, WPP, Merkle, Publicis Groupe, Measured, Momentum</t>
  </si>
  <si>
    <t>https://www.masterrvdesigners.com/blog/best-creative-agencies-2026/#:~:text=Why%20Selecting%20the%20Right%20Creative%20Agency%20is,MasterRV%20Designers%3F%20Final%20Thoughts%3B%20FAQs.%20Contact%20Us</t>
  </si>
  <si>
    <t>Momentum, Omniscient Digital</t>
  </si>
  <si>
    <t>contensifyhq.com</t>
  </si>
  <si>
    <t>12 Best Creative Agencies of 2026 for Brands</t>
  </si>
  <si>
    <t>WebFX, First Page Sage, The SEO Works</t>
  </si>
  <si>
    <t>contently.com</t>
  </si>
  <si>
    <t>Wieden+Kennedy, Ogilvy, Pentagram, BBDO, R/GA, Publicis Sapient</t>
  </si>
  <si>
    <t>https://www.mobileappdaily.com/directory/digital-marketing-companies/us/</t>
  </si>
  <si>
    <t>Brainlabs, NoGood, NP Digital, Single Grain</t>
  </si>
  <si>
    <t>coseom.com</t>
  </si>
  <si>
    <t>50+ Best Digital Marketing Companies in the USA - 2026 Reviews | MobileAppDaily</t>
  </si>
  <si>
    <t>WebFX, Ignite Visibility, KlientBoost, Single Grain, Measured, Clutch</t>
  </si>
  <si>
    <t>Disruptive Advertising, WebFX, PwC, Ignite Visibility, SmartSites, Intero Digital, Thrive Internet Marketing Agency, NP Digital, Searchbloom, Measured</t>
  </si>
  <si>
    <t>createscale.co</t>
  </si>
  <si>
    <t>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t>
  </si>
  <si>
    <t>creatif.agency</t>
  </si>
  <si>
    <t>Pentagram, Clay, Wolff Olins</t>
  </si>
  <si>
    <t>creativeformore.com</t>
  </si>
  <si>
    <t>Dentsu, Ogilvy, R/GA, Clutch</t>
  </si>
  <si>
    <t>creativelivesinprogress.com</t>
  </si>
  <si>
    <t>https://percepture.com/services/geo-services/#:~:text=Generative%20Engine%20Optimization%20(GEO)%20is%20the%20process,structured%20data%2C%20entity%20optimization%2C%20and%20digital%20PR.</t>
  </si>
  <si>
    <t>Generative Engine Optimization Services | GEO Agency</t>
  </si>
  <si>
    <t>creativemediahouse.ae</t>
  </si>
  <si>
    <t>Percepture, Huge</t>
  </si>
  <si>
    <t>https://pinemarsh.com/</t>
  </si>
  <si>
    <t>Ogilvy</t>
  </si>
  <si>
    <t>Pinemarsh — Independent Marketing Measurement</t>
  </si>
  <si>
    <t>crowley.com</t>
  </si>
  <si>
    <t>https://piperocket.digital/list/top-performance-marketing-agencies/</t>
  </si>
  <si>
    <t>cybersecuritymarketingagencies.com</t>
  </si>
  <si>
    <t>9 Best Performance Marketing Agencies (2026 Review)</t>
  </si>
  <si>
    <t>Clutch, Directive, Tinuiti, Disruptive Advertising, Ignite Visibility, NoGood, The Social Shepherd, Power Digital, Dentsu</t>
  </si>
  <si>
    <t>https://quandarypeak.com/ai-strategy-consulting/</t>
  </si>
  <si>
    <t>daasity.com</t>
  </si>
  <si>
    <t>AI Strategy Consulting | Quandary Peak Research</t>
  </si>
  <si>
    <t>Northbeam, Triple Whale</t>
  </si>
  <si>
    <t>dacmarketing.co</t>
  </si>
  <si>
    <t>https://www.reddit.com/r/SearchTides/comments/1uu5d0d/10_best_geo_agencies_for_brands_that_want_to_win/</t>
  </si>
  <si>
    <t>10 Best GEO Agencies for Brands That Want to Win AI Search, Featuring SearchTides</t>
  </si>
  <si>
    <t>darwinapps.com</t>
  </si>
  <si>
    <t>Seer Interactive, Funnel Boost Media</t>
  </si>
  <si>
    <t>https://www.reddit.com/r/b2bmarketing/comments/1t546si/the_7_leading_ai_seo_agencies_for_modern_search/</t>
  </si>
  <si>
    <t>Rockerbox, Measured, SegmentStream, Northbeam, Triple Whale</t>
  </si>
  <si>
    <t>The 7 Leading AI SEO Agencies for Modern Search</t>
  </si>
  <si>
    <t>Omniscient Digital, Siege Media, Seer Interactive, iPullRank</t>
  </si>
  <si>
    <t>https://retailhub.co/best-of/best-geo-marketing-agency/</t>
  </si>
  <si>
    <t>datafeedwatch.com</t>
  </si>
  <si>
    <t>5 Best GEO Marketing Agencies in 2026 (Ranked by AI Search Results) - Retail Hub</t>
  </si>
  <si>
    <t>dcclicks.com</t>
  </si>
  <si>
    <t>Clutch, First Page Sage, Siege Media</t>
  </si>
  <si>
    <t>https://www.reuters.com/business/publicis-raises-growth-target-ai-driven-marketing-demand-stays-strong-2026-07-16/</t>
  </si>
  <si>
    <t>demandlocal.com</t>
  </si>
  <si>
    <t>Publicis raises growth target as AI-driven marketing demand stays strong \| Reuters</t>
  </si>
  <si>
    <t>Publicis Groupe</t>
  </si>
  <si>
    <t>demandsage.com</t>
  </si>
  <si>
    <t>https://segmentstream.com/blog/articles/top-haus-io-alternatives-for-geo-lift-incrementality-testing</t>
  </si>
  <si>
    <t>NoGood, Omniscient Digital, Measured, Siege Media, Directive, NP Digital, Animalz, Clutch, Hey Digital</t>
  </si>
  <si>
    <t>5 Best Haus.io Alternatives (2026) — SegmentStream</t>
  </si>
  <si>
    <t>demandspring.com</t>
  </si>
  <si>
    <t>SegmentStream, Haus, Measured, INCRMNTAL, Recast</t>
  </si>
  <si>
    <t>https://sociallyin.com/resources/top-creative-agencies-us/</t>
  </si>
  <si>
    <t>Top 5 Creative Agencies US Reviewed &amp;amp; Ranked for 2026</t>
  </si>
  <si>
    <t>diceus.com</t>
  </si>
  <si>
    <t>Sociallyin, McKinsey, inBeat, DEPT, Momentum</t>
  </si>
  <si>
    <t>https://www.sortlist.com/digital-marketing/united-states-us</t>
  </si>
  <si>
    <t>PwC, McKinsey, IBM, QuantumBlack, Clutch</t>
  </si>
  <si>
    <t>digidir.com</t>
  </si>
  <si>
    <t>The 10 Best Digital Marketing Agencies in USA - 2026 Reviews</t>
  </si>
  <si>
    <t>https://support.google.com/tagmanager/answer/7237700?hl=en</t>
  </si>
  <si>
    <t>diginsights.com</t>
  </si>
  <si>
    <t>Google Marketing Platform Partners - Tag Manager Help</t>
  </si>
  <si>
    <t>https://www.techradar.com/pro/hubspot-increased-leads-by-1850-percent-and-we-asked-them-how-the-aeo-playbook</t>
  </si>
  <si>
    <t>digital-hunch.com</t>
  </si>
  <si>
    <t>Momentum, NoGood, Clutch</t>
  </si>
  <si>
    <t>HubSpot increased leads by 1850%, and we asked them how: The AEO playbook | TechRadar</t>
  </si>
  <si>
    <t>digitalsurfer.com.au</t>
  </si>
  <si>
    <t>https://www.thedrum.com/news/world-creative-rankings-2023-the-top-holding-companies-and-networks-revealed</t>
  </si>
  <si>
    <t>World Creative Rankings 2023: the top holding companies and networks revealed | The Drum</t>
  </si>
  <si>
    <t>VML, WPP, Ogilvy, Publicis Groupe, Dentsu, BBDO, Droga5</t>
  </si>
  <si>
    <t>directom.com</t>
  </si>
  <si>
    <t>https://thefrankagency.com/best-paid-social-media-agencies/</t>
  </si>
  <si>
    <t>Top 13 Paid Social Media Agencies in 2026</t>
  </si>
  <si>
    <t>droga5.co.uk</t>
  </si>
  <si>
    <t>Power Digital, Thrive Internet Marketing Agency, Momentum, WebFX, Sociallyin</t>
  </si>
  <si>
    <t>https://thegpn.org/page/Partners#:~:text=Cyclomedia%20Technology%20Inc.%20As%20a%20global%20company,imagery%20and%20LiDAR%20from%20a%20moving%20vehicle.</t>
  </si>
  <si>
    <t>dslxcontent.com</t>
  </si>
  <si>
    <t>GPN Partner Directory</t>
  </si>
  <si>
    <t>https://themanifest.com/us/creative/agencies</t>
  </si>
  <si>
    <t>Momentum, NP Digital, Monks</t>
  </si>
  <si>
    <t>easyinsights.ai</t>
  </si>
  <si>
    <t>The Best Creative Companies in United States - Jul 2026 | The Manifest</t>
  </si>
  <si>
    <t>Clutch, IBM, Clay, PwC</t>
  </si>
  <si>
    <t>https://themanifest.com/us/social-media/agencies</t>
  </si>
  <si>
    <t>ebaqdesign.com</t>
  </si>
  <si>
    <t>The Best Social Media Marketing Companies in United States - Jul 2026 | The Manifest</t>
  </si>
  <si>
    <t>Clutch, LYFE Marketing, Sociallyin, Power Digital, Viral Nation, SmartSites, AdVenture Media, NinjaPromo</t>
  </si>
  <si>
    <t>https://www.theverge.com/podcast/959792/digitas-ceo-amy-lanzi-cannes-ad-industry-marketing-ai-creators</t>
  </si>
  <si>
    <t>WPP, Pentagram</t>
  </si>
  <si>
    <t>echo-factory.com</t>
  </si>
  <si>
    <t>AI won’t save advertising, says Digitas’ Amy Lanzi | The Verge</t>
  </si>
  <si>
    <t>Digitas, Publicis Groupe, Huge, Recast</t>
  </si>
  <si>
    <t>Hawke Media</t>
  </si>
  <si>
    <t>https://www.tofuhq.com/post/best-ai-agents-for-marketing</t>
  </si>
  <si>
    <t>ecommercefastlane.com</t>
  </si>
  <si>
    <t>The 7 Best AI Agents for Marketing in 2026</t>
  </si>
  <si>
    <t>edelmandxi.com</t>
  </si>
  <si>
    <t>https://typecast.ai/learn/the-best-ai-marketing-agency/</t>
  </si>
  <si>
    <t>The Best AI Advertising Companies and Marketing Agencies | Typecast</t>
  </si>
  <si>
    <t>effy.ai</t>
  </si>
  <si>
    <t>NoGood, Single Grain, Keenfolks, Ignite Visibility, WPP</t>
  </si>
  <si>
    <t>https://usermaven.com/blog/marketing-analytics-companies</t>
  </si>
  <si>
    <t>eight26.com</t>
  </si>
  <si>
    <t>Top 10 marketing analytics companies in 2026</t>
  </si>
  <si>
    <t>Ruler Analytics, HockeyStack, Cometly, Triple Whale, Rockerbox, Northbeam</t>
  </si>
  <si>
    <t>elementor.com</t>
  </si>
  <si>
    <t>https://www.wsj.com/tech/ai/ai-what-is-geo-aeo-5c452500</t>
  </si>
  <si>
    <t>Huge, Tinuiti, Momentum, Wpromote, NP Digital, Hawke Media, Common Thread Collective, VaynerMedia</t>
  </si>
  <si>
    <t>Your ChatGPT Answers Are Under the Influence of a New Kind of Marketing - WSJ</t>
  </si>
  <si>
    <t>elsner.com</t>
  </si>
  <si>
    <t>https://www.youtube.com/watch?v=uAp_SqhuvFg</t>
  </si>
  <si>
    <t>NoGood, Amsive, Marcel Digital</t>
  </si>
  <si>
    <t>embertribe.com</t>
  </si>
  <si>
    <t>Top GEO Experts to Follow in 2026</t>
  </si>
  <si>
    <t>https://www.youtube.com/watch?v=wDQs41e1F_Y&amp;t=144</t>
  </si>
  <si>
    <t>empireentertainment.com</t>
  </si>
  <si>
    <t>GEO + SEO = Your Agency's Best Option</t>
  </si>
  <si>
    <t>https://www.50pros.com/hire/artificial-intelligence/ai-powered-search</t>
  </si>
  <si>
    <t>Top AI-Powered Search Companies</t>
  </si>
  <si>
    <t>emrgmedia.com</t>
  </si>
  <si>
    <t>https://www.adcountable.com/</t>
  </si>
  <si>
    <t>ensun.io</t>
  </si>
  <si>
    <t>https://ads.google.com/intl/us/home/partners/work-with-a-partner/</t>
  </si>
  <si>
    <t>epicslope.partners</t>
  </si>
  <si>
    <t>Victorious, Intero Digital, Omniscient Digital, Measured, iPullRank, Avenue Z, Clutch, First Page Sage</t>
  </si>
  <si>
    <t>https://agencyvista.com/lists/top-25-performance-marketing-agencies/</t>
  </si>
  <si>
    <t>epinium.com</t>
  </si>
  <si>
    <t>Top 25 Performance Marketing Agencies . May 2025 Reviews. | Agency Vista</t>
  </si>
  <si>
    <t>Acadia, Tinuiti</t>
  </si>
  <si>
    <t>https://www.ai-heroes.co/en-us/blog/best-ai-search-agencies-2026</t>
  </si>
  <si>
    <t>evincedev.com</t>
  </si>
  <si>
    <t>Best AI Search Agencies 2026 (GEO and AEO) Compared | AI Heroes</t>
  </si>
  <si>
    <t>f6s.com</t>
  </si>
  <si>
    <t>Avenue Z, NoGood, Single Grain, Measured</t>
  </si>
  <si>
    <t>https://www.aitworldwide.com/risk-management/authorized-economic-operator/</t>
  </si>
  <si>
    <t>What's an Authorized Economic Operator? | AIT Worldwide Logistics</t>
  </si>
  <si>
    <t>factors.ai</t>
  </si>
  <si>
    <t>Rockerbox, Triple Whale, Huge, Northbeam, Ruler Analytics, Cometly, HockeyStack</t>
  </si>
  <si>
    <t>https://www.arcintermedia.com/knowledge-base/seo-and-organic-reach/what-are-the-top-answer-engine-optimization-aeo-agencies/</t>
  </si>
  <si>
    <t>fibr.ai</t>
  </si>
  <si>
    <t>TOP Answer Engine Optimization (AEO) Agencies</t>
  </si>
  <si>
    <t>finalscout.com</t>
  </si>
  <si>
    <t>First Page Sage, NoGood, Intero Digital</t>
  </si>
  <si>
    <t>https://aventigroup.com/services/ai-enablement/</t>
  </si>
  <si>
    <t>firmcraft.ai</t>
  </si>
  <si>
    <t>AI Enablement Services | Aventi Group</t>
  </si>
  <si>
    <t>firstmovers.ai</t>
  </si>
  <si>
    <t>https://www.b2bmarketing.net/top-10-us-b2b-marketing-agencies/</t>
  </si>
  <si>
    <t>firstquery.ai</t>
  </si>
  <si>
    <t>Revealed: We Break Down The Top 10 B2B Marketing Agencies In The US - B2B Marketing</t>
  </si>
  <si>
    <t>WebFX, Victorious, Omniscient Digital, Siege Media, Searchbloom, Directive, iPullRank, Avenue Z, Amsive, Anomaly, First Page Sage</t>
  </si>
  <si>
    <t>fixnhour.com</t>
  </si>
  <si>
    <t>https://www.barchart.com/story/news/2450048/best-ai-search-agencies-in-2026-which-company-to-choose-for-building-brand-visibility-in-ai</t>
  </si>
  <si>
    <t>Dentsu, Accenture Song, Ogilvy, Publicis Groupe, BBDO, VML, WPP, GroupM</t>
  </si>
  <si>
    <t>Best AI Search Agencies in 2026: Which Company to Choose for Building Brand Visibility in AI?</t>
  </si>
  <si>
    <t>fntmanagement.com</t>
  </si>
  <si>
    <t>https://www.bcg.com/capabilities/artificial-intelligence#:~:text=Deep%20Customer%20Engagement%20AI%20by%20BCG%20X.,%2D%20Supply%20Chain%20AI%20by%20BCG%20X.</t>
  </si>
  <si>
    <t>WebFX, Siege Media, Metric Theory, Clutch</t>
  </si>
  <si>
    <t>AI @ Scale | AI Consulting and Strategy | BCG</t>
  </si>
  <si>
    <t>fortismedia.com</t>
  </si>
  <si>
    <t>BCG, IBM</t>
  </si>
  <si>
    <t>https://www.bignewsnetwork.com/news/278956073/the-best-aeo-agencies-in-the-usa-for-2026</t>
  </si>
  <si>
    <t>found.co.uk</t>
  </si>
  <si>
    <t>The Best AEO Agencies in the USA for 2026</t>
  </si>
  <si>
    <t>foundersworkshop.com</t>
  </si>
  <si>
    <t>Discovered Labs, WebFX, Measured, First Page Sage, Single Grain, Omniscient Digital, RevenueZen, Siege Media, NoGood, KlientBoost</t>
  </si>
  <si>
    <t>https://www.campaignlive.com/article/horizon-media-battles-publicis-new-business-supremacy-may-us-media-agency-rankings/1918167</t>
  </si>
  <si>
    <t>freshcoast.ai</t>
  </si>
  <si>
    <t>Horizon Media battles Publicis for new-business supremacy in May US media agency rankings | Campaign US</t>
  </si>
  <si>
    <t>Horizon Media, Publicis Groupe, Digitas, Dentsu, Omnicom Media Group, Momentum, WPP</t>
  </si>
  <si>
    <t>frontieraiconsulting.com</t>
  </si>
  <si>
    <t>https://www.campaignlive.com/article/pmg-tops-first-north-american-media-rankings-2026/1951942</t>
  </si>
  <si>
    <t>PMG tops first North American media rankings of 2026 | Campaign US</t>
  </si>
  <si>
    <t>PMG, WPP, Wpromote, Giant Spoon, Labelium, Momentum</t>
  </si>
  <si>
    <t>futuresupply.io</t>
  </si>
  <si>
    <t>https://carvertise.com/top-advertising-agency/</t>
  </si>
  <si>
    <t>Top Advertising Agencies In The US: A Top 10 List</t>
  </si>
  <si>
    <t>Ogilvy, AKQA</t>
  </si>
  <si>
    <t>gallup.com</t>
  </si>
  <si>
    <t>Wieden+Kennedy, Ogilvy, IBM, BBDO, Droga5, TBWA\Chiat\Day, VML</t>
  </si>
  <si>
    <t>https://www.christianandtimbers.com/insights/10-leading-ai-strategy-consulting-firms-in-2026</t>
  </si>
  <si>
    <t>geekwire.com</t>
  </si>
  <si>
    <t>10 Leading AI Strategy Consulting Firms in the US (2026)</t>
  </si>
  <si>
    <t>generatemore.ai</t>
  </si>
  <si>
    <t>McKinsey, QuantumBlack, BCG, IBM, PwC, Bain &amp; Company</t>
  </si>
  <si>
    <t>https://clutch.co/us/agencies/social-media-marketing/facebook</t>
  </si>
  <si>
    <t>First Page Sage, Intero Digital</t>
  </si>
  <si>
    <t>Top Facebook Advertising Agencies in the United States - Jul 2026 Rankings \| Clutch.co</t>
  </si>
  <si>
    <t>Clutch, LYFE Marketing, SmartSites, Elit-Web, KlientBoost, AdVenture Media, Silverback Strategies, Sociallyin, Disruptive Advertising, HawkSEM, Brighter Click, Accelerated Digital Media, Acadia</t>
  </si>
  <si>
    <t>genevate.co</t>
  </si>
  <si>
    <t>https://clutch.co/us/consulting/ai/strategy%3Fpage%3D3</t>
  </si>
  <si>
    <t>iPullRank, Omniscient Digital, First Page Sage, Measured, Intero Digital, Clutch</t>
  </si>
  <si>
    <t>Top AI Strategy Companies in the United States - Jul 2026 Rankings | Clutch.co</t>
  </si>
  <si>
    <t>geoagency.net</t>
  </si>
  <si>
    <t>https://www.cometly.com/post/marketing-attribution-consultant-services</t>
  </si>
  <si>
    <t>Best Marketing Attribution Consultant Services 2026</t>
  </si>
  <si>
    <t>getcredo.com</t>
  </si>
  <si>
    <t>Cometly, Measured, Rockerbox, Northbeam, Triple Whale, Ruler Analytics</t>
  </si>
  <si>
    <t>https://www.commercepundit.com/blog/best-ai-seo-agencies/</t>
  </si>
  <si>
    <t>getcrux.ai</t>
  </si>
  <si>
    <t>Rockerbox, Triple Whale, Northbeam, Ruler Analytics, Cometly, HockeyStack, Anomaly</t>
  </si>
  <si>
    <t>getfishslapped.com</t>
  </si>
  <si>
    <t>10 Best AI SEO Agencies in 2026 | Commerce Pundit</t>
  </si>
  <si>
    <t>gigawattgroup.com</t>
  </si>
  <si>
    <t>Measured, Thrive Internet Marketing Agency, First Page Sage, Directive, Siege Media, Victorious, WebFX, Intero Digital</t>
  </si>
  <si>
    <t>https://delogostudio.com/blog/top-10-social-media-marketing-agencies-usa-2026/</t>
  </si>
  <si>
    <t>girikon.com</t>
  </si>
  <si>
    <t>Top 10 Social Media Marketing Agencies USA 2026</t>
  </si>
  <si>
    <t>Slalom, Bounteous</t>
  </si>
  <si>
    <t>gofishdigital.com</t>
  </si>
  <si>
    <t>Disruptive Advertising, Ignite Visibility, SmartSites, Thrive Internet Marketing Agency, WebFX, Power Digital, Measured</t>
  </si>
  <si>
    <t>https://www.designity.com/blog/ai-marketing-agency</t>
  </si>
  <si>
    <t>iPullRank, Omniscient Digital, Siege Media, Single Grain, Go Fish Digital</t>
  </si>
  <si>
    <t>10 Powerhouse AI Marketing Agencies Leading the Future - Designity</t>
  </si>
  <si>
    <t>gomega.ai</t>
  </si>
  <si>
    <t>McKinsey, Single Grain, Omniscient Digital, NoGood, Clutch, Siege Media, Keenfolks, Jellyfish, Momentum</t>
  </si>
  <si>
    <t>https://www.designity.com/blog/paid-media-agency</t>
  </si>
  <si>
    <t>goupward.com</t>
  </si>
  <si>
    <t>10 Paid Media Agencies Dominating Digital Advertising - Designity</t>
  </si>
  <si>
    <t>WebFX, Disruptive Advertising, Brainlabs, KlientBoost, NP Digital, Clutch, The Social Shepherd, NoGood, Power Digital</t>
  </si>
  <si>
    <t>grazitti.com</t>
  </si>
  <si>
    <t>https://www.designrush.com/agency/paid-media-pay-per-click/google-adwords</t>
  </si>
  <si>
    <t>Top Google Ads Agencies in 2026</t>
  </si>
  <si>
    <t>greenbook.org</t>
  </si>
  <si>
    <t>SmartSites, Searchbloom, Disruptive Advertising, Silverback Strategies, Funnel Boost Media, Huge, Intero Digital, KlientBoost, Elit-Web, Major Tom, IBM, Momentum</t>
  </si>
  <si>
    <t>https://www.dexigner.com/directory/cat/Advertising-Design/Agencies/loc/United-States</t>
  </si>
  <si>
    <t>Advertising Agencies in the United States</t>
  </si>
  <si>
    <t>groas.com</t>
  </si>
  <si>
    <t>72andSunny, BBDO, Ogilvy, Wieden+Kennedy, Huge, Droga5, Momentum</t>
  </si>
  <si>
    <t>Tinuiti, WebFX, Disruptive Advertising, Merkle, KlientBoost, Directive, Clutch</t>
  </si>
  <si>
    <t>https://digitalagencynetwork.com/agencies/usa/online-advertising/</t>
  </si>
  <si>
    <t>growtal.com</t>
  </si>
  <si>
    <t>Huge, Hawke Media</t>
  </si>
  <si>
    <t>Best Online Advertising Agencies in USA</t>
  </si>
  <si>
    <t>growth-rocket.com</t>
  </si>
  <si>
    <t>Major Tom, Ignite Visibility, Brighter Click, Amsive, Measured, NoGood, SmartSites, PwC, Forthea, Intero Digital</t>
  </si>
  <si>
    <t>https://www.digitalreference.co/design-professionals/best-creative-agencies-in-the-usa</t>
  </si>
  <si>
    <t>Best Creative Agencies in the USA</t>
  </si>
  <si>
    <t>growth.cx</t>
  </si>
  <si>
    <t>Tinuiti, Wpromote, NoGood, Ignite Visibility, Kobe Digital</t>
  </si>
  <si>
    <t>https://www.digitalreference.co/insights/marketing-professionals/best-digital-marketing-agencies-companies-in-the-usa</t>
  </si>
  <si>
    <t>growthlane.marketing</t>
  </si>
  <si>
    <t>Metric Theory, Tinuiti, Brainlabs, WebFX, KlientBoost, Directive</t>
  </si>
  <si>
    <t>growthmarketingconsultancy.com</t>
  </si>
  <si>
    <t>Best Digital Marketing Agencies &amp;amp; Digital Marketing Firms in the USA</t>
  </si>
  <si>
    <t>https://www.digitalsilk.com/digital-trends/top-premium-marketing-agencies/</t>
  </si>
  <si>
    <t>growthmethod.com</t>
  </si>
  <si>
    <t>Digital Marketing Agency &amp; Services \| Digital Silk</t>
  </si>
  <si>
    <t>Momentum, NoGood, KlientBoost</t>
  </si>
  <si>
    <t>IBM, Measured, Momentum</t>
  </si>
  <si>
    <t>growthrocks.com</t>
  </si>
  <si>
    <t>https://directiveconsulting.com/blog/20-best-paid-social-agencies-turning-scrolls-into-sales/#:~:text=Merkle%20B2B%20Merkle%20B2B%20specializes%20in%20enterprise%2Dgrade,complex%20buying%20committees%20across%20LinkedIn%20and%20Meta.</t>
  </si>
  <si>
    <t>TransUnion, Common Thread Collective, Wpromote, Metric Theory, Ignite Visibility, MuteSix, Disruptive Advertising, NoGood, Tinuiti, Directive, Power Digital, Dentsu, Jellyfish</t>
  </si>
  <si>
    <t>growthsprints.co</t>
  </si>
  <si>
    <t>20 Best Paid Social Agencies For B2B - Directive</t>
  </si>
  <si>
    <t>Directive, Wpromote, Ignite Visibility, Seer Interactive, Merkle, Disruptive Advertising, PMG, Hawke Media, Sociallyin, Jellyfish, KlientBoost, Viral Nation, Brainlabs, LYFE Marketing, Dentsu, TransUnion, IBM, Momentum, Clutch</t>
  </si>
  <si>
    <t>https://directiveconsulting.com/blog/25-best-advertising-agencies-built-for-media-momentum/</t>
  </si>
  <si>
    <t>NoGood, iPullRank, Omniscient Digital, First Page Sage, Measured, Optimist, Discovered Labs, Clutch</t>
  </si>
  <si>
    <t>gsdcouncil.org</t>
  </si>
  <si>
    <t>25 Best Advertising Agencies For B2B - Directive</t>
  </si>
  <si>
    <t>Directive, Momentum, Refine Labs, Tinuiti, PMG, Seer Interactive, Jellyfish, Wpromote, Accelerated Digital Media, KlientBoost, Merkle, iProspect, Croud, R/GA, Monks, AKQA, Measured, IBM, Clutch</t>
  </si>
  <si>
    <t>https://www.goodfirms.co/artificial-intelligence/ai-consulting</t>
  </si>
  <si>
    <t>gumgum.com</t>
  </si>
  <si>
    <t>Top 10+ AI Consulting Companies - 2026 Reviews | Goodfirms</t>
  </si>
  <si>
    <t>https://www.growth-hackers.net/best-paid-social-media-agencies/</t>
  </si>
  <si>
    <t>hamstergarage.com</t>
  </si>
  <si>
    <t>Top 18 Paid Social Media Agencies in 2026 | Select the Best Paid Social Media Advertising Agency | Growth Hackers</t>
  </si>
  <si>
    <t>Jellyfish, Marcel Digital, Tinuiti, iProspect</t>
  </si>
  <si>
    <t>https://www.growthmarketingpro.com/best-geo-marketing-agencies/</t>
  </si>
  <si>
    <t>Measured, Hawke Media, Clutch</t>
  </si>
  <si>
    <t>harleyoliver.com</t>
  </si>
  <si>
    <t>13 Best GEO marketing agencies | GMP</t>
  </si>
  <si>
    <t>Pentagram, Superside, McKinsey, Wolff Olins, Clutch</t>
  </si>
  <si>
    <t>First Page Sage, Intero Digital, Victorious, Avenue Z, Siege Media, iPullRank, NoGood</t>
  </si>
  <si>
    <t>havstrategy.com</t>
  </si>
  <si>
    <t>https://www.hockeystack.com/blog-posts/best-marketing-analytics-platforms#:~:text=Enterprise%20plan%3A%20Starts%20at%20%E2%82%AC3%2C300%20per%20month%2C,standardize%20incoming%20data%20into%20one%20consistent%20format.</t>
  </si>
  <si>
    <t>12 Best Marketing Analytics Platforms for 2026 [According to Real Users]</t>
  </si>
  <si>
    <t>hellobigidea.com</t>
  </si>
  <si>
    <t>HockeyStack, Ruler Analytics, Huge, Triple Whale</t>
  </si>
  <si>
    <t>https://www.idimension.com/google-marketing-platform-partner/</t>
  </si>
  <si>
    <t>Google Marketing Platform Certified Partner – iDimension</t>
  </si>
  <si>
    <t>hotsourcecreative.com</t>
  </si>
  <si>
    <t>https://www.inbeat.co/articles/top-performance-marketing-agencies/</t>
  </si>
  <si>
    <t>houseofmvps.com</t>
  </si>
  <si>
    <t>Top 30 Performance Marketing Agencies for 2026 and Beyond</t>
  </si>
  <si>
    <t>inBeat, Web Tonic, Momentum, Tinuiti, Bark London, Single Grain</t>
  </si>
  <si>
    <t>NoGood, Searchbloom, Marcel Digital</t>
  </si>
  <si>
    <t>https://indatalabs.com/blog/marketing-analytics-companies</t>
  </si>
  <si>
    <t>housesofgrowth.com</t>
  </si>
  <si>
    <t>Best Marketing Analytics Companies | InData Labs Blog</t>
  </si>
  <si>
    <t>Power Digital, Wpromote, NoGood, Omniscient Digital, Directive, Single Grain, NP Digital, Superside, Keenfolks, Clutch</t>
  </si>
  <si>
    <t>Nielsen, Clutch, Fractal Analytics, IBM, Huge</t>
  </si>
  <si>
    <t>https://jake-jorgovan.com/blog/top-ai-marketing-agencies</t>
  </si>
  <si>
    <t>hubspot.com</t>
  </si>
  <si>
    <t>Top 32 AI Marketing Agencies in 2025 — Jake Jorgovan</t>
  </si>
  <si>
    <t>humanise.world</t>
  </si>
  <si>
    <t>inBeat, IBM, Single Grain, Keenfolks</t>
  </si>
  <si>
    <t>humanr.ai</t>
  </si>
  <si>
    <t>https://www.linkedin.com/pulse/top-5-geo-agencies-usa-2026-yash-kumar-m4v6c</t>
  </si>
  <si>
    <t>Top 5 GEO Agencies in the USA (2026)</t>
  </si>
  <si>
    <t>humanshiftready.com</t>
  </si>
  <si>
    <t>iPullRank, Siege Media, First Page Sage</t>
  </si>
  <si>
    <t>https://marketingplatform.google.com/about/partners/?authuser=1</t>
  </si>
  <si>
    <t>Meet Your New Marketing Partner - Google Marketing Platform Partners</t>
  </si>
  <si>
    <t>iacaward.org</t>
  </si>
  <si>
    <t>https://www.measured.com/faq/what-is-incrementality-testing/</t>
  </si>
  <si>
    <t>ibm.com</t>
  </si>
  <si>
    <t>What is Incrementality Testing (w/ Calculations &amp;amp; Examples)</t>
  </si>
  <si>
    <t>https://www.modernmarketingpartners.com/2026/03/19/14-best-answer-engine-optimization-agencies-aeo-insights-company-rankings-for-2026/</t>
  </si>
  <si>
    <t>iconagility.com</t>
  </si>
  <si>
    <t>15 Best Answer Engine Optimization Agencies: AEO Insights Company Rankings for 2026</t>
  </si>
  <si>
    <t>impact.com</t>
  </si>
  <si>
    <t>First Page Sage, Clutch, iPullRank, Siege Media, Single Grain, Omniscient Digital, Avenue Z, NoGood</t>
  </si>
  <si>
    <t>Right Side Up, Hawke Media, Acxiom, Huge, New Engen, Accenture Song, Clutch</t>
  </si>
  <si>
    <t>https://www.modernmarketingpartners.com/2026/03/19/15-best-answer-engine-optimization-agencies-aeo-insights-company-rankings-for-2026/</t>
  </si>
  <si>
    <t>impressiondigital.com</t>
  </si>
  <si>
    <t>Measured, IBM</t>
  </si>
  <si>
    <t>https://www.motum-us.com/ai-readiness</t>
  </si>
  <si>
    <t>incrmntal.net</t>
  </si>
  <si>
    <t>AI Readiness | www.motum-us.comAI Readiness Services | Practical AI Adoption for Revenue Teams | Motum</t>
  </si>
  <si>
    <t>indeed.com</t>
  </si>
  <si>
    <t>https://nuoptima.com/ai-search-answer-engine-optimization-companies-usa</t>
  </si>
  <si>
    <t>indiantelevision.com</t>
  </si>
  <si>
    <t>Top Answer Engine Optimization Companies in the USA</t>
  </si>
  <si>
    <t>Siege Media, RevenueZen, Avenue Z, Omniscient Digital, iPullRank, WebFX, First Page Sage</t>
  </si>
  <si>
    <t>NoGood, WebFX, Omniscient Digital, Siege Media, First Page Sage, KlientBoost, Single Grain, Measured, Discovered Labs, RevenueZen</t>
  </si>
  <si>
    <t>https://www.o8.agency/blog/ai/best-ai-marketing-agencies-2026-honest-comparison#:~:text=Keenfolks%20describes%20itself%20as%20%22the%20first%20AI%2Dnative,The%20Drum's%20Transformation%20Agency%20of%20the%20Year.</t>
  </si>
  <si>
    <t>indiatimes.com</t>
  </si>
  <si>
    <t>Best AI Marketing Agencies in 2026: An Honest Comparison | O8</t>
  </si>
  <si>
    <t>Keenfolks, NinjaPromo, Measured</t>
  </si>
  <si>
    <t>Huge, McKinsey</t>
  </si>
  <si>
    <t>https://www.onely.com/blog/best-digital-marketing-agencies/#:~:text=Key%20Features%20*%20Proprietary%20nova%20analytics%20platform,and%20eCommerce%20vertical%20specialization%20with%20ROAS%2Dbased%20accountability.</t>
  </si>
  <si>
    <t>innovationegg.com</t>
  </si>
  <si>
    <t>Top 16 Digital Marketing Agencies in 2026: Evaluated by AI Search Readiness, Technical Depth, and Measurable Visibility Impact - Onely</t>
  </si>
  <si>
    <t>WebFX, KlientBoost, Thrive Internet Marketing Agency, Directive, SmartSites</t>
  </si>
  <si>
    <t>Clutch, Directive, Siege Media, Power Digital, Disruptive Advertising, Single Grain, NP Digital, WebFX, Ignite Visibility, SmartSites, KlientBoost, NinjaPromo, IBM</t>
  </si>
  <si>
    <t>https://pearllemon.com/top-performance-marketing-agencies-usa/</t>
  </si>
  <si>
    <t>instagram.com</t>
  </si>
  <si>
    <t>Top 10 Performance Marketing Agencies In USA (2025)</t>
  </si>
  <si>
    <t>intellibright.com</t>
  </si>
  <si>
    <t>SmartSites, Intero Digital, Ignite Visibility</t>
  </si>
  <si>
    <t>https://www.pedowitzgroup.com/ai-assessment</t>
  </si>
  <si>
    <t>interodigital.com</t>
  </si>
  <si>
    <t>AI Readiness Assessment for Marketing | The Pedowitz Group</t>
  </si>
  <si>
    <t>https://www.phable.io/top-creative-agencies/top-creative-agencies-in-the-world-masters-of-branding-content-creation-and-innovation</t>
  </si>
  <si>
    <t>invademarketing.com</t>
  </si>
  <si>
    <t>Top Creative Agencies in the World | Leaders in Branding, Content Creation, and Innovation — Branding And Content Marketing For Technology</t>
  </si>
  <si>
    <t>Ogilvy, IBM, Wieden+Kennedy, Droga5, AKQA, BBDO, R/GA, VML</t>
  </si>
  <si>
    <t>https://prescientai.com/blog/top-marketing-attribution-software-solutions</t>
  </si>
  <si>
    <t>ipsos.com</t>
  </si>
  <si>
    <t>12 top marketing attribution software solutions: 2026 comparison guide | Prescient AI</t>
  </si>
  <si>
    <t>Nielsen, Ruler Analytics, HockeyStack, Triple Whale</t>
  </si>
  <si>
    <t>itsoftexpert.com</t>
  </si>
  <si>
    <t>https://www.quora.com/What-is-the-best-AEO-agency-in-the-USA-in-2026</t>
  </si>
  <si>
    <t>j29creative.com</t>
  </si>
  <si>
    <t>https://www.reddit.com/r/Superframeworks/comments/1twfxf1/10_best_ai_seo_geoaeo_agencies_for_2026_no/</t>
  </si>
  <si>
    <t>jellyfishtechnologies.com</t>
  </si>
  <si>
    <t>10 Best AI SEO (GEO/AEO) Agencies for 2026: No Self-Ranking, Verified by Clutch Reviews and Real AI-Citation Proof</t>
  </si>
  <si>
    <t>First Page Sage, Single Grain, Clutch, NoGood, iPullRank, Victorious</t>
  </si>
  <si>
    <t>https://rtslabs.com/top-ai-consulting-firms/</t>
  </si>
  <si>
    <t>9 Best AI Consulting Firms in 2026 Review + Comparison</t>
  </si>
  <si>
    <t>Huge, Deloitte Digital, Jellyfish, McKinsey, IBM, Clutch, Anomaly</t>
  </si>
  <si>
    <t>justuno.com</t>
  </si>
  <si>
    <t>Fractal Analytics, Slalom, IBM, Measured</t>
  </si>
  <si>
    <t>https://s360digital.com/capabilities/tech/google-marketing-platform/</t>
  </si>
  <si>
    <t>MuteSix</t>
  </si>
  <si>
    <t>kailos.ai</t>
  </si>
  <si>
    <t>Your certified partner for Google Marketing Platform | s360</t>
  </si>
  <si>
    <t>kanerika.com</t>
  </si>
  <si>
    <t>https://scopicstudios.com/blog/top-performance-marketing-agencies/</t>
  </si>
  <si>
    <t>Top 10 Performance Marketing Agencies for ROI in 2025</t>
  </si>
  <si>
    <t>keends.com</t>
  </si>
  <si>
    <t>Clutch, Measured</t>
  </si>
  <si>
    <t>https://search.agency/</t>
  </si>
  <si>
    <t>Rockerbox, Measured, Analytic Partners, Nielsen, WPP, Gain Theory, Recast, Neustar, BCG, TransUnion</t>
  </si>
  <si>
    <t>Search Agency: The AI Search, GEO, AEO &amp;amp; SEO Agency</t>
  </si>
  <si>
    <t>keywordseverywhere.com</t>
  </si>
  <si>
    <t>https://segmentstream.com/blog/articles/best-attribution-tools</t>
  </si>
  <si>
    <t>10 Best Marketing Attribution Tools &amp;amp; Platforms (2026) — SegmentStream</t>
  </si>
  <si>
    <t>Huge, Dentsu, Accenture Song, Merkle, Rockerbox, Haus, Measured, Analytic Partners, WPP, Recast, Jellyfish, Northbeam, Nielsen, Sellforte, Triple Whale, Epsilon, Gain Theory, PwC, Neustar, McKinsey, HockeyStack, GroupM, Cardinal Path, LifeSight, Omnicom Media Group, TransUnion, Kantar, Circana, Kepler Group, LiftLab, Publicis Sapient</t>
  </si>
  <si>
    <t>SegmentStream, Triple Whale, Northbeam, Measured, Rockerbox, Ruler Analytics, Anomaly</t>
  </si>
  <si>
    <t>kiwop.com</t>
  </si>
  <si>
    <t>https://www.semfirms.com/digital-marketing-firms</t>
  </si>
  <si>
    <t>Rockerbox, Measured, Northbeam, LifeSight</t>
  </si>
  <si>
    <t>Top Digital Marketing Firms in United States | Reviews &amp;amp; Rating</t>
  </si>
  <si>
    <t>konstructdigital.com</t>
  </si>
  <si>
    <t>Intero Digital, Funnel Boost Media</t>
  </si>
  <si>
    <t>https://www.seoworks.com/lists/top-b2b-geo-and-aeo-agencies/</t>
  </si>
  <si>
    <t>Seer Interactive, WebFX, Intero Digital, iPullRank, First Page Sage</t>
  </si>
  <si>
    <t>Top 20 B2B GEO and AEO Agencies (2026) | The SEO Works</t>
  </si>
  <si>
    <t>kovlystudio.com</t>
  </si>
  <si>
    <t>The SEO Works, Discovered Labs, Animalz, Directive, WebFX, Victorious</t>
  </si>
  <si>
    <t>https://www.silverbackstrategies.com/lists/best-digital-marketing-agencies-in-the-us-rank-reviewed/</t>
  </si>
  <si>
    <t>NinjaPromo, Major Tom, Clutch</t>
  </si>
  <si>
    <t>lasersightdigital.com</t>
  </si>
  <si>
    <t>Best Digital Marketing Agencies in the U.S. in 2026 (Ranked &amp;amp; Reviewed) | Silverback Strategies</t>
  </si>
  <si>
    <t>Silverback Strategies, Clutch, Disruptive Advertising, Elit-Web, Accelerated Digital Media</t>
  </si>
  <si>
    <t>Tinuiti, Ignite Visibility, Clutch</t>
  </si>
  <si>
    <t>https://www.sortlist.com/advertising/united-states-us</t>
  </si>
  <si>
    <t>latimes.com</t>
  </si>
  <si>
    <t>The 10 Best Advertising Agencies in the United States - 2026 Reviews</t>
  </si>
  <si>
    <t>NinjaPromo, Publicis Groupe, Clutch</t>
  </si>
  <si>
    <t>TBWA\Chiat\Day</t>
  </si>
  <si>
    <t>https://www.strategyeye.com/top-13-performance-marketing-agencies/</t>
  </si>
  <si>
    <t>lawrencebros.com</t>
  </si>
  <si>
    <t>Top 13 Performance Marketing Agencies - StrategyEye</t>
  </si>
  <si>
    <t>Triple Whale, Northbeam, Ruler Analytics, HockeyStack</t>
  </si>
  <si>
    <t>Merkle, Tinuiti, Wpromote, Metric Theory, iProspect, Brainlabs, PMG</t>
  </si>
  <si>
    <t>lazarev.agency</t>
  </si>
  <si>
    <t>https://stratevaai.com/</t>
  </si>
  <si>
    <t>leadgem.nl</t>
  </si>
  <si>
    <t>Disruptive Advertising, WebFX, NoGood, KlientBoost, Directive, Single Grain, Refine Labs, Clay, Clutch</t>
  </si>
  <si>
    <t>https://support.google.com/google-ads/answer/9029203?hl=en</t>
  </si>
  <si>
    <t>leadiq.com</t>
  </si>
  <si>
    <t>About the Google Partners program</t>
  </si>
  <si>
    <t>https://www.thegrowthsyndicate.com/agencies/best-b2b-google-ads-agencies-us</t>
  </si>
  <si>
    <t>linea-analytics.com</t>
  </si>
  <si>
    <t>15 Best B2B Google Ads Agencies in the US in 2026</t>
  </si>
  <si>
    <t>lineardesign.com</t>
  </si>
  <si>
    <t>Directive, Disruptive Advertising, KlientBoost, Single Grain, Tinuiti, Brainlabs, HawkSEM, AdVenture Media, Silverback Strategies, Clutch, Seer Interactive, Metric Theory, Monks</t>
  </si>
  <si>
    <t>https://theinklusive.com/blog/best-creative-marketing-agency-partners-for-your-brand/</t>
  </si>
  <si>
    <t>15 BEST Creative Marketing Agencies for 2026 (W+K, Ogilvy, Mischief)</t>
  </si>
  <si>
    <t>linkupst.com</t>
  </si>
  <si>
    <t>Momentum, Wieden+Kennedy, Ogilvy, Giant Spoon</t>
  </si>
  <si>
    <t>https://www.thekeenfolks.com/blog-article/best-performance-marketing-agencies#:~:text=Best%20For%3A%20Mid%2Dmarket%20to%20enterprise%20companies%20focused,clients%20a%20concrete%20baseline%20for%20evaluating%20performance.</t>
  </si>
  <si>
    <t>Momentum, Pentagram, Clutch</t>
  </si>
  <si>
    <t>loopexdigital.com</t>
  </si>
  <si>
    <t>The Best Performance Marketing Agencies for Enterprise Growth</t>
  </si>
  <si>
    <t>Keenfolks, Tinuiti, DEPT, Croud, Ignite Visibility, Disruptive Advertising, WebFX</t>
  </si>
  <si>
    <t>https://themanifest.com/us/ppc/agencies</t>
  </si>
  <si>
    <t>lotame.com</t>
  </si>
  <si>
    <t>The Best PPC Companies in United States - Jul 2026 | The Manifest</t>
  </si>
  <si>
    <t>Clutch, KlientBoost, Disruptive Advertising, AdVenture Media, HawkSEM, SmartSites, Intero Digital, Elit-Web, NinjaPromo, Funnel Boost Media, LYFE Marketing</t>
  </si>
  <si>
    <t>Epsilon</t>
  </si>
  <si>
    <t>https://www.todaymade.com/blog/top-creative-agencies#:~:text=Core%20services%3A%20%2D%20Brand%20strategy%20%26%20positioning.,Ogilvy%2C%20with%20today's%20smartest%20data%20and%20technology.</t>
  </si>
  <si>
    <t>lotusbrainsstudio.com</t>
  </si>
  <si>
    <t>Top Creative Agencies in 2025. Ranked &amp;amp; Matched to Your Goals</t>
  </si>
  <si>
    <t>Wieden+Kennedy, Ogilvy, WPP, BBDO, Huge, Superside, R/GA, AKQA, Droga5, Accenture Song, Graphite, TBWA\Chiat\Day, Publicis Groupe, Dentsu, Pentagram, Monks, Clay, Momentum</t>
  </si>
  <si>
    <t>lseo.com</t>
  </si>
  <si>
    <t>https://transparent.partners/2023/03/15/unlock-revenue-with-incrementality-measurement-and-scale-testing/</t>
  </si>
  <si>
    <t>WebFX, NoGood, Huge, Intero Digital, Siege Media, iPullRank, First Page Sage</t>
  </si>
  <si>
    <t>luckie.com</t>
  </si>
  <si>
    <t>Unlock Revenue with Incrementality Measurement and Scale Testing - Transparent Partners</t>
  </si>
  <si>
    <t>https://www.uforocks.com/blog/top-ppc-agencies-in-the-u-s/</t>
  </si>
  <si>
    <t>lumenlimitless.com</t>
  </si>
  <si>
    <t>Top PPC Agencies in the U.S. - UFO Digital Marketing Agency</t>
  </si>
  <si>
    <t>https://www.warc.com/en/data-benchmarks/rankings-creative-100-overview</t>
  </si>
  <si>
    <t>Creative 100 Overview</t>
  </si>
  <si>
    <t>lunarailab.com</t>
  </si>
  <si>
    <t>https://www.warc.com/en/rankings/creative-100</t>
  </si>
  <si>
    <t>Measured, Slalom, Fractal Analytics</t>
  </si>
  <si>
    <t>lymlyt.pro</t>
  </si>
  <si>
    <t>https://www.webtonic.io/blog/top-enterprise-digital-marketing-agencies#:~:text=Their%20capabilities%20include%20advanced%20analytics%2C%20marketing%20automation,Columbia%20(Maryland)%2C%20New%20York%2C%20London%2C%20Global%20offices.</t>
  </si>
  <si>
    <t>NoGood, Omniscient Digital, Measured, Directive, Single Grain, NP Digital, NinjaPromo, Hawke Media, Keenfolks, Clutch, Monks</t>
  </si>
  <si>
    <t>mackmediagroup.com</t>
  </si>
  <si>
    <t>40 Top Enterprise Digital Marketing Agencies for 2026</t>
  </si>
  <si>
    <t>Web Tonic, Publicis Sapient, Merkle, Dentsu, Accenture Song, VML, Deloitte Digital, iProspect, R/GA, Huge, Digitas, Epsilon, PwC, Ogilvy, IBM, GroupM, DEPT, WPP</t>
  </si>
  <si>
    <t>https://www.webtonic.io/blog/top-paid-media-agencies</t>
  </si>
  <si>
    <t>madgicx.com</t>
  </si>
  <si>
    <t>Huge, McKinsey, BCG, Anomaly</t>
  </si>
  <si>
    <t>The 51 Top Paid Media Agencies as of 2026</t>
  </si>
  <si>
    <t>makingscience.com</t>
  </si>
  <si>
    <t>Web Tonic, Tinuiti, Wpromote, TransUnion, Jellyfish, Merkle, Dentsu, Brainlabs, DEPT, GroupM, Metric Theory, KlientBoost, Power Digital, Disruptive Advertising, AdVenture Media, PMG, Directive, Incubeta, Hawke Media, MuteSix, Amsive</t>
  </si>
  <si>
    <t>https://www.youtube.com/watch?v=Zyd_x8Z9J7I&amp;t=92</t>
  </si>
  <si>
    <t>Making Science</t>
  </si>
  <si>
    <t>Best Digital Performance Marketing Companies</t>
  </si>
  <si>
    <t>manilatimes.net</t>
  </si>
  <si>
    <t>Tinuiti, Wpromote, Single Grain, Right Side Up</t>
  </si>
  <si>
    <t>https://zipdo.co/service/display-advertising/</t>
  </si>
  <si>
    <t>Top 10 Best Display Advertising Services | Tested in 2026</t>
  </si>
  <si>
    <t>manning.com</t>
  </si>
  <si>
    <t>Merkle, Dentsu, WPP, Publicis Groupe, GroupM, Jellyfish, Clutch</t>
  </si>
  <si>
    <t>https://www.accuracast.com/articles/multilingual-7471/top-10-international-digital-marketing-agencies-2026/</t>
  </si>
  <si>
    <t>Top 10 International Digital Marketing Agencies 2026 - Accuracast</t>
  </si>
  <si>
    <t>marceldigital.com</t>
  </si>
  <si>
    <t>WebFX, Disruptive Advertising, iProspect, Ignite Visibility, SmartSites, Jellyfish, Accenture Song, Thrive Internet Marketing Agency, NoGood</t>
  </si>
  <si>
    <t>https://www.adogy.com/the-top-generative-engine-optimization-geo-agencies/</t>
  </si>
  <si>
    <t>Marcel Digital</t>
  </si>
  <si>
    <t>marketbridge.com</t>
  </si>
  <si>
    <t>Best Generative Engine Optimization (GEO) Agencies of 2026</t>
  </si>
  <si>
    <t>NoGood, Intero Digital, Avenue Z, Omniscient Digital, First Page Sage</t>
  </si>
  <si>
    <t>marketingaiinstitute.com</t>
  </si>
  <si>
    <t>https://agencies.semrush.com/list/analytics-data-science/business-professional-services/united-states/</t>
  </si>
  <si>
    <t>Best B2B Services Data Analytics Services in United States 2026 | Semrush</t>
  </si>
  <si>
    <t>LYFE Marketing, Elit-Web, Silverback Strategies, WebFX</t>
  </si>
  <si>
    <t>https://agencies.semrush.com/list/display-advertising/ecommerce/united-states/</t>
  </si>
  <si>
    <t>marketingmonk.so</t>
  </si>
  <si>
    <t>Best Ecommerce Display Ads Agencies in United States 2026 | Semrush</t>
  </si>
  <si>
    <t>SmartSites, Elit-Web, Brighter Click, Silverback Strategies</t>
  </si>
  <si>
    <t>markovate.com</t>
  </si>
  <si>
    <t>https://aiinsiderdaily.com/ai-tools-reviews/ai-agency-guide-2025/</t>
  </si>
  <si>
    <t>AI Agency Guide 2025: Top 20 Best AI Agent Companies in the USA | AI Insider Daily</t>
  </si>
  <si>
    <t>marrinadecisions.com</t>
  </si>
  <si>
    <t>https://www.aimediagroup.com/</t>
  </si>
  <si>
    <t>martal.ca</t>
  </si>
  <si>
    <t>Ai Marketing &amp;amp; Advertising Agency | Ai Media Group</t>
  </si>
  <si>
    <t>Dentsu, Measured, Intero Digital, McKinsey, Clutch, Thrive Internet Marketing Agency</t>
  </si>
  <si>
    <t>matomo.org</t>
  </si>
  <si>
    <t>https://amplitude.com/explore/experiment/incrementality-testing</t>
  </si>
  <si>
    <t>NoGood</t>
  </si>
  <si>
    <t>mayple.com</t>
  </si>
  <si>
    <t>What Is Incrementality Testing for Modern Marketers</t>
  </si>
  <si>
    <t>mcsaatchiperformance.com</t>
  </si>
  <si>
    <t>https://atelligen.com/</t>
  </si>
  <si>
    <t>https://avenuez.com/blog/top-answer-engine-optimization-aeo-agencies/</t>
  </si>
  <si>
    <t>measpublishing.co.uk</t>
  </si>
  <si>
    <t>Top Answer Engine Optimization (AEO) Agencies of 2025 - Avenue Z</t>
  </si>
  <si>
    <t>iPullRank, Single Grain, Silverback Strategies, First Page Sage</t>
  </si>
  <si>
    <t>Avenue Z, First Page Sage, Siege Media, NoGood, Thrive Internet Marketing Agency</t>
  </si>
  <si>
    <t>https://avenuez.com/blog/top-paid-ads-agencies-in-the-u-s/</t>
  </si>
  <si>
    <t>mediapost.com</t>
  </si>
  <si>
    <t>Top Paid Ads Agencies in the U.S. - Avenue Z</t>
  </si>
  <si>
    <t>Measured, WPP, Omnicom Media Group, Horizon Media</t>
  </si>
  <si>
    <t>Avenue Z, Disruptive Advertising, NoGood, Wpromote, Marcel Digital, IBM, Power Digital</t>
  </si>
  <si>
    <t>https://www.baselinemix.com/</t>
  </si>
  <si>
    <t>meioemensagem.com.br</t>
  </si>
  <si>
    <t>Dentsu, Accenture Song, Deloitte Digital, Publicis Groupe, WPP, IBM</t>
  </si>
  <si>
    <t>metabrand.digital</t>
  </si>
  <si>
    <t>Momentum, Clay, Clutch</t>
  </si>
  <si>
    <t>microsoft.com</t>
  </si>
  <si>
    <t>https://builtin.com/articles/agencies-for-ai-search-visibility</t>
  </si>
  <si>
    <t>Agencies That Help Brands Appear in AI Search Results | Built In</t>
  </si>
  <si>
    <t>midastouchinfotech.com</t>
  </si>
  <si>
    <t>iPullRank, Seer Interactive</t>
  </si>
  <si>
    <t>https://business.google.com/us/support/become-a-partner/</t>
  </si>
  <si>
    <t>Dentsu, PMG, SmartSites, Thrive Internet Marketing Agency</t>
  </si>
  <si>
    <t>Google Partners Program: Get Training and Support - Google Ads</t>
  </si>
  <si>
    <t>mkt-sci.com</t>
  </si>
  <si>
    <t>New Engen, Merkle</t>
  </si>
  <si>
    <t>https://www.cleverly.co/blog/best-marketing-attribution-software</t>
  </si>
  <si>
    <t>9 BEST Marketing Attribution Software in 2026 (We Use #1 Personally)</t>
  </si>
  <si>
    <t>mutesix.com</t>
  </si>
  <si>
    <t>Cometly, Ruler Analytics, Triple Whale</t>
  </si>
  <si>
    <t>Measured, MuteSix</t>
  </si>
  <si>
    <t>https://clickz.com/faq/mmm-vs-mta-vs-incrementality-measurement-stack/</t>
  </si>
  <si>
    <t>myohomarketing.com.au</t>
  </si>
  <si>
    <t>MMM vs MTA vs Incrementality Testing: What Does Your Ecommerce Measurement Stack Actually Need? - ClickZ</t>
  </si>
  <si>
    <t>Analytic Partners, Nielsen, Northbeam, Triple Whale, Measured, Haus, Recast, Merkle</t>
  </si>
  <si>
    <t>https://clutch.co/agencies/ppc/display/indiana</t>
  </si>
  <si>
    <t>mythology.com</t>
  </si>
  <si>
    <t>Droga5, Pentagram, R/GA, 72andSunny, Anomaly</t>
  </si>
  <si>
    <t>neilpatel.com</t>
  </si>
  <si>
    <t>https://clutch.co/agencies/ppc?geona_id=47171&amp;page=1</t>
  </si>
  <si>
    <t>Page 2 - Top PPC Agencies - Jul 2026 Rankings \| Clutch.co</t>
  </si>
  <si>
    <t>Rockerbox, Triple Whale, Northbeam, Measured, NP Digital</t>
  </si>
  <si>
    <t>Clutch, Disruptive Advertising, AdVenture Media, KlientBoost, Single Grain, SmartSites, HawkSEM, NinjaPromo, Intero Digital, Elit-Web</t>
  </si>
  <si>
    <t>https://clutch.co/us/agencies/branding/corporate</t>
  </si>
  <si>
    <t>neowork.com</t>
  </si>
  <si>
    <t>Top Corporate Branding Agencies in the United States - Jul 2026 Rankings \| Clutch.co</t>
  </si>
  <si>
    <t>Clutch, Momentum, Clay</t>
  </si>
  <si>
    <t>newcombin.com</t>
  </si>
  <si>
    <t>https://clutch.co/us/agencies/ppc/display?page=6</t>
  </si>
  <si>
    <t>Page 6 - Top Display Advertising Agencies in the United States - Jul 2026 Rankings | Clutch.co</t>
  </si>
  <si>
    <t>Recast, Clutch</t>
  </si>
  <si>
    <t>niracore.com</t>
  </si>
  <si>
    <t>https://www.cometly.com/post/attribution-tools-for-digital-marketing-agencies</t>
  </si>
  <si>
    <t>9 Best Attribution Tools For Digital Marketing Agencies</t>
  </si>
  <si>
    <t>https://www.cometly.com/post/marketing-attribution-platform-for-agencies#:~:text=1.,full%20customer%20journey%20in%20real</t>
  </si>
  <si>
    <t>northquery.com</t>
  </si>
  <si>
    <t>Best Marketing Attribution Platform For Agencies 2026</t>
  </si>
  <si>
    <t>Dentsu, Siege Media, Wpromote, Merkle, NP Digital, Jellyfish, Graphite</t>
  </si>
  <si>
    <t>Cometly, Triple Whale, Rockerbox, Northbeam, HockeyStack, Ruler Analytics</t>
  </si>
  <si>
    <t>https://www.commercepundit.com/blog/top-10-ai-consulting-companies-in-2026/</t>
  </si>
  <si>
    <t>norvelljefferson.com</t>
  </si>
  <si>
    <t>Top 10 AI Consulting Companies in 2026 for Businesses</t>
  </si>
  <si>
    <t>Dentsu, Ogilvy, Wieden+Kennedy, Publicis Groupe, 72andSunny, Monks</t>
  </si>
  <si>
    <t>McKinsey, QuantumBlack, IBM, BCG, PwC, Clutch</t>
  </si>
  <si>
    <t>nv5.com</t>
  </si>
  <si>
    <t>https://coolnerdsmarketing.com/best-creative-marketing-agencies-2025/#:~:text=Best%20overall%3A%20Cool%20Nerds%20Marketing.%20Best%20for,and%20Viral%20Marketing%3A%20Crispin%20Porter%20%2B%20Bogusky.</t>
  </si>
  <si>
    <t>oakpool.xyz</t>
  </si>
  <si>
    <t>Top 20 Best Creative Marketing Agencies in 2026 | Expert List</t>
  </si>
  <si>
    <t>Ogilvy, Wieden+Kennedy, BBDO, VML, Droga5, R/GA, Huge, Disruptive Advertising, 72andSunny, Dentsu, Anomaly, AKQA</t>
  </si>
  <si>
    <t>https://www.cracklepr.com/best-geo-agencies-2026</t>
  </si>
  <si>
    <t>NoGood, iPullRank, First Page Sage, Intero Digital, Seer Interactive</t>
  </si>
  <si>
    <t>Crackle PR — B2B Tech PR Agency for AI Search</t>
  </si>
  <si>
    <t>ombrella.net</t>
  </si>
  <si>
    <t>Power Digital, iPullRank, NP Digital, Siege Media, Single Grain, Amsive</t>
  </si>
  <si>
    <t>https://deployflow.co/blog/top-ai-consulting-companies-worldwide/#:~:text=Check%3A%20Confirm%20the%20current%20scope,paired%20with%20real%20build%20muscle.</t>
  </si>
  <si>
    <t>omdena.com</t>
  </si>
  <si>
    <t>Top AI Consulting Companies in 2026 – CTO’s Ultimate Guide</t>
  </si>
  <si>
    <t>QuantumBlack, McKinsey, BCG, Momentum</t>
  </si>
  <si>
    <t>omnibound.ai</t>
  </si>
  <si>
    <t>https://www.designrush.com/agency/creative-agencies</t>
  </si>
  <si>
    <t>Deloitte Digital, Measured, McKinsey, BCG</t>
  </si>
  <si>
    <t>Top Creative Agencies in 2026</t>
  </si>
  <si>
    <t>omnicommedia.com</t>
  </si>
  <si>
    <t>Huge, IBM, Disruptive Advertising, Major Tom, McKinsey, Measured, Nielsen</t>
  </si>
  <si>
    <t>https://digitalstrategyforce.com/top-10-aeo-agencies-2026/</t>
  </si>
  <si>
    <t>Top 10 AEO Agencies in 2026: Best AEO Agencies Ranked | Digital Strategy Force</t>
  </si>
  <si>
    <t>Acxiom, IBM, Omnicom Media Group</t>
  </si>
  <si>
    <t>oneclickseo.com</t>
  </si>
  <si>
    <t>iPullRank, NoGood, First Page Sage, Omniscient Digital, Siege Media, Tinuiti, Searchbloom, Digital Authority Partners, Amsive, Measured, McKinsey</t>
  </si>
  <si>
    <t>https://directiveconsulting.com/blog/best-programmatic-ad-agencies/</t>
  </si>
  <si>
    <t>onlineoptimism.com</t>
  </si>
  <si>
    <t>17 Best Programmatic Advertising Agencies For B2B - Directive</t>
  </si>
  <si>
    <t>Directive, Tinuiti, Merkle, Wpromote, Monks, Brainlabs, PMG, Jellyfish, Croud, iProspect, Kepler Group, TransUnion, IBM, Clutch</t>
  </si>
  <si>
    <t>https://directiveconsulting.com/blog/the-best-b2b-marketing-agencies-for-technology-companies-in-2026/</t>
  </si>
  <si>
    <t>Optimist</t>
  </si>
  <si>
    <t>openmoves.com</t>
  </si>
  <si>
    <t>25 Best B2B Marketing Agencies For B2B Technology Companies</t>
  </si>
  <si>
    <t>Power Digital, Tinuiti, WebFX, Merkle, Wpromote, Ignite Visibility, Directive, Single Grain, Jellyfish, Sociallyin, Intero Digital, Silverback Strategies, LYFE Marketing, The Social Shepherd, Clutch</t>
  </si>
  <si>
    <t>Directive, Refine Labs, Merkle, Jellyfish, AKQA, R/GA, Monks, DEPT, Bounteous, Seer Interactive, Wpromote, iProspect, Tinuiti, Victorious, PMG, WebFX, Croud, Measured, Momentum, IBM, Clutch</t>
  </si>
  <si>
    <t>opinosis-analytics.com</t>
  </si>
  <si>
    <t>https://en.wikipedia.org/wiki/Wieden+Kennedy</t>
  </si>
  <si>
    <t>Wieden+Kennedy - Wikipedia</t>
  </si>
  <si>
    <t>McKinsey, PwC, IBM, QuantumBlack, BCG, Bain &amp; Company, Fractal Analytics</t>
  </si>
  <si>
    <t>optimisemedia.com</t>
  </si>
  <si>
    <t>https://enterprisemarketingportal.google/work-with-partners</t>
  </si>
  <si>
    <t>orangemantra.com</t>
  </si>
  <si>
    <t>Work with Partners</t>
  </si>
  <si>
    <t>https://www.equinoxitsol.com/blog/top-10-performance-marketing-agencies-in-the-us/</t>
  </si>
  <si>
    <t>orm-tech.com</t>
  </si>
  <si>
    <t>Top Performance Marketing Agencies US</t>
  </si>
  <si>
    <t>oski.site</t>
  </si>
  <si>
    <t>Disruptive Advertising, Thrive Internet Marketing Agency, Power Digital, Tinuiti, WebFX, Ignite Visibility, KlientBoost, Metric Theory, NoGood</t>
  </si>
  <si>
    <t>https://fusepointinsights.com/service/incrementality-experiments/</t>
  </si>
  <si>
    <t>osmos.ai</t>
  </si>
  <si>
    <t>Incrementality Experiments for Marketing Measurement | fusepoint</t>
  </si>
  <si>
    <t>Nielsen, IBM, Bain &amp; Company</t>
  </si>
  <si>
    <t>ossisto.com</t>
  </si>
  <si>
    <t>https://www.g2.com/products/measured/reviews</t>
  </si>
  <si>
    <t>Measured Reviews 2026: Details, Pricing, &amp; Features \| G2</t>
  </si>
  <si>
    <t>outpaceseo.com</t>
  </si>
  <si>
    <t>Measured, Triple Whale, Rockerbox</t>
  </si>
  <si>
    <t>https://www.goodfirms.co/directory/country/top-digital-marketing-companies/us?sid=3931</t>
  </si>
  <si>
    <t>Momentum, WebFX, First Page Sage, Ignite Visibility, SmartSites, Darkroom, HawkSEM, Searchbloom, Clay, Victorious, Funnel Boost Media, Clutch</t>
  </si>
  <si>
    <t>outsourceaccelerator.com</t>
  </si>
  <si>
    <t>WebFX, Searchbloom, Funnel Boost Media, Momentum, Bounteous, LYFE Marketing, Elit-Web, Storm Brain</t>
  </si>
  <si>
    <t>Merkle, WebFX, Ignite Visibility, LYFE Marketing, VaynerMedia, SmartSites</t>
  </si>
  <si>
    <t>panorama-consulting.com</t>
  </si>
  <si>
    <t>https://www.goodfirms.co/directory/country/top-digital-marketing-companies/us?sid=3943</t>
  </si>
  <si>
    <t>WebFX, Searchbloom, IBM, Elit-Web, Storm Brain</t>
  </si>
  <si>
    <t>paramark.com</t>
  </si>
  <si>
    <t>https://www.growthspreeofficial.com/blogs/top-5-agencies-best-for-large-scale-b2b-demand-generation#:~:text=Senior%20operators%20run%20creation%2C%20capture%2C%20ABM%2C%20and,SaaS%20companies)%2C%20with%20no%20junior%20account%2Dmanager%20handoffs.</t>
  </si>
  <si>
    <t>Recast, Measured, Haus</t>
  </si>
  <si>
    <t>Top 5 Agencies for Large-Scale B2B Demand Generation (2026)</t>
  </si>
  <si>
    <t>patientprism.com</t>
  </si>
  <si>
    <t>GrowthSpree, Directive, Refine Labs, Measured, NoGood, Bain &amp; Company</t>
  </si>
  <si>
    <t>https://growwithvysta.com/blog/best-youtube-ads-agencies-in-the-us-2026/</t>
  </si>
  <si>
    <t>Ruler Analytics, HockeyStack</t>
  </si>
  <si>
    <t>Best YouTube Ads Agencies in the US (2026)</t>
  </si>
  <si>
    <t>pearllemonleads.com</t>
  </si>
  <si>
    <t>Disruptive Advertising, KlientBoost, Tinuiti, Common Thread Collective</t>
  </si>
  <si>
    <t>https://hashmeta.com/blog/10-best-aeo-geo-agencies-for-ai-search-optimization/</t>
  </si>
  <si>
    <t>DEPT</t>
  </si>
  <si>
    <t>10 Best AEO/GEO Agencies for AI Search Optimization | Hashmeta</t>
  </si>
  <si>
    <t>performics.com</t>
  </si>
  <si>
    <t>iPullRank, Go Fish Digital, Amsive, Siege Media, Measured</t>
  </si>
  <si>
    <t>https://improvado.io/blog/marketing-mix-modeling-providers</t>
  </si>
  <si>
    <t>12 Best Marketing Mix Modeling Tools 2026 | Provider Guide</t>
  </si>
  <si>
    <t>Analytic Partners, Measured, Recast, Cometly, SegmentStream, LifeSight, Triple Whale, HockeyStack</t>
  </si>
  <si>
    <t>https://inbeat.agency/blog/top-performance-creative-agencies</t>
  </si>
  <si>
    <t>phueled.com</t>
  </si>
  <si>
    <t>Performance Creative Agencies: 15 Worth a First Call (2026) - inBeat Agency</t>
  </si>
  <si>
    <t>inBeat, Nielsen, Brighter Click, Tinuiti, Darkroom, Bark London</t>
  </si>
  <si>
    <t>https://www.incremental.com/solutions</t>
  </si>
  <si>
    <t>Retail Media Incrementality Measurement &amp;amp; Optimization | Incremental — Incremental</t>
  </si>
  <si>
    <t>pitchkitchen.com</t>
  </si>
  <si>
    <t>https://www.incrmntal.com/solutions/agencies</t>
  </si>
  <si>
    <t>Marketing measurement solution for Agencies</t>
  </si>
  <si>
    <t>Directive</t>
  </si>
  <si>
    <t>INCRMNTAL</t>
  </si>
  <si>
    <t>https://indieagency.news/congratulations-to-our-member-adweek-agency-of-the-year-winners/</t>
  </si>
  <si>
    <t>pixelprodigies.com</t>
  </si>
  <si>
    <t>Congratulations to Our Member Adweek Agency of the Year Winners - Indie Agency News</t>
  </si>
  <si>
    <t>https://isuccessconsulting.com/aireadiness/</t>
  </si>
  <si>
    <t>AI Readiness &amp;amp; Organizational Assessment – iSuccess Consulting Inc.</t>
  </si>
  <si>
    <t>https://iternal.ai/best-ai-consulting-firms</t>
  </si>
  <si>
    <t>Best AI Consulting Firms for Enterprise (2026)</t>
  </si>
  <si>
    <t>pleiadesconsultancy.com</t>
  </si>
  <si>
    <t>McKinsey, QuantumBlack, BCG, Bain &amp; Company, PwC, IBM, Momentum</t>
  </si>
  <si>
    <t>https://www.itpro.com/business/business-strategy/ai-projects-are-stalling-at-mid-market-firms-google-cloud-and-accenture-want-to-solve-that</t>
  </si>
  <si>
    <t>pointsourcemarketing.com</t>
  </si>
  <si>
    <t>AI projects are stalling at mid-market firms – Google Cloud and Accenture want to solve that | IT Pro</t>
  </si>
  <si>
    <t>https://liftlab.com/platform/unified-marketing-measurement/</t>
  </si>
  <si>
    <t>portagelabs.io</t>
  </si>
  <si>
    <t>Unified Marketing Measurement Platform (MMM + Incrementality) | LiftLab</t>
  </si>
  <si>
    <t>Momentum, Anomaly</t>
  </si>
  <si>
    <t>https://www.lyfemarketing.com/blog/top-advertising-agencies-us/</t>
  </si>
  <si>
    <t>portofino.marketing</t>
  </si>
  <si>
    <t>pravaahconsulting.com</t>
  </si>
  <si>
    <t>Top 32 Advertising Agencies In The US 2026</t>
  </si>
  <si>
    <t>LYFE Marketing, Refine Labs, Kobe Digital, Disruptive Advertising, Ogilvy, Wieden+Kennedy</t>
  </si>
  <si>
    <t>https://www.lyfemarketing.com/blog/top-google-ads-agencies-us/</t>
  </si>
  <si>
    <t>McKinsey, IBM, QuantumBlack, Fractal Analytics</t>
  </si>
  <si>
    <t>prerender.io</t>
  </si>
  <si>
    <t>Top 25 Google Ads Agencies In The U.S. 2026</t>
  </si>
  <si>
    <t>LYFE Marketing, Directive, NinjaPromo, KlientBoost, AdVenture Media, Intero Digital, Single Grain</t>
  </si>
  <si>
    <t>https://www.madx.digital/learn/geo-aeo-agencies</t>
  </si>
  <si>
    <t>primeone.global</t>
  </si>
  <si>
    <t>14 Great GEO &amp;amp; AEO Agencies in 2026 | MADX Digital</t>
  </si>
  <si>
    <t>primetrics.cpa</t>
  </si>
  <si>
    <t>NoGood, iPullRank, Searchbloom, Siege Media, First Page Sage, Single Grain</t>
  </si>
  <si>
    <t>https://www.magier.com/blog/best-creative-agency</t>
  </si>
  <si>
    <t>prnewswire.com</t>
  </si>
  <si>
    <t>15 Best Creative Agencies for Branding, Ads, and UX (2026)</t>
  </si>
  <si>
    <t>Pentagram, Wolff Olins, Wieden+Kennedy, BBDO, R/GA, AKQA, Ogilvy, Droga5, WPP, Giant Spoon, Clutch, Accenture Song, Momentum, 72andSunny, Clay, Huge, Superside</t>
  </si>
  <si>
    <t>projectmanagers.net</t>
  </si>
  <si>
    <t>https://marketerhire.com/blog/ai-marketing-agencies</t>
  </si>
  <si>
    <t>Ultimate Guide to the Best AI Marketing Agencies for Your Business</t>
  </si>
  <si>
    <t>KlientBoost</t>
  </si>
  <si>
    <t>promodo.com</t>
  </si>
  <si>
    <t>https://www.marketingdive.com/news/barkley-okrp-merger-big-indie-independent-agency-trend/709869/</t>
  </si>
  <si>
    <t>Measured, Siege Media, Directive, Intero Digital, Go Fish Digital, Searchbloom, The SEO Works, Clutch</t>
  </si>
  <si>
    <t>promoguy.nl</t>
  </si>
  <si>
    <t>Barkley, OKRP merge to create ‘big indie’ agency | Marketing Dive</t>
  </si>
  <si>
    <t>Measured, Haus, LifeSight, LiftLab</t>
  </si>
  <si>
    <t>propellic.com</t>
  </si>
  <si>
    <t>https://maxconnect.com/services/digital/display-advertising</t>
  </si>
  <si>
    <t>Display Advertising Services - Max Connect Digital</t>
  </si>
  <si>
    <t>provokemedia.com</t>
  </si>
  <si>
    <t>https://www.measured.com/incremental-lift-tests/</t>
  </si>
  <si>
    <t>Measured: Incrementality Testing</t>
  </si>
  <si>
    <t>prweek.com</t>
  </si>
  <si>
    <t>https://metaflow.life/blog/best-paid-media-agencies-2026</t>
  </si>
  <si>
    <t>11 Best paid media Agencies for 2026</t>
  </si>
  <si>
    <t>Power Digital, NoGood, Ignite Visibility, Victorious, Amsive</t>
  </si>
  <si>
    <t>punchcut.com</t>
  </si>
  <si>
    <t>https://www.miniloop.ai/blog/best-geo-agencies</t>
  </si>
  <si>
    <t>Best GEO Agencies 2026: Generative Engine Optimization Companies</t>
  </si>
  <si>
    <t>Huge, Accenture Song, McKinsey, Clay, QuantumBlack</t>
  </si>
  <si>
    <t>purealanalytics.co.uk</t>
  </si>
  <si>
    <t>Omniscient Digital, Animalz, Siege Media, Go Fish Digital, Intero Digital</t>
  </si>
  <si>
    <t>https://mma.com/solutions/lp-transform-your-marketing-measurement/</t>
  </si>
  <si>
    <t>Enterprise Level Marketing Analytics Solutions | Ipsos MMA</t>
  </si>
  <si>
    <t>https://www.munro.agency/marketing-agencies-in-the-usa/</t>
  </si>
  <si>
    <t>Top 15 Marketing Agencies in the USA for 2026</t>
  </si>
  <si>
    <t>LYFE Marketing, Wieden+Kennedy, Disruptive Advertising, Dentsu, Digitas, BBDO, Major Tom, Funnel Boost Media, 72andSunny, Ignite Visibility</t>
  </si>
  <si>
    <t>puremarketing.ai</t>
  </si>
  <si>
    <t>https://nationalmarketingawards.com/agency/</t>
  </si>
  <si>
    <t>PMG</t>
  </si>
  <si>
    <t>Top Marketing Agencies 2026 | National Marketing Awards</t>
  </si>
  <si>
    <t>purplez.com</t>
  </si>
  <si>
    <t>WebFX, VML, WPP, Ignite Visibility, Wieden+Kennedy, SmartSites, Anomaly, HawkSEM, Disruptive Advertising, R/GA, LYFE Marketing, Intero Digital, Noble Studios, NP Digital, Marcel Digital, Directive, Seer Interactive, Silverback Strategies, Publicis Groupe, Power Digital, Victorious, Huge, 72andSunny, Searchbloom, Wpromote, Siege Media, Droga5, Accenture Song, Horizon Media, KlientBoost, Single Grain, PMG, Bounteous, BBDO, Sociallyin, First Page Sage, Viral Nation, Clay, Tinuiti, Hawke Media, NoGood, Clutch, Measured</t>
  </si>
  <si>
    <t>https://www.nexusaiconsulting.com/</t>
  </si>
  <si>
    <t>pwskills.com</t>
  </si>
  <si>
    <t>Home | Nexus AI Consulting</t>
  </si>
  <si>
    <t>Brainlabs, NoGood, Measured, MuteSix, NinjaPromo</t>
  </si>
  <si>
    <t>q3tech.com</t>
  </si>
  <si>
    <t>https://www.nine.am/insights/best-performance-marketing-agencies-nyc</t>
  </si>
  <si>
    <t>Momentum, Measured, IBM</t>
  </si>
  <si>
    <t>qs.digital</t>
  </si>
  <si>
    <t>10 Best Performance Marketing Agencies in NYC (2026 Edition)</t>
  </si>
  <si>
    <t>ramotion.com</t>
  </si>
  <si>
    <t>Pentagram, BBDO, Wolff Olins</t>
  </si>
  <si>
    <t>NoGood, Clutch, Tinuiti, Power Digital, Amsive, VaynerMedia, inBeat</t>
  </si>
  <si>
    <t>https://www.objectiveplatform.com/blog/marketing-mix-modelling-solutions-compared</t>
  </si>
  <si>
    <t>rankai.ai</t>
  </si>
  <si>
    <t>iPullRank, Daydream, Clay, Graphite</t>
  </si>
  <si>
    <t>Marketing Mix Modelling Solutions Compared 2026</t>
  </si>
  <si>
    <t>rankmybusiness.com.au</t>
  </si>
  <si>
    <t>Analytic Partners, Gain Theory, Acxiom, Kantar, Circana, Merkle, Measured, WPP</t>
  </si>
  <si>
    <t>ranktix.co.uk</t>
  </si>
  <si>
    <t>https://www.outrightcrm.com/blog/roi-focused-digital-marketing-agencies/</t>
  </si>
  <si>
    <t>15 Best ROI-Focused Digital Marketing Firms in 2026 | OutrightCRM</t>
  </si>
  <si>
    <t>rational.partners</t>
  </si>
  <si>
    <t>realtimeagency.com</t>
  </si>
  <si>
    <t>Disruptive Advertising, KlientBoost, SmartSites, Power Digital, Wpromote, Ignite Visibility, Seer Interactive, Directive, Jellyfish, Merkle, VaynerMedia, NP Digital, Thrive Internet Marketing Agency, LYFE Marketing, Clutch, Huge</t>
  </si>
  <si>
    <t>https://oxdpr.com/creative-strategy-agencies/</t>
  </si>
  <si>
    <t>Huge, Sellforte, Nielsen</t>
  </si>
  <si>
    <t>Top 7 Creative Strategy Agencies Shaping Brands in 2026 - OXDPR - Digital Marketing</t>
  </si>
  <si>
    <t>red-engage.com</t>
  </si>
  <si>
    <t>McKinsey, Superside, inBeat, Ogilvy, IBM, Wieden+Kennedy, Accenture Song, Measured</t>
  </si>
  <si>
    <t>https://parallel365.com/best-ai-search-optimization-agencies-for-b2b-companies/</t>
  </si>
  <si>
    <t>iPullRank, First Page Sage, Single Grain, Sociallyin, Amsive, Clutch</t>
  </si>
  <si>
    <t>redcubedigital.com</t>
  </si>
  <si>
    <t>Best AI Search Optimization Agencies for B2B Companies in 2026</t>
  </si>
  <si>
    <t>McKinsey, Omniscient Digital, Directive, NoGood, Single Grain, Disruptive Advertising, Power Digital, WebFX, Thrive Internet Marketing Agency, Searchbloom</t>
  </si>
  <si>
    <t>responsify.com</t>
  </si>
  <si>
    <t>https://piperocket.digital/list/best-paid-social-agencies/</t>
  </si>
  <si>
    <t>Omniscient Digital, Siege Media, Clutch</t>
  </si>
  <si>
    <t>9 Best Paid Social Agencies for 2026 (Honest Review)</t>
  </si>
  <si>
    <t>revclickmarketing.com</t>
  </si>
  <si>
    <t>Clutch, Directive, Hey Digital, KlientBoost, NoGood, Measured</t>
  </si>
  <si>
    <t>https://www.pixelmojo.io/best-ai-visibility-agencies</t>
  </si>
  <si>
    <t>Best AI Visibility Agencies in 2026 | GEO and AEO Agencies Compared</t>
  </si>
  <si>
    <t>revealmobile.com</t>
  </si>
  <si>
    <t>WebFX, Seer Interactive, iPullRank, NoGood, Siege Media, Directive, Measured</t>
  </si>
  <si>
    <t>https://www.redseo.io/compare/best-ai-seo-agency</t>
  </si>
  <si>
    <t>riverjournalonline.com</t>
  </si>
  <si>
    <t>The 10 Best AI SEO Agencies of 2026 (AEO &amp;amp; GEO Specialists)</t>
  </si>
  <si>
    <t>iPullRank, Graphite, Animalz, Brainlabs, NoGood, Victorious, Seer Interactive, Siege Media, Omniscient Digital, Clutch, Measured</t>
  </si>
  <si>
    <t>https://ritzherald.com/best-marketing-agencies-ai-search-optimization/#:~:text=The%20B2B%20AI%20search%20specialist%20connecting%20AI,earliest%20dedicated%20AI%20Search%20and%20Visibility%20programs.</t>
  </si>
  <si>
    <t>roirevolution.com</t>
  </si>
  <si>
    <t>7 Best Marketing Agencies for AI Search Optimization in 2026</t>
  </si>
  <si>
    <t>rokointernational.com</t>
  </si>
  <si>
    <t>Measured, Ogilvy, Jellyfish, Brandtech, NP Digital, iProspect, Dentsu, Wpromote, Merkle</t>
  </si>
  <si>
    <t>https://rtslabs.com/ai-consulting-company-in-usa</t>
  </si>
  <si>
    <t>10 Best AI Consulting Companies in USA for 2026</t>
  </si>
  <si>
    <t>rokt.com</t>
  </si>
  <si>
    <t>Slalom, Artefact, Fractal Analytics, McKinsey, QuantumBlack, IBM</t>
  </si>
  <si>
    <t>Measured, Haus, TransUnion</t>
  </si>
  <si>
    <t>https://www.seerinteractive.com/ai-consulting</t>
  </si>
  <si>
    <t>royaldigitalagency.com</t>
  </si>
  <si>
    <t>SeerAdvance AI Consulting Services</t>
  </si>
  <si>
    <t>ruleranalytics.com</t>
  </si>
  <si>
    <t>https://www.semfirms.com/display-advertising-firms?page=1</t>
  </si>
  <si>
    <t>Ruler Analytics</t>
  </si>
  <si>
    <t>s3da-design.com</t>
  </si>
  <si>
    <t>https://www.slalom.com/us/en#:~:text=Rethink%20the%20future%20of%20marketing%20with%20modular,Renown%20Health.%20Customer%20Story.%20Healthcare.%20Healthcare%20provider.</t>
  </si>
  <si>
    <t>NP Digital</t>
  </si>
  <si>
    <t>salesduo.com</t>
  </si>
  <si>
    <t>Business consulting firm &amp;amp; AI consulting firm | Slalom</t>
  </si>
  <si>
    <t>Disruptive Advertising, Tinuiti, Measured</t>
  </si>
  <si>
    <t>Slalom, Momentum</t>
  </si>
  <si>
    <t>https://sociallyin.com/resources/top-performance-marketing-agencies-us/</t>
  </si>
  <si>
    <t>scaleandcompany.com</t>
  </si>
  <si>
    <t>Top 5 Performance Marketing Agencies in the US for 2026</t>
  </si>
  <si>
    <t>Sociallyin, Wpromote, TransUnion, Tinuiti, Disruptive Advertising, Merkle, Clutch, Measured, McKinsey</t>
  </si>
  <si>
    <t>https://www.sortlist.com/display-advertising</t>
  </si>
  <si>
    <t>scrap.io</t>
  </si>
  <si>
    <t>The 100 Best Display Advertising Agencies - 2026 Reviews</t>
  </si>
  <si>
    <t>sdim.nl</t>
  </si>
  <si>
    <t>https://www.sortlist.com/marketing-analytics</t>
  </si>
  <si>
    <t>The 100 Best Marketing Analytics Companies - 2026 Reviews</t>
  </si>
  <si>
    <t>searchconversions.com</t>
  </si>
  <si>
    <t>NinjaPromo</t>
  </si>
  <si>
    <t>https://www.sortlist.com/s/data-driven-marketing/united-states-us</t>
  </si>
  <si>
    <t>Ignite Visibility, NoGood, Omniscient Digital, iPullRank, Single Grain</t>
  </si>
  <si>
    <t>The 10 Best Data Driven Marketing Agencies in the United States - 2026 Reviews</t>
  </si>
  <si>
    <t>NinjaPromo, IBM, Clutch, Measured</t>
  </si>
  <si>
    <t>secure-platform.com</t>
  </si>
  <si>
    <t>https://www.superside.com/blog/creative-agencies-new-york</t>
  </si>
  <si>
    <t>Momentum, Ogilvy, Publicis Groupe, Wieden+Kennedy, WPP, Droga5, 72andSunny, Digitas, VML, R/GA, BBDO, Forthea</t>
  </si>
  <si>
    <t>15 Top Creative Agencies in New York City for 2026</t>
  </si>
  <si>
    <t>seedcreativestudio.com</t>
  </si>
  <si>
    <t>https://sweatpantsagency.com/best-meta-ad-agencies</t>
  </si>
  <si>
    <t>Best Meta Ad Agencies for DTC Brands (2026) | Sweat Pants Agency</t>
  </si>
  <si>
    <t>Tinuiti, KlientBoost, MuteSix</t>
  </si>
  <si>
    <t>https://teamai.com/blog/generative-ai-and-business/top-geo-agencies-for-ai-visibility/</t>
  </si>
  <si>
    <t>The Best GEO Agencies to Explore in 2026</t>
  </si>
  <si>
    <t>https://thatware.co/10-best-geo-companies-in-usa/</t>
  </si>
  <si>
    <t>10 Best GEO-Listing Companies in USA - Top GEO Agencies</t>
  </si>
  <si>
    <t>segmetrics.io</t>
  </si>
  <si>
    <t>https://thatware.co/best-ai-search-optimization-services-usa/</t>
  </si>
  <si>
    <t>Best AI Search Optimization Services in USA – Trusted Provider</t>
  </si>
  <si>
    <t>Anomaly, Clutch</t>
  </si>
  <si>
    <t>https://www.thedrum.com/news/how-agencies-are-finding-power-the-middle-independent-networks-reshape-the-market</t>
  </si>
  <si>
    <t>Triple Whale, Northbeam, Cometly</t>
  </si>
  <si>
    <t>sei.com</t>
  </si>
  <si>
    <t>How agencies are finding power in the middle as independent networks reshape the market | The Drum</t>
  </si>
  <si>
    <t>WPP, Dentsu, Accenture Song, McKinsey, PwC, Brandtech, Incubeta, DEPT</t>
  </si>
  <si>
    <t>https://themanifest.com/us/media-buying/agencies?page=1</t>
  </si>
  <si>
    <t>seobrand.com</t>
  </si>
  <si>
    <t>The Best Media Planning and Buying Companies in United States - Jul 2026 | The Manifest</t>
  </si>
  <si>
    <t>Clutch, DEPT, Amsive, Accelerated Digital Media</t>
  </si>
  <si>
    <t>https://themarketingagency.ca/blog/performance-marketing-agencies/#:~:text=thesocialshepherd.com.%20Features.%20Paid%20Social%20(Meta%2C%20TikTok%2C%20Pinterest).,complex%20B2B%20enterprise%20lead%20gen%2C%20look%20elsewhere.</t>
  </si>
  <si>
    <t>11 Best Performance Marketing Agencies in 2026</t>
  </si>
  <si>
    <t>NoGood, Tinuiti, Disruptive Advertising, The Social Shepherd, WebFX, MuteSix, Directive, Ignite Visibility, Viral Nation, Measured, Clutch, IBM, Single Grain, Power Digital, Publicis Groupe, Momentum</t>
  </si>
  <si>
    <t>https://university.tenten.co/t/top-30-ai-powered-marketing-agencies/2295#:~:text=9%20%7C%20360i%20%7C%20New%20York%2C%20USA,Creative%20innovation%20%7C%20Advanced%20AI%20brand%20systems</t>
  </si>
  <si>
    <t>setupad.com</t>
  </si>
  <si>
    <t>Top 30 AI-Powered Marketing Agencies - Tenten AI</t>
  </si>
  <si>
    <t>Measured, Superside</t>
  </si>
  <si>
    <t>Web Tonic, WebFX, Disruptive Advertising, Sociallyin, Ignite Visibility, Merkle, iProspect, Jellyfish, Publicis Sapient, Huge, R/GA, Accenture Song, Hawke Media, Wpromote, Tinuiti, Brainlabs, VaynerMedia, Seer Interactive, SmartSites, Power Digital</t>
  </si>
  <si>
    <t>shifu-marketing.com</t>
  </si>
  <si>
    <t>https://www.velocitybyca.com/enterprise-ai-consulting</t>
  </si>
  <si>
    <t>Enterprise AI Consulting for Fortune 500 | Velocity AI by CourtAvenue</t>
  </si>
  <si>
    <t>shipmercury.com</t>
  </si>
  <si>
    <t>https://wamdigital.com/blog/top-5-creative-and-web-development-agencies-for-scalable-production-in-2026</t>
  </si>
  <si>
    <t>shopperapproved.com</t>
  </si>
  <si>
    <t>Top Creative &amp;amp; Web Development Agencies for Scalable Production in 2026</t>
  </si>
  <si>
    <t>Hawke Media, Disruptive Advertising, Searchbloom</t>
  </si>
  <si>
    <t>https://www.webtonic.io/blog/best-ai-marketing-agencies</t>
  </si>
  <si>
    <t>sianamarketing.com</t>
  </si>
  <si>
    <t>34 Best AI Marketing Agencies for 2026</t>
  </si>
  <si>
    <t>Web Tonic, Anomaly, IBM, Ogilvy</t>
  </si>
  <si>
    <t>Intero Digital, Clutch, Graphite, First Page Sage</t>
  </si>
  <si>
    <t>https://www.webtonic.io/blog/best-data-driven-marketing-agencies#:~:text=Industries%20Served%3A%20Retail%2C%20Financial%20Services%2C%20Healthcare%2C%20Travel,and%20personalization%20at%20scale.%20%2D%203.%20Jellyfish.</t>
  </si>
  <si>
    <t>signitysolutions.com</t>
  </si>
  <si>
    <t>35 Best Data-Driven Marketing Agencies for 2026</t>
  </si>
  <si>
    <t>Web Tonic, Merkle, Dentsu, Jellyfish, Wpromote, TransUnion, Tinuiti, Ignite Visibility, KlientBoost, Metric Theory, Power Digital, Brainlabs, Hawke Media, Directive, iProspect, Seer Interactive, Amsive, Rockerbox, Incubeta, GroupM, Measured</t>
  </si>
  <si>
    <t>https://www.webtonic.io/blog/best-google-ads-agencies-us</t>
  </si>
  <si>
    <t>PwC, McKinsey, QuantumBlack, IBM, Clutch, BCG</t>
  </si>
  <si>
    <t>simplythebestdigital.com</t>
  </si>
  <si>
    <t>Top 32 Google Ads Agencies in the US (2026 Edition)</t>
  </si>
  <si>
    <t>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t>
  </si>
  <si>
    <t>https://www.webtonic.io/blog/top-advertising-agencies-us#:~:text=MullenLowe,Zulu%20Alpha</t>
  </si>
  <si>
    <t>Power Digital, Disruptive Advertising, WebFX, First Page Sage, Ignite Visibility, SmartSites, Clutch</t>
  </si>
  <si>
    <t>42 Top Advertising Agencies in the US for 2026</t>
  </si>
  <si>
    <t>Web Tonic, 72andSunny, AKQA, Anomaly, BBDO, Dentsu, Droga5, Momentum, Ogilvy, IBM, Publicis Groupe, R/GA, TBWA\Chiat\Day, Wieden+Kennedy, Wpromote, VML</t>
  </si>
  <si>
    <t>sinfa.com</t>
  </si>
  <si>
    <t>https://whyflagshalfmasttoday.com/best-u-s-aeo-agencies-for-answer-engine-optimization-2026/</t>
  </si>
  <si>
    <t>Best U.S. AEO Agencies for Answer Engine Optimization (2026)</t>
  </si>
  <si>
    <t>singlestoneconsulting.com</t>
  </si>
  <si>
    <t>iPullRank, Seer Interactive, Go Fish Digital, Momentum, Siege Media, Victorious</t>
  </si>
  <si>
    <t>https://wifitalents.com/service/display-advertising/</t>
  </si>
  <si>
    <t>PwC, Slalom</t>
  </si>
  <si>
    <t>skai.io</t>
  </si>
  <si>
    <t>Display Advertising Services: Best Picks (2026)</t>
  </si>
  <si>
    <t>WPP, GroupM, Dentsu, Publicis Groupe, Accenture Song, Tinuiti, Clutch</t>
  </si>
  <si>
    <t>skipthenoisemedia.com</t>
  </si>
  <si>
    <t>https://www.wsj.com/business/earnings/publicis-raises-guidance-citing-new-business-wins-ad4f0d98</t>
  </si>
  <si>
    <t>Publicis Raises Guidance, Citing New Business Wins - WSJ</t>
  </si>
  <si>
    <t>WPP, GroupM</t>
  </si>
  <si>
    <t>Publicis Groupe, Momentum, IBM</t>
  </si>
  <si>
    <t>https://www.yall.co/post/top-dtc-performance-creative-agencies-in-2026</t>
  </si>
  <si>
    <t>smartosc.com</t>
  </si>
  <si>
    <t>Top DTC Performance Creative Agencies in 2026 (Updated June 2026) | Y’all, A Performance Creative Agency</t>
  </si>
  <si>
    <t>Measured, McKinsey, Anomaly</t>
  </si>
  <si>
    <t>Hawke Media, Darkroom, Common Thread Collective, MuteSix, Power Digital, DEPT</t>
  </si>
  <si>
    <t>snov.io</t>
  </si>
  <si>
    <t>https://www.youtube.com/watch?v=YFmHk-nNoNg&amp;t=46</t>
  </si>
  <si>
    <t>Top 6 AI-Powered B2B SaaS Marketing Agencies in the US (2026 Real Ranking)</t>
  </si>
  <si>
    <t>socialander.com</t>
  </si>
  <si>
    <t>Clutch, GrowthSpree, Refine Labs, NoGood, Single Grain, AdVenture Media</t>
  </si>
  <si>
    <t>https://www.youtube.com/watch?v=fdPFLXFJlwo&amp;t=30</t>
  </si>
  <si>
    <t>Disruptive Advertising, WebFX, Ignite Visibility, KlientBoost, SmartSites, Searchbloom, LYFE Marketing, Thrive Internet Marketing Agency</t>
  </si>
  <si>
    <t>6 Best Revenue Attribution Agencies for B2B SaaS in 2026</t>
  </si>
  <si>
    <t>sociolabs.in</t>
  </si>
  <si>
    <t>Clutch, GrowthSpree, Refine Labs, NoGood, Single Grain, Disruptive Advertising, Wpromote</t>
  </si>
  <si>
    <t>https://www.youtube.com/watch?v=jA6Bn5bI298&amp;t=242</t>
  </si>
  <si>
    <t>soft-industry.com</t>
  </si>
  <si>
    <t>Best Performance Marketing Agency? What Actually Matters</t>
  </si>
  <si>
    <t>Right Side Up</t>
  </si>
  <si>
    <t>https://zipdo.co/service/global-digital-marketing/</t>
  </si>
  <si>
    <t>Top 10 Best Global Digital Marketing Services | 2026 Edition</t>
  </si>
  <si>
    <t>sona.com</t>
  </si>
  <si>
    <t>WPP, Publicis Groupe, Omnicom Media Group, Deloitte Digital, IBM, Kantar, iProspect, Merkle, Publicis Sapient, Clutch</t>
  </si>
  <si>
    <t>https://zipdo.co/service/marketing-data-analytics/</t>
  </si>
  <si>
    <t>Best Marketing Data Analytics Services (2026)</t>
  </si>
  <si>
    <t>Merkle, Dentsu, Publicis Groupe, VML, PwC, Clutch</t>
  </si>
  <si>
    <t>sparkouttech.com</t>
  </si>
  <si>
    <t>https://ziptie.dev/blog/best-ai-seo-agency/</t>
  </si>
  <si>
    <t>Momentum, Haus, Clay, IBM</t>
  </si>
  <si>
    <t>Best AI SEO Agency | How to choose an AI SEO agency? – ZipTie.dev</t>
  </si>
  <si>
    <t>iPullRank, Omniscient Digital, First Page Sage, Siege Media, Directive, Seer Interactive, Searchbloom, NoGood</t>
  </si>
  <si>
    <t>https://zyppy.com/companies/c/generative-ai-seo/united-states/</t>
  </si>
  <si>
    <t>spotify.com</t>
  </si>
  <si>
    <t>Top Generative AI Search Companies in the United States - July 2026</t>
  </si>
  <si>
    <t>Seer Interactive, Go Fish Digital, RevenueZen, Clutch</t>
  </si>
  <si>
    <t>stackadapt.com</t>
  </si>
  <si>
    <t>https://zyppy.com/companies/c/marketing-attribution/</t>
  </si>
  <si>
    <t>McKinsey, Acxiom, BCG</t>
  </si>
  <si>
    <t>Top Marketing Attribution Companies - July 2026</t>
  </si>
  <si>
    <t>stackmatix.com</t>
  </si>
  <si>
    <t>https://www.310creative.com/blog/top-abm-agencies</t>
  </si>
  <si>
    <t>Power Digital, Disruptive Advertising, WebFX, KlientBoost, SmartSites, Single Grain, Brighter Click, LYFE Marketing, The Social Shepherd, Clutch, Thrive Internet Marketing Agency</t>
  </si>
  <si>
    <t>stanleyconsultants.com</t>
  </si>
  <si>
    <t>Top 10 ABM Agencies in the U.S. 2026 | Reviews | 310 Creative</t>
  </si>
  <si>
    <t>starusa.org</t>
  </si>
  <si>
    <t>Directive, Momentum</t>
  </si>
  <si>
    <t>https://42dm.net/10-best-generative-engine-optimization-agencies-globally/</t>
  </si>
  <si>
    <t>stryde.com</t>
  </si>
  <si>
    <t>Top Generative AI SEO Agencies for 2026 – Compare the Best</t>
  </si>
  <si>
    <t>Huge, Tinuiti, NoGood, Disruptive Advertising, HawkSEM, Seer Interactive, Thrive Internet Marketing Agency</t>
  </si>
  <si>
    <t>Clutch, Victorious, Intero Digital, Marcel Digital, Avenue Z, Single Grain, NoGood</t>
  </si>
  <si>
    <t>https://www.50pros.com/hire/digital-marketing/marketing-analytics</t>
  </si>
  <si>
    <t>superbcompanies.com</t>
  </si>
  <si>
    <t>Top Marketing Analytics Agencies to Hire in June 2026</t>
  </si>
  <si>
    <t>https://addepto.com/blog/top-16-ai-consulting-companies/</t>
  </si>
  <si>
    <t>taqwah.agency</t>
  </si>
  <si>
    <t>Clay, Clutch</t>
  </si>
  <si>
    <t>tbwa.com</t>
  </si>
  <si>
    <t>Top 16 AI Consulting Companies to Check in 2026 - Addepto</t>
  </si>
  <si>
    <t>Clutch, Anomaly, BCG, IBM, McKinsey</t>
  </si>
  <si>
    <t>https://adswerve.com/partners/google</t>
  </si>
  <si>
    <t>technologyarch.com</t>
  </si>
  <si>
    <t>Google Marketing and Cloud Platforms - Adswerve</t>
  </si>
  <si>
    <t>https://agencies.semrush.com/list/display-advertising/new-york/#:~:text=Digital%20Dot.%20Connecting%20the%20Dots%20to%20Your,driving%20organic%20traffic%20and%20generating%20quality%20leads.</t>
  </si>
  <si>
    <t>techreviewer.co</t>
  </si>
  <si>
    <t>Best Display Ads Agencies in New York 2026 | Semrush</t>
  </si>
  <si>
    <t>Huge, inBeat, Clutch</t>
  </si>
  <si>
    <t>Elit-Web, Measured</t>
  </si>
  <si>
    <t>https://agencies.semrush.com/list/display-advertising/united-states/small-business/</t>
  </si>
  <si>
    <t>tenspeed.io</t>
  </si>
  <si>
    <t>Best Display Ads Agencies for Small Business in United States 2026 | Semrush</t>
  </si>
  <si>
    <t>Power Digital, Omniscient Digital, Siege Media, Single Grain, Animalz, Clutch</t>
  </si>
  <si>
    <t>SmartSites, LYFE Marketing, Elit-Web</t>
  </si>
  <si>
    <t>https://agencies.semrush.com/list/programmatic-advertising/information-technology/united-states/</t>
  </si>
  <si>
    <t>theatdb.com</t>
  </si>
  <si>
    <t>Accenture Song, Droga5, WPP</t>
  </si>
  <si>
    <t>Best IT Programmatic Advertising Agencies in United States 2026 | Semrush</t>
  </si>
  <si>
    <t>theaustralian.com.au</t>
  </si>
  <si>
    <t>SmartSites, Elit-Web, Silverback Strategies, WebFX, Measured, Funnel Boost Media</t>
  </si>
  <si>
    <t>https://agencymb.com/david-vs-goliath-independent-agencies-over-holding-company-giants/</t>
  </si>
  <si>
    <t>Momentum, Deloitte Digital</t>
  </si>
  <si>
    <t>David vs Goliath: Independent Agencies Over Holding-Company Giants | Media Bridge</t>
  </si>
  <si>
    <t>theb2bplaybook.com</t>
  </si>
  <si>
    <t>WPP, Dentsu, Measured</t>
  </si>
  <si>
    <t>https://aimsetwin.com/blog/biggest-digital-marketing-agencies/#:~:text=Tinuiti%20is%20at%20the%20forefront,Core%20Features%3A</t>
  </si>
  <si>
    <t>Biggest Digital Marketing Agencies in the World</t>
  </si>
  <si>
    <t>McKinsey, WebFX, KlientBoost, Disruptive Advertising, Directive, HawkSEM, NP Digital, Single Grain, Momentum, Silverback Strategies, Clutch</t>
  </si>
  <si>
    <t>WebFX, Disruptive Advertising, NP Digital, SmartSites, Tinuiti, Huge</t>
  </si>
  <si>
    <t>https://www.andersoncollaborative.com/digital-marketing-agencies-in-the-united-states-driving-growth-with-data-driven-campaigns/</t>
  </si>
  <si>
    <t>thecrunch.io</t>
  </si>
  <si>
    <t>23 Best Digital Marketing Agencies in the US (2026)</t>
  </si>
  <si>
    <t>Clutch, Thrive Internet Marketing Agency, Power Digital, Silverback Strategies, Sociallyin, Single Grain, Directive, Kobe Digital, Victorious, Tinuiti, Wpromote, Metric Theory, DEPT</t>
  </si>
  <si>
    <t>thegutenberg.com</t>
  </si>
  <si>
    <t>https://www.animalz.co/blog/best-aeo-agencies</t>
  </si>
  <si>
    <t>10 Best AEO/GEO Agencies - Animalz</t>
  </si>
  <si>
    <t>Animalz, First Page Sage, NoGood, Omniscient Digital, iPullRank, RevenueZen, Go Fish Digital, Avenue Z, Stratabeat, Momentum</t>
  </si>
  <si>
    <t>https://appkod.com/blogs/paid-social-agencies-us/</t>
  </si>
  <si>
    <t>themediaant.com</t>
  </si>
  <si>
    <t>Top 17 Paid Social Agencies in the U.S. (2025) -</t>
  </si>
  <si>
    <t>Dentsu, Merkle, Ogilvy, BBDO, iProspect, VML</t>
  </si>
  <si>
    <t>themill.com</t>
  </si>
  <si>
    <t>The Social Shepherd, Marcel Digital, Jellyfish, Tinuiti, iProspect</t>
  </si>
  <si>
    <t>https://www.arcintermedia.com/services/consulting-technical/marketing-ai-consulting/</t>
  </si>
  <si>
    <t>thezulumethod.com</t>
  </si>
  <si>
    <t>Marketing &amp;amp; AI Consulting Services | Arc Intermedia</t>
  </si>
  <si>
    <t>https://arxiv.org/abs/2403.14674</t>
  </si>
  <si>
    <t>Wpromote, Hawke Media, NoGood, Measured, Giant Spoon, Directive, Power Digital, Single Grain</t>
  </si>
  <si>
    <t>[2403.14674] Packaging Up Media Mix Modeling: An Introduction to Robyn's Open-Source Approach</t>
  </si>
  <si>
    <t>thinkstrategic.com</t>
  </si>
  <si>
    <t>https://arxiv.org/abs/2604.16369</t>
  </si>
  <si>
    <t>Huge, Measured</t>
  </si>
  <si>
    <t>[2604.16369] Why AI Readiness Is an Organizational Learning Problem, Not a Technology Purchase</t>
  </si>
  <si>
    <t>thinkwithalec.com</t>
  </si>
  <si>
    <t>https://www.askneedle.com/blog/best-instagram-ad-agencies</t>
  </si>
  <si>
    <t>12 Best Instagram Ad Agencies for DTC Brands in 2026</t>
  </si>
  <si>
    <t>Clutch, Tinuiti, MuteSix, Disruptive Advertising, Hawke Media, Power Digital, LYFE Marketing</t>
  </si>
  <si>
    <t>thirstysprout.com</t>
  </si>
  <si>
    <t>https://auditynow.com/blog/best-ai-readiness-assessment-tools</t>
  </si>
  <si>
    <t>8 Best AI Readiness Assessment Tools for Consulting Firms (2026)</t>
  </si>
  <si>
    <t>BCG, NoGood, Momentum</t>
  </si>
  <si>
    <t>https://awisee.com/blog/ai-seo-agencies-usa/</t>
  </si>
  <si>
    <t>topmarketingagencies.com</t>
  </si>
  <si>
    <t>The 5 Best AI SEO Agencies USA In 2026</t>
  </si>
  <si>
    <t>https://benly.ai/learn/ai-marketing/best-attribution-tools-2026</t>
  </si>
  <si>
    <t>11 Best Marketing Attribution Tools in 2026</t>
  </si>
  <si>
    <t>Northbeam, Triple Whale, Rockerbox, Measured, Ruler Analytics, Anomaly</t>
  </si>
  <si>
    <t>https://bigspy.com/blog/Top-10-Paid-Social-Agencies</t>
  </si>
  <si>
    <t>Top 10 Paid Social Agencies in the US to Boost Your Business in 2024</t>
  </si>
  <si>
    <t>NoGood, NinjaPromo, Tinuiti, inBeat, Power Digital, Brainlabs</t>
  </si>
  <si>
    <t>trackingplan.com</t>
  </si>
  <si>
    <t>https://blog.google/products/marketingplatform/360/introducing-google-marketing-platform-partners/</t>
  </si>
  <si>
    <t>From Basecamp to Summit: Achieving New Heights with Google Marketing Platform Partners</t>
  </si>
  <si>
    <t>Nielsen, Measured, Cometly, Anomaly</t>
  </si>
  <si>
    <t>https://blog.viewed.video/top-10-ai-consulting-firms-boosting-tech-marketing</t>
  </si>
  <si>
    <t>tradingview.com</t>
  </si>
  <si>
    <t>Top 10 AI Consulting Firms Boosting Tech Marketing</t>
  </si>
  <si>
    <t>McKinsey, IBM, BCG, PwC, Bain &amp; Company</t>
  </si>
  <si>
    <t>https://www.bounteous.com/partners/google/</t>
  </si>
  <si>
    <t>trailblazermktg.com</t>
  </si>
  <si>
    <t>Google Partner | Bounteous</t>
  </si>
  <si>
    <t>Momentum, WebFX, First Page Sage, Ignite Visibility, Siege Media, KlientBoost, Directive, SmartSites, Go Fish Digital, LYFE Marketing, Searchbloom, NinjaPromo, Funnel Boost Media, Victorious, Storm Brain, Major Tom, Clutch, Thrive Internet Marketing Agency</t>
  </si>
  <si>
    <t>Bounteous</t>
  </si>
  <si>
    <t>tribetronics.com</t>
  </si>
  <si>
    <t>https://www.bounteous.com/partners/google/google-marketing-platform/</t>
  </si>
  <si>
    <t>Google Marketing Platform Sales Partner | Bounteous</t>
  </si>
  <si>
    <t>https://www.brafton.com/blog/paid-search-blog/programmatic-ad-mediation/</t>
  </si>
  <si>
    <t>tridence.com</t>
  </si>
  <si>
    <t>Top Programmatic Ad Mediation Platforms | Brafton</t>
  </si>
  <si>
    <t>https://brillmedia.co/resources/best-connected-tv-advertising-companies/</t>
  </si>
  <si>
    <t>trinitybps.com</t>
  </si>
  <si>
    <t>Best Connected TV Advertising Companies | Brill Media</t>
  </si>
  <si>
    <t>https://businessgoalmag.com/10-enterprise-creative-agency-partners-that-can-handle-scale/</t>
  </si>
  <si>
    <t>10+ Enterprise Creative Agency Partners That Can Handle Scale</t>
  </si>
  <si>
    <t>trusted-trade.net</t>
  </si>
  <si>
    <t>NP Digital, Monks, Pentagram, VaynerMedia, Wieden+Kennedy, R/GA, Ogilvy, Droga5, BBDO</t>
  </si>
  <si>
    <t>https://www.businesswire.com/news/home/20240307034583/en/Barkley-and-OKRP-to-Merge</t>
  </si>
  <si>
    <t>Barkley and OKRP to Merge</t>
  </si>
  <si>
    <t>trustpilot.com</t>
  </si>
  <si>
    <t>https://cairrot.com/blog/best-aeo-agencies/</t>
  </si>
  <si>
    <t>MuteSix, Superside, LYFE Marketing, NinjaPromo</t>
  </si>
  <si>
    <t>tryprofound.com</t>
  </si>
  <si>
    <t>Best AEO Agencies and Services in 2026 | Top 10 AEO/GEO Agencies for Revenue-Focused Performance - Cairrot</t>
  </si>
  <si>
    <t>Tinuiti, Measured</t>
  </si>
  <si>
    <t>iPullRank, Directive, Clutch, Momentum</t>
  </si>
  <si>
    <t>https://www.campaignlive.com/article/agency-performance-review-2025-accenture-song/1913469</t>
  </si>
  <si>
    <t>udonis.co</t>
  </si>
  <si>
    <t>Deloitte Digital, McKinsey, TransUnion, Wpromote, IBM, Ogilvy, R/GA, Slalom, Monks, Bain &amp; Company, Accenture Song, BCG</t>
  </si>
  <si>
    <t>Agency Performance Review 2025: Accenture Song | Campaign US</t>
  </si>
  <si>
    <t>ugcengine.ai</t>
  </si>
  <si>
    <t>Accenture Song, VML, PMG, Momentum, WPP</t>
  </si>
  <si>
    <t>https://www.campaignlive.com/article/digitas-phd-climb-us-agency-rankings-publicis-groupe-extends-holding-company-lead/1929569</t>
  </si>
  <si>
    <t>Momentum, NoGood, iPullRank, Omniscient Digital, First Page Sage, Animalz, Amsive, Graphite</t>
  </si>
  <si>
    <t>Digitas and PHD climb US agency rankings while Publicis Groupe extends holding company lead | Campaign US</t>
  </si>
  <si>
    <t>Digitas, Publicis Groupe, Dentsu, Horizon Media, WPP, GroupM</t>
  </si>
  <si>
    <t>uitop.design</t>
  </si>
  <si>
    <t>https://www.campaignlive.com/article/empower-assembly-barkleyokrp-climb-june-us-media-agency-rankings/1923811</t>
  </si>
  <si>
    <t>Pentagram, Clay, Clutch</t>
  </si>
  <si>
    <t>usekaya.com</t>
  </si>
  <si>
    <t>Empower, Assembly, BarkleyOKRP climb into June US media agency rankings | Campaign US</t>
  </si>
  <si>
    <t>Horizon Media, Digitas, Momentum, WPP</t>
  </si>
  <si>
    <t>https://www.campaignlive.com/article/initiative-claims-no-1-spot-preliminary-2025-us-media-rankings/1948015</t>
  </si>
  <si>
    <t>Huge, Brainlabs, WebFX, Single Grain, KlientBoost, Directive, Measured, Metric Theory, Hey Digital</t>
  </si>
  <si>
    <t>Initiative claims No. 1 spot in preliminary 2025 US media rankings \| Campaign US</t>
  </si>
  <si>
    <t>usercentrics.com</t>
  </si>
  <si>
    <t>Publicis Groupe, Horizon Media, VaynerMedia, WPP, Dentsu</t>
  </si>
  <si>
    <t>https://clicksgeek.com/best-roi-focused-marketing-agencies/</t>
  </si>
  <si>
    <t>Best ROI Focused Marketing Agencies: 2026 Guide &amp;amp; Tips</t>
  </si>
  <si>
    <t>https://clutch.co/agencies/performance-marketing%3Fpage%3D0</t>
  </si>
  <si>
    <t>useready.com</t>
  </si>
  <si>
    <t>Top Performance Marketing Agencies - Jul 2026 Rankings \| Clutch.co</t>
  </si>
  <si>
    <t>Clutch, Disruptive Advertising, Accelerated Digital Media, Momentum</t>
  </si>
  <si>
    <t>Measured, BCG</t>
  </si>
  <si>
    <t>https://clutch.co/agencies/sem?geona_id=25338&amp;page=1</t>
  </si>
  <si>
    <t>vaia.com</t>
  </si>
  <si>
    <t>Page 2 - Best Search Engine Marketing Agencies - Jul 2026 Rankings \| Clutch.co</t>
  </si>
  <si>
    <t>VaynerMedia</t>
  </si>
  <si>
    <t>Clutch, Searchbloom, SmartSites, KlientBoost, Silverback Strategies, HawkSEM, NinjaPromo, Intero Digital, Ignite Visibility, DEPT, Elit-Web, Funnel Boost Media</t>
  </si>
  <si>
    <t>vantecmarketing.com</t>
  </si>
  <si>
    <t>https://clutch.co/press-releases/Best-of-Clutch-winners-2025</t>
  </si>
  <si>
    <t>Clutch Announces 2025 Best of Clutch Award Winners \| Clutch.co</t>
  </si>
  <si>
    <t>Clutch, Ignite Visibility, Victorious</t>
  </si>
  <si>
    <t>vdigitalservices.com</t>
  </si>
  <si>
    <t>https://clutch.co/us/agencies/digital</t>
  </si>
  <si>
    <t>Top Full-Service Digital Agencies in the United States - Jul 2026 Rankings | Clutch.co</t>
  </si>
  <si>
    <t>Clutch, Ignite Visibility, Storm Brain, Funnel Boost Media, Momentum</t>
  </si>
  <si>
    <t>https://clutch.co/us/agencies/digital-marketing%3Fpage%3D2</t>
  </si>
  <si>
    <t>vendry.io</t>
  </si>
  <si>
    <t>https://clutch.co/us/agencies/ecommerce-marketing</t>
  </si>
  <si>
    <t>The Social Shepherd</t>
  </si>
  <si>
    <t>Top E-Commerce Marketing Agencies in the United States - Jul 2026 Rankings \| Clutch.co</t>
  </si>
  <si>
    <t>verdtek.com</t>
  </si>
  <si>
    <t>Clutch, Disruptive Advertising, Acadia, AdVenture Media, Accelerated Digital Media, Brighter Click, Huge, Momentum</t>
  </si>
  <si>
    <t>https://clutch.co/us/agencies/ppc%3Fpage%3D2</t>
  </si>
  <si>
    <t>vibebranding.com</t>
  </si>
  <si>
    <t>Top PPC Companies in the United States - Jul 2026 Rankings \| Clutch.co</t>
  </si>
  <si>
    <t>Clutch, KlientBoost, Disruptive Advertising, AdVenture Media, HawkSEM, SmartSites, Intero Digital, Elit-Web</t>
  </si>
  <si>
    <t>https://clutch.co/us/agencies/ppc/display%3Fpage%3D5</t>
  </si>
  <si>
    <t>victoriaolsina.com</t>
  </si>
  <si>
    <t>https://collegian.com/sponsored/2025/09/top-10-geo-marketing-agencies-for-improving-ai-search-2025/</t>
  </si>
  <si>
    <t>Top 10 GEO Marketing Agencies for improving AI search [2025] - The Rocky Mountain Collegian</t>
  </si>
  <si>
    <t>vidi-corp.com</t>
  </si>
  <si>
    <t>Single Grain, RevenueZen, First Page Sage, WebFX, Omniscient Digital, iPullRank</t>
  </si>
  <si>
    <t>https://www.cometly.com/post/marketing-attribution-companies</t>
  </si>
  <si>
    <t>Fractal Analytics, Artefact</t>
  </si>
  <si>
    <t>vidico.com</t>
  </si>
  <si>
    <t>11 Best Marketing Attribution Companies to Track ROI</t>
  </si>
  <si>
    <t>https://commonthreadco.com/pages/incrementality</t>
  </si>
  <si>
    <t>Dentsu, Accenture Song, Ogilvy, Measured, Wieden+Kennedy, BBDO, Publicis Groupe, Droga5, Superside, WPP, IBM, Giant Spoon, Kantar, VML</t>
  </si>
  <si>
    <t>vietnammarcom.edu.vn</t>
  </si>
  <si>
    <t>Geo Holdout Incrementality Testing for Ecommerce Brands</t>
  </si>
  <si>
    <t>Disruptive Advertising, WebFX, NoGood, Directive</t>
  </si>
  <si>
    <t>https://coolnerdsmarketing.com/top-ppc-agencies-us/</t>
  </si>
  <si>
    <t>virtualadagency.com.au</t>
  </si>
  <si>
    <t>Top PPC Agencies in the U.S. (2026 Rankings)</t>
  </si>
  <si>
    <t>Disruptive Advertising, WebFX, Directive, KlientBoost, HawkSEM, Ignite Visibility</t>
  </si>
  <si>
    <t>https://cornerstonecontent.com/best-answer-engine-optimization-aeo-agencies/</t>
  </si>
  <si>
    <t>visioneerit.com</t>
  </si>
  <si>
    <t>10 Best Answer Engine Optimization (AEO) Agencies (2026) - Cornerstone Content</t>
  </si>
  <si>
    <t>Omniscient Digital, Marcel Digital, First Page Sage, Single Grain, RevenueZen, Avenue Z, Animalz</t>
  </si>
  <si>
    <t>https://cygnal.co/</t>
  </si>
  <si>
    <t>vstorm.co</t>
  </si>
  <si>
    <t>AI Change &amp;amp; Enablement Consulting | CYGNAL</t>
  </si>
  <si>
    <t>Measured, WPP, McKinsey</t>
  </si>
  <si>
    <t>w3era.com</t>
  </si>
  <si>
    <t>https://www.darkroomagency.com/observatory/top-ai-marketing-agencies-for-growth-in-2025-a-shortlist-that-actually-helps-you-choose</t>
  </si>
  <si>
    <t>Top AI Marketing Agencies for Growth in 2025</t>
  </si>
  <si>
    <t>Darkroom, WPP, Accenture Song, Publicis Sapient, Superside, Droga5</t>
  </si>
  <si>
    <t>https://dawnmarketing.com/</t>
  </si>
  <si>
    <t>Disruptive Advertising, WebFX, Measured, Ignite Visibility, Directive, SmartSites, LYFE Marketing, Clutch, Thrive Internet Marketing Agency</t>
  </si>
  <si>
    <t>DAWN Marketing</t>
  </si>
  <si>
    <t>weareaudiences.com</t>
  </si>
  <si>
    <t>https://delivix.digital/seo/marketing-agencies/</t>
  </si>
  <si>
    <t>Top 10 Performance Marketing Agencies Globally | Delivix</t>
  </si>
  <si>
    <t>webflow.com</t>
  </si>
  <si>
    <t>WPP, NoGood, WebFX, Kobe Digital, Tinuiti, Ignite Visibility, Disruptive Advertising, Right Side Up</t>
  </si>
  <si>
    <t>https://www.designrush.com/agency/digital-marketing/analytics/us?page=2</t>
  </si>
  <si>
    <t>webguruz.in</t>
  </si>
  <si>
    <t>Top United States Marketing Analytics Companies - Page 2</t>
  </si>
  <si>
    <t>Nielsen, DEPT, IBM, Measured</t>
  </si>
  <si>
    <t>Disruptive Advertising, NP Digital, Clutch</t>
  </si>
  <si>
    <t>https://www.designrush.com/agency/digital-marketing/analytics?page=2</t>
  </si>
  <si>
    <t>weblystudio.com</t>
  </si>
  <si>
    <t>Top Marketing Analytics Agencies in 2026 - Page 2</t>
  </si>
  <si>
    <t>Ruler Analytics, Amsive, Intero Digital, Ignite Visibility</t>
  </si>
  <si>
    <t>https://www.digipims.com/social-media-marketing-agencies-in-usa/</t>
  </si>
  <si>
    <t>wested.org</t>
  </si>
  <si>
    <t>Best Social Media Agencies in USA for Business Growth (updated 2026 )</t>
  </si>
  <si>
    <t>whitehat-seo.co.uk</t>
  </si>
  <si>
    <t>https://digitalagencynetwork.com/agencies/</t>
  </si>
  <si>
    <t>Best Digital Marketing Agencies in the World | Digital Agency Network</t>
  </si>
  <si>
    <t>Measured, PwC, McKinsey, BCG, QuantumBlack</t>
  </si>
  <si>
    <t>Ignite Visibility, PwC, Major Tom, Dentsu</t>
  </si>
  <si>
    <t>https://digitalagencynetwork.com/best-ai-agents-for-digital-marketing/</t>
  </si>
  <si>
    <t>withagency.ai</t>
  </si>
  <si>
    <t>Best AI Agents for Digital Marketing: The Ultimate Guide for 2026</t>
  </si>
  <si>
    <t>https://www.digitalrhinos.com/saas-marketing-agency/</t>
  </si>
  <si>
    <t>within.co</t>
  </si>
  <si>
    <t>Top 25 SaaS Marketing Agencies (2025)</t>
  </si>
  <si>
    <t>NoGood, Wpromote, Measured, Giant Spoon</t>
  </si>
  <si>
    <t>wordable.io</t>
  </si>
  <si>
    <t>Directive, Single Grain, Refine Labs, Animalz, KlientBoost, Disruptive Advertising, Hey Digital, NoGood, Siege Media, Clutch</t>
  </si>
  <si>
    <t>https://directiveconsulting.com/blog/10-ai-marketing-agencies-outperforming-the-market/</t>
  </si>
  <si>
    <t>Huge, WebFX, NoGood, iPullRank, Victorious, Clutch</t>
  </si>
  <si>
    <t>worldcomgroup.com</t>
  </si>
  <si>
    <t>10 B2B Marketing Agencies Using Proprietary AI to Outperform the Market - Directive</t>
  </si>
  <si>
    <t>Directive, NoGood, Single Grain, Measured, IBM, Clutch</t>
  </si>
  <si>
    <t>https://directiveconsulting.com/blog/top-25-b2b-enterprise-marketing-agencies/</t>
  </si>
  <si>
    <t>wpromote.com</t>
  </si>
  <si>
    <t>25 Best Enterprise Marketing Agencies For B2B - Directive</t>
  </si>
  <si>
    <t>Wpromote, Giant Spoon</t>
  </si>
  <si>
    <t>Directive, Merkle, Accenture Song, Deloitte Digital, Wpromote, iProspect, Dentsu, Ogilvy, Publicis Sapient, Brainlabs, McKinsey, Bain &amp; Company, BCG, PwC, Slalom, Monks, VML, R/GA, Momentum, TransUnion, IBM, Clutch</t>
  </si>
  <si>
    <t>yourcontentmart.co</t>
  </si>
  <si>
    <t>https://directiveconsulting.com/uk/blog/25-best-paid-media-agencies-that-turn-ad-spend-into-revenue/</t>
  </si>
  <si>
    <t>Momentum, NoGood, iPullRank, Omniscient Digital, Discovered Labs, Clutch</t>
  </si>
  <si>
    <t>zapshere.com</t>
  </si>
  <si>
    <t>https://dmcinsider.com/dmcompanies/best-marketing-analytics-companies-in-the-usa/</t>
  </si>
  <si>
    <t>Best Marketing Analytics Companies in the USA - Digital Marketing Companies Insider</t>
  </si>
  <si>
    <t>zetaglobal.com</t>
  </si>
  <si>
    <t>Nielsen, Deloitte Digital, Epsilon, Merkle, Accenture Song, Neustar, TransUnion, Bounteous, Rockerbox, LatentView Analytics, InfoTrust</t>
  </si>
  <si>
    <t>https://www.dontpaniclondon.com/blog/what-is-a-creative-agency/</t>
  </si>
  <si>
    <t>zoominfo.com</t>
  </si>
  <si>
    <t>What Is a Creative Agency? Meaning &amp;amp; What They Do (2025)</t>
  </si>
  <si>
    <t>zryly.net</t>
  </si>
  <si>
    <t>Tinuiti, Jellyfish, iProspect, The Social Shepherd</t>
  </si>
  <si>
    <t>zyner.io</t>
  </si>
  <si>
    <t>https://www.embarque.io/post/generative-engine-optimization-agency</t>
  </si>
  <si>
    <t>Top 40 Generative Engine Optimization (GEO) Agencies in 2025 (+Top 7 Picks) | Embarque</t>
  </si>
  <si>
    <t>First Page Sage, iPullRank, Intero Digital, NoGood, Omniscient Digital, RevenueZen</t>
  </si>
  <si>
    <t>https://en.wikipedia.org/wiki/Advertising_agency</t>
  </si>
  <si>
    <t>Advertising agency - Wikipedia</t>
  </si>
  <si>
    <t>PwC, Deloitte Digital, WPP, Dentsu, Droga5</t>
  </si>
  <si>
    <t>https://enterprisemarketingportal.google/find-a-partner/adswerve-us?certificationsFilters=Tag%20Manager</t>
  </si>
  <si>
    <t>https://www.enzuzo.com/blog/best-performance-marketing-agencies</t>
  </si>
  <si>
    <t>9 Top Performance Marketing Agencies [2024 Review]</t>
  </si>
  <si>
    <t>MuteSix, Amsive, Clutch</t>
  </si>
  <si>
    <t>https://evolveamz.com/ai-search/best-ai-search-optimization-agencies-ecommerce-2026/</t>
  </si>
  <si>
    <t>Best AI Search Optimization Agencies for Ecommerce 2026 | Evolve Media Agency</t>
  </si>
  <si>
    <t>Animalz, Siege Media, Single Grain, NP Digital</t>
  </si>
  <si>
    <t>https://exacti.us/growth-library/incrementality-testing#:~:text=For%20any%20company%20optimizing%20toward%20LTV%3ACAC%20%E2%80%94,%3D%20Total%20media%20spend%20%C3%B7%20Incremental%20conversions.</t>
  </si>
  <si>
    <t>Incrementality Testing | Growth Systems Library | Exactius | Exactius</t>
  </si>
  <si>
    <t>Measured, Artefact</t>
  </si>
  <si>
    <t>https://www.fieldtrip.agency/post/best-creative-agencies-for-global-brands</t>
  </si>
  <si>
    <t>Top 14 Creative Agencies Powering Global Branding This Year</t>
  </si>
  <si>
    <t>inBeat, Dentsu, R/GA, Nielsen</t>
  </si>
  <si>
    <t>https://www.fieldtrip.agency/post/top-geo-agencies</t>
  </si>
  <si>
    <t>Top Generative Engine Optimization (GEO) Agencies for Brands in AI Search</t>
  </si>
  <si>
    <t>Clutch, First Page Sage, Siege Media, TransUnion, WebFX, iPullRank, NP Digital, Major Tom, Intero Digital, Omniscient Digital, Measured, Graphite, inBeat</t>
  </si>
  <si>
    <t>https://finance.yahoo.com/sectors/technology/articles/adswerve-named-north-american-partner-150000804.html</t>
  </si>
  <si>
    <t>Adswerve Named North American Partner for Google’s New Data Strength Program, GIP</t>
  </si>
  <si>
    <t>https://finance.yahoo.com/sectors/technology/articles/top-10-branding-agencies-u-125000853.html</t>
  </si>
  <si>
    <t>Top 10 Branding Agencies in the U.S., Ranked by DesignRush for April 2026</t>
  </si>
  <si>
    <t>Funnel Boost Media, Clay</t>
  </si>
  <si>
    <t>https://firstpagesage.com/seo-blog/the-top-seo-agencies-for-ai-companies/</t>
  </si>
  <si>
    <t>The Top SEO Agencies for AI Companies in 2026 – First Page Sage</t>
  </si>
  <si>
    <t>First Page Sage, Directive, Clay</t>
  </si>
  <si>
    <t>https://flypix.ai/geospatial-companies-in-the-usa/#:~:text=Tech%20Maven%20Geospatial%20stands%20at%20the%20forefront,of%20spatial%20data%20processing%20and%20conversion%20services.</t>
  </si>
  <si>
    <t>16 Best Geospatial Companies in the USA (2026)</t>
  </si>
  <si>
    <t>Anomaly, IBM</t>
  </si>
  <si>
    <t>https://www.forrester.com/blogs/picking-an-agency-to-maximize-the-value-of-your-first-party-data/</t>
  </si>
  <si>
    <t>Picking An Agency To Maximize The Value Of Your First-Party Data</t>
  </si>
  <si>
    <t>https://fuelonline.com/best-agencies/best-new-york-digital-marketing-agencies/</t>
  </si>
  <si>
    <t>12 Best New York Digital Marketing Agencies 2026 - Fuel Online Digital Marketing Agency SEO Services</t>
  </si>
  <si>
    <t>Dentsu, VaynerMedia, Jellyfish, Tinuiti, Huge, iPullRank, R/GA, Droga5, SmartSites</t>
  </si>
  <si>
    <t>https://fuelonline.com/best-agencies/top-20-ppc-agencies-in-the-united-states-ranked-for-2026/</t>
  </si>
  <si>
    <t>Top 20 PPC Agencies In The U.S. For 2026 Ranked</t>
  </si>
  <si>
    <t>KlientBoost, Disruptive Advertising, Ignite Visibility, WebFX, Directive, Single Grain, SmartSites, Power Digital, Seer Interactive, AdVenture Media, HawkSEM</t>
  </si>
  <si>
    <t>https://www.g-co.agency/insights/top-enterprise-digital-marketing-agencies-to-work-with#:~:text=8.%20Monsoon%20Agency.%20This%20enterprise%20digital%20marketing,seo%20marketing%20company%20and%20strategic%20growth%20partner.</t>
  </si>
  <si>
    <t>Top Enterprise Digital Marketing Agencies to Work With - July 2026 | G&amp;amp;CO.</t>
  </si>
  <si>
    <t>First Page Sage, LYFE Marketing, Power Digital</t>
  </si>
  <si>
    <t>https://www.geovate.com/blog/generative-engine-optimization-geo-agencies</t>
  </si>
  <si>
    <t>Best Generative Engine Optimization (GEO) Agencies</t>
  </si>
  <si>
    <t>Omniscient Digital, iPullRank</t>
  </si>
  <si>
    <t>https://www.geovate.com/blog/top-answer-engine-optimization-aeo-agencies</t>
  </si>
  <si>
    <t>Top Answer Engine Optimization (AEO) Agencies</t>
  </si>
  <si>
    <t>Avenue Z, First Page Sage, Siege Media, NoGood</t>
  </si>
  <si>
    <t>https://getadlib.com/blog/best-display-advertising-platforms/#:~:text=Demandbase%20is%20a%20B2B%20advertising%20platform%20with,purchase%20interest%20rather%20than%20broad%20demographic%20segments.</t>
  </si>
  <si>
    <t>10 Best Display Advertising Platforms in 2026 | AdLib</t>
  </si>
  <si>
    <t>https://www.goodfirms.co/advertising-companies/programmatic?locations=us&amp;sort_by=rating</t>
  </si>
  <si>
    <t>Funnel Boost Media, Daydream</t>
  </si>
  <si>
    <t>https://www.goodfirms.co/directory/country/top-digital-marketing-companies/us?reviews=1</t>
  </si>
  <si>
    <t>https://gracker.ai/news/top-10-ai-seo-agencies-digital-marketing-firms-for-2026</t>
  </si>
  <si>
    <t>Top 12 AI SEO Agencies &amp;amp; Digital Marketing Firms for 2026 | Cybersecurity News &amp;amp; Threat Intelligence</t>
  </si>
  <si>
    <t>NoGood, Avenue Z, Daydream, Single Grain, Clay</t>
  </si>
  <si>
    <t>https://www.heydigital.co/blog/best-saas-paid-social-agencies#:~:text=Hey%20Digital%20is%20a%20B2B%20SaaS%20performance,funnel.%20How%20Hey%20Digital%20approaches%20paid%20social.</t>
  </si>
  <si>
    <t>The 10 Best SaaS Paid Social Agencies in 2026 | Hey Digital</t>
  </si>
  <si>
    <t>Hey Digital, Refine Labs, NoGood, Directive</t>
  </si>
  <si>
    <t>https://hivergentai.com/</t>
  </si>
  <si>
    <t>AI Automation Consultant Dallas &amp;amp; Fort Worth | HiVergent AI</t>
  </si>
  <si>
    <t>https://www.iab.com/wp-content/uploads/2026/01/IAB_StateofDataReport_February_2026pdf.pdf</t>
  </si>
  <si>
    <t>https://icoda.io/ai/best-ai-marketing-agencies-in-the-usa/</t>
  </si>
  <si>
    <t>Top 10 Leading AI Marketing Agencies in the USA for 2026</t>
  </si>
  <si>
    <t>Single Grain, Clutch</t>
  </si>
  <si>
    <t>https://inbeat.agency/blog/top-paid-media-agencies-in-nyc#:~:text=After%20careful%20search%20and%20analysis,York%2C%20NY%2010004%2C%20United%20States</t>
  </si>
  <si>
    <t>Top 14 Paid Media Agencies in NYC for 2026 - inBeat Agency</t>
  </si>
  <si>
    <t>inBeat, Nielsen, Brighter Click, Disruptive Advertising, Avenue Z, Measured, BCG, Clutch, Power Digital</t>
  </si>
  <si>
    <t>https://www.incrmntal.com/</t>
  </si>
  <si>
    <t>AI-Powered Incremental Marketing &amp;amp; Measurement | INCRMNTAL</t>
  </si>
  <si>
    <t>INCRMNTAL, Anomaly, Measured</t>
  </si>
  <si>
    <t>https://www.incrmntal.com/faq/what-is-incrementality-testing</t>
  </si>
  <si>
    <t>Understanding Incrementality Testing for Smarter Marketing</t>
  </si>
  <si>
    <t>https://indatalabs.com/blog/ai-consulting-companies-in-usa#:~:text=Slalom%20is%20a%20modern%20consulting,clients%20as%20AI%20systems%20evolve.</t>
  </si>
  <si>
    <t>Top AI Consulting Companies in the USA | InData Labs Blog</t>
  </si>
  <si>
    <t>IBM, McKinsey, QuantumBlack, Fractal Analytics, Slalom, Clutch</t>
  </si>
  <si>
    <t>https://indatalabs.com/blog/data-analytics-companies-in-usa#:~:text=InData%20Labs%20occupies%20a%20distinct%20position%20in,data%20environment%2C%20business%20model%2C%20and%20growth%20objectives.</t>
  </si>
  <si>
    <t>Best Data Analytics Companies in the USA — 2026 Guide</t>
  </si>
  <si>
    <t>McKinsey, IBM, Clutch</t>
  </si>
  <si>
    <t>https://ingestlabs.com/top-digital-ad-agencies/</t>
  </si>
  <si>
    <t>Top 20 Digital Marketing and Advertising Agencies in the World 2024 | Ingest Labs</t>
  </si>
  <si>
    <t>First Page Sage, Clutch, Metric Theory, Epsilon, Ogilvy, IBM, Dentsu, BBDO, Thrive Internet Marketing Agency, Disruptive Advertising, WebFX, KlientBoost</t>
  </si>
  <si>
    <t>https://www.intuz.com/blog/top-ai-consulting-companies-in-usa</t>
  </si>
  <si>
    <t>Top 9 AI Consulting Companies in USA for Enterprises \[2026\]</t>
  </si>
  <si>
    <t>https://www.ishir.com/ai-ready-go-to-market.htm</t>
  </si>
  <si>
    <t>AI-Powered Go-To-Market Strategy Consulting | SaaS GTM Agency | ISHIR | AI-First Talent | Dallas Fort Worth Texas Austin Houston San Antonio India LATAM &amp;amp; Eastern Europe</t>
  </si>
  <si>
    <t>https://lengreo.com/best-google-ads-agencies-2025/</t>
  </si>
  <si>
    <t>Top 16 Google Ads Companies for Smarter Campaigns (2026)</t>
  </si>
  <si>
    <t>Clutch, WebFX, Disruptive Advertising, KlientBoost, Directive, SmartSites, Ignite Visibility, Thrive Internet Marketing Agency, Power Digital, Single Grain, NP Digital, Brainlabs, Searchbloom, Funnel Boost Media</t>
  </si>
  <si>
    <t>https://lengreo.com/best-us-agencies-for-meta-ads/</t>
  </si>
  <si>
    <t>Top 15 Meta Ads Companies Defining Success in the US Market (2026)</t>
  </si>
  <si>
    <t>Clutch, Disruptive Advertising, LYFE Marketing, KlientBoost, WebFX, Silverback Strategies, Ignite Visibility, Sociallyin, Thrive Internet Marketing Agency, Metric Theory, Monks</t>
  </si>
  <si>
    <t>https://lifesight.io/blog/best-unified-marketing-measurement-tools/</t>
  </si>
  <si>
    <t>6 Best Unified Marketing Measurement Tools in 2026 Compared</t>
  </si>
  <si>
    <t>LifeSight, Measured, Haus, LiftLab, Recast, Rockerbox, Northbeam</t>
  </si>
  <si>
    <t>https://liftlab.com/</t>
  </si>
  <si>
    <t>Agile MMM &amp;amp; Incrementality Testing Built for Growth Leaders | LiftLab</t>
  </si>
  <si>
    <t>https://liftlab.com/blog/marketing-mix-modeling-platforms/#:~:text=Different%20platforms%20approach%20calibration%20differently,making%20the%20model's%20confidence%20visible.</t>
  </si>
  <si>
    <t>Top Marketing Mix Modeling Platforms in 2026: A Buyer's Guide for CMOs and CFOs - Liftlab</t>
  </si>
  <si>
    <t>LiftLab, Measured, Recast, Haus, Analytic Partners</t>
  </si>
  <si>
    <t>https://www.linkedin.com/company/mutesix</t>
  </si>
  <si>
    <t>MuteSix | LinkedIn</t>
  </si>
  <si>
    <t>MuteSix, Common Thread Collective, Power Digital, Wpromote, Tinuiti, Monks, NoGood</t>
  </si>
  <si>
    <t>https://www.m8l.com/blog/top-10-answer-engine-optimization-aeo-agencies</t>
  </si>
  <si>
    <t>Top 10 Answer Engine Optimization (AEO) Agencies of 2025 | Meaningful, m8l</t>
  </si>
  <si>
    <t>https://marketerhire.com/blog/display-advertising-agency</t>
  </si>
  <si>
    <t>10 Top Display Advertising Agencies to Lower CPMs and Lift Conversions</t>
  </si>
  <si>
    <t>MuteSix, Measured, Single Grain, Momentum, inBeat</t>
  </si>
  <si>
    <t>https://marketerhire.com/blog/fractional-marketing-agency</t>
  </si>
  <si>
    <t>7 Best Fractional Marketing Agencies in 2025</t>
  </si>
  <si>
    <t>Right Side Up, Digital Authority Partners</t>
  </si>
  <si>
    <t>https://marketing-attribution-and-consulting.martechoutlook.com/vendors/top-marketing-attribution-and-consulting-services.html</t>
  </si>
  <si>
    <t>Top Marketing Attribution and Consulting Services</t>
  </si>
  <si>
    <t>https://www.marketingattribution.com/</t>
  </si>
  <si>
    <t>Know What Works | Marketing Attribution</t>
  </si>
  <si>
    <t>https://marketingltb.com/blog/agency/best-enterprise-digital-marketing-agencies/</t>
  </si>
  <si>
    <t>10 Best Enterprise Digital Marketing Agencies in 2026 - Marketing LTB</t>
  </si>
  <si>
    <t>Accenture Song, WPP, Merkle, Dentsu, Brainlabs, Tinuiti, Jellyfish, Wpromote, VML, iProspect, Clutch</t>
  </si>
  <si>
    <t>https://marketingplatform.google.com/about/partners/?hl=uk</t>
  </si>
  <si>
    <t>https://www.marksourced.com/p/top-7-b2b-generative-engine-optimization-geo-consultancies-in-2025</t>
  </si>
  <si>
    <t>Top 7 B2B Generative Engine Optimization (GEO) Consultancies in 2025</t>
  </si>
  <si>
    <t>Siege Media, NoGood, First Page Sage, Go Fish Digital, Intero Digital</t>
  </si>
  <si>
    <t>https://www.marksourced.com/p/top-8-b2b-generative-engine-optimization-geo-agencies-in-2025</t>
  </si>
  <si>
    <t>Top 8 B2B Generative Engine Optimization (GEO) Agencies in 2025</t>
  </si>
  <si>
    <t>Siege Media, First Page Sage, Go Fish Digital, Ignite Visibility, NoGood</t>
  </si>
  <si>
    <t>https://www.maximuslabs.ai/answer-engine-optimizations/best-aeo-agencies</t>
  </si>
  <si>
    <t>Top 10 AEO/GEO Agencies 2025, Metrics Evaluated: Pricing, Portfolio &amp;amp; Reviews</t>
  </si>
  <si>
    <t>Victorious, WebFX, Elit-Web, Intero Digital, Ignite Visibility, Clutch, Measured</t>
  </si>
  <si>
    <t>https://www.maximuslabs.ai/answer-engine-optimizations/enterprise-aeo-agencies</t>
  </si>
  <si>
    <t>Top 10 Enterprise AEO/GEO Agencies in 2025: Pricing &amp;amp; ROI Compared</t>
  </si>
  <si>
    <t>Victorious, iPullRank, Amsive, Single Grain, First Page Sage, Intero Digital, NoGood, Clutch, Momentum</t>
  </si>
  <si>
    <t>https://www.mckinsey.com/capabilities/tech-and-ai/how-we-help-clients</t>
  </si>
  <si>
    <t>AI and Technology Consulting</t>
  </si>
  <si>
    <t>https://www.measured.com/enterprise/</t>
  </si>
  <si>
    <t>Measured | Platform: Enterprise-Grade</t>
  </si>
  <si>
    <t>https://www.measured.com/faq/top-11-best-media-mix-modeling-companies-software-for-2026/</t>
  </si>
  <si>
    <t>Top 11 Best Media Mix Modeling Companies &amp;amp; Software for 2026 | Measured®</t>
  </si>
  <si>
    <t>https://www.measured.com/incrementality-testing/</t>
  </si>
  <si>
    <t>https://mmaglobal.com/smarties/business-impact-index?category=Media+Agency&amp;region=North+America&amp;year=2025</t>
  </si>
  <si>
    <t>Overview | MMA / Marketing + Media Alliance</t>
  </si>
  <si>
    <t>https://www.monks.com/google-partnership</t>
  </si>
  <si>
    <t>Google-Certified Partner Agency | GMP, Google Cloud, and Media</t>
  </si>
  <si>
    <t>Monks</t>
  </si>
  <si>
    <t>https://mountainstoseamedia.com/10-essential-marketing-analytics-agencies-for-a-data-driven-lead-generation-strategy/#:~:text=Intero%20Digital%20offers%20a%20full%20suite%20of,always%20aligned%20with%20their%20lead%20generation%20objectives.</t>
  </si>
  <si>
    <t>10 Agencies for a Data-Driven Marketing Strategy for Lead Generation</t>
  </si>
  <si>
    <t>Ignite Visibility, Intero Digital, Measured</t>
  </si>
  <si>
    <t>https://www.munro.agency/top-marketing-data-science-agencies/</t>
  </si>
  <si>
    <t>Top 17 Marketing Data Science Agencies</t>
  </si>
  <si>
    <t>Measured, Artefact, BCG, McKinsey, LatentView Analytics, PwC, Publicis Sapient, Merkle, Fractal Analytics, Analytic Partners</t>
  </si>
  <si>
    <t>https://www.munro.agency/top-paid-media-agencies/</t>
  </si>
  <si>
    <t>Top 10 Paid Media Agencies for 2026</t>
  </si>
  <si>
    <t>inBeat, Power Digital</t>
  </si>
  <si>
    <t>https://www.munro.agency/top-sem-agencies/</t>
  </si>
  <si>
    <t>Top 15 SEM Agencies</t>
  </si>
  <si>
    <t>HawkSEM, Disruptive Advertising, Jellyfish, DEPT, Ignite Visibility, KlientBoost, Brainlabs, Tinuiti, Metric Theory, Seer Interactive, Merkle</t>
  </si>
  <si>
    <t>https://nectivdigital.com/blog/the-best-generative-engine-optimization-agencies-of-2025</t>
  </si>
  <si>
    <t>The Best Generative Engine Optimization Agencies Of 2025 - Nectiv | Nectiv</t>
  </si>
  <si>
    <t>Go Fish Digital, iPullRank, Siege Media, Ignite Visibility, Huge</t>
  </si>
  <si>
    <t>https://www.neuralcapital.ai/articles/top-10-ai-marketing-and-advertising-companies</t>
  </si>
  <si>
    <t>Top 10 AI Marketing &amp;amp; Advertising Companies | NeuralCapital.ai</t>
  </si>
  <si>
    <t>https://newengen.com/insights/top-outdoor-marketing-agencies/</t>
  </si>
  <si>
    <t>Top Outdoor Marketing Agencies for 2026</t>
  </si>
  <si>
    <t>https://news.marketersmedia.com/13-best-generative-engine-optimization-geo-agencies-for-usa-brands-in-2026-multi-engine-coverage-edition/89193560</t>
  </si>
  <si>
    <t>13 Best Generative Engine Optimization (GEO) Agencies for USA Brands in 2026: Multi-Engine Coverage Edition</t>
  </si>
  <si>
    <t>iPullRank, Go Fish Digital, Omniscient Digital, Avenue Z, Intero Digital, Single Grain, Victorious</t>
  </si>
  <si>
    <t>https://nexusexpertresearch.co/blog/best-artificial-intelligence-strategy-consulting-market-leaders/</t>
  </si>
  <si>
    <t>Top Artificial Intelligence Strategy Consulting Market Leaders</t>
  </si>
  <si>
    <t>McKinsey, BCG, PwC, QuantumBlack, IBM</t>
  </si>
  <si>
    <t>https://www.nga.mil/#:~:text=NGA%20enables%20the%20U.S.%20intelligence%20community%20and,in%20St.%20Louis%2C%20Missouri%20and%20Arnold%2C%20Missouri.</t>
  </si>
  <si>
    <t>Home | National Geospatial-Intelligence Agency</t>
  </si>
  <si>
    <t>https://www.oneclub.org/awards/adcawards/-archive/agency/2025/61/all/1/840</t>
  </si>
  <si>
    <t>ADC Awards | Agency Rankings | 2025 | Interactive | North America | United States</t>
  </si>
  <si>
    <t>Dentsu, Accenture Song, Droga5</t>
  </si>
  <si>
    <t>https://open.winmo.com/agencies/</t>
  </si>
  <si>
    <t>Discover top companies by advertising spend in 2024. Track decision-makers and ad budgets across all media channels with Winmo. Request a trial today!</t>
  </si>
  <si>
    <t>Dentsu, WPP, Horizon Media, BBDO, VML, Monks</t>
  </si>
  <si>
    <t>https://partnersdirectory.withgoogle.com/?company_name=axis+local&amp;premier=true</t>
  </si>
  <si>
    <t>https://www.phable.io/top-branding-agencies/top-branding-agencies-in-new-york-2025-icons-of-creative-excellence</t>
  </si>
  <si>
    <t>Top Branding Agencies in New York (2025) | Icons of Creative Excellence — Branding And Content Marketing For Technology</t>
  </si>
  <si>
    <t>Pentagram, Wolff Olins, R/GA, Huge, BBDO</t>
  </si>
  <si>
    <t>https://phosailabs.com/blog/best-ai-implementation-firms-marketing-agencies</t>
  </si>
  <si>
    <t>Best AI Implementation Firms for Marketing Agencies in 2026</t>
  </si>
  <si>
    <t>https://prometheusagency.co/insights/best-ai-agency-for-mid-market-manufacturers</t>
  </si>
  <si>
    <t>Best AI Agency for Mid-Market Manufacturers 2026</t>
  </si>
  <si>
    <t>Measured, Anomaly, Momentum, Directive</t>
  </si>
  <si>
    <t>https://www.reddit.com/r/AISEOTricks/comments/1t9xk64/what_are_the_best_seo_agencies_right_now/</t>
  </si>
  <si>
    <t>What Are the Best SEO Agencies Right Now?</t>
  </si>
  <si>
    <t>Siege Media, Omniscient Digital, First Page Sage, Searchbloom, Intero Digital, iPullRank, Victorious</t>
  </si>
  <si>
    <t>https://www.reddit.com/r/LLMTraffic/comments/1t44tn7/which_geo_marketing_agencies_are_actually_worth/#:~:text=The%20strategy%20includes%20digital%20PR,designed%20to%20increase%20citation%20probability.</t>
  </si>
  <si>
    <t>Which "GEO marketing" agencies are actually worth talking to?</t>
  </si>
  <si>
    <t>https://www.reddit.com/r/SocialMediaMarketing/comments/18gblts/what_are_some_trusted_legit_a_social_media/</t>
  </si>
  <si>
    <t>What are some trusted legit A+ social media marketing agencies?</t>
  </si>
  <si>
    <t>Huge, Sociallyin, LYFE Marketing, KlientBoost</t>
  </si>
  <si>
    <t>https://www.reddit.com/r/hiredevelopers_/comments/1n84jms/list_of_best_ai_consulting_companies_in_usa/</t>
  </si>
  <si>
    <t>List of Best Ai consulting companies in USA</t>
  </si>
  <si>
    <t>McKinsey, QuantumBlack, Huge, PwC, BCG, Slalom, IBM</t>
  </si>
  <si>
    <t>https://www.reddit.com/r/u_Temporary_Meeting182/comments/1tp4iah/best_saas_geo_agencies_in_2026_who_should/</t>
  </si>
  <si>
    <t>Best SaaS GEO agencies in 2026 - who should enterprises consider?</t>
  </si>
  <si>
    <t>Searchbloom, The SEO Works, Clutch</t>
  </si>
  <si>
    <t>https://www.reddit.com/r/u_ThoughtMetric/comments/1udm00v/best_improvado_alternatives_updated_june_2026/</t>
  </si>
  <si>
    <t>Best Improvado Alternatives (Updated June 2026)</t>
  </si>
  <si>
    <t>Rockerbox, Triple Whale, Northbeam</t>
  </si>
  <si>
    <t>https://www.resultfirst.com/blog/ai-seo/best-ai-seo-agencies/</t>
  </si>
  <si>
    <t>Top 8 AI SEO Agencies to Consider in 2026 | ResultFirst</t>
  </si>
  <si>
    <t>RevenueZen, Omniscient Digital, iPullRank, Siege Media</t>
  </si>
  <si>
    <t>https://revenuezen2.rssing.com/chan-77317245/article73.html?nocache=0</t>
  </si>
  <si>
    <t>Top Answer Engine Optimization Agencies (AEO) In 2025</t>
  </si>
  <si>
    <t>RevenueZen, Omniscient Digital, iPullRank, WebFX, First Page Sage, Huge</t>
  </si>
  <si>
    <t>https://www.revsure.ai/blog/best-marketing-attribution-software</t>
  </si>
  <si>
    <t>Rethinking Account Research in the Age of AI Agents | RevSure Blog</t>
  </si>
  <si>
    <t>HockeyStack, Ruler Analytics, Momentum</t>
  </si>
  <si>
    <t>https://rhblake.com/best-generative-engine-optimization-geo-agencies-2025-edition/</t>
  </si>
  <si>
    <t>Best Generative Engine Optimization (GEO) Agencies — 2025 Edition</t>
  </si>
  <si>
    <t>Avenue Z, First Page Sage, Ignite Visibility, Intero Digital, iPullRank, NoGood, Omniscient Digital, WebFX</t>
  </si>
  <si>
    <t>https://www.rockerbox.com/testing</t>
  </si>
  <si>
    <t>Unlock Incrementality with Rockerbox Testing for Data-Backed Decisions | Rockerbox</t>
  </si>
  <si>
    <t>https://rocketium.ai/academy/all/ai-tools-scaling-creative-production</t>
  </si>
  <si>
    <t>Top 6 AI tools for scaling creative production in 2026</t>
  </si>
  <si>
    <t>https://www.rocktherankings.com/best-geo-agency/</t>
  </si>
  <si>
    <t>Top 13 GEO Agencies for B2B SaaS for Q3 2026</t>
  </si>
  <si>
    <t>First Page Sage, The SEO Works, Directive, Animalz, Siege Media, RevenueZen, Victorious, Clutch</t>
  </si>
  <si>
    <t>https://www.saas-hackers.com/top/b2b-saas-enterprise-agencies</t>
  </si>
  <si>
    <t>Top B2B SaaS Enterprise Marketing Agencies | SaaS Hackers</t>
  </si>
  <si>
    <t>Metric Theory, Merkle, Tinuiti, Seer Interactive, Silverback Strategies, Measured, Dentsu</t>
  </si>
  <si>
    <t>https://scopicstudios.com/blog/best-enterprise-marketing-data-analytics-consulting-firms-2026/</t>
  </si>
  <si>
    <t>Top Marketing Analytics Consulting Firms for Enterprise Data</t>
  </si>
  <si>
    <t>Clutch, Brighter Click, Acadia</t>
  </si>
  <si>
    <t>https://www.sealglobalholdings.com/ai-search-optimization-agency</t>
  </si>
  <si>
    <t>Best AI Search Optimization Agencies 2026 | Top GEO &amp; AEO Agency | Seal Global</t>
  </si>
  <si>
    <t>https://search.agency/ai-search</t>
  </si>
  <si>
    <t>AI Search, GEO &amp;amp; AEO Agency | Search Agency</t>
  </si>
  <si>
    <t>Bain &amp; Company, Measured</t>
  </si>
  <si>
    <t>https://sellforte.com/blog/best-ai-tools-for-mmm-and-incrementality-testing</t>
  </si>
  <si>
    <t>5 Best Conversational AI Tools for MMM and Incrementality Testing in 2026: An In-Depth Comparison</t>
  </si>
  <si>
    <t>Sellforte, LifeSight, Triple Whale, Measured, Recast, INCRMNTAL, BCG</t>
  </si>
  <si>
    <t>https://semnexus.com/best-aeo-agencies-in-the-us-for-2026/</t>
  </si>
  <si>
    <t>Best AEO Agencies in the US for 2026 | SEM Nexus</t>
  </si>
  <si>
    <t>Ignite Visibility, WebFX, Thrive Internet Marketing Agency</t>
  </si>
  <si>
    <t>https://www.semrush.com/agencies/list/display-advertising/united-states/</t>
  </si>
  <si>
    <t>Best Display Ads Agencies in United States 2026 \| Semrush</t>
  </si>
  <si>
    <t>https://www.seo.com/ai/companies/</t>
  </si>
  <si>
    <t>The Top AEO Companies for Boosting AI Search Visibility</t>
  </si>
  <si>
    <t>WebFX, Clutch, Victorious, Intero Digital, Elit-Web</t>
  </si>
  <si>
    <t>https://www.seodiscovery.com/blog/best-digital-marketing-companies-in-usa/</t>
  </si>
  <si>
    <t>Best Digital Marketing Companies in USA (2026 Edition)</t>
  </si>
  <si>
    <t>WebFX, SmartSites, Funnel Boost Media, Searchbloom, Huge</t>
  </si>
  <si>
    <t>https://www.shiftelevates.com/</t>
  </si>
  <si>
    <t>AI Adoption Advisory | AI transformation consulting</t>
  </si>
  <si>
    <t>https://shopiator.com/blog/best-google-ads-agencies-usa</t>
  </si>
  <si>
    <t>15 Best Google Ads Agencies in the USA (2026). Ranked &amp;amp; Reviewed | Shopiator</t>
  </si>
  <si>
    <t>SmartSites, LYFE Marketing, Tinuiti, Directive, WebFX, Disruptive Advertising, KlientBoost, Clutch, Ignite Visibility, Single Grain, HawkSEM, Searchbloom, Huge</t>
  </si>
  <si>
    <t>https://www.shuttergen.com/research/attribution-platforms-compared</t>
  </si>
  <si>
    <t>DTC attribution platforms compared: Triplewhale, Elevar, Northbeam, Hyros, Polar, Funnel, Daasity, Wicked, Rockerbox &amp;amp; GA4 (2026) | Shuttergen</t>
  </si>
  <si>
    <t>Triple Whale, Northbeam, Rockerbox, Common Thread Collective</t>
  </si>
  <si>
    <t>https://www.siegemedia.com/</t>
  </si>
  <si>
    <t>Full-Service GEO Agency for Brands</t>
  </si>
  <si>
    <t>Siege Media</t>
  </si>
  <si>
    <t>https://www.signaldepth.com/</t>
  </si>
  <si>
    <t>Signal Depth: Incrementality Testing for Marketers</t>
  </si>
  <si>
    <t>https://www.silverbackstrategies.com/lists/best-ppc-agencies-in-the-us-ranked-reviewed/</t>
  </si>
  <si>
    <t>Best PPC Agencies in the U.S. in 2026 (Ranked &amp;amp; Reviewed) | Silverback Strategies</t>
  </si>
  <si>
    <t>Silverback Strategies, Measured, Clutch, Disruptive Advertising, Intero Digital, KlientBoost, Single Grain, HawkSEM</t>
  </si>
  <si>
    <t>https://silverspoonagency.com/best-performance-marketing-agencies/</t>
  </si>
  <si>
    <t>7 Best Performance marketing agencies to Drive ROI in 2026</t>
  </si>
  <si>
    <t>https://www.sortlist.com/s/creative/united-states-us</t>
  </si>
  <si>
    <t>The 10 Best Creative Agencies in the United States - 2026 Reviews</t>
  </si>
  <si>
    <t>NinjaPromo, Momentum</t>
  </si>
  <si>
    <t>https://sourceforge.net/software/incrementality-testing/</t>
  </si>
  <si>
    <t>Best Incrementality Testing Tools of 2026 - Reviews &amp;amp; Comparison</t>
  </si>
  <si>
    <t>Measured, LifeSight, Sellforte, Rockerbox, Recast, Haus, Analytic Partners</t>
  </si>
  <si>
    <t>https://www.statista.com/topics/12476/%25E2%2580%259Cbig-six%25E2%2580%259D-ad-agency-groups-worldwide/</t>
  </si>
  <si>
    <t>“Big Six” advertising agency groups worldwide – statistics &amp; facts \| Statista</t>
  </si>
  <si>
    <t>WPP, Publicis Groupe, Dentsu</t>
  </si>
  <si>
    <t>https://www.stonehillinnovation.com/ai-readiness-assessment-consulting</t>
  </si>
  <si>
    <t>AI Readiness Assessment Consulting</t>
  </si>
  <si>
    <t>https://www.superside.com/blog/marketing-design-services</t>
  </si>
  <si>
    <t>13 Best Marketing Design Services for Enterprises in 2026</t>
  </si>
  <si>
    <t>https://support.google.com/analytics/answer/7237700?hl=en-AU</t>
  </si>
  <si>
    <t>https://support.google.com/google-ads/answer/11410677?hl=en</t>
  </si>
  <si>
    <t>Google Partners directory - Google Ads Help</t>
  </si>
  <si>
    <t>https://support.google.com/tagmanager/answer/7237700?hl=EN</t>
  </si>
  <si>
    <t>https://www.techradar.com/pro/agentic-search-optimization-reshapes-brand-visibility-in-ai-search</t>
  </si>
  <si>
    <t>Agentic Search Optimization reshapes brand visibility in AI search | TechRadar</t>
  </si>
  <si>
    <t>https://www.techradar.com/pro/how-to-use-an-aeo-tool-for-your-small-business</t>
  </si>
  <si>
    <t>How to use an AEO tool for your small business | TechRadar</t>
  </si>
  <si>
    <t>https://www.techradar.com/pro/the-gap-between-ai-potential-and-ai-reality-is-a-leadership-problem</t>
  </si>
  <si>
    <t>The gap between AI potential and AI reality Is a leadership problem | TechRadar</t>
  </si>
  <si>
    <t>https://www.thedrum.com/news/as-holdcos-reinvent-themselves-here-are-the-notes-indies-should-be-taking</t>
  </si>
  <si>
    <t>As holdcos reinvent themselves, here are the notes indies should be taking | The Drum</t>
  </si>
  <si>
    <t>https://www.thedrum.com/news/world-creative-rankings-the-most-awarded-us-ad-agencies-the-last-12-months</t>
  </si>
  <si>
    <t>The most-awarded US ad agencies of 2021 \| The Drum</t>
  </si>
  <si>
    <t>https://www.thedrum.com/news/world-creative-rankings-the-top-holding-companies-and-best-agency-networks-the</t>
  </si>
  <si>
    <t>Advertising's most-awarded holding companies and agency networks of 2021 | The Drum</t>
  </si>
  <si>
    <t>WPP, Publicis Groupe, Dentsu, Ogilvy, BBDO, VML, Wieden+Kennedy, R/GA, AKQA, 72andSunny, Digitas</t>
  </si>
  <si>
    <t>https://themarketingagency.ca/blog/top-creative-agencies-growth/</t>
  </si>
  <si>
    <t>10 Top Creative Agencies for 2026</t>
  </si>
  <si>
    <t>Superside, Wieden+Kennedy, VaynerMedia, Ogilvy, The Social Shepherd, DEPT, inBeat, Giant Spoon, Clutch, Momentum</t>
  </si>
  <si>
    <t>https://www.therealsocialcompany.com/blog/best-ai-marketing-agency-united-states</t>
  </si>
  <si>
    <t>Best AI Marketing Agency in the United States (2026) | The Real Social Company</t>
  </si>
  <si>
    <t>https://thriveagency.com/news/best-ai-seo-agencies/</t>
  </si>
  <si>
    <t>10 Best AI SEO Agencies in 2026 | Thrive Agency</t>
  </si>
  <si>
    <t>Thrive Internet Marketing Agency, Intero Digital, Victorious, Directive, Seer Interactive, Funnel Boost Media</t>
  </si>
  <si>
    <t>https://thriveagency.com/news/best-ppc-companies/</t>
  </si>
  <si>
    <t>20 Best PPC Companies in 2026 | Thrive Agency</t>
  </si>
  <si>
    <t>Thrive Internet Marketing Agency, Disruptive Advertising, Directive, Power Digital, KlientBoost, AdVenture Media, HawkSEM, Metric Theory, Monks, Measured</t>
  </si>
  <si>
    <t>https://www.topbrandingagencies.io/top-branding-agencies-in-america</t>
  </si>
  <si>
    <t>Top 10 Branding Agencies in the USA (2025) – Industry-Leading Firms Ranked — Top Branding Agencies</t>
  </si>
  <si>
    <t>Wieden+Kennedy, Wolff Olins, Clay, BBDO, 72andSunny</t>
  </si>
  <si>
    <t>https://www.trustradius.com/products/agency-analytics/reviews</t>
  </si>
  <si>
    <t>Agency Analytics Reviews &amp; Ratings 2026 \| TrustRadius</t>
  </si>
  <si>
    <t>https://tryxlr8.ai/blogs/best-generative-engine-optimization-agencies#:~:text=XLR8%20AI%20offers%20extensive%20LLM,content%20creation%2C%20and%20page%20optimization.</t>
  </si>
  <si>
    <t>Best GEO Agencies 2026: 13 Ranked (One of Them Is Us — Here's Why) | XLR8 AI</t>
  </si>
  <si>
    <t>First Page Sage, Go Fish Digital, Omniscient Digital, Siege Media, iPullRank, WebFX, Directive, Graphite, Measured</t>
  </si>
  <si>
    <t>https://www.uforocks.com/blog/50-digital-marketing-agencies-in-the-us/</t>
  </si>
  <si>
    <t>50 U.S-Based Digital Marketing Agencies</t>
  </si>
  <si>
    <t>Clutch, WebFX, Ignite Visibility, Silverback Strategies, Dentsu, Merkle, Thrive Internet Marketing Agency, Disruptive Advertising, Directive, Wpromote, TransUnion, Noble Studios, Tinuiti, Clay, KlientBoost, Searchbloom, SmartSites, McKinsey, AdVenture Media, Amsive, NP Digital, Seer Interactive</t>
  </si>
  <si>
    <t>https://www.uforocks.com/blog/top-ai-seo-agencies-in-the-u-s/</t>
  </si>
  <si>
    <t>Top AI SEO Agencies in the U.S. - UFO Digital Marketing Agency</t>
  </si>
  <si>
    <t>Omniscient Digital, iPullRank, First Page Sage, WebFX, NoGood, Siege Media, NP Digital, SmartSites, Clutch, Marcel Digital, Thrive Internet Marketing Agency, Seer Interactive, Directive</t>
  </si>
  <si>
    <t>https://usanews.com/newsroom/top-digital-marketing-agencies-in-the-united-states</t>
  </si>
  <si>
    <t>Top Digital Marketing Agencies in the United States | USA News</t>
  </si>
  <si>
    <t>WebFX, Ignite Visibility, Disruptive Advertising, SmartSites</t>
  </si>
  <si>
    <t>https://valasys.com/best-aeo-agencies-b2b-brands/</t>
  </si>
  <si>
    <t>Best AEO Agencies for B2B Brands in 2026 | Top Picks Compared</t>
  </si>
  <si>
    <t>Thrive Internet Marketing Agency, Siege Media, First Page Sage, iPullRank, Single Grain, NoGood</t>
  </si>
  <si>
    <t>https://www.warroominc.com/blog/best-programmatic-advertising-agencies/#:~:text=Be%20sure%20to%20evaluate%20which%20would%20be,Advertising%3A%20%2D%20Fyber%3A%20%2D%20SmartyAds%3A%20%2D%20Choozel%3A</t>
  </si>
  <si>
    <t>14 best programmatic advertising agencies &amp;amp; platforms (2025)</t>
  </si>
  <si>
    <t>https://www.webfx.com/blog/ai/best-geo-agencies/</t>
  </si>
  <si>
    <t>The Best GEO Agencies for AI Visibility in 2026</t>
  </si>
  <si>
    <t>WebFX, Major Tom, The SEO Works, Clutch</t>
  </si>
  <si>
    <t>https://www.webfx.com/digital-advertising/services/</t>
  </si>
  <si>
    <t>Top-Rated Digital Advertising Services That Cut CPL By 15%</t>
  </si>
  <si>
    <t>WebFX, Clutch, Momentum</t>
  </si>
  <si>
    <t>https://www.webfx.com/ppc/learn/google-partner-agency/</t>
  </si>
  <si>
    <t>7 Benefits of Working with a Google Partner Agency</t>
  </si>
  <si>
    <t>https://www.webtonic.io/blog/best-performance-marketing-agencies</t>
  </si>
  <si>
    <t>The 26 Best Performance Marketing Agencies for 2026</t>
  </si>
  <si>
    <t>Web Tonic, Tinuiti, Hawke Media, NoGood, Metric Theory, Disruptive Advertising, Power Digital, MuteSix, Wpromote, TransUnion, Directive, SmartSites, KlientBoost, Single Grain, Jellyfish, Incubeta, Sociallyin</t>
  </si>
  <si>
    <t>https://www.webtonic.io/blog/top-ai-marketing-agencies</t>
  </si>
  <si>
    <t>The 44 Best AI Marketing Agencies as of 2026</t>
  </si>
  <si>
    <t>Web Tonic, Merkle, Wpromote, TransUnion, Jellyfish, Tinuiti, Dentsu, Monks, Huge, IBM, Anomaly, Ogilvy, PwC</t>
  </si>
  <si>
    <t>https://www.webtonic.io/blog/top-programmatic-advertising-agencies#:~:text=Industries%20Served%3A%20Consumer%20Goods%2C%20Automotive%2C%20Technology%2C%20Financial,and%20advanced%20attribution%20modelling.%20%2D%203.%20Essence.</t>
  </si>
  <si>
    <t>32 Top Programmatic Advertising Agencies for 2026</t>
  </si>
  <si>
    <t>Web Tonic, GroupM</t>
  </si>
  <si>
    <t>https://www.webtonic.io/blog/top-web-analytics-agencies</t>
  </si>
  <si>
    <t>Top 46 Web Analytics Agencies (2026 Edition)</t>
  </si>
  <si>
    <t>Web Tonic, Bounteous, InfoTrust, Adswerve, Cardinal Path, TransUnion, Seer Interactive, Metric Theory, IBM, Croud, Ogilvy, GroupM</t>
  </si>
  <si>
    <t>https://www.welcometothejungle.com/en/companies/artefact</t>
  </si>
  <si>
    <t>Artefact: pictures, videos and job openings</t>
  </si>
  <si>
    <t>https://wildnetmarketing.agency/blog/top-digital-marketing-companies-list/</t>
  </si>
  <si>
    <t>Top 10 Digital Marketing Companies in USA 2026</t>
  </si>
  <si>
    <t>Ogilvy, Deloitte Digital, Digitas, VML, AKQA, Merkle, Accenture Song, Dentsu</t>
  </si>
  <si>
    <t>https://wildnetmarketing.agency/blog/top-programmatic-advertising-agencies-in-usa/#:~:text=Performance%20Media%2C%20Ad%20Tech%20Consulting.%20B2B%2C%20Healthcare%2C,ROI%2Dfocused%20Programmatic%20Engineering%20%26%20Automation.%20%2D%20Merkle.</t>
  </si>
  <si>
    <t>Top 10 Programmatic Advertising Agencies in USA 2026</t>
  </si>
  <si>
    <t>Merkle, Ogilvy, VML, Digitas, Accenture Song, Deloitte Digital, Publicis Groupe, Dentsu, Epsilon</t>
  </si>
  <si>
    <t>https://www.wk.com/</t>
  </si>
  <si>
    <t>An independent creative network | Wieden+Kennedy</t>
  </si>
  <si>
    <t>https://wolfable.com/best-creative-agencies/</t>
  </si>
  <si>
    <t>20 Best Creative Agencies in the World In 2026</t>
  </si>
  <si>
    <t>WPP, Ogilvy, VML, Wieden+Kennedy, Droga5, BBDO, AKQA, Anomaly, 72andSunny, Superside, The Social Shepherd, Momentum, Measured</t>
  </si>
  <si>
    <t>https://worldmetrics.org/service/creative-marketing/</t>
  </si>
  <si>
    <t>Top 10 Best Creative Marketing Services: 2026 Comparison</t>
  </si>
  <si>
    <t>WPP, Publicis Groupe, Publicis Sapient, Dentsu, Accenture Song, Ogilvy, R/GA, Disruptive Advertising, Clutch</t>
  </si>
  <si>
    <t>https://worldmetrics.org/service/full-digital-marketing/</t>
  </si>
  <si>
    <t>Best Full Digital Marketing Services (2026)</t>
  </si>
  <si>
    <t>WPP, Accenture Song, Dentsu, Publicis Groupe, Merkle, iProspect, Ignite Visibility, Clutch</t>
  </si>
  <si>
    <t>https://www.wpp.com/en/about</t>
  </si>
  <si>
    <t>About WPP – the trusted growth partner for leading brands | WPP</t>
  </si>
  <si>
    <t>https://www.wsj.com/cio-journal/the-ai-superfans-companies-count-on-to-convert-the-skeptics-5b301a90</t>
  </si>
  <si>
    <t>The AI Superfans Companies Count On to Convert the Skeptics - WSJ</t>
  </si>
  <si>
    <t>https://www.wsj.com/tech/ai/ai-needs-management-consultants-after-all-bd28ecb9</t>
  </si>
  <si>
    <t>AI Needs Management Consultants After All - WSJ</t>
  </si>
  <si>
    <t>McKinsey, BCG</t>
  </si>
  <si>
    <t>https://xchange.avixa.org/posts/10-best-digital-marketing-agencies-in-usa-2026#:~:text=The%20agency%20focuses%20on%20maximizing%20ROI%20through,marketing.%20Paid%20advertising.%20SEO%20services.%20Content%20strategy.</t>
  </si>
  <si>
    <t>10 Best Digital Marketing Agencies in USA (2026) | AVIXA Xchange</t>
  </si>
  <si>
    <t>SmartSites, Ignite Visibility, Victorious, Directive, Siege Media, WebFX, Single Grain, LYFE Marketing, Thrive Internet Marketing Agency</t>
  </si>
  <si>
    <t>https://xchange.avixa.org/posts/top-10-digital-marketing-companies-in-the-usa-for-2026#:~:text=Personalized%20client%20support.%20%2D%203.%20WebFX.%20WebFX,management.%20Data%2Ddriven%20campaign%20execution.%20Strong%20analytics%20capabilities.</t>
  </si>
  <si>
    <t>Top 10 Digital Marketing Companies in the USA for 2026 | AVIXA Xchange</t>
  </si>
  <si>
    <t>Clutch, WebFX, Ignite Visibility, Thrive Internet Marketing Agency, SmartSites, Disruptive Advertising</t>
  </si>
  <si>
    <t>https://www.youtube.com/watch?v=OR58Odpst7Q</t>
  </si>
  <si>
    <t>Top 12 Digital Marketing Agencies to Hire in 2026</t>
  </si>
  <si>
    <t>Disruptive Advertising, Amsive, Sociallyin</t>
  </si>
  <si>
    <t>https://www.youtube.com/watch?v=dtlZTULGX4A</t>
  </si>
  <si>
    <t>GEO Keyword Research and Tracking AI Search Results For Your Main Keywords</t>
  </si>
  <si>
    <t>https://zipdo.co/service/advertising-and-marketing/</t>
  </si>
  <si>
    <t>Best Advertising And Marketing Services (2026)</t>
  </si>
  <si>
    <t>WPP, Dentsu, Omnicom Media Group, Publicis Groupe, Accenture Song, Croud, Ignite Visibility, Disruptive Advertising, Clutch</t>
  </si>
  <si>
    <t>https://zipdo.co/service/agency-digital-marketing/</t>
  </si>
  <si>
    <t>Top 10 Best Agency Digital Marketing Services | 2026 Edition</t>
  </si>
  <si>
    <t>Dentsu, Publicis Groupe, WPP, Merkle, iProspect, VML, Ignite Visibility, Clutch</t>
  </si>
  <si>
    <t>https://zipdo.co/service/marketing-attribution/</t>
  </si>
  <si>
    <t>Top 10 Best Marketing Attribution Services | Top Picks 2026</t>
  </si>
  <si>
    <t>Northbeam, Merkle, Wpromote, PwC, Bounteous, Clutch</t>
  </si>
  <si>
    <t>https://www.zymr.com/blog/how-to-choose-the-right-ai-consulting-company-in-the-usa</t>
  </si>
  <si>
    <t>How to Choose the Right AI Consulting Company in the USA? ( 2026)</t>
  </si>
  <si>
    <t>McKinsey, Bain &amp; Company, Measured</t>
  </si>
  <si>
    <t>https://12amagency.com/blog/digital-marketing-agency-for-small-business-comparison/</t>
  </si>
  <si>
    <t>Best digital marketing agency for small business – Expert Comparison 2025 - 12AM Agency</t>
  </si>
  <si>
    <t>Ignite Visibility, SmartSites, Thrive Internet Marketing Agency, WebFX</t>
  </si>
  <si>
    <t>https://www.20northmarketing.com/blog/best-marketing-agencies-atlanta</t>
  </si>
  <si>
    <t>Best Marketing Agencies in Atlanta | Atlanta Digital Marketing | 20North</t>
  </si>
  <si>
    <t>https://www.50pros.com/hire/conversion-rate-optimization/ab-and-multivariate-testing</t>
  </si>
  <si>
    <t>Top A/B &amp; Multivariate Testing Agencies to Hire in June 2026</t>
  </si>
  <si>
    <t>https://www.50pros.com/hire/digital-marketing/marketing-analytics-and-reporting</t>
  </si>
  <si>
    <t>Top Marketing Analytics &amp; Reporting Agencies to Hire in June 2026</t>
  </si>
  <si>
    <t>https://www.617collective.com/</t>
  </si>
  <si>
    <t>617 Collective | Scaling Influencer Marketing Agencies Without Roll-Ups | 617 Collective LLC</t>
  </si>
  <si>
    <t>https://www.72andsunny.com/</t>
  </si>
  <si>
    <t>https://7span.com/blog/branding-agencies</t>
  </si>
  <si>
    <t>Top 11 Creative Branding Agencies in 2025 | 7Span</t>
  </si>
  <si>
    <t>https://www.aaaa.org/agency-profile/a4O5Y000001uknt/broadhead/</t>
  </si>
  <si>
    <t>Agency Profile - 4As</t>
  </si>
  <si>
    <t>https://www.abbacustechnologies.com/top-ai-consulting-firms-in-2026/</t>
  </si>
  <si>
    <t>Top AI Consulting Firms in 2026</t>
  </si>
  <si>
    <t>IBM, McKinsey, Anomaly</t>
  </si>
  <si>
    <t>https://www.abbacustechnologies.com/top-ai-development-companies-in-dubai/</t>
  </si>
  <si>
    <t>Top AI Development Companies in Dubai</t>
  </si>
  <si>
    <t>https://www.abetheagency.com/blog/best-b2b-social-media-agencies-for-paid-social-2026</t>
  </si>
  <si>
    <t>25 Best B2B Social Media Agencies for Paid Social (2026)</t>
  </si>
  <si>
    <t>Clutch, WebFX, NinjaPromo, Directive, Disruptive Advertising, Viral Nation, Acadia, NoGood, inBeat, Avenue Z, Measured, Darkroom</t>
  </si>
  <si>
    <t>https://abry.com/news-article/abry-partners-backed-adswerve-acquires-analytics-pros/</t>
  </si>
  <si>
    <t>Abry Partners-backed AdSwerve Acquires Analytics Pros - Abry Partners</t>
  </si>
  <si>
    <t>https://www.accentmarketing.com/</t>
  </si>
  <si>
    <t>https://adagealist.secure-platform.com/</t>
  </si>
  <si>
    <t>Ad Age - A-List &amp; Creativity Awards</t>
  </si>
  <si>
    <t>VML, Momentum, 72andSunny, Publicis Groupe, Wieden+Kennedy, BBDO, WPP, Ogilvy, Droga5, Digitas, R/GA, Forthea</t>
  </si>
  <si>
    <t>https://www.adaptiveco.io/services/ai-agent-consulting</t>
  </si>
  <si>
    <t>Artificial Intelligence AI Consulting &amp;amp; Development | Marketing Automation Experts - USA, UK, Ireland</t>
  </si>
  <si>
    <t>https://www.adasight.com/blog/top-marketing-attribution-tools</t>
  </si>
  <si>
    <t>30 Digital Marketing Attribution Tools &amp;amp; Software for 2026 (Pros &amp;amp; Cons)</t>
  </si>
  <si>
    <t>Ruler Analytics, Kantar, SegmentStream, Cometly, Rockerbox</t>
  </si>
  <si>
    <t>https://adastracorp.com/articles/top-data-analytics-companies-to-compare-in-2026-usa-canada/#:~:text=HQ%3A%20Cary%2C%20NC%20with%20global%20operations%3B%207%2C983,regulatory%20reporting%2C%20and%20proven%20analytics%20software.%207.</t>
  </si>
  <si>
    <t>Top Data Analytics Companies | 2026</t>
  </si>
  <si>
    <t>https://www.addwebsolution.com/blog/ai-marketing-agencies</t>
  </si>
  <si>
    <t>Top 10 AI Marketing Agencies that Elevate Your Brand for 2025</t>
  </si>
  <si>
    <t>Single Grain, NoGood, Major Tom, SmartSites, Clutch</t>
  </si>
  <si>
    <t>https://adgeeks.agency/blogs/best-programmatic-dsp-agencies-for-google-dv360-access-in-2026</t>
  </si>
  <si>
    <t>Best Programmatic DSP Agencies for Google DV360 in 2026</t>
  </si>
  <si>
    <t>Jellyfish, Kepler Group, Tinuiti, Merkle, Dentsu</t>
  </si>
  <si>
    <t>http://www.adlucent.a3online.com/</t>
  </si>
  <si>
    <t>Home ‹ Adlucent: Online Retail Internet Marketing</t>
  </si>
  <si>
    <t>https://adoption.microsoft.com/en-us/ai-readiness-wizard/</t>
  </si>
  <si>
    <t>AI Readiness Wizard – Microsoft Adoption</t>
  </si>
  <si>
    <t>https://ads.google.com/intl/fy/home/partners/become-a-partner/</t>
  </si>
  <si>
    <t>https://adspyder.io/blog/top-25-global-ad-agencies/</t>
  </si>
  <si>
    <t>Top 25 Global Ad Agencies in July 2026 | Ranking &amp;amp; Revenue</t>
  </si>
  <si>
    <t>Publicis Groupe, WPP, Ogilvy, Accenture Song, Dentsu, Epsilon, Merkle, BBDO, Droga5, PwC, Publicis Sapient, iProspect, VML, Anomaly, 72andSunny, Wieden+Kennedy, R/GA, Measured</t>
  </si>
  <si>
    <t>https://adswerve.com/our-services/consulting-and-licensing</t>
  </si>
  <si>
    <t>Our Services - Consulting and Licensing - Adswerve</t>
  </si>
  <si>
    <t>https://adswerve.com/partners</t>
  </si>
  <si>
    <t>Partners - Adswerve</t>
  </si>
  <si>
    <t>https://adzooma.com/blog/top-10-advertising-agencies-in-the-uk/</t>
  </si>
  <si>
    <t>Top 10 Advertising Agencies In The UK | Adzooma</t>
  </si>
  <si>
    <t>https://aeoagency.org/aeo-approach/</t>
  </si>
  <si>
    <t>Our AEO Approach - AEO Agency® – The Global Leader in Answer Engine Optimization</t>
  </si>
  <si>
    <t>https://agencies.semrush.com/list/</t>
  </si>
  <si>
    <t>Best Digital Marketing Agencies in the World 2026 | Semrush</t>
  </si>
  <si>
    <t>https://agencies.semrush.com/list/advertising/united-states/</t>
  </si>
  <si>
    <t>Best Advertising Agencies in United States 2026 | Semrush</t>
  </si>
  <si>
    <t>https://agencies.semrush.com/list/ai-optimization/united-states/small-business/</t>
  </si>
  <si>
    <t>Best AI Search Optimization Agencies for Small Business in United States 2026 | Semrush</t>
  </si>
  <si>
    <t>https://agencies.semrush.com/list/los-angeles/</t>
  </si>
  <si>
    <t>Best Digital Marketing Agencies in Los Angeles 2026 | Semrush</t>
  </si>
  <si>
    <t>https://agencies.semrush.com/list/machine-learning-and-ai/business-professional-services/united-states/</t>
  </si>
  <si>
    <t>Best B2B Services Machine Learning and AI Services in United States 2026 | Semrush</t>
  </si>
  <si>
    <t>https://agencies.semrush.com/list/programmatic-advertising/arts-entertainment/united-states/</t>
  </si>
  <si>
    <t>Best Media &amp;amp; Entertainment Programmatic Advertising Agencies in United States 2026 | Semrush</t>
  </si>
  <si>
    <t>SmartSites, Elit-Web, Silverback Strategies, Measured, Funnel Boost Media</t>
  </si>
  <si>
    <t>https://agencylist.com/services/programmatic-display-and-video/us/florida/</t>
  </si>
  <si>
    <t>Top Programmatic Display and Video Agencies in Florida, United States</t>
  </si>
  <si>
    <t>https://agencyranks.com/</t>
  </si>
  <si>
    <t>https://www.agencyspotter.com/bbdo</t>
  </si>
  <si>
    <t>BBDO | New York Paid Search &amp;amp; Paid Social Advertising Agency | Agency Spotter</t>
  </si>
  <si>
    <t>https://www.agencyspotter.com/top/digital-marketing-agencies</t>
  </si>
  <si>
    <t>Top 100 Digital Agencies Report | Agency Spotter</t>
  </si>
  <si>
    <t>Major Tom, Sociallyin, Huge, Haus</t>
  </si>
  <si>
    <t>https://www.agencyspotter.com/top/media-planning-and-strategy-agencies</t>
  </si>
  <si>
    <t>Top 10 Media Planning &amp;amp; Strategy Agencies Report | Agency Spotter</t>
  </si>
  <si>
    <t>https://agencyvista.com/lists/google-marketing-platform-certified/</t>
  </si>
  <si>
    <t>Google Marketing Platform Certified. May 2025 Reviews. | Agency Vista</t>
  </si>
  <si>
    <t>iProspect, Marcel Digital, Artefact, VaynerMedia, PMG, Digitas, Evolytics</t>
  </si>
  <si>
    <t>https://agencyvista.com/lists/google-marketing-platform-certified/page/2/</t>
  </si>
  <si>
    <t>Noble Studios, Monks, Deloitte Digital, Haus, iProspect, Omnicom Media Group, Major Tom, Publicis Groupe, Dentsu, SegmentStream, VML, Merkle</t>
  </si>
  <si>
    <t>https://agenticmarketingpro.com/incrementality-testing/</t>
  </si>
  <si>
    <t>Modern Incrementality Testing: Moving the Needle in 2026</t>
  </si>
  <si>
    <t>https://ahrefs.com/agencies/united-states</t>
  </si>
  <si>
    <t>Digital Marketing Agencies in United States</t>
  </si>
  <si>
    <t>WebFX, Victorious, Searchbloom</t>
  </si>
  <si>
    <t>https://www.ai360review.com/</t>
  </si>
  <si>
    <t>AI360 REVIEW - Human-Centered AI Adoption Research and Consulting</t>
  </si>
  <si>
    <t>https://aiadvantageagency.com/facebook-ads-agency/</t>
  </si>
  <si>
    <t>Best Facebook Ads Agency for Ecommerce: 7 Agencies Ranked</t>
  </si>
  <si>
    <t>Common Thread Collective, MuteSix, Dentsu, Disruptive Advertising, KlientBoost, LYFE Marketing</t>
  </si>
  <si>
    <t>https://aiadvantageagency.com/first-party-data-strategy/</t>
  </si>
  <si>
    <t>First-Party Data Strategy for AI Advertising in 2026</t>
  </si>
  <si>
    <t>Triple Whale, Northbeam</t>
  </si>
  <si>
    <t>https://www.aiag.org/expertise-areas/supply-chain-management/north-american-customs---trade/ctpat-aeo---supply-chain-security-management#:~:text=The%20CTPAT%2FAEO%20%E2%80%93%20Supply%20Chain,system%20to%20ensure%20ongoing%20compliance.</t>
  </si>
  <si>
    <t>CTPAT/AEO - Supply Chain Security Management</t>
  </si>
  <si>
    <t>https://aiagents4cfo.com/the-cfos-ai-playbook-10-vendors-rebuilding-finance-in-2026/</t>
  </si>
  <si>
    <t>The CFO’s AI Playbook: 10 Vendors Rebuilding Finance in 2026 - AI Agents for CFO</t>
  </si>
  <si>
    <t>IBM, McKinsey, QuantumBlack, Anomaly, Measured</t>
  </si>
  <si>
    <t>https://www.aidigital.com/blog/marketing-measurement-and-attribution-vs-mmm</t>
  </si>
  <si>
    <t>Attribution vs MMM vs Marketing Measurement: Key Differences</t>
  </si>
  <si>
    <t>Nielsen, Measured</t>
  </si>
  <si>
    <t>https://www.aidigital.com/blog/unified-marketing-measurement</t>
  </si>
  <si>
    <t>What Is Unified Marketing Measurement? A Business Guide</t>
  </si>
  <si>
    <t>TransUnion, Analytic Partners, Measured, Triple Whale, LifeSight, Haus</t>
  </si>
  <si>
    <t>https://www.aidigital.com/blog/what-is-incrementality-testing-in-marketing</t>
  </si>
  <si>
    <t>What Is Incrementality Testing in Marketing Measurement</t>
  </si>
  <si>
    <t>https://www.aikenhouse.com/post/8-top-ai-consulting-companies-to-consider-2026-review-comparison</t>
  </si>
  <si>
    <t>8 Top AI Consulting Companies to Consider: 2026 Review + Comparison | Aiken House Blog</t>
  </si>
  <si>
    <t>McKinsey, QuantumBlack, IBM, BCG, Anomaly, Merkle</t>
  </si>
  <si>
    <t>https://aimarketing-agency.com/</t>
  </si>
  <si>
    <t>https://www.aimediagroup.com/post/how-ai-is-revolutionizing-media-buying-smarter-bids-better-results</t>
  </si>
  <si>
    <t>How AI is Revolutionizing Media Buying | Ai Media Group</t>
  </si>
  <si>
    <t>https://www.airpost.ai/blog/best-performance-marketing-agencies</t>
  </si>
  <si>
    <t>8 Best performance marketing agencies in 2026</t>
  </si>
  <si>
    <t>Tinuiti, Power Digital, Jellyfish, Brandtech, AKQA, WPP, MuteSix, Dentsu, Common Thread Collective, Disruptive Advertising</t>
  </si>
  <si>
    <t>https://aiseo.keywordseverywhere.com/brand/recast</t>
  </si>
  <si>
    <t>Recast AI Visibility Report in Media Mix Modeling Vendors</t>
  </si>
  <si>
    <t>Recast, Measured, Northbeam, Triple Whale, Analytic Partners, Nielsen, Rockerbox, Circana, Kantar, Gain Theory, TransUnion, Neustar, Sellforte, Merkle, LiftLab, Dentsu, Accenture Song, Cardinal Path, Huge, Haus, LifeSight, HockeyStack, Jellyfish, Publicis Sapient, Epsilon, WPP, Kepler Group, McKinsey, PwC, GroupM, Omnicom Media Group</t>
  </si>
  <si>
    <t>https://aisera.com/blog/ai-agent-development-companies-and-platforms/</t>
  </si>
  <si>
    <t>Top 10 AI Agent Development Companies and Platforms</t>
  </si>
  <si>
    <t>https://aisuperior.com/geospatial-companies-in-the-usa/#:~:text=FlyPix%20AI%20is%20one%20of%20the%20geospatial,and%20aerial%20imagery%20through%20a%20no%2Dcode%20interface.</t>
  </si>
  <si>
    <t>Geospatial Companies in the USA: Leaders in Mapping and Spatial Data Solutions</t>
  </si>
  <si>
    <t>https://www.aisyndicate.com/</t>
  </si>
  <si>
    <t>AI Syndicate — AI Search Visibility &amp;amp; GEO Agency</t>
  </si>
  <si>
    <t>https://ajelix.com/ai/best-ai-agents/</t>
  </si>
  <si>
    <t>The 8 Best AI Agents in 2026 (Reviewed By Our Team) - Ajelix</t>
  </si>
  <si>
    <t>https://algoscale.com/blog/top-business-intelligence-consulting-companies/</t>
  </si>
  <si>
    <t>Top 15 Business Intelligence Consulting Companies in May 2026</t>
  </si>
  <si>
    <t>IBM, PwC, Anomaly, Slalom, Fractal Analytics</t>
  </si>
  <si>
    <t>https://alicelabs.ai/en/insights/ai-consulting-pricing-2026</t>
  </si>
  <si>
    <t>AI Consulting Pricing: Models, Rates &amp;amp; What to Expect in 2026</t>
  </si>
  <si>
    <t>McKinsey, BCG, PwC, Measured</t>
  </si>
  <si>
    <t>https://alignedagency.io/best-ai-marketing-agencies-for-2026/</t>
  </si>
  <si>
    <t>Best AI Marketing Agencies for 2026 - Aligned Agency</t>
  </si>
  <si>
    <t>NoGood, Single Grain, inBeat, Keenfolks, SmartSites, Omniscient Digital, Tinuiti, Viral Nation, Momentum</t>
  </si>
  <si>
    <t>https://www.als-cs.com/glossary/a/authorized-economic-operator-aeo-trusted-trader-programs/</t>
  </si>
  <si>
    <t>Authorized Economic Operator (AEO) &amp;amp; Trusted Trader Programs</t>
  </si>
  <si>
    <t>https://amakc.com/kansas-city-marketing-companies-directory/</t>
  </si>
  <si>
    <t>Kansas City Marketing Companies - AMA Kansas City</t>
  </si>
  <si>
    <t>https://amplitude.com/blog/first-party-data-strategy</t>
  </si>
  <si>
    <t>How Amplitude Powers Its First-Party Data Strategy</t>
  </si>
  <si>
    <t>https://amworldgroup.com/best/ai-marketing-agencies</t>
  </si>
  <si>
    <t>Best AI Marketing Agencies 2026 | Top 8 Reviewed | AMW®</t>
  </si>
  <si>
    <t>https://amworldgroup.com/directory/seo-agencies/jellyfish</t>
  </si>
  <si>
    <t>Jellyfish — SEO Agencies | AMW®</t>
  </si>
  <si>
    <t>Jellyfish, Siege Media, Silverback Strategies</t>
  </si>
  <si>
    <t>https://www.analyticsinsight.net/amp/story/digital-marketing/top-aeo-agencies-in-usa-best-2026-picks-for-ai-search-optimization</t>
  </si>
  <si>
    <t>Top AEO Agencies in the USA in 2026 for AI Search Growth</t>
  </si>
  <si>
    <t>WebFX, First Page Sage, RevenueZen, Siege Media, NoGood, iPullRank</t>
  </si>
  <si>
    <t>https://www.anderinger.com/services/customs-brokerage-consulting/us-customs-brokerage/#:~:text=Deringer%20is%20the%20largest%20privately,over%20a%20million%20entries%20annually.</t>
  </si>
  <si>
    <t>US Customs Brokerage - Customs Broker, Freight Forwarding &amp;amp; Trade Compliance Services</t>
  </si>
  <si>
    <t>https://www.anml.com/blog/best-b2b-web-design-agencies-in-2026</t>
  </si>
  <si>
    <t>10 Best B2B Web Design Agencies in 2026 | ANML</t>
  </si>
  <si>
    <t>R/GA, DEPT, Huge, Monks, Pentagram, Clutch</t>
  </si>
  <si>
    <t>https://www.answermaniac.ai/best-geo-agencies</t>
  </si>
  <si>
    <t>11 Best Generative Engine Optimization (GEO) Agencies [2026] | AnswerManiac</t>
  </si>
  <si>
    <t>Intero Digital, Measured</t>
  </si>
  <si>
    <t>https://appkod.com/blogs/paid-media-agencies-us/</t>
  </si>
  <si>
    <t>Top 17 Paid Media Agencies in the U.S. (2025) -</t>
  </si>
  <si>
    <t>The Social Shepherd, Marcel Digital, IBM</t>
  </si>
  <si>
    <t>https://www.argonandco.com/us/services/data-and-ai/ai-adoption/</t>
  </si>
  <si>
    <t>Einführung von KI - Argon &amp;amp; Co</t>
  </si>
  <si>
    <t>https://www.artefact.com/</t>
  </si>
  <si>
    <t>Artefact is a global data and AI consulting company</t>
  </si>
  <si>
    <t>https://www.artefact.com/wp-content/uploads/2024/09/Artefact-Data-and-AI-Marketing-Report.pdf</t>
  </si>
  <si>
    <t>https://arxiv.org/abs/2201.07055</t>
  </si>
  <si>
    <t>[2201.07055] Close Enough? A Large-Scale Exploration of Non-Experimental Approaches to Advertising Measurement</t>
  </si>
  <si>
    <t>https://arxiv.org/abs/2605.25517</t>
  </si>
  <si>
    <t>[2605.25517] What Gets Cited: Competitive GEO in AI Answer Engines</t>
  </si>
  <si>
    <t>https://arxiv.org/abs/2607.14035</t>
  </si>
  <si>
    <t>[2607.14035] Optimizing Visibility in Generative Engines: A Critical Survey of Generative Engine Optimization (2023-2026)</t>
  </si>
  <si>
    <t>https://www.askneedle.com/blog/best-ai-marketing-tools</t>
  </si>
  <si>
    <t>12 Best AI Marketing Tools for DTC Brands in 2026</t>
  </si>
  <si>
    <t>Huge, McKinsey, PwC</t>
  </si>
  <si>
    <t>https://aspiremarketers.com/top-performance-marketing-companies/</t>
  </si>
  <si>
    <t>Top Performance Marketing Companies for Business Growth</t>
  </si>
  <si>
    <t>https://www.assemblestudio.com/</t>
  </si>
  <si>
    <t>Nearshore Digital Production &amp;amp; Web Development Agency | Assemble Studio</t>
  </si>
  <si>
    <t>https://athenahq.ai/articles/best-ai-seo-tools</t>
  </si>
  <si>
    <t>8 Best AI SEO Tools for 2026 (Tested Firsthand) | Action on AI Search</t>
  </si>
  <si>
    <t>https://www.attnagency.com/blog/first-party-data-activation-cdp-ad-platform-strategy</t>
  </si>
  <si>
    <t>First-Party Data Activation: From CDP to Ad Platform Profitability | ATTN Agency</t>
  </si>
  <si>
    <t>https://www.attributionapp.com/plans/agency-partners/</t>
  </si>
  <si>
    <t>Agency Partners | Attribution</t>
  </si>
  <si>
    <t>Intero Digital, Rockerbox, Triple Whale, Northbeam, HockeyStack, Measured</t>
  </si>
  <si>
    <t>https://audigent.com/</t>
  </si>
  <si>
    <t>Audigent | The Leading Data Activation, Curation and Identity Platform</t>
  </si>
  <si>
    <t>https://auradigitalmarketers.com/case-studies</t>
  </si>
  <si>
    <t>https://www.austley.com/</t>
  </si>
  <si>
    <t>Home</t>
  </si>
  <si>
    <t>https://www.avaus.com/blog/how-media-agencies-can-utilize-first-party-data-to-drive-better-results/</t>
  </si>
  <si>
    <t>How media agencies can utilize first-party data to drive better results - Avaus</t>
  </si>
  <si>
    <t>https://avenuez.com/blog/top-dtc-marketing-agencies-in-the-usa/</t>
  </si>
  <si>
    <t>Top DTC Marketing Agencies in the U.S. - Avenue Z</t>
  </si>
  <si>
    <t>Avenue Z, Common Thread Collective, Tinuiti, Power Digital, Momentum</t>
  </si>
  <si>
    <t>https://avenuez.com/blog/top-social-media-advertising-agencies-in-the-usa/</t>
  </si>
  <si>
    <t>Top Social Media Advertising Agencies in the U.S. - Avenue Z</t>
  </si>
  <si>
    <t>Avenue Z, Disruptive Advertising, inBeat, LYFE Marketing</t>
  </si>
  <si>
    <t>https://avenuez.com/blog/top-wellness-marketing-agencies/</t>
  </si>
  <si>
    <t>Top Wellness Marketing Agencies of 2025 - Avenue Z</t>
  </si>
  <si>
    <t>Avenue Z, Momentum, Hawke Media, VaynerMedia, Power Digital</t>
  </si>
  <si>
    <t>https://www.awesomic.com/blog/full-service-creative-agencies</t>
  </si>
  <si>
    <t>Best Full Service Creative Agencies in 2026: Top Picks for Fast, Affordable Work</t>
  </si>
  <si>
    <t>Droga5, Ogilvy, Wieden+Kennedy, VaynerMedia, Pentagram, BBDO, Accenture Song, Huge, Momentum</t>
  </si>
  <si>
    <t>https://awisee.com/ru/blog/paid-social-media-agencies/</t>
  </si>
  <si>
    <t>Best Paid Social Media Agencies for 2025 – Full Guide</t>
  </si>
  <si>
    <t>VaynerMedia, Power Digital</t>
  </si>
  <si>
    <t>https://www.awwwards.com/the-10-best-agencies-in-new-york-city.html</t>
  </si>
  <si>
    <t>The 10 Best Agencies in New York City</t>
  </si>
  <si>
    <t>Huge, R/GA, DEPT, AKQA, Droga5</t>
  </si>
  <si>
    <t>https://www.backhouse.com/</t>
  </si>
  <si>
    <t>Backhouse // Embedded production company for brands, agencies, and studios</t>
  </si>
  <si>
    <t>https://www.barchart.com/story/news/1281321/10-ai-visibility-optimization-agencies-in-the-united-states-for-2026</t>
  </si>
  <si>
    <t>10 AI Visibility Optimization Agencies in the United States for 2026</t>
  </si>
  <si>
    <t>Momentum, Searchbloom, Single Grain, Ignite Visibility, Omniscient Digital, Seer Interactive, Siege Media, iPullRank, McKinsey, QuantumBlack</t>
  </si>
  <si>
    <t>https://www.barchart.com/story/news/1344974/designrush-unveils-april-2026-ranking-of-top-10-ppc-companies</t>
  </si>
  <si>
    <t>DesignRush Unveils April 2026 Ranking of Top 10 PPC Companies</t>
  </si>
  <si>
    <t>Momentum, SmartSites, Searchbloom, Disruptive Advertising, Silverback Strategies, Intero Digital, Funnel Boost Media</t>
  </si>
  <si>
    <t>https://www.barchart.com/story/news/3274650/simpletiger-wins-a-spring-2026-clutch-global-award-for-seo-mobile-optimization#:~:text=Follow%20us%20on%20Google%20News.%20SimpleTiger%2C%20a,reviews%2C%20market%20presence%2C%20and%20proven%20industry%20expertise.</t>
  </si>
  <si>
    <t>SimpleTiger Wins a Spring 2026 Clutch Global Award for SEO Mobile Optimization</t>
  </si>
  <si>
    <t>https://barkleyokrp.com/barkleyokrps-adlucent-are-now-google-marketing-platform-certified-partners/</t>
  </si>
  <si>
    <t>BarkleyOKRP's Adlucent are now Google Marketing Platform Certified Partners. - BarkleyOKRP</t>
  </si>
  <si>
    <t>https://bbdo.com/</t>
  </si>
  <si>
    <t>https://beomniscient.com/blog/marketing-agencies/</t>
  </si>
  <si>
    <t>The 6 Best Marketing Agencies in 2026 - Omniscient Digital</t>
  </si>
  <si>
    <t>Omniscient Digital, LYFE Marketing, Disruptive Advertising, NoGood</t>
  </si>
  <si>
    <t>https://www.best-masters.com/master-marketing-ranking.html</t>
  </si>
  <si>
    <t>Best Master in Marketing 2026 - Worldwide Ranking</t>
  </si>
  <si>
    <t>https://bestaiseoagencies.com/</t>
  </si>
  <si>
    <t>10 Best AI SEO Agencies 2026 - Independent Rankings</t>
  </si>
  <si>
    <t>Victorious, Clutch, Directive, Seer Interactive, Intero Digital, Funnel Boost Media</t>
  </si>
  <si>
    <t>https://beyondthearc.com/news/recognition</t>
  </si>
  <si>
    <t>Accolades &amp;amp; Recognition - Beyond the Arc</t>
  </si>
  <si>
    <t>https://www.bimodal.io/</t>
  </si>
  <si>
    <t>Marketing Science Platform. Experiment, validate, and optimise your marketing with Bimodal</t>
  </si>
  <si>
    <t>https://blackthorn-vision.com/blog/top-10-seo-companies-in-the-usa/</t>
  </si>
  <si>
    <t>Top 10 SEO Companies in the USA (2026) — Honest Reviews, Pricing &amp;amp; Comparison</t>
  </si>
  <si>
    <t>WebFX, Victorious, NP Digital, Siege Media, Directive, Ignite Visibility, Thrive Internet Marketing Agency, SmartSites, Clutch</t>
  </si>
  <si>
    <t>https://www.blackwelldigital.com/</t>
  </si>
  <si>
    <t>AI Transformation for Growth-Stage Businesses — Blackwell Digital</t>
  </si>
  <si>
    <t>https://blazonagency.com/post/top-ad-agencies</t>
  </si>
  <si>
    <t>Top Ad Agencies in 2026 — Who's Actually Delivering Results?</t>
  </si>
  <si>
    <t>Momentum, Anomaly, inBeat, R/GA, VaynerMedia</t>
  </si>
  <si>
    <t>https://www.blendb2b.com/resources/best-aeo-agencies-for-logistics-companies?hs_amp=true</t>
  </si>
  <si>
    <t>The 6 best AEO agencies for logistics companies in 2026</t>
  </si>
  <si>
    <t>RevenueZen, Omniscient Digital, NoGood, First Page Sage, Animalz</t>
  </si>
  <si>
    <t>https://blog.brandburp.com/10-best-digital-marketing-agencies-in-new-york/</t>
  </si>
  <si>
    <t>10 Best Digital Marketing Agencies in New York</t>
  </si>
  <si>
    <t>NoGood, Wpromote, SmartSites, Thrive Internet Marketing Agency, Disruptive Advertising, WebFX, Darkroom</t>
  </si>
  <si>
    <t>https://www.blog.udonis.co/top-agencies/marketing-consulting-firms</t>
  </si>
  <si>
    <t>18 Best Marketing Consulting Firms to Hire in 2026</t>
  </si>
  <si>
    <t>Accenture Song, Deloitte Digital, McKinsey, BCG, Bain &amp; Company, Ogilvy, Slalom, Monks, Wpromote, R/GA, IBM, TransUnion</t>
  </si>
  <si>
    <t>https://www.bloggingtips.com/assets/outsourcing/seo</t>
  </si>
  <si>
    <t>15+ Best SEO Agencies For 2024 [Ranked]</t>
  </si>
  <si>
    <t>Ignite Visibility, SmartSites, WebFX, Seer Interactive</t>
  </si>
  <si>
    <t>https://www.blueduckagency.com/blog/incrementality</t>
  </si>
  <si>
    <t>How to Add Incrementality Testing to Your Marketing Campaigns | Blue Duck Agency</t>
  </si>
  <si>
    <t>https://www.bolderagency.com/journal/startup-branding-agency-guide-2026-best-us-agencies-for-strategic-brand-building</t>
  </si>
  <si>
    <t>Startup branding agency guide: best USA agencies for strategic brand building</t>
  </si>
  <si>
    <t>Pentagram, Clay, Wolff Olins, Clutch</t>
  </si>
  <si>
    <t>https://www.bounteous.com/partners/google/google-search-ads-360/</t>
  </si>
  <si>
    <t>Google Search Ads 360 Reseller &amp;amp; Sales Partner for SA360</t>
  </si>
  <si>
    <t>https://www.bounteous.com/partners/google/media-accelerate/</t>
  </si>
  <si>
    <t>Bounteous + Google l Media Accelerate | Bounteous</t>
  </si>
  <si>
    <t>BCG, Bounteous</t>
  </si>
  <si>
    <t>https://www.brandedagency.com/blog/top-digital-marketing-agencies</t>
  </si>
  <si>
    <t>Best Digital Marketing Agencies for Growth in 2026</t>
  </si>
  <si>
    <t>Measured, Clutch, WebFX, Thrive Internet Marketing Agency, LYFE Marketing, Ignite Visibility, NinjaPromo</t>
  </si>
  <si>
    <t>https://www.braumillerconsulting.com/#:~:text=A%20secure%20and%20compliant%20supply%20chain%20is,true%20dual%E2%80%91structure%E2%80%94legal%20%2B%20consulting%E2%80%94integrated%20into%20one%20ecosystem.</t>
  </si>
  <si>
    <t>Expert Global Trade &amp; Customs Compliance \| Braumiller</t>
  </si>
  <si>
    <t>BCG, DEPT</t>
  </si>
  <si>
    <t>https://www.breakingb2b.com/blog/best-aeo-agency</t>
  </si>
  <si>
    <t>Best AEO Agency: Our Top 11 Picks for 2026</t>
  </si>
  <si>
    <t>Omniscient Digital, Animalz, Siege Media, First Page Sage, NoGood, RevenueZen, Measured</t>
  </si>
  <si>
    <t>https://brightlinkconsulting.com/ai-adoption</t>
  </si>
  <si>
    <t>Brightlink Consulting</t>
  </si>
  <si>
    <t>https://brillmedia.co/</t>
  </si>
  <si>
    <t>White Label Media Buying Agency Los Angeles | Brill Media</t>
  </si>
  <si>
    <t>https://brillmedia.co/brill-media-advertising-platform/</t>
  </si>
  <si>
    <t>Brill Media Advertising Platform - Brill Media</t>
  </si>
  <si>
    <t>https://brillmedia.co/locations/best-ad-agencies-in-california/</t>
  </si>
  <si>
    <t>Best Ad Agencies in California | Brill Media</t>
  </si>
  <si>
    <t>https://brillmedia.co/resources/best-bing-ads-agencies/</t>
  </si>
  <si>
    <t>Best Bing Ads Agencies | Bing PPC Management Agency</t>
  </si>
  <si>
    <t>AdVenture Media, NinjaPromo, Thrive Internet Marketing Agency, Disruptive Advertising</t>
  </si>
  <si>
    <t>https://brillmedia.co/resources/display-ads-best-practices/</t>
  </si>
  <si>
    <t>Display Ads Best Practices 2025 | Brill Media</t>
  </si>
  <si>
    <t>https://brillmedia.co/services/media-buying-agency/</t>
  </si>
  <si>
    <t>Media Buying Agency | Digital Advertising | Brill Media</t>
  </si>
  <si>
    <t>https://builtin.com/company/tinuiti</t>
  </si>
  <si>
    <t>Tinuiti Careers, Perks + Culture | Built In</t>
  </si>
  <si>
    <t>https://www.builtincolorado.com/articles/consulting-firms-colorado</t>
  </si>
  <si>
    <t>14 Top Colorado Consulting Firms | Built In Colorado</t>
  </si>
  <si>
    <t>https://business.adobe.com/blog/basics/marketing-attribution</t>
  </si>
  <si>
    <t>Marketing attribution — models and best practices</t>
  </si>
  <si>
    <t>https://business.google.com/en-all/support/become-a-partner/</t>
  </si>
  <si>
    <t>Google Partners Programme: Become a Partner – Google Ads</t>
  </si>
  <si>
    <t>https://business.google.com/en-all/support/work-with-a-partner/</t>
  </si>
  <si>
    <t>Work with a Google Partner for a Successful Campaign – Google Ads</t>
  </si>
  <si>
    <t>https://business.google.com/us/think/measurement/incrementality-testing/</t>
  </si>
  <si>
    <t>Use incrementality testing for effective marketing measurement</t>
  </si>
  <si>
    <t>https://www.businessinsider.com/how-ai-is-changing-consulting-talent-at-mckinsey-pwc-deloitte-2025-12</t>
  </si>
  <si>
    <t>How Elite Consulting Firms Are Changing Hiring and Training in the AI Age - Business Insider</t>
  </si>
  <si>
    <t>McKinsey, PwC, BCG, QuantumBlack</t>
  </si>
  <si>
    <t>https://www.businessinsider.com/top-geo-tips-ai-search-google-microsoft-perplexity-2025-12</t>
  </si>
  <si>
    <t>Top GEO Tips for AI Search From Google, Microsoft, Perplexity - Business Insider</t>
  </si>
  <si>
    <t>McKinsey, WPP</t>
  </si>
  <si>
    <t>https://www.businessofapps.com/marketplace/vayner-media/</t>
  </si>
  <si>
    <t>Vayner Media - Reviews, News and Ratings</t>
  </si>
  <si>
    <t>VaynerMedia, NinjaPromo, Thrive Internet Marketing Agency, Clutch</t>
  </si>
  <si>
    <t>https://www.busylike.com/</t>
  </si>
  <si>
    <t>Busylike | AI marketing agency for visibility &amp;amp; growth | Digital Media | GEO</t>
  </si>
  <si>
    <t>https://buywithprime.amazon.com/agency-partner-directory/tinuiti</t>
  </si>
  <si>
    <t>Tinuiti - Amazon Buy with Prime</t>
  </si>
  <si>
    <t>https://byaries.com/services/ai-enablement-program-for-law-firm-marketing-teams/</t>
  </si>
  <si>
    <t>AI Training and Enablement for Law Firm Marketing Teams - By Aries</t>
  </si>
  <si>
    <t>https://c3digitus.com/blog/top-digital-marketing-agencies-usa/</t>
  </si>
  <si>
    <t>Top 10 Digital Marketing Agencies for Growth in the USA</t>
  </si>
  <si>
    <t>WebFX, SmartSites, Ignite Visibility, Disruptive Advertising, NP Digital, Power Digital, KlientBoost, Clutch, IBM</t>
  </si>
  <si>
    <t>https://www.caa.com/</t>
  </si>
  <si>
    <t>Creative Artists Agency \| CAA</t>
  </si>
  <si>
    <t>https://cabinco.com/best-ai-consulting-firms/</t>
  </si>
  <si>
    <t>Best AI Consulting Firms 2026: Giants vs Boutiques</t>
  </si>
  <si>
    <t>McKinsey, QuantumBlack, IBM, BCG, Clutch, PwC</t>
  </si>
  <si>
    <t>https://www.callboxinc.com/growth-hacking/multichannel-marketing-agencies/</t>
  </si>
  <si>
    <t>7 Multichannel Marketing Agencies You Should Know</t>
  </si>
  <si>
    <t>Measured, NP Digital, Tinuiti, WebFX, Single Grain, Disruptive Advertising</t>
  </si>
  <si>
    <t>https://www.callboxinc.com/lead-generation/business-to-business-marketing-companies/#:~:text=Services%3A%20Appointment%20setting%20%C2%B7%20Account%2Dbased%20marketing%20%C2%B7,SaaS%20marketing%20%C2%B7%20SEO.%20%2D%20Refine%20Labs.</t>
  </si>
  <si>
    <t>Top B2B Marketing Companies in 2026 | Callbox</t>
  </si>
  <si>
    <t>Directive, Refine Labs, Siege Media</t>
  </si>
  <si>
    <t>https://www.campaignlive.com/article/final-2024-us-media-agency-rankings-in-claimed-top-spot/1907166</t>
  </si>
  <si>
    <t>Final 2024 US media agency rankings are in: Who claimed the top spot? | Campaign US</t>
  </si>
  <si>
    <t>Omnicom Media Group, iProspect, Dentsu, WPP, GroupM, Horizon Media, Publicis Groupe</t>
  </si>
  <si>
    <t>https://www.campaignlive.com/article/horizon-media-tops-preliminary-2025-indie-media-league/1949516</t>
  </si>
  <si>
    <t>Horizon Media tops preliminary 2025 indie media agency rankings \| Campaign US</t>
  </si>
  <si>
    <t>Horizon Media, Brainlabs, VaynerMedia</t>
  </si>
  <si>
    <t>https://www.capitala.co/uncategorized/20506/futureproofing-the-power-of-digital-marking-agency-investments/</t>
  </si>
  <si>
    <t>Futureproofing: The Power of Digital Marking Agency Investments | Capital A</t>
  </si>
  <si>
    <t>https://www.capterra.com.au/directory/34136/ai-marketing-tools/software</t>
  </si>
  <si>
    <t>AI Marketing Tools - Comparison &amp; Reviews - Capterra Australia 2026</t>
  </si>
  <si>
    <t>https://www.capterra.com/services/marketing-analytics/l/us/</t>
  </si>
  <si>
    <t>https://www.causalityengine.ai/resources/best-incrementality-testing-platforms</t>
  </si>
  <si>
    <t>Best Incrementality Testing Platforms for True ROI. Causality Engine</t>
  </si>
  <si>
    <t>Measured, Recast, Triple Whale, Northbeam, Rockerbox</t>
  </si>
  <si>
    <t>https://www.cdw.com/content/cdw/en/articles/cloud/agentic-ai-readiness-checklist-for-google-cloud.html</t>
  </si>
  <si>
    <t>Agentic AI Readiness Checklist for Google Cloud \| CDW</t>
  </si>
  <si>
    <t>https://www.ceamarketing.com/</t>
  </si>
  <si>
    <t>AI-First Marketing Agency | CEA Marketing</t>
  </si>
  <si>
    <t>https://www.chatterbuzzmedia.com/social-media-advertising/</t>
  </si>
  <si>
    <t>Paid Social Media Advertising Agency | ROI-Driven Social Ads</t>
  </si>
  <si>
    <t>https://www.chiefoutsiders.com/</t>
  </si>
  <si>
    <t>Growth Strategy | Accelerate Your Market Potential | Chief Outsiders</t>
  </si>
  <si>
    <t>https://www.chiefoutsiders.com/ai-assessment</t>
  </si>
  <si>
    <t>RISE AI Readiness Assessment</t>
  </si>
  <si>
    <t>https://cieden.com/ai-strategy-consulting</t>
  </si>
  <si>
    <t>AI strategy consulting | Cieden</t>
  </si>
  <si>
    <t>BCG, IBM, Clutch, McKinsey</t>
  </si>
  <si>
    <t>https://www.cigen.io/services/ai-adoption-strategy-consulting</t>
  </si>
  <si>
    <t>AI Strategy Consulting &amp;amp; Adoption Roadmap Services</t>
  </si>
  <si>
    <t>https://cimm-us.org/comprehensive-comparison-of-attribution-measurement-providers-unveiled-at-7th-annual-cimm-summit/</t>
  </si>
  <si>
    <t>Comprehensive Comparison of Attribution Measurement Providers Unveiled at 7th Annual CIMM Summit – CIMM: Coalition for Innovative Media Measurement</t>
  </si>
  <si>
    <t>https://cio.economictimes.indiatimes.com/tools/best-customer-data-platforms/127611075</t>
  </si>
  <si>
    <t>Top 10 Customer Data Platforms for Enterprises in 2026, ETCIO</t>
  </si>
  <si>
    <t>McKinsey, Huge</t>
  </si>
  <si>
    <t>https://www.ciocoverage.com/top-10-leading-google-partners-to-watch-in-2022/</t>
  </si>
  <si>
    <t>Top 10 Leading Google Partners to Watch in 2022 – CIOCoverage- Driven for Technology Leaders</t>
  </si>
  <si>
    <t>Adswerve, Bounteous</t>
  </si>
  <si>
    <t>https://www.circana.com/solutions/marketing-mix</t>
  </si>
  <si>
    <t>Optimize Marketing Efforts &amp;amp; Drive ROI with Marketing Mix Modeling | Circana</t>
  </si>
  <si>
    <t>https://www.cisin.com/coffee-break/software-development-companies-in-the-usa.html</t>
  </si>
  <si>
    <t>Top Software Development Companies in the USA: A Guide</t>
  </si>
  <si>
    <t>https://www.citeme.io/ressources/geo-agency</t>
  </si>
  <si>
    <t>GEO Agency: The 7 Best GEO Agencies in 2026 | Citeme</t>
  </si>
  <si>
    <t>Measured, Graphite, Omniscient Digital, Go Fish Digital, Siege Media, First Page Sage, Directive</t>
  </si>
  <si>
    <t>https://citrusbug.com/blog/mobile-app-development-agencies/</t>
  </si>
  <si>
    <t>Top 10 Best Mobile App Development agencies in 2026</t>
  </si>
  <si>
    <t>https://claritydigital.agency/services/ai-marketing-enablement/ai-marketing-strategy</t>
  </si>
  <si>
    <t>https://clay.global/blog/best-web-design-agencies</t>
  </si>
  <si>
    <t>Top Web Design Agencies in 2026: Hand-Picked Best Firms for High-Conversion Websites | Clay</t>
  </si>
  <si>
    <t>Clay, Deloitte Digital, DEPT, R/GA, AKQA, Clutch, Momentum, Pentagram</t>
  </si>
  <si>
    <t>https://clearforge.ai/</t>
  </si>
  <si>
    <t>ClearForge — AI That Ships. ROI You Can Prove.</t>
  </si>
  <si>
    <t>https://www.clearleaddigital.com/blog/2025-guide-top-seo-marketing-agencies</t>
  </si>
  <si>
    <t>Best Search Marketing Agencies 2026: 15 Top Firms Reviewed</t>
  </si>
  <si>
    <t>NoGood, SmartSites, Disruptive Advertising, HawkSEM, Funnel Boost Media, KlientBoost, WebFX, Thrive Internet Marketing Agency, Measured, Directive</t>
  </si>
  <si>
    <t>https://clicksgeek.com/best-google-ads-management-companies/</t>
  </si>
  <si>
    <t>Best Google Ads Management Companies: 2026 Guide &amp;amp; Tips</t>
  </si>
  <si>
    <t>Disruptive Advertising, WebFX, KlientBoost, Directive, Tinuiti, Ignite Visibility, Thrive Internet Marketing Agency, Brainlabs</t>
  </si>
  <si>
    <t>https://clicksgeek.com/best-google-premier-partners/</t>
  </si>
  <si>
    <t>Best Google Premier Partners: Agency Selection Guide</t>
  </si>
  <si>
    <t>https://clicksgeek.com/best-marketing-agency-for-roi/</t>
  </si>
  <si>
    <t>Best Marketing Agency For ROI: 7 Proven Strategies</t>
  </si>
  <si>
    <t>https://clicksgeek.com/best-roi-digital-marketing-agencies/</t>
  </si>
  <si>
    <t>Best ROI Digital Marketing Agencies: Expert Guide 2026</t>
  </si>
  <si>
    <t>https://clicksgeek.com/best-roi-focused-marketing-agency/</t>
  </si>
  <si>
    <t>Best ROI Focused Marketing Agency: 7 Proven Strategies</t>
  </si>
  <si>
    <t>https://clicksgeek.com/best-roi-marketing-agencies/</t>
  </si>
  <si>
    <t>Best ROI Marketing Agencies: 7 Proven Strategies 2026</t>
  </si>
  <si>
    <t>https://clicksgeek.com/display-advertising-management-services/</t>
  </si>
  <si>
    <t>9 Best Display Advertising Management Services 2026</t>
  </si>
  <si>
    <t>WebFX, Disruptive Advertising, KlientBoost, Directive, Measured, Tinuiti</t>
  </si>
  <si>
    <t>https://clicksgeek.com/paid-media-buying-services/</t>
  </si>
  <si>
    <t>9 Best Paid Media Buying Services to Scale Ads 2026</t>
  </si>
  <si>
    <t>WebFX, Disruptive Advertising, KlientBoost, Directive, Tinuiti, Ignite Visibility, AdVenture Media</t>
  </si>
  <si>
    <t>https://clickstrike.com/blog/ai-marketing-agencies/</t>
  </si>
  <si>
    <t>Top AI Marketing Agencies in 2026: 7 Best Partners for AI Companies | Clickstrike</t>
  </si>
  <si>
    <t>https://clickup.com/blog/san-diego-marketing-agencies/</t>
  </si>
  <si>
    <t>ClickUp</t>
  </si>
  <si>
    <t>https://cloud.google.com/customers/jellyfish2</t>
  </si>
  <si>
    <t>Jellyfish Case Study  \|  Google Cloud</t>
  </si>
  <si>
    <t>Jellyfish</t>
  </si>
  <si>
    <t>https://cloud.google.com/find-a-partner/?search=marketing+agency</t>
  </si>
  <si>
    <t>Find a Partner - Partner Directory \| Google Cloud</t>
  </si>
  <si>
    <t>https://cloudconsultingfirms.com/insights/it-services-companies/</t>
  </si>
  <si>
    <t>Top IT Services Companies for Cloud (2026): Independent Comparison</t>
  </si>
  <si>
    <t>Clutch, Slalom, IBM, Measured</t>
  </si>
  <si>
    <t>https://www.cloudsecuretech.com/insights/msp-aeo-geo/</t>
  </si>
  <si>
    <t>MSP AEO, GEO &amp;amp; LLM Optimization (2026 Guide)</t>
  </si>
  <si>
    <t>IBM, Clutch, First Page Sage</t>
  </si>
  <si>
    <t>https://clutch.co/agencies/conversion-optimization/research</t>
  </si>
  <si>
    <t>Top User &amp; Conversion Research Companies - Jul 2026 Rankings \| Clutch.co</t>
  </si>
  <si>
    <t>Clutch, Searchbloom, AdVenture Media, Huge</t>
  </si>
  <si>
    <t>https://clutch.co/agencies/media-buying</t>
  </si>
  <si>
    <t>Top Media Buying &amp;amp; Planning Agencies - Jul 2026 Rankings | Clutch.co</t>
  </si>
  <si>
    <t>Clutch, Momentum, Accelerated Digital Media</t>
  </si>
  <si>
    <t>https://clutch.co/agencies/media-buying?page=0</t>
  </si>
  <si>
    <t>Top Media Buying &amp; Planning Agencies - Jul 2026 Rankings \| Clutch.co</t>
  </si>
  <si>
    <t>Clutch, Accelerated Digital Media, Major Tom, NP Digital, Tinuiti</t>
  </si>
  <si>
    <t>https://clutch.co/agencies/ppc</t>
  </si>
  <si>
    <t>Top PPC Agencies - Jul 2026 Rankings | Clutch.co</t>
  </si>
  <si>
    <t>Clutch, Disruptive Advertising, AdVenture Media, KlientBoost, Single Grain, SmartSites, HawkSEM, Intero Digital, Elit-Web, NinjaPromo</t>
  </si>
  <si>
    <t>https://clutch.co/agencies/ppc/ecommerce-industry</t>
  </si>
  <si>
    <t>Top E-Commerce PPC Companies - Jul 2026 Rankings \| Clutch.co</t>
  </si>
  <si>
    <t>Clutch, Disruptive Advertising, KlientBoost, NinjaPromo, AdVenture Media, Elit-Web, HawkSEM, SmartSites, Intero Digital, Storm Brain</t>
  </si>
  <si>
    <t>https://clutch.co/agencies/programmatic#:~:text=Version2%20is%20an%20advertising%20agency%20specializing%20in,of%20reviewers%20highlighting%20their%20professionalism%20and%20commitment.</t>
  </si>
  <si>
    <t>Top Programmatic Advertising Companies - Jul 2026 Rankings | Clutch.co</t>
  </si>
  <si>
    <t>Clutch, NinjaPromo, SmartSites, Funnel Boost Media, LYFE Marketing, AdVenture Media, The SEO Works, Accelerated Digital Media, Storm Brain</t>
  </si>
  <si>
    <t>https://clutch.co/profile/mutesix</t>
  </si>
  <si>
    <t>MuteSix Reviews (10), Pricing, Services &amp; Verified Ratings</t>
  </si>
  <si>
    <t>Clutch, MuteSix</t>
  </si>
  <si>
    <t>https://clutch.co/us/agencies/branding</t>
  </si>
  <si>
    <t>Top Branding Agencies in the United States - Jul 2026 Rankings | Clutch.co</t>
  </si>
  <si>
    <t>https://clutch.co/us/agencies/business-services-industry?page=1</t>
  </si>
  <si>
    <t>Page 2 - Top Advertising Agencies for B2B in the United States - Jul 2026 Rankings \| Clutch.co</t>
  </si>
  <si>
    <t>Clutch, NinjaPromo, Power Digital, Huge, Directive</t>
  </si>
  <si>
    <t>https://clutch.co/us/agencies/digital-marketing/small-business#:~:text=%2410%2C000%2B%20250%20%2D%20999.%20San%20Diego%2C%20CA.,execution%2C%20strong%20communication%2C%20and%20impressive%20project%20management.</t>
  </si>
  <si>
    <t>Top Digital Marketing Agencies for Small Business in the United States - Jul 2026 Rankings \| Clutch.co</t>
  </si>
  <si>
    <t>Clutch, Thrive Internet Marketing Agency, Intero Digital, Disruptive Advertising, Ignite Visibility, Elit-Web, NinjaPromo, SmartSites, HawkSEM, Acadia</t>
  </si>
  <si>
    <t>https://clutch.co/us/agencies/market-research/shopper-marketing</t>
  </si>
  <si>
    <t>Top Shopper Marketing Agencies in the United States - Jul 2026 Rankings \| Clutch.co</t>
  </si>
  <si>
    <t>Clutch, Epsilon, VML, Circana</t>
  </si>
  <si>
    <t>https://clutch.co/us/agencies/ppc/display%3Fpage%3D6</t>
  </si>
  <si>
    <t>Top Display Advertising Agencies in the United States - Jul 2026 Rankings | Clutch.co</t>
  </si>
  <si>
    <t>https://clutch.co/us/agencies/ppc/display%3Fpage%3D8</t>
  </si>
  <si>
    <t>https://clutch.co/us/agencies/ppc/display?page=10</t>
  </si>
  <si>
    <t>Page 10 - Top Display Advertising Agencies in the United States - Jul 2026 Rankings | Clutch.co</t>
  </si>
  <si>
    <t>https://clutch.co/us/agencies/ppc/display?page=16</t>
  </si>
  <si>
    <t>Page 16 - Top Display Advertising Agencies in the United States - Jul 2026 Rankings \| Clutch.co</t>
  </si>
  <si>
    <t>Clutch, Elit-Web, AdVenture Media, Storm Brain, Huge, Go Fish Digital, NoGood, Tinuiti</t>
  </si>
  <si>
    <t>https://clutch.co/us/agencies/ppc/ecommerce-industry</t>
  </si>
  <si>
    <t>Top PPC Agencies for E-Commerce Companies in the United States - Jul 2026 Rankings | Clutch.co</t>
  </si>
  <si>
    <t>Clutch, KlientBoost, Disruptive Advertising, AdVenture Media, Elit-Web, HawkSEM, SmartSites, Intero Digital, Storm Brain, Acadia</t>
  </si>
  <si>
    <t>https://clutch.co/us/agencies/ppc/google-adwords%3Fpage%3D16</t>
  </si>
  <si>
    <t>Clutch, KlientBoost, Disruptive Advertising, AdVenture Media, HawkSEM, SmartSites, Intero Digital, Elit-Web, Accelerated Digital Media, Ignite Visibility, Searchbloom, Funnel Boost Media</t>
  </si>
  <si>
    <t>https://clutch.co/us/agencies/programmatic%3Fpage%3D2</t>
  </si>
  <si>
    <t>Clutch, SmartSites, Funnel Boost Media, LYFE Marketing, AdVenture Media, Accelerated Digital Media, Storm Brain</t>
  </si>
  <si>
    <t>https://clutch.co/us/agencies/programmatic%3Fpage%3D3</t>
  </si>
  <si>
    <t>https://clutch.co/us/agencies/programmatic%3Fpage%3D7</t>
  </si>
  <si>
    <t>https://clutch.co/us/agencies/social-media-marketing/influencer/tiktok</t>
  </si>
  <si>
    <t>Top TikTok Influencer Marketing Agencies in the United States - Jul 2026 Rankings \| Clutch.co</t>
  </si>
  <si>
    <t>Clutch, SmartSites, Sociallyin, Elit-Web, Acadia, Disruptive Advertising, Brighter Click, AdVenture Media, Measured</t>
  </si>
  <si>
    <t>https://clutch.co/us/agencies/social-media-marketing/tik-tok</t>
  </si>
  <si>
    <t>Top TikTok Advertising Agencies in the United States - Jul 2026 Rankings \| Clutch.co</t>
  </si>
  <si>
    <t>Clutch, Sociallyin, Elit-Web, SmartSites, Viral Nation, Acadia, HawkSEM, Momentum, Accelerated Digital Media</t>
  </si>
  <si>
    <t>https://clutch.co/us/consulting/ai/maturation?page=6</t>
  </si>
  <si>
    <t>Page 6 - Top AI Maturation Services in the United States - Jul 2026 Rankings | Clutch.co</t>
  </si>
  <si>
    <t>https://clutch.co/us/developers/artificial-intelligence</t>
  </si>
  <si>
    <t>Top Artificial Intelligence Companies in the United States - Jul 2026 Rankings | Clutch.co</t>
  </si>
  <si>
    <t>Clutch, Momentum, Huge</t>
  </si>
  <si>
    <t>https://clutch.co/us/seo-firms</t>
  </si>
  <si>
    <t>Top SEO Agencies in the United States - Jul 2026 Rankings \| Clutch.co</t>
  </si>
  <si>
    <t>Clutch, Funnel Boost Media, SmartSites, Victorious, Acadia, WebFX, Intero Digital, Ignite Visibility, Elit-Web, Searchbloom, Thrive Internet Marketing Agency, HawkSEM, KlientBoost, Disruptive Advertising, Storm Brain, Digital Authority Partners, RevenueZen</t>
  </si>
  <si>
    <t>https://clutch.co/us/seo-firms/international</t>
  </si>
  <si>
    <t>Top International SEO Agencies in the United States - Jul 2026 Rankings \| Clutch.co</t>
  </si>
  <si>
    <t>Clutch, Elit-Web, Searchbloom, Storm Brain, Acadia, NinjaPromo</t>
  </si>
  <si>
    <t>https://clutch.co/us/seo-firms/media-industry</t>
  </si>
  <si>
    <t>Top SEO Companies for Media in the United States - Jul 2026 Rankings \| Clutch.co</t>
  </si>
  <si>
    <t>Clutch, SmartSites, Funnel Boost Media</t>
  </si>
  <si>
    <t>https://clutch.co/video-production/post-production</t>
  </si>
  <si>
    <t>Top Post Production Services - Jul 2026 Rankings \| Clutch.co</t>
  </si>
  <si>
    <t>https://cmox.co/10-fractional-cmo-agencies-for-saas/</t>
  </si>
  <si>
    <t>10 Fractional CMO Agencies for SaaS</t>
  </si>
  <si>
    <t>Momentum, Digital Authority Partners, Hawke Media</t>
  </si>
  <si>
    <t>https://www.cmswire.com/customer-experience/what-is-customer-journey-analytics-software/</t>
  </si>
  <si>
    <t>The Skinny on Customer Journey Analytics Software in 2025</t>
  </si>
  <si>
    <t>Measured, Momentum</t>
  </si>
  <si>
    <t>https://www.cmswire.com/digital-marketing/before-you-buy-the-marketing-agent-build-the-martech-foundation/</t>
  </si>
  <si>
    <t>AI Agents vs. Marketing Readiness: Gartner Recap</t>
  </si>
  <si>
    <t>https://coalitiontechnologies.com/ai-seo-company#:~:text=An%20AI%20SEO%20agency%20gets%20a%20brand,website%20and%20wider%20online%20footprint%20to%20match.</t>
  </si>
  <si>
    <t>Rank in ChatGPT and AI Overviews with AI SEO | Coalition Technologies</t>
  </si>
  <si>
    <t>https://coderoad.com/velocity-as-a-service/ai</t>
  </si>
  <si>
    <t>AI Implementation &amp;amp; Agentic AI Services | Nearshore AI… | CodeRoad</t>
  </si>
  <si>
    <t>https://coinbound.io/top-ai-marketing-agencies/</t>
  </si>
  <si>
    <t>The Best AI Marketing Agencies for 2026: 5 Top Choices</t>
  </si>
  <si>
    <t>NoGood, Single Grain, Momentum</t>
  </si>
  <si>
    <t>https://www.columnfivemedia.com/top-b2b-marketing-agency-for-ai-saas/</t>
  </si>
  <si>
    <t>Top B2B Marketing Agency for AI SaaS: 2026 list</t>
  </si>
  <si>
    <t>https://www.cometly.com/post/agency-marketing-attribution-tools</t>
  </si>
  <si>
    <t>Top Agency Marketing Attribution Tools for 2026 Tips</t>
  </si>
  <si>
    <t>Cometly, Triple Whale, Anomaly, Northbeam, Rockerbox, Ruler Analytics</t>
  </si>
  <si>
    <t>https://www.cometly.com/post/attribution-data-platform</t>
  </si>
  <si>
    <t>9 Best Attribution Data Platforms for Marketers 2026</t>
  </si>
  <si>
    <t>Cometly, Triple Whale, Northbeam, Rockerbox, Ruler Analytics, HockeyStack</t>
  </si>
  <si>
    <t>https://www.cometly.com/post/best-ai-powered-marketing-attribution-tools</t>
  </si>
  <si>
    <t>Best AI-Powered Marketing Attribution Tools Guide 2026</t>
  </si>
  <si>
    <t>Cometly, Northbeam, Triple Whale, Rockerbox, Ruler Analytics</t>
  </si>
  <si>
    <t>https://www.cometly.com/post/best-enterprise-attribution-tools</t>
  </si>
  <si>
    <t>Best Enterprise Attribution Tools: Complete 2026 Guide</t>
  </si>
  <si>
    <t>Cometly, Anomaly, Northbeam, Triple Whale, Rockerbox, Ruler Analytics</t>
  </si>
  <si>
    <t>https://www.cometly.com/post/cross-channel-campaign-measurement-solutions</t>
  </si>
  <si>
    <t>Top 9 Cross-Channel Campaign Measurement Solutions</t>
  </si>
  <si>
    <t>https://www.cometly.com/post/marketing-analytics-platforms-review</t>
  </si>
  <si>
    <t>9 Best Marketing Analytics Platforms Review Guide 2026</t>
  </si>
  <si>
    <t>Cometly, Anomaly, Triple Whale, Northbeam, Ruler Analytics</t>
  </si>
  <si>
    <t>https://www.cometly.com/post/marketing-attribution-tools-comparison</t>
  </si>
  <si>
    <t>Marketing Attribution Tools Comparison: 2026 Guide</t>
  </si>
  <si>
    <t>https://www.cometly.com/post/marketing-performance-analytics-tools</t>
  </si>
  <si>
    <t>9 Best Marketing Performance Analytics Tools for 2026</t>
  </si>
  <si>
    <t>Cometly, Triple Whale, Northbeam, Rockerbox</t>
  </si>
  <si>
    <t>https://www.cometly.com/post/paid-advertising-analytics-tools</t>
  </si>
  <si>
    <t>11 Best Paid Advertising Analytics Tools (2026 Guide)</t>
  </si>
  <si>
    <t>https://compare.growthmarshal.io/best-ai-search-optimization-agencies-2026/</t>
  </si>
  <si>
    <t>Best AI Search Optimization Agencies 2026 | Ranked</t>
  </si>
  <si>
    <t>First Page Sage, Directive, Omniscient Digital, Siege Media, RevenueZen, Animalz</t>
  </si>
  <si>
    <t>https://contensifyhq.com/blog/best-geo-agencies-for-b2b-saas/</t>
  </si>
  <si>
    <t>Best GEO Agencies for B2B SaaS Companies (2026) | Contensify</t>
  </si>
  <si>
    <t>First Page Sage, WebFX, The SEO Works</t>
  </si>
  <si>
    <t>https://contently.com/2025/07/17/top-10-agencies-leading-answer-engine-optimization-aeo-in-2025/#:~:text=New%2DYork%2Dbased%20NoGood%20launched%20a%20stand%2Dalone%20Answer%20Engine,AI%2Dsearch%20wins%20for%20fintech%20and%20health%2Dcare%20clients.</t>
  </si>
  <si>
    <t>Top 10 Agencies Leading Answer Engine Optimization (AEO) in 2025 - Contently</t>
  </si>
  <si>
    <t>NoGood, Brainlabs, NP Digital, Single Grain</t>
  </si>
  <si>
    <t>https://coolnerdsmarketing.com/best-integrated-marketing-agencies/</t>
  </si>
  <si>
    <t>15 Best Integrated Marketing Agencies &amp;amp; Services in 2026</t>
  </si>
  <si>
    <t>Wpromote, Tinuiti, Power Digital, Disruptive Advertising, DEPT, NinjaPromo, KlientBoost, WebFX, SmartSites</t>
  </si>
  <si>
    <t>https://coolnerdsmarketing.com/marketing-agencies-usa/</t>
  </si>
  <si>
    <t>Top Marketing Agencies in the USA (January 2026)</t>
  </si>
  <si>
    <t>Wieden+Kennedy, Droga5, R/GA, AKQA, Publicis Groupe, 72andSunny, Huge, Ogilvy, VML</t>
  </si>
  <si>
    <t>https://coolnerdsmarketing.com/top-omnichannel-marketing-agencies/</t>
  </si>
  <si>
    <t>Top 10 Omnichannel Marketing Agencies in 2026</t>
  </si>
  <si>
    <t>R/GA, DEPT, Tinuiti, Bounteous, Huge, AKQA</t>
  </si>
  <si>
    <t>https://www.coseom.com/best-b2b-marketing-agencies-for-saas-fintech-and-cybersecurity/</t>
  </si>
  <si>
    <t>15 Best B2B Marketing Agencies for SaaS, FinTech, Cybersecurity | COSEOM®</t>
  </si>
  <si>
    <t>Measured, Ignite Visibility, KlientBoost, WebFX, Single Grain, Clutch</t>
  </si>
  <si>
    <t>https://craftandroot.com/blog/saas-tech-branding-agencies/</t>
  </si>
  <si>
    <t>Top 7 SaaS &amp;amp; Tech Branding Agencies in the US (2026)</t>
  </si>
  <si>
    <t>Clay, Measured</t>
  </si>
  <si>
    <t>https://craftandroot.com/blog/web-marketing-agencies/</t>
  </si>
  <si>
    <t>Top 7 Web Marketing Agencies - Craft and Root | Branding and Design Agency</t>
  </si>
  <si>
    <t>Dentsu, Thrive Internet Marketing Agency, WebFX, Ignite Visibility, SmartSites, Disruptive Advertising, Clutch</t>
  </si>
  <si>
    <t>https://createscale.co/</t>
  </si>
  <si>
    <t>https://createscale.com/</t>
  </si>
  <si>
    <t>https://createscale.com/production</t>
  </si>
  <si>
    <t>https://creatif.agency/best-branding-agencies-in-the-us/</t>
  </si>
  <si>
    <t>Best branding agencies in the US</t>
  </si>
  <si>
    <t>Pentagram, Wolff Olins, Clay</t>
  </si>
  <si>
    <t>https://creativeformore.com/top-cross-border-marketing-agencies-helping-u-s-brands-expand-into-asia/</t>
  </si>
  <si>
    <t>Top Cross-Border Marketing Agencies for U.S. Brands Expanding Into Asia (2026)</t>
  </si>
  <si>
    <t>R/GA, Ogilvy, Dentsu, Clutch</t>
  </si>
  <si>
    <t>https://www.creativefrontiers.co/blog/best-creative-agency-nyc-elevate-your-brand-with-expert-solutions</t>
  </si>
  <si>
    <t>Best Creative Agency NYC: Elevate Your Brand with Expert Solutions | Creative Frontiers</t>
  </si>
  <si>
    <t>Pentagram, R/GA, Clutch</t>
  </si>
  <si>
    <t>https://creativelivesinprogress.com/company-directory/huge</t>
  </si>
  <si>
    <t>https://creativemediahouse.ae/top-10-creative-agencies-in-gcc/</t>
  </si>
  <si>
    <t>Top 10 Emirati Creative Agencies in GCC | Creative Maketing</t>
  </si>
  <si>
    <t>https://www.crowley.com/oea-recertification/</t>
  </si>
  <si>
    <t>Crowley’s Commitment to Safety Earns Recertification as an Authorized Economic Operator in Guatemala | Crowley</t>
  </si>
  <si>
    <t>https://www.customssupport.com/everything-you-need-know-about-getting-aeo-certified/</t>
  </si>
  <si>
    <t>Everything You Need to Know About Getting AEO Certified - Customs Support Group</t>
  </si>
  <si>
    <t>https://www.customssupport.com/solutions/trade-customs-accreditation/aeo-certification/#:~:text=Absolutely.%20AEO%20certification%20solidifies%20your%20status%20as,certification%20is%20a%20relevant%20option%20for%20you.</t>
  </si>
  <si>
    <t>Authorised Economic Operator AEO Certification I CSG</t>
  </si>
  <si>
    <t>https://cybersecuritymarketingagencies.com/best-cybersecurity-marketing-agency</t>
  </si>
  <si>
    <t>Best Cybersecurity Marketing Agency 2026: How to Compare and Choose</t>
  </si>
  <si>
    <t>https://www.daasity.com/post/best-ecommerce-analytics-software-for-fast-growing-dtc-brands</t>
  </si>
  <si>
    <t>Best Ecommerce Analytics Software for Fast-Growing DTC Brands | Daasity</t>
  </si>
  <si>
    <t>https://dacmarketing.co/</t>
  </si>
  <si>
    <t>Digital Marketing Agency for U.S. and LATAM</t>
  </si>
  <si>
    <t>https://www.darkroomagency.com/observatory/10-best-growth-marketing-agencies-in-2026-%28ranked-for-online-sales%29</t>
  </si>
  <si>
    <t>https://www.darkroomagency.com/observatory/15-leading-performance-creative-agencies-in-2025#:~:text=Each%20brings%20distinct%20strengths%20to%20performance%20creative%2C,ROI%20and%20strategic%20partnership.%20%2D%202.%20Tinuiti.</t>
  </si>
  <si>
    <t>Performance Creative Agencies That Boost ROAS - 2025</t>
  </si>
  <si>
    <t>Darkroom, Measured, Momentum, Tinuiti, NoGood, MuteSix, Power Digital, Superside, Silverback Strategies, inBeat, Croud, Noble Studios, Droga5</t>
  </si>
  <si>
    <t>https://www.darkroomagency.com/observatory/what-is-a-growth-hacking-agency-definition-and-top-12-picks-for-2026</t>
  </si>
  <si>
    <t>What Is a Growth Hacking Agency? Top Picks for 2026</t>
  </si>
  <si>
    <t>Darkroom, Measured, NoGood, Right Side Up, Tinuiti, Power Digital, MuteSix, Droga5</t>
  </si>
  <si>
    <t>https://www.darwinapps.com/blog/9-best-marketing-measurement-tools-for-attribution-analytics-and-data-integration-in-2026/</t>
  </si>
  <si>
    <t>9 Best Marketing Measurement Tools for Attribution, Analytics &amp;amp; Data Integration in 2026 · DarwinApps</t>
  </si>
  <si>
    <t>SegmentStream, Triple Whale, Northbeam, Measured, Rockerbox</t>
  </si>
  <si>
    <t>https://dashboard.incrmntal.net/</t>
  </si>
  <si>
    <t>https://www.dataally.ai/blog/best-beauty-marketing-agencies</t>
  </si>
  <si>
    <t>12 Best Beauty Marketing Agencies in 2026 (Ranked &amp;amp; Reviewed)</t>
  </si>
  <si>
    <t>Brighter Click, Common Thread Collective, NoGood, inBeat</t>
  </si>
  <si>
    <t>https://www.dataally.ai/blog/best-saas-marketing-agencies</t>
  </si>
  <si>
    <t>11 Best SaaS Marketing Agencies in 2026</t>
  </si>
  <si>
    <t>Brighter Click, Directive, Animalz, Siege Media, KlientBoost</t>
  </si>
  <si>
    <t>https://www.datafeedwatch.com/blog/cross-channel-attribution</t>
  </si>
  <si>
    <t>How to Master Cross-Channel Attribution?</t>
  </si>
  <si>
    <t>https://dcclicks.com/</t>
  </si>
  <si>
    <t>AI Marketing &amp;amp; Lead Generation Agency | DC Clicks</t>
  </si>
  <si>
    <t>https://delivix.digital/marketing/marketing-agencies-in-the-usa/</t>
  </si>
  <si>
    <t>Top 10 Marketing Agencies in the USA | Best Digital Marketing Firms 2026</t>
  </si>
  <si>
    <t>WebFX, SmartSites, Disruptive Advertising, Ignite Visibility, Power Digital, Ogilvy, Intero Digital, Victorious, KlientBoost</t>
  </si>
  <si>
    <t>https://delivix.digital/seo/top-10-social-media-agencies-globally/</t>
  </si>
  <si>
    <t>Top 10 Social Media Agencies Globally - Delivix</t>
  </si>
  <si>
    <t>LYFE Marketing, WebFX, Clutch, Viral Nation, The Social Shepherd, Disruptive Advertising, SmartSites</t>
  </si>
  <si>
    <t>https://deloitte.wsj.com/cmo/is-your-customer-data-ai-ready-5e75b9ac</t>
  </si>
  <si>
    <t>Is Your Customer Data AI-Ready? - WSJ</t>
  </si>
  <si>
    <t>https://deloitte.wsj.com/cmo/the-ai-ready-marketing-organization-4-pillars-for-transformation-b859dc67</t>
  </si>
  <si>
    <t>The AI-Ready Marketing Organization: 4 Pillars for Transformation - WSJ</t>
  </si>
  <si>
    <t>https://www.demandlocal.com/blog/search-everywhere-optimization-agencies/</t>
  </si>
  <si>
    <t>Search Everywhere Optimization Agencies: Beyond Google in 2026 | Demand Local, Inc.</t>
  </si>
  <si>
    <t>https://www.demandsage.com/saas-content-marketing-agencies/</t>
  </si>
  <si>
    <t>13 Best SaaS Content Marketing Agencies 2026 [Ranked]</t>
  </si>
  <si>
    <t>Omniscient Digital, Animalz, Siege Media, Hey Digital, Directive, NoGood, NP Digital, Measured, Clutch</t>
  </si>
  <si>
    <t>https://demandspring.com/services/training-enablement-for-ai-first-mindset-teams/</t>
  </si>
  <si>
    <t>AI Advisory Services | AI Marketing Strategy Consultant | Demand Spring</t>
  </si>
  <si>
    <t>https://www.dentsu.com/us</t>
  </si>
  <si>
    <t>Integrated Marketing Solutions &amp;amp; Agency Services | dentsu USA</t>
  </si>
  <si>
    <t>Dentsu, iProspect, Merkle</t>
  </si>
  <si>
    <t>https://www.dentsu.com/us/en/who-we-are/our-agencies/merkle</t>
  </si>
  <si>
    <t>Merkle | Our Agencies | dentsu USA</t>
  </si>
  <si>
    <t>https://www.designity.com/blog/best-branding-agencies-for-startups</t>
  </si>
  <si>
    <t>10 Best Branding Agencies for Startups in 2026 - Designity - Designity</t>
  </si>
  <si>
    <t>Pentagram, Clutch, Clay, Ogilvy, IBM</t>
  </si>
  <si>
    <t>https://www.designrush.com/agency/ad-agencies/missouri/kansas-city</t>
  </si>
  <si>
    <t>Top Advertising Agencies in Kansas City | 2026</t>
  </si>
  <si>
    <t>Searchbloom, Funnel Boost Media, Huge, SmartSites, Disruptive Advertising, VML</t>
  </si>
  <si>
    <t>https://www.designrush.com/agency/digital-marketing/digital-advertising/us</t>
  </si>
  <si>
    <t>Top Digital Advertising Agencies in the United States | 2026</t>
  </si>
  <si>
    <t>Searchbloom, Funnel Boost Media, Huge, SmartSites, Disruptive Advertising, IBM, Silverback Strategies, Intero Digital, PwC, NinjaPromo, Elit-Web, Major Tom</t>
  </si>
  <si>
    <t>https://www.designrush.com/agency/media-buying-agencies/us</t>
  </si>
  <si>
    <t>Top Media Buying Agencies in US 2026 | DesignRush</t>
  </si>
  <si>
    <t>Searchbloom, AdVenture Media, Clutch, Nielsen, Web Tonic, Measured</t>
  </si>
  <si>
    <t>https://www.designrush.com/agency/paid-media-pay-per-click/trends/display-ads</t>
  </si>
  <si>
    <t>PPC Trends \| DesignRush</t>
  </si>
  <si>
    <t>https://deviatelabs.com/resources/12-best-performance-marketing-agencies-crushing-kpis/#:~:text=With%20%244B%20in%20digital%20media%20under%20management,achieve%20perfect%20harmony.%20What%20makes%20Tinuiti%20special%3F</t>
  </si>
  <si>
    <t>12 Best Performance Marketing Agencies Crushing KPIs in 2026 \| Deviate Labs</t>
  </si>
  <si>
    <t>https://diceus.com/top-generative-ai-consulting-companies/</t>
  </si>
  <si>
    <t>Top 10 Generative AI Consulting Companies for 2026 \| DICEUS</t>
  </si>
  <si>
    <t>McKinsey, QuantumBlack, PwC, IBM, Clutch</t>
  </si>
  <si>
    <t>https://www.digidir.com/digital-marketing-service-in-usa/</t>
  </si>
  <si>
    <t>Digital Marketing Agency in USA | Best Advertising and Social Media Service Provider Company USA</t>
  </si>
  <si>
    <t>https://diginsights.com/resources/market-research-companies-us-2025/#:~:text=Whether%20you're%20mapping%20a,what%20really%20sets%20us%20apart%3F</t>
  </si>
  <si>
    <t>https://digital-hunch.com/blog/best-fractional-cmo-companies/</t>
  </si>
  <si>
    <t>Best Fractional CMO Companies | Clutch-Verified List 2026</t>
  </si>
  <si>
    <t>Clutch, NoGood, Momentum</t>
  </si>
  <si>
    <t>https://digitalagencynetwork.com/agencies/san-diego/</t>
  </si>
  <si>
    <t>Best Digital Marketing Agencies in San Diego | Digital Agency Network</t>
  </si>
  <si>
    <t>Ignite Visibility, SmartSites, Amsive, Power Digital, Storm Brain</t>
  </si>
  <si>
    <t>https://digitalagencynetwork.com/agencies/usa/industry/travel-tourism/</t>
  </si>
  <si>
    <t>Top Travel &amp;amp; Tourism Marketing Agencies in USA | Digital Agency Network</t>
  </si>
  <si>
    <t>Victorious, BCG, Monks, Web Tonic, Major Tom, PwC</t>
  </si>
  <si>
    <t>https://digitalagencynetwork.com/agency/seer-interactive/</t>
  </si>
  <si>
    <t>Seer Interactive Agency | Digital Agency Network</t>
  </si>
  <si>
    <t>https://digitalagencynetwork.com/agency/webfx/</t>
  </si>
  <si>
    <t>WebFX Agency | Digital Agency Network</t>
  </si>
  <si>
    <t>https://digitalagencynetwork.com/geo-agency/</t>
  </si>
  <si>
    <t>What is a GEO Agency? Top 10 GEO Agencies Leading AI Search Optimization</t>
  </si>
  <si>
    <t>McKinsey, QuantumBlack, BCG, Major Tom, SmartSites, The SEO Works</t>
  </si>
  <si>
    <t>https://www.digitalapplied.com/blog/data-clean-rooms-advertising-2026-marketer-decision-guide</t>
  </si>
  <si>
    <t>Data Clean Rooms in 2026: A Marketer's Decision Guide</t>
  </si>
  <si>
    <t>https://www.digitalapplied.com/blog/first-party-data-activation-2026-server-side-tracking-playbook</t>
  </si>
  <si>
    <t>First-Party Data Activation: 2026 Server-Side Playbook</t>
  </si>
  <si>
    <t>PwC</t>
  </si>
  <si>
    <t>https://www.digitalreference.co/insights/marketing-professionals/best-marketing-companies-firms-in-the-usa</t>
  </si>
  <si>
    <t>Best Marketing Companies &amp;amp; Agencies in the USA</t>
  </si>
  <si>
    <t>https://www.digitalsilk.com/branding-agency/branding-trends/best-branding-agencies/</t>
  </si>
  <si>
    <t>Top Branding Agency For Growing Brands \| Digital Silk</t>
  </si>
  <si>
    <t>https://www.digitalsilk.com/digital-marketing/marketing-trends/top-premium-marketing-agencies/</t>
  </si>
  <si>
    <t>https://digitalsurfer.com.au/ai-seo</t>
  </si>
  <si>
    <t>AI SEO Agency Services Australia | Digital Surfer</t>
  </si>
  <si>
    <t>https://directiveconsulting.com/blog/27-seo-agencies-built-for-b2b-growth-2026/</t>
  </si>
  <si>
    <t>27 Best SEO Agencies For B2B - Directive</t>
  </si>
  <si>
    <t>Directive, iPullRank, Omniscient Digital, Siege Media, RevenueZen, First Page Sage, Animalz, Amsive, Ignite Visibility, WebFX, Victorious, Silverback Strategies, Intero Digital, Clutch</t>
  </si>
  <si>
    <t>https://directiveconsulting.com/blog/performance-marketing-agencies/</t>
  </si>
  <si>
    <t>5 Top Performance Marketing Agencies Celebrating 10+ Years - Directive</t>
  </si>
  <si>
    <t>Directive, Single Grain, Tinuiti, Wpromote, Clutch</t>
  </si>
  <si>
    <t>https://directiveconsulting.com/wp-content/uploads/2019/08/MediaKit.pdf</t>
  </si>
  <si>
    <t>https://www.directom.com/services/generative-engine-optimization-services/</t>
  </si>
  <si>
    <t>Generative Engine Optimization Company - We Do SEO For ChatGPT</t>
  </si>
  <si>
    <t>https://disruptiveadvertising.com/advertising-services/</t>
  </si>
  <si>
    <t>Digital Advertising Services | #1 Most 5-Star Reviewed Agency</t>
  </si>
  <si>
    <t>Clutch, Disruptive Advertising</t>
  </si>
  <si>
    <t>https://disruptiveadvertising.com/blog/business/top-digital-marketing-agencies-in-utah/</t>
  </si>
  <si>
    <t>Top Digital Marketing Agencies in Utah for 2026 | Disruptive Advertising</t>
  </si>
  <si>
    <t>Disruptive Advertising, Searchbloom, Funnel Boost Media, Huge</t>
  </si>
  <si>
    <t>https://disruptiveadvertising.com/blog/marketing/top-generative-engine-optimization-geo-agencies-in-2026/</t>
  </si>
  <si>
    <t>Top GEO Agencies In 2026 | Disruptive Advertising</t>
  </si>
  <si>
    <t>Disruptive Advertising, Elit-Web, Ignite Visibility, Thrive Internet Marketing Agency, Avenue Z, Victorious</t>
  </si>
  <si>
    <t>https://disruptiveadvertising.com/blog/ppc/display-vs-search-ads/</t>
  </si>
  <si>
    <t>Display vs Search Advertising: Everything You Need to Know</t>
  </si>
  <si>
    <t>Disruptive Advertising, Measured</t>
  </si>
  <si>
    <t>https://disruptiveadvertising.com/social-media-advertising/</t>
  </si>
  <si>
    <t>Social Media Marketing Agency | Get a Free Audit | Disruptive Advertising</t>
  </si>
  <si>
    <t>https://droga5.co.uk/people/</t>
  </si>
  <si>
    <t>https://www.dslxcontent.com/blog/saas-marketing-agencies</t>
  </si>
  <si>
    <t>The 10 Best SaaS Marketing Agencies to Supercharge Your Growth | dslx</t>
  </si>
  <si>
    <t>https://easyinsights.ai/blog/first-party-data-activation-platforms/</t>
  </si>
  <si>
    <t>First-Party Data Activation Platforms</t>
  </si>
  <si>
    <t>https://www.ebaqdesign.com/blog/top-branding-agencies</t>
  </si>
  <si>
    <t>Top 30 Branding Agencies in 2026 (Expert Rankings)</t>
  </si>
  <si>
    <t>Pentagram, WPP</t>
  </si>
  <si>
    <t>https://echo-factory.com/the-12-best-pr-agencies-in-los-angeles/</t>
  </si>
  <si>
    <t>Top Los Angeles Area Media Relations and PR Agencies in 2026</t>
  </si>
  <si>
    <t>https://ecommercefastlane.com/best-amazon-brand-management-agencies/</t>
  </si>
  <si>
    <t>Best Amazon Brand Management Agencies For Brands Expanding To Amazon In 2026 | Ecommerce Fastlane</t>
  </si>
  <si>
    <t>https://ecosystem.hubspot.com/marketplace/solutions/power-digital-marketing</t>
  </si>
  <si>
    <t>Power Digital Marketing Agency Services &amp; Qualifications | HubSpot</t>
  </si>
  <si>
    <t>https://www.edelmandxi.com/paid-media</t>
  </si>
  <si>
    <t>Paid Media | Edelman Data and Intelligence</t>
  </si>
  <si>
    <t>https://www.effy.ai/faq/who-are-the-big-4-ai-agents</t>
  </si>
  <si>
    <t>Who are the Big 4 AI agents?</t>
  </si>
  <si>
    <t>https://eight26.com/</t>
  </si>
  <si>
    <t>Eight26 | AI-Operated Marketing Agency</t>
  </si>
  <si>
    <t>https://elementor.com/blog/best-seo-geo-agencies/</t>
  </si>
  <si>
    <t>15 Best SEO &amp;amp; GEO Agencies In 2026</t>
  </si>
  <si>
    <t>NP Digital, Wpromote, VaynerMedia, Tinuiti, Hawke Media, Huge, Common Thread Collective, Momentum</t>
  </si>
  <si>
    <t>https://www.elsner.com/top-answer-engine-optimization-companies/</t>
  </si>
  <si>
    <t>Top Answer Engine Optimization (AEO) Companies for 2026</t>
  </si>
  <si>
    <t>Marcel Digital, Amsive, NoGood</t>
  </si>
  <si>
    <t>https://www.embarque.io/post/we-found-30-ai-seo-agencies-for-ranking-ai-results-2026</t>
  </si>
  <si>
    <t>We Found 30 of the Best AI SEO Agencies for Ranking in AI Results in 2026 | Embarque</t>
  </si>
  <si>
    <t>https://embertribe.com/blog/paid-social-agency</t>
  </si>
  <si>
    <t>Paid Social Agency: Choose the Right One in 2026 | EmberTribe</t>
  </si>
  <si>
    <t>https://www.empireentertainment.com/</t>
  </si>
  <si>
    <t>Creative Event Production Agency | Empire Entertainment</t>
  </si>
  <si>
    <t>https://www.emrgmedia.com/best-experiential-marketing-agencies/</t>
  </si>
  <si>
    <t>Unveiling the Best Experiential Marketing Agencies: Your Complete Guide - Top Event Planner New York City | Corporate Event Planning &amp;amp; Marketing Company in NYC</t>
  </si>
  <si>
    <t>https://en.wikipedia.org/wiki/Big_Six_advertising_agencies</t>
  </si>
  <si>
    <t>https://en.wikipedia.org/wiki/Ogilvy_%28agency%29</t>
  </si>
  <si>
    <t>Ogilvy (agency) - Wikipedia</t>
  </si>
  <si>
    <t>Ogilvy, WPP, IBM, AKQA, Kantar, VML</t>
  </si>
  <si>
    <t>https://en.wikipedia.org/wiki/Ogilvy_(agency)</t>
  </si>
  <si>
    <t>https://en.wikipedia.org/wiki/The_Interpublic_Group_of_Companies</t>
  </si>
  <si>
    <t>The Interpublic Group of Companies - Wikipedia</t>
  </si>
  <si>
    <t>WPP, Acxiom, Momentum, R/GA, Huge</t>
  </si>
  <si>
    <t>https://ensun.io/search/geospatial-gis/united-states#:~:text=Esri%20is%20a%20leading%20provider,insights%20from%20location%2Dbased%20data.</t>
  </si>
  <si>
    <t>Top 100 Geospatial (Gis) Companies in United States (2026) \| ensun</t>
  </si>
  <si>
    <t>https://enterprisemarketingportal.google/find-a-partner/adswerve-us</t>
  </si>
  <si>
    <t>https://www.epicslope.partners/buyers-guide/generative-engine-optimization-agencies</t>
  </si>
  <si>
    <t>Top Generative Engine Optimization Agencies in 2026 (Reviewed)</t>
  </si>
  <si>
    <t>First Page Sage, Intero Digital, Omniscient Digital, iPullRank, Avenue Z, Victorious, Clutch, Measured</t>
  </si>
  <si>
    <t>https://epinium.com/en/best-amazon-agencies/</t>
  </si>
  <si>
    <t>Best Amazon Agencies (2026): Ranked | Epinium</t>
  </si>
  <si>
    <t>Tinuiti, Acadia</t>
  </si>
  <si>
    <t>https://www.evarigisconsulting.com/#:~:text=ASSET%20INVENTORY.%20With%20GIS%2C%20we%20can%20systematically,for%20good%20design.%20%2D%20STREETLIGHT%20INSTALLATION%20SUPPORT.</t>
  </si>
  <si>
    <t>Evari GIS Consulting, Inc.</t>
  </si>
  <si>
    <t>https://events.bounteous.com/googletrainingprogram</t>
  </si>
  <si>
    <t>Google Marketing Platform Training Program</t>
  </si>
  <si>
    <t>https://evincedev.com/blog/best-display-ad-networks/</t>
  </si>
  <si>
    <t>Top 10 Best Display Ad Networks in 2026 (CPM Comparison)</t>
  </si>
  <si>
    <t>https://www.experian.com/blogs/marketing-forward/first-party-data-activation-2026/</t>
  </si>
  <si>
    <t>How activation drives first-party value | Experian Marketing</t>
  </si>
  <si>
    <t>https://www.experian.com/marketing/consumer-view/activation</t>
  </si>
  <si>
    <t>Activation</t>
  </si>
  <si>
    <t>https://exposureninja.com/</t>
  </si>
  <si>
    <t>Award-Winning Digital Marketing Agency | Exposure Ninja</t>
  </si>
  <si>
    <t>https://exposureninja.com/services/analytics-data-reporting/</t>
  </si>
  <si>
    <t>Marketing Analytics Agency | Custom Reporting &amp;amp; Insights</t>
  </si>
  <si>
    <t>https://www.f6s.com/software/category/first-party-data-activation</t>
  </si>
  <si>
    <t>Best First-Party Data Activation Software • March 2026 \| F6S</t>
  </si>
  <si>
    <t>https://www.facebook.com/McKinsey/videos/only-11-of-companies-are-fully-leveraging-the-potential-of-gen-ai-quantumblack-a/932826565549113/</t>
  </si>
  <si>
    <t>QuantumBlack, McKinsey</t>
  </si>
  <si>
    <t>https://www.facebook.com/tinuiti1/</t>
  </si>
  <si>
    <t>Facebook</t>
  </si>
  <si>
    <t>https://www.factors.ai/blog/top-7-marketing-attribution-tools</t>
  </si>
  <si>
    <t>Top 12 Marketing Attribution Tools in 2026 (Compared)</t>
  </si>
  <si>
    <t>HockeyStack, Triple Whale, Huge, Cometly, Rockerbox, Northbeam, Ruler Analytics</t>
  </si>
  <si>
    <t>https://www.featuredcustomers.com/services/digital-marketing-agencies</t>
  </si>
  <si>
    <t>Best Digital Marketing Agencies 2026 - Reviews, Case Studies &amp;amp; Videos</t>
  </si>
  <si>
    <t>https://www.featuredcustomers.com/software/customer-data-audience-activation</t>
  </si>
  <si>
    <t>Best Customer Data &amp;amp; Audience Activation 2026 - Reviews, Case Studies &amp;amp; Videos</t>
  </si>
  <si>
    <t>https://www.featuredcustomers.com/software/first-party-data-solutions</t>
  </si>
  <si>
    <t>Best First-Party Data Solutions 2026 - Reviews, Case Studies &amp;amp; Videos</t>
  </si>
  <si>
    <t>https://fibr.ai/geo/best-generative-engine-optimization-brands-for-ai</t>
  </si>
  <si>
    <t>11 Best GEO Agencies for AI Search Visibility (2026)</t>
  </si>
  <si>
    <t>https://www.fieldtrip.agency/post/top-enterprise-growth-marketing-agencies#:~:text=The%20agency%20has%20officially%20partnered%20with%20some,work%20with%20big%20clients%20with%20massive%20budgets.</t>
  </si>
  <si>
    <t>Top Growth Marketing Agencies for Enterprise &amp;amp; Late-Stage Brands</t>
  </si>
  <si>
    <t>Tinuiti, NP Digital, DEPT, Brainlabs, Jellyfish, NoGood, Measured, inBeat</t>
  </si>
  <si>
    <t>https://finalscout.com/company/delve</t>
  </si>
  <si>
    <t>DELVE profiles | FinalScout | FinalScout</t>
  </si>
  <si>
    <t>https://finance.yahoo.com/news/designrush-recognizes-top-10-digital-114500778.html</t>
  </si>
  <si>
    <t>DesignRush Recognizes Top 10 Digital Marketing Agencies for Campaign Performance in March 2026 Rankings</t>
  </si>
  <si>
    <t>Funnel Boost Media, SmartSites, Silverback Strategies, WebFX, Intero Digital, Disruptive Advertising, Searchbloom</t>
  </si>
  <si>
    <t>https://firmcraft.ai/</t>
  </si>
  <si>
    <t>Firmcraft — AI Consulting &amp;amp; Managed AI for Small Business</t>
  </si>
  <si>
    <t>https://firstmovers.ai/ai-marketing-consultant/</t>
  </si>
  <si>
    <t>AI Marketing Consultant: How to Find the Right One for Your Business (+6 Benefits of Hiring One) - First Movers</t>
  </si>
  <si>
    <t>https://firstpagesage.com/seo-blog/the-top-ecommerce-agentic-search-optimization-aso-agencies</t>
  </si>
  <si>
    <t>The Top eCommerce Agentic Search Optimization (ASO) Agencies of 2026 – First Page Sage</t>
  </si>
  <si>
    <t>First Page Sage, Clutch, Tinuiti, SmartSites</t>
  </si>
  <si>
    <t>https://firstpagesage.com/seo-blog/the-top-ecommerce-geo-aeo-agencies/</t>
  </si>
  <si>
    <t>The Top eCommerce GEO / AEO Agencies of 2026 – First Page Sage</t>
  </si>
  <si>
    <t>First Page Sage, Clutch, Tinuiti</t>
  </si>
  <si>
    <t>https://firstpagesage.com/seo-blog/the-top-seo-companies-in-the-us/</t>
  </si>
  <si>
    <t>The Top SEO Companies in the U.S. in 2026 – First Page Sage</t>
  </si>
  <si>
    <t>First Page Sage, Epsilon, Clay, Publicis Groupe</t>
  </si>
  <si>
    <t>https://firstpagesage.com/seo-blog/top-b2b-seo-agencies-us/#:~:text=First%20Page%20Sage%20is%20consistently%20ranked%20the,specifically%20for%20the%20complexity%20of%20B2B%20sales.</t>
  </si>
  <si>
    <t>The Top B2B SEO Agencies in the US — 2026 – First Page Sage</t>
  </si>
  <si>
    <t>First Page Sage, Epsilon, Metric Theory, Monks</t>
  </si>
  <si>
    <t>https://www.firstquery.ai/blog/top-10-ai-search-agencies-to-boost-rankings</t>
  </si>
  <si>
    <t>Top 10 AI Search Optimization Agencies to Boost Rankings</t>
  </si>
  <si>
    <t>Avenue Z, Victorious, First Page Sage, Searchbloom, iPullRank, Omniscient Digital, Siege Media, Amsive, WebFX, Directive, Anomaly</t>
  </si>
  <si>
    <t>https://fixnhour.com/blog/top-advertising-agencies-marketing-companies</t>
  </si>
  <si>
    <t>Top Advertising Agencies &amp;amp; Marketing Companies Worldwide</t>
  </si>
  <si>
    <t>WPP, Publicis Groupe, Dentsu, Accenture Song, Ogilvy, GroupM, VML, BBDO</t>
  </si>
  <si>
    <t>https://www.flyingvgroup.com/ai-marketing-agency/</t>
  </si>
  <si>
    <t>Best 18 AI Marketing Agencies in 2026 | Top AI-Powered Marketing Firms Ranked</t>
  </si>
  <si>
    <t>Viral Nation, SmartSites, Major Tom, NoGood, Single Grain, inBeat, Monks</t>
  </si>
  <si>
    <t>https://www.flyingvgroup.com/programmatic-agency/#:~:text=1.%20%2D%20Flying%20V%20Group.%20Flying%20V,numerous%20successful%20client%20campaigns%20and%20glowing%20testimonials.</t>
  </si>
  <si>
    <t>Top 16 Programmatic Agencies of 2026 (Expert List) – Flying V Group</t>
  </si>
  <si>
    <t>Single Grain, Power Digital, Clutch</t>
  </si>
  <si>
    <t>https://flypix.ai/geospatial-intelligence-companies-usa/#:~:text=NGA%20operates%20as%20both%20a,of%20the%20U.S.%20intelligence%20community.</t>
  </si>
  <si>
    <t>Top Geospatial Intelligence Companies in the USA</t>
  </si>
  <si>
    <t>https://fntmanagement.com/top-marketing-agencies/</t>
  </si>
  <si>
    <t>Best Marketing Agencies 2026: Rating | Expert ROI Guide</t>
  </si>
  <si>
    <t>Clutch, Siege Media, WebFX, Metric Theory</t>
  </si>
  <si>
    <t>https://www.forrester.com/blogs/the-latest-and-greatest-mmo-service-providers/</t>
  </si>
  <si>
    <t>The Latest And Greatest Marketing Measurement Service Providers</t>
  </si>
  <si>
    <t>Analytic Partners, Circana, Gain Theory, Kantar, Nielsen, TransUnion</t>
  </si>
  <si>
    <t>https://www.fortismedia.com/en/articles/roi-marketing-agency/</t>
  </si>
  <si>
    <t>Articles - Fortis Media</t>
  </si>
  <si>
    <t>https://www.found.co.uk/services/seo/ai-seo/aeo/</t>
  </si>
  <si>
    <t>AEO Agency \| Answer Engine Optimisation (AEO) SEO Agency \| Found</t>
  </si>
  <si>
    <t>https://foundersworkshop.com/feeds/service/ai-adoption-readiness-consulting-enterprises</t>
  </si>
  <si>
    <t>AI Adoption &amp;amp; Readiness Consulting for Enterprises – Since 2008</t>
  </si>
  <si>
    <t>https://www.freshcoast.ai/services.html</t>
  </si>
  <si>
    <t>AI Readiness &amp;amp; Adoption Services | Fresh Coast AI</t>
  </si>
  <si>
    <t>https://www.frontieraiconsulting.com/</t>
  </si>
  <si>
    <t>Frontier AI Consulting Microsoft 365 &amp;amp; AI Transformation | Helping SMBs adopt Microsoft 365, Copilot, and AI securely with strategy, training, and compliance.</t>
  </si>
  <si>
    <t>https://fueler.io/blog/best-performance-marketing-agencies-in-the-usa</t>
  </si>
  <si>
    <t>Best Performance Marketing Agencies in the USA</t>
  </si>
  <si>
    <t>NoGood, WebFX, Kobe Digital, Wpromote, Ignite Visibility, Disruptive Advertising, Web Tonic, inBeat</t>
  </si>
  <si>
    <t>https://www.fueler.io/blog/performance-marketing-agencies-that-prove-roi-with-real-client-results</t>
  </si>
  <si>
    <t>Performance Marketing Agencies That Prove ROI With Real Client Results (2026 Edition)</t>
  </si>
  <si>
    <t>Tinuiti, Merkle, Wpromote, WebFX, KlientBoost, NP Digital, MuteSix, NoGood, Common Thread Collective, Power Digital, Disruptive Advertising, Dentsu, Publicis Groupe</t>
  </si>
  <si>
    <t>https://fueler.io/blog/top-us-advertising-and-marketing-agencies</t>
  </si>
  <si>
    <t>Top US Advertising and Marketing Agencies 2026</t>
  </si>
  <si>
    <t>Wieden+Kennedy, Ogilvy, BBDO, Droga5, R/GA, TBWA\Chiat\Day, Disruptive Advertising, IBM, Accenture Song</t>
  </si>
  <si>
    <t>https://www.futuresupply.io/</t>
  </si>
  <si>
    <t>Scale Creative Production Without Hiring | FutureSupply</t>
  </si>
  <si>
    <t>https://www.g2.com/categories/data-governance-tools</t>
  </si>
  <si>
    <t>Best Data Governance Tools: User Reviews from July 2026</t>
  </si>
  <si>
    <t>IBM, Momentum, Huge, SmartSites</t>
  </si>
  <si>
    <t>https://www.gallup.com/workplace/650153/ai-adoption.aspx</t>
  </si>
  <si>
    <t>A People-First Approach to AI Adoption - Gallup</t>
  </si>
  <si>
    <t>https://www.gartner.com/reviews/product/ogilvy-global-digital-marketing-agencies</t>
  </si>
  <si>
    <t>Ogilvy Global Digital Marketing Agencies Reviews &amp; Ratings 2026 \| Gartner Peer Insights</t>
  </si>
  <si>
    <t>Ogilvy, VML, Accenture Song, Digitas</t>
  </si>
  <si>
    <t>https://www.geekwire.com/2018/adswerve-acquires-seattle-based-analytics-pros-24m-creating-google-marketing-powerhouse/</t>
  </si>
  <si>
    <t>AdSwerve acquires Seattle-based Analytics Pros for $24M, creating Google marketing powerhouse – GeekWire</t>
  </si>
  <si>
    <t>https://www.gen-optima.com/geo/top-7-generative-engine-optimization-service-providers-ranked/</t>
  </si>
  <si>
    <t>Top 7 Generative Engine Optimization Service Providers Ranked (Q2 2026 Update) - GenOptima</t>
  </si>
  <si>
    <t>Go Fish Digital, iPullRank, Siege Media, WebFX, Intero Digital, Omniscient Digital, Measured</t>
  </si>
  <si>
    <t>https://www.gen-optima.com/geo/top-generative-ai-search-engine-optimization-agencies-2026/</t>
  </si>
  <si>
    <t>Top AI Search Optimization Agencies in 2026 (Q1 2026 Update)</t>
  </si>
  <si>
    <t>iPullRank, First Page Sage, Intero Digital, Siege Media, Omniscient Digital, Go Fish Digital, Single Grain, Victorious</t>
  </si>
  <si>
    <t>https://generatemore.ai/blog/top-generative-engine-optimization-agencies</t>
  </si>
  <si>
    <t>8 Top Answer Engine Optimization (AEO) Agencies [2026]</t>
  </si>
  <si>
    <t>https://www.genevate.co/best-aso-agencies-2026/</t>
  </si>
  <si>
    <t>The Best Agentic Search Optimization (ASO) Agencies in 2026 | Genevate</t>
  </si>
  <si>
    <t>First Page Sage, iPullRank, Omniscient Digital, Intero Digital, Clutch, Measured</t>
  </si>
  <si>
    <t>https://www.geoagency.net/</t>
  </si>
  <si>
    <t>Generative Engine Optimization (GEO) and Answer Engine Optimization (AEO) Services - GEO Agency</t>
  </si>
  <si>
    <t>https://getcredo.com/roi-for-marketing/</t>
  </si>
  <si>
    <t>What’s a Good ROI for Marketing? How to Evaluate Efforts | Credo</t>
  </si>
  <si>
    <t>https://www.getcrux.ai/discover/marketing-attribution-tools</t>
  </si>
  <si>
    <t>8 Best Marketing Attribution Tools in 2026: Compared</t>
  </si>
  <si>
    <t>Triple Whale, Northbeam, Rockerbox, Cometly, Ruler Analytics, HockeyStack, Anomaly</t>
  </si>
  <si>
    <t>https://getfishslapped.com/programmatic-display/</t>
  </si>
  <si>
    <t>Programmatic Display • Get Fish Slapped Marketing Agency</t>
  </si>
  <si>
    <t>https://getrecast.com/geolift-by-recast/</t>
  </si>
  <si>
    <t>GeoLift by Recast - Recast</t>
  </si>
  <si>
    <t>https://gigawattgroup.com/insights/best-geo-agencies-in-2026-who-actually-drives-ai-visibility-and-citations/</t>
  </si>
  <si>
    <t>Best GEO Agencies in 2026: Who Actually Drives AI Visibility and Citations - Gigawatt Group</t>
  </si>
  <si>
    <t>https://www.girikon.com/blog/top-15-salesforce-revenue-cloud-cpq-billing-consultants-in-united-states/</t>
  </si>
  <si>
    <t>Top 15 Salesforce Revenue Cloud (CPQ &amp;amp; Billing) Consultants in United States | CRM Consulting Services | United States | Phoenix, Arizona</t>
  </si>
  <si>
    <t>https://gitnux.org/service/ai-adoption/</t>
  </si>
  <si>
    <t>10 Tools Compared: Best AI Adoption Services (2026)</t>
  </si>
  <si>
    <t>PwC, IBM, Clutch</t>
  </si>
  <si>
    <t>https://gitnux.org/service/automotive-data-marketing/</t>
  </si>
  <si>
    <t>Best Automotive Data Marketing Services | Ranked for 2026</t>
  </si>
  <si>
    <t>Dentsu, WPP, VML, AKQA, Publicis Groupe, Merkle, Accenture Song, IBM, GroupM, Clutch</t>
  </si>
  <si>
    <t>https://gofishdigital.com/blog/generative-engine-optimization-agencies/</t>
  </si>
  <si>
    <t>8 Generative Engine Optimization (GEO) Agencies &amp;amp; Thought Leaders - Go Fish Digital</t>
  </si>
  <si>
    <t>Go Fish Digital, iPullRank, Omniscient Digital, Single Grain, Siege Media</t>
  </si>
  <si>
    <t>https://gogloby.com/insights/best-ai-consulting-companies/</t>
  </si>
  <si>
    <t>12 Best AI Consulting Companies in 2026: Top Firms Compared</t>
  </si>
  <si>
    <t>Clutch, QuantumBlack, McKinsey, BCG, IBM</t>
  </si>
  <si>
    <t>https://gogloby.com/insights/best-ai-recruiting-companies/</t>
  </si>
  <si>
    <t>10 Top AI Recruiting Companies for U.S. Businesses in 2026</t>
  </si>
  <si>
    <t>Momentum, Clutch, Huge, Measured</t>
  </si>
  <si>
    <t>https://www.gomega.ai/blog/ai-marketing-agency/</t>
  </si>
  <si>
    <t>5 Best AI Marketing Agencies &amp;amp; How to Choose One</t>
  </si>
  <si>
    <t>https://www.goodfirms.co/advertising-companies/creative/usa?page=12</t>
  </si>
  <si>
    <t>https://www.goodfirms.co/advertising-companies/creative/usa?page=6</t>
  </si>
  <si>
    <t>Momentum, Accelerated Digital Media</t>
  </si>
  <si>
    <t>https://www.goodfirms.co/advertising-companies/creative?sort_by=rating</t>
  </si>
  <si>
    <t>Top Creative Agencies - 2026 Reviews | Goodfirms</t>
  </si>
  <si>
    <t>https://www.goodfirms.co/advertising-companies/usa</t>
  </si>
  <si>
    <t>Top Advertising Agencies in the USA - 2026 Reviews | Goodfirms</t>
  </si>
  <si>
    <t>Funnel Boost Media</t>
  </si>
  <si>
    <t>https://www.goodfirms.co/directory/country/top-digital-marketing-companies/us?reviews=1&amp;sort_by=rating</t>
  </si>
  <si>
    <t>Funnel Boost Media, Elit-Web, Searchbloom, Storm Brain</t>
  </si>
  <si>
    <t>https://www.goodfirms.co/directory/country/top-digital-marketing-companies/us?sid=3951</t>
  </si>
  <si>
    <t>Searchbloom, Elit-Web, Storm Brain</t>
  </si>
  <si>
    <t>https://www.goodfirms.co/directory/country/top-digital-marketing-companies/us?sid=3953</t>
  </si>
  <si>
    <t>Searchbloom, SmartSites, Elit-Web, Storm Brain</t>
  </si>
  <si>
    <t>https://www.goodfirms.co/directory/country/top-digital-marketing-companies/us?sid=3975</t>
  </si>
  <si>
    <t>WebFX, Searchbloom, SmartSites, Elit-Web, Storm Brain</t>
  </si>
  <si>
    <t>https://www.goodfirms.co/directory/marketing-services/top-digital-marketing-companies</t>
  </si>
  <si>
    <t>Top Digital Marketing Companies - 2026 Reviews | Goodfirms</t>
  </si>
  <si>
    <t>WebFX, Searchbloom, SmartSites, Funnel Boost Media, Elit-Web, Power Digital</t>
  </si>
  <si>
    <t>https://www.goodfirms.co/directory/marketing-services/top-digital-marketing-companies/generative-engine-optimization</t>
  </si>
  <si>
    <t>Top Generative Engine Optimization (GEO) Companies - 2026 Reviews | Goodfirms</t>
  </si>
  <si>
    <t>WebFX, Searchbloom, Elit-Web, Intero Digital, Go Fish Digital, Ignite Visibility, Measured, Funnel Boost Media</t>
  </si>
  <si>
    <t>https://www.google.com/ads/publisher/partners/work-with-a-partner/</t>
  </si>
  <si>
    <t>https://www.google.com/searchviewer/10?svid=CAwSGxIZCgNwdnESEkNnc3ZaeTh4ZEhKd2NuQjRhZxgK</t>
  </si>
  <si>
    <t>https://www.google.com/searchviewer/10?svid=CAwSGxIZCgNwdnESEkNnc3ZaeTh4ZEhaMFkyTXliZxgK</t>
  </si>
  <si>
    <t>https://www.google.com/searchviewer/10?svid=CAwSGxIZCgNwdnESEkNnc3ZaeTh4ZUc1ZmNEVjVhQRgK</t>
  </si>
  <si>
    <t>https://www.google.com/searchviewer/10?svid=CAwSHBIaCgNwdnESE0Nnd3ZaeTh4TW1oNGJESTFkSGsYCg</t>
  </si>
  <si>
    <t>https://www.google.com/searchviewer/10?svid=CAwSHRIbCgNwdnESFENnMHZaeTh4TVcwMWFqbDNjbk4yGAo</t>
  </si>
  <si>
    <t>https://www.google.com/searchviewer/10?svid=CAwSHRIbCgNwdnESFENnMHZaeTh4TVdJMk9ESjBjWFpzGAo</t>
  </si>
  <si>
    <t>https://www.google.com/searchviewer/10?svid=CAwSHRIbCgNwdnESFENnMHZaeTh4TVdnMWJXNHhhREJtGAo</t>
  </si>
  <si>
    <t>https://www.google.com/searchviewer/10?svid=CAwSHRIbCgNwdnESFENnMHZaeTh4TVhZNWFqZHVOR3htGAo</t>
  </si>
  <si>
    <t>https://www.goupward.com/</t>
  </si>
  <si>
    <t>Digital Marketing Agency for Global Brands</t>
  </si>
  <si>
    <t>https://www.grazitti.com/services/digital-marketing/services/programatic-ads-agency/</t>
  </si>
  <si>
    <t>Programmatic Advertising Services | Grazitti Interactive</t>
  </si>
  <si>
    <t>https://greenbananaseo.com/services/generative-engine-optimization-agency/#:~:text=Quick%20definition%3A%20Generative%20Engine%20Optimization,trust%2C%20and%20easy%20to%20reuse.</t>
  </si>
  <si>
    <t>Generative Engine Optimization Agency (GEO) | Get Cited in ChatGPT &amp;amp; AI Overviews | GreenBanana SEO</t>
  </si>
  <si>
    <t>https://www.greenbook.org/market-research-firms/tracking</t>
  </si>
  <si>
    <t>Top Tracking Research Companies — Greenbook</t>
  </si>
  <si>
    <t>https://gripped.io/b2b-marketing/top-marketing-agencies-uk/</t>
  </si>
  <si>
    <t>Top 50 UK Marketing Agencies: Expert Picks for SEO, PPC &amp;amp; ABM</t>
  </si>
  <si>
    <t>Brainlabs, Croud, Jellyfish, VML, Ogilvy, Measured, Accenture Song, iProspect, Dentsu, Publicis Groupe, Merkle, Incubeta</t>
  </si>
  <si>
    <t>https://gripped.io/digital-marketing-strategy/b2b-performance-marketing-agency/</t>
  </si>
  <si>
    <t>Top 10 B2B Performance Marketing Agency Picks UPDATED for 2025 | Gripped</t>
  </si>
  <si>
    <t>Directive, Ogilvy, Momentum</t>
  </si>
  <si>
    <t>https://www.groas.com/post/klientboost-pricing-review-2026-what-they-charge-groas-alternative</t>
  </si>
  <si>
    <t>KlientBoost Pricing And Review In 2026: What They Charge, What You Get, And Why groas Is A Better Alternative</t>
  </si>
  <si>
    <t>KlientBoost, Tinuiti, Merkle, Disruptive Advertising, WebFX, Clutch, Directive</t>
  </si>
  <si>
    <t>https://www.growtal.com/8-best-fractional-cmos-for-fast-growing-e-commerce-companies/</t>
  </si>
  <si>
    <t>8 Best Fractional CMOs for Fast-Growing E-commerce Companies - GrowTal</t>
  </si>
  <si>
    <t>Hawke Media, Huge</t>
  </si>
  <si>
    <t>https://www.growth-rocket.com/blog/what-high-performing-agencies-do-differently-with-first-party-data-strategy/</t>
  </si>
  <si>
    <t>What High-Performing Agencies Do Differently With First-Party Data Strategy - Growth Rocket</t>
  </si>
  <si>
    <t>https://growth.cx/blog/best-performance-marketing-agencies/</t>
  </si>
  <si>
    <t>13 Best Performance Marketing Agencies to Boost ROI in 2026</t>
  </si>
  <si>
    <t>Ignite Visibility, Tinuiti, Kobe Digital, NoGood, Wpromote</t>
  </si>
  <si>
    <t>https://growthlane.marketing/blog/top-b2b-performance-marketing-firms-in-2025-the-ultimate-list-for-revenue-growth</t>
  </si>
  <si>
    <t>Top B2B Performance Marketing Firms in 2025: The Ultimate List for Revenue Growth</t>
  </si>
  <si>
    <t>Directive, Tinuiti, KlientBoost, WebFX, Metric Theory, Brainlabs</t>
  </si>
  <si>
    <t>https://growthmarketingconsultancy.com/services/paid-social</t>
  </si>
  <si>
    <t>Paid Social Advertising Services | Meta, LinkedIn, TikTok for B2B Growth</t>
  </si>
  <si>
    <t>https://www.growthmarketingpro.com/generative-engine-optimization-agency/</t>
  </si>
  <si>
    <t>World's #1 SEO Agency: We Practically Invented Growth Marketing</t>
  </si>
  <si>
    <t>https://growthmethod.com/growth-marketing-agency/</t>
  </si>
  <si>
    <t>Need a growth marketing agency (UK, Europe or US)? Here are 43. | Growth Method</t>
  </si>
  <si>
    <t>https://growthrocks.com/blog/performance-marketing-agencies/</t>
  </si>
  <si>
    <t>Top 12 Performance Marketing Agencies in 2024</t>
  </si>
  <si>
    <t>Tinuiti, Wpromote, TransUnion, Metric Theory, Disruptive Advertising, MuteSix, Dentsu, Jellyfish, Power Digital, Directive, Common Thread Collective, Ignite Visibility, NoGood</t>
  </si>
  <si>
    <t>https://www.growthspreeofficial.com/blogs/best-b2b-marketing-agencies-proprietary-ai-tools-2026</t>
  </si>
  <si>
    <t>Best B2B Marketing Agencies with Proprietary AI Tools in 2026: 6 Agencies Compared by AI Infrastructure Depth</t>
  </si>
  <si>
    <t>GrowthSpree, NoGood, Single Grain, Clutch</t>
  </si>
  <si>
    <t>https://growthsprints.co/best-saas-aeo-consultants/</t>
  </si>
  <si>
    <t>7 Best SaaS AEO Consultants In 2026 (And How To Choose) - AEO, SEO &amp;amp; Content Marketing Agency | Growth Sprints</t>
  </si>
  <si>
    <t>Omniscient Digital, Clutch, Optimist, Measured, Discovered Labs, iPullRank, NoGood, First Page Sage</t>
  </si>
  <si>
    <t>https://growwithvysta.com/blog/best-google-ads-agencies-for-ecommerce-brands-in-the-us/#:~:text=%2D%20Agency.%20Best%20For.%20Core%20Strength.%20%2D,conversion%20rate%20optimization.%20%2D%20Tinuiti.%20Enterprise%20ecommerce.</t>
  </si>
  <si>
    <t>Best Google Ads Agencies for eCommerce Brands in the US</t>
  </si>
  <si>
    <t>Common Thread Collective, Tinuiti, KlientBoost</t>
  </si>
  <si>
    <t>https://www.gsdcouncil.org/blogs/what-is-generative-engine-optimization-geo-and-seo</t>
  </si>
  <si>
    <t>What Is Generative Engine Optimization (GEO) &amp;amp; How Does GEO + SEO Work?</t>
  </si>
  <si>
    <t>https://gumgum.com/#:~:text=012345012345%25%20higher%20finale%20viewership%20vs%20The%20Traitors,Velocity.%2001.%200120%25%20Viewability%20on%20Velocity.%200123456789012345%25</t>
  </si>
  <si>
    <t>GumGum | The Mindset Company™ – CTV, OLV &amp;amp; High Impact Display Advertising</t>
  </si>
  <si>
    <t>https://www.hamstergarage.com/article/best-partner-marketing-agency-guide</t>
  </si>
  <si>
    <t>Best Partner Marketing Agencies for 2026: Top 7 Picks by Use Case, Pricing, and Fit</t>
  </si>
  <si>
    <t>Hawke Media, Clutch, Measured</t>
  </si>
  <si>
    <t>https://www.harleyoliver.com/blog/top-12-companies-design-trends-to-watch-in-2025</t>
  </si>
  <si>
    <t>Top 12 Companies Design Trends to Watch in 2025 — Harley Oliver - Digital Design Firm</t>
  </si>
  <si>
    <t>McKinsey, Clutch, Pentagram, Superside, Wolff Olins</t>
  </si>
  <si>
    <t>https://hashmeta.com/blog/top-15-ai-pr-agencies-for-ai-startups-tech-brands/</t>
  </si>
  <si>
    <t>Top 15 AI PR Agencies for AI Startups &amp;amp; Tech Brands | Hashmeta</t>
  </si>
  <si>
    <t>https://www.haus.io/</t>
  </si>
  <si>
    <t>Haus | AI-Powered Causal Marketing</t>
  </si>
  <si>
    <t>https://www.haus.io/blog/incrementality-fundamentals</t>
  </si>
  <si>
    <t>Incrementality: The fundamentals</t>
  </si>
  <si>
    <t>https://www.haus.io/customer/tally</t>
  </si>
  <si>
    <t>Tally Finds An Incrementality Platform They Can Trust</t>
  </si>
  <si>
    <t>https://www.havstrategy.com/best-performance-marketing-agency-in-us/</t>
  </si>
  <si>
    <t>Best Performance Marketing Agency in US | D2C Growth | HavStrategy</t>
  </si>
  <si>
    <t>https://hawksem.com/blog/digital-marketing-agencies/</t>
  </si>
  <si>
    <t>The 14 Best Digital Marketing Agencies That Get Big Results</t>
  </si>
  <si>
    <t>HawkSEM, Wpromote, Tinuiti, Merkle, Clutch, Power Digital, Silverback Strategies</t>
  </si>
  <si>
    <t>https://hawksem.com/blog/performance-marketing-agency-list/</t>
  </si>
  <si>
    <t>Top 10 Performance Marketing Agencies in 2026</t>
  </si>
  <si>
    <t>HawkSEM, Tinuiti, Merkle, Wpromote, MuteSix</t>
  </si>
  <si>
    <t>https://hawksem.com/blog/top-sem-agencies/</t>
  </si>
  <si>
    <t>Top 12 SEM Agencies to Help Your Business Boost ROI</t>
  </si>
  <si>
    <t>HawkSEM, Merkle, Tinuiti, Dentsu, Clutch, Jellyfish, Wpromote, Ignite Visibility, Victorious, Thrive Internet Marketing Agency</t>
  </si>
  <si>
    <t>https://www.hellobigidea.com/</t>
  </si>
  <si>
    <t>Hello Big Idea | Brand + Marketing Agency</t>
  </si>
  <si>
    <t>https://www.helloroketto.com/articles/ai-agency</t>
  </si>
  <si>
    <t>9 Best AI Agencies for Your Business: The Ultimate Review</t>
  </si>
  <si>
    <t>Clutch, NoGood, Major Tom, IBM</t>
  </si>
  <si>
    <t>https://www.helloroketto.com/articles/marketing-consultant</t>
  </si>
  <si>
    <t>Top 12 Marketing Consultants to Elevate Your Business Strategy</t>
  </si>
  <si>
    <t>Clutch, Bain &amp; Company, McKinsey, QuantumBlack, BCG, PwC</t>
  </si>
  <si>
    <t>https://www.heydigital.co/blog/saas-marketing-agencies</t>
  </si>
  <si>
    <t>The 16 Best SaaS Marketing Agencies in 2026 | Hey Digital</t>
  </si>
  <si>
    <t>Hey Digital, Directive, NoGood, Single Grain, Omniscient Digital, Siege Media, Animalz, Refine Labs</t>
  </si>
  <si>
    <t>https://hikemytraffic.com/ai-powered-digital-marketing-agency/</t>
  </si>
  <si>
    <t>5 Best AI-Powered Digital Marketing Agencies to Watch in 2026</t>
  </si>
  <si>
    <t>McKinsey, Clutch</t>
  </si>
  <si>
    <t>https://hikemytraffic.com/ai-seo-companies-to-dominate-search/</t>
  </si>
  <si>
    <t>10 Best AI SEO Companies Competing in Global Market</t>
  </si>
  <si>
    <t>Clutch, WebFX, NP Digital, Siege Media, Victorious, Directive, Single Grain, Omniscient Digital</t>
  </si>
  <si>
    <t>https://www.hotsourcecreative.com/ai-consultants-bristol/</t>
  </si>
  <si>
    <t>AI Consultants Bristol - Hot Source Creative</t>
  </si>
  <si>
    <t>https://houseofmvps.com/best-aeo-agencies-for-local-business</t>
  </si>
  <si>
    <t>Best AEO Agencies for Local Businesses in the US (2026) | HouseofMVPs</t>
  </si>
  <si>
    <t>Marcel Digital, Searchbloom, NoGood</t>
  </si>
  <si>
    <t>https://www.housesofgrowth.com/post/ai-digital-marketing-agencies</t>
  </si>
  <si>
    <t>10 Best AI Digital Marketing Agencies (2026)</t>
  </si>
  <si>
    <t>NoGood, Single Grain, Directive, Power Digital, Wpromote, NP Digital, Omniscient Digital, Superside, Keenfolks, Clutch</t>
  </si>
  <si>
    <t>https://humanise.world/blog/first-party-data-activation</t>
  </si>
  <si>
    <t>Three Truths About First-Party Data Activation | Humanise</t>
  </si>
  <si>
    <t>https://www.humanr.ai/intelligence/ai-readiness-assessment-25-person-marketing-agency</t>
  </si>
  <si>
    <t>AI Readiness for a 25-Person Agency | Human Renaissance</t>
  </si>
  <si>
    <t>https://humanshiftready.com/</t>
  </si>
  <si>
    <t>Transformation Readiness Consultant | Human Shift Ready™</t>
  </si>
  <si>
    <t>https://hunterdigitalmarketing.com/blog/2026-leading-paid-search-agencies/#:~:text=The%20best%20paid%20media%20agencies%20use%20technology%2C,audience%20quickly%20with%20targeted%20and%20testable%20campaigns.</t>
  </si>
  <si>
    <t>Top PPC Agencies in the US for 2026—Leading Paid Search Partners for Real ROI - Hunter Digital</t>
  </si>
  <si>
    <t>Clutch, Disruptive Advertising, KlientBoost, Ignite Visibility</t>
  </si>
  <si>
    <t>https://www.iacaward.org/iac/winner/18188/delve-wins-2021-iac-award-for-delve-applies-data-science-to-deliver-200-roas-for-unicef-usa.html</t>
  </si>
  <si>
    <t>DELVE Wins 2021 Best Non-profit Online Campaign, Best Of Show Online Campaign Internet Advertising Award for DELVE Applies Data Science to Deliver 200% ROAS for UNICEF USA</t>
  </si>
  <si>
    <t>https://www.ibm.com/consulting/marketing</t>
  </si>
  <si>
    <t>Marketing Consulting Services | IBM</t>
  </si>
  <si>
    <t>https://icoda.io/ai/best-ai-digital-marketing-agencies/</t>
  </si>
  <si>
    <t>Top 10 AI Digital Marketing Agencies [2026]</t>
  </si>
  <si>
    <t>McKinsey, Wpromote, Brainlabs, Tinuiti, Keenfolks, Directive, Jellyfish, Single Grain, Clutch, IBM</t>
  </si>
  <si>
    <t>https://www.iconagility.com/services/ai</t>
  </si>
  <si>
    <t>AI Adoption &amp;amp; Integration Consulting for Enterprise Organizations | ICON Agility Services</t>
  </si>
  <si>
    <t>https://www.icreativez.com/categories/online-marketing/10-best-paid-social-media-services-companies-consultants-2026.html</t>
  </si>
  <si>
    <t>10 Best Paid Social Media Companies &amp; Consultants 2026 | iCreativez</t>
  </si>
  <si>
    <t>Triple Whale, Northbeam, Rockerbox</t>
  </si>
  <si>
    <t>https://www.ie.edu/uncover-ie/top-data-analytics-companies-who-shapes-business-data-in-2026/#:~:text=Deloitte%20provides%20analytics%20consulting%20across%20areas%20like,forecasting%2C%20optimization%2C%20and%20operational%20performance%20use%20cases.</t>
  </si>
  <si>
    <t>Top data analytics companies: Who shapes business data in 2026</t>
  </si>
  <si>
    <t>McKinsey, QuantumBlack, BCG, PwC</t>
  </si>
  <si>
    <t>https://impact.com/agency-partner-program/directory</t>
  </si>
  <si>
    <t>Find the right impact.com Agency</t>
  </si>
  <si>
    <t>Clutch, New Engen, Accenture Song, Acxiom, Right Side Up, Hawke Media, Huge</t>
  </si>
  <si>
    <t>https://www.impressiondigital.com/blog/incrementality-testing/</t>
  </si>
  <si>
    <t>The Ultimate Guide to Incrementality Testing | Impression</t>
  </si>
  <si>
    <t>https://improvado.io/blog/best-marketing-agencies-new-york</t>
  </si>
  <si>
    <t>Best NYC Marketing Agencies 2026: Pricing &amp;amp; Reviews</t>
  </si>
  <si>
    <t>Directive, NoGood, Ogilvy, VaynerMedia, Seer Interactive, Huge, Dentsu, DEPT, Merkle, Common Thread Collective, inBeat, WPP, Publicis Groupe, McKinsey, Bain &amp; Company, BCG, Deloitte Digital, WebFX, KlientBoost</t>
  </si>
  <si>
    <t>https://improvado.io/blog/top-programmatic-platforms#:~:text=Pricing%3A%207%2D15%25%20of%20media%20spend%20(typically%2010%25,of%20conversion%20data%20for%20AI%20bidding%20optimization.</t>
  </si>
  <si>
    <t>Programmatic Advertising Platforms: DSPs, Reporting &amp;amp; Analytics</t>
  </si>
  <si>
    <t>Dentsu, WPP, Publicis Groupe, GroupM, Omnicom Media Group</t>
  </si>
  <si>
    <t>https://inbeat.agency/blog/top-ai-marketing-agencies</t>
  </si>
  <si>
    <t>Top 15 AI Marketing Agencies Transforming Digital Strategy in 2025 - inBeat Agency</t>
  </si>
  <si>
    <t>inBeat, Nielsen, Momentum, Keenfolks, NoGood, Avenue Z</t>
  </si>
  <si>
    <t>https://inbeat.agency/blog/top-creative-strategy-agencies</t>
  </si>
  <si>
    <t>The Creative Strategy Hotlist 2026: 15 Agencies to Know - inBeat Agency</t>
  </si>
  <si>
    <t>inBeat, Nielsen, Power Digital, Single Grain</t>
  </si>
  <si>
    <t>https://inbeat.agency/blog/top-growth-marketing-agencies-in-nyc</t>
  </si>
  <si>
    <t>Growth Marketing Agencies for Fast-Rising NYC Brands - inBeat Agency</t>
  </si>
  <si>
    <t>inBeat, Nielsen, Avenue Z, Amsive, Major Tom, Tinuiti, Clutch</t>
  </si>
  <si>
    <t>https://inbeat.agency/blog/top-media-buying-agencies</t>
  </si>
  <si>
    <t>14 Media Buying Agencies That Actually Stretch a Budget - inBeat Agency</t>
  </si>
  <si>
    <t>inBeat, Nielsen, Percepture, Hawke Media, Measured, Clutch</t>
  </si>
  <si>
    <t>https://www.inbeat.co/articles/best-ai-digital-marketing-agencies/</t>
  </si>
  <si>
    <t>10 Best AI Digital Marketing Agencies in 2026</t>
  </si>
  <si>
    <t>inBeat, Merkle, SmartSites, Ignite Visibility, Jellyfish, Brainlabs, Wpromote, Tinuiti, Disruptive Advertising, NP Digital</t>
  </si>
  <si>
    <t>https://www.inbeat.co/articles/top-creative-agencies/</t>
  </si>
  <si>
    <t>Top 15 Creative Agencies Tried and Tested [2026 Edition]</t>
  </si>
  <si>
    <t>inBeat, Brighter Click</t>
  </si>
  <si>
    <t>https://www.incremental.com/how-it-works</t>
  </si>
  <si>
    <t>How Incremental Works | Causal Intelligence for Commerce Media — Incremental</t>
  </si>
  <si>
    <t>https://www.incrmntal.com/autonomous</t>
  </si>
  <si>
    <t>Autonomous Marketing Measurement | Incrmntal</t>
  </si>
  <si>
    <t>https://www.incrmntal.com/marketing-measurement</t>
  </si>
  <si>
    <t>Marketing Measurement</t>
  </si>
  <si>
    <t>INCRMNTAL, Measured</t>
  </si>
  <si>
    <t>https://www.incrmntal.com/platform</t>
  </si>
  <si>
    <t>Marketing Measurement Platform | INCRMNTAL</t>
  </si>
  <si>
    <t>https://www.incrmntal.com/resources/how-to-validate-incrmntal</t>
  </si>
  <si>
    <t>Building Trust in Incrementality Measurement</t>
  </si>
  <si>
    <t>https://www.incrmntal.com/solutions/marketing-analysts</t>
  </si>
  <si>
    <t>Marketing Measurement for Analysts</t>
  </si>
  <si>
    <t>https://www.indeed.com/q-media-&amp;-lawyer-l-washington,-dc-jobs.html</t>
  </si>
  <si>
    <t>Media &amp; Lawyer Jobs, Employment in Washington, DC \| Indeed</t>
  </si>
  <si>
    <t>https://indiantelevision.com/mam/the-best-aeo-agencies-in-the-usa-for-2026/</t>
  </si>
  <si>
    <t>The Best AEO Agencies in the USA for 2026 – Indian Television Dot Com</t>
  </si>
  <si>
    <t>https://www.indiehackers.com/post/best-performance-marketing-agency-in-the-usa-paid-ads-or-seo-cLPWTCgkteymkhS5pJS5#:~:text=Scale%20Rankings%20%2D%201.%20ScaleRankings.%20ScaleRankings.com%20isn't,is%20what%20separates%20it%20from%20everyone%20else.</t>
  </si>
  <si>
    <t>Best Performance Marketing Agency in the USA (Paid Ads or SEO) - Indie Hackers</t>
  </si>
  <si>
    <t>Power Digital, Disruptive Advertising, Common Thread Collective, Directive, NoGood, SmartSites, Tinuiti, Measured</t>
  </si>
  <si>
    <t>https://www.influencer-hero.com/fr/blogs/top-paid-media-agencies-in-the-us</t>
  </si>
  <si>
    <t>Les meilleures agences de médias payants aux États-Unis</t>
  </si>
  <si>
    <t>https://influencermarketinghub.com/creative-agency/</t>
  </si>
  <si>
    <t>20 Creative Agencies Shaping Brand Storytelling in 2026</t>
  </si>
  <si>
    <t>Viral Nation, SmartSites, McKinsey, Brighter Click, VML, R/GA, Sociallyin</t>
  </si>
  <si>
    <t>https://influencermarketinghub.com/geo-agencies/</t>
  </si>
  <si>
    <t>6 Best GEO Agencies Driving AI Search Visibility</t>
  </si>
  <si>
    <t>Viral Nation, SmartSites, McKinsey, Stratabeat, Directive</t>
  </si>
  <si>
    <t>https://infotrust.com/articles/category/marketing/google-marketing-platform-gmp/</t>
  </si>
  <si>
    <t>Google Marketing Platform (GMP) Archives - InfoTrust</t>
  </si>
  <si>
    <t>InfoTrust, Publicis Groupe</t>
  </si>
  <si>
    <t>https://infotrust.com/resource/get-to-know-all-products-available-in-the-google-marketing-platform/</t>
  </si>
  <si>
    <t>Get to Know All Products in the Google Marketing Platform | InfoTrust</t>
  </si>
  <si>
    <t>https://innovationegg.com/top-digital-marketing-agency-in-the-usa/#:~:text=Core%20Services%20%2D%20SEO%20services.%20%2D%20Paid,strategy.%20%2D%20Lead%20generation.%20%2D%20Website%20optimization.</t>
  </si>
  <si>
    <t>Top 8 Digital Marketing Agencies in the USA (2026)</t>
  </si>
  <si>
    <t>WebFX, SmartSites, KlientBoost, Directive, Thrive Internet Marketing Agency</t>
  </si>
  <si>
    <t>https://www.instagram.com/reel/DR4csQmDPbW/?hl=en</t>
  </si>
  <si>
    <t>The global advertising industry is led by just 5 companies.
-
-
-
-
[Advertising, Top marketing agencies in the world, Global Advertising, What is WIPOD, WPP, IPG, Publicis Groupe, Omnicon Media Group, OMG, Dentsu, Best Advertising Agencies in the world, Television advertising, radio advertising, newspaper advertising, IIDE, digital marketing]
#advertising #digitalmarketing #iide</t>
  </si>
  <si>
    <t>https://www.intellectyx.com/ai-agent-development-companies-in-usa/</t>
  </si>
  <si>
    <t>Top AI Agent Development Companies in USA (2026)</t>
  </si>
  <si>
    <t>IBM, Clutch, Fractal Analytics</t>
  </si>
  <si>
    <t>https://www.intellectyx.com/best-ai-consulting-firms/</t>
  </si>
  <si>
    <t>Best AI Consulting Firms in USA (2026 Version)</t>
  </si>
  <si>
    <t>IBM, PwC, BCG</t>
  </si>
  <si>
    <t>https://www.intellibright.com/all-case-studies/</t>
  </si>
  <si>
    <t>Digital Marketing Case Studies&amp;nbsp;-&amp;nbsp;Intellibright Results</t>
  </si>
  <si>
    <t>https://www.interodigital.com/case-studies/</t>
  </si>
  <si>
    <t>Digital Marketing Agency Case Studies - Intero Digital Results</t>
  </si>
  <si>
    <t>https://invademarketing.com/best-performance-marketing-agencies-2025/#:~:text=With%20stricter%20privacy%20regulations%20and%20reduced%20third%2Dparty,Experience%20in%20your%20industry%20or%20growth%20stage.</t>
  </si>
  <si>
    <t>Best Performance Marketing Agencies 2025 to Watch</t>
  </si>
  <si>
    <t>https://investor.choicehotels.com/news/news-details/2024/Choice-Hotels-International-Engages-Top-Tier-Agencies-72andSunny-New-York-for-Creative-and-dentsu-X-for-Digital-Media-to-Continue-Taking-Its-Consumer-Marketing-to-the-Next-Level/default.aspx</t>
  </si>
  <si>
    <t>Choice Hotels International, Inc. - Choice Hotels International Engages Top-Tier Agencies, 72andSunny New York for Creative and dentsu X for Digital Media, to Continue Taking Its Consumer Marketing to the Next Level</t>
  </si>
  <si>
    <t>72andSunny, Dentsu, Momentum</t>
  </si>
  <si>
    <t>https://www.ipsos.com/en-us/leader-mmos-q1-2026-forrester-wave-announcement</t>
  </si>
  <si>
    <t>Ipsos MMA Named a Leader in Marketing Measurement and Optimization Services, Q1 2026 Report by Independent Research Firm | Ipsos</t>
  </si>
  <si>
    <t>https://itprofiles.com/services/media-planning-and-buying/united-states</t>
  </si>
  <si>
    <t>Top-Performing Media Planning and Buying Companies in United States Ranked by ITP Score – Jul 2026 | ITProfiles</t>
  </si>
  <si>
    <t>MuteSix, Tinuiti, GroupM, Omnicom Media Group, Dentsu, Horizon Media</t>
  </si>
  <si>
    <t>https://itprofiles.com/services/ppc/united-states</t>
  </si>
  <si>
    <t>Top PPC Companies in United States – ITP Rankings for Jul 2026 | ITProfiles</t>
  </si>
  <si>
    <t>Momentum, Measured, Clutch, Thrive Internet Marketing Agency, Wpromote, Marcel Digital, Tinuiti, Seer Interactive</t>
  </si>
  <si>
    <t>https://www.itsoftexpert.com/usa/blog/itsoftexpert-client-success-stories-revenue-growth</t>
  </si>
  <si>
    <t>Real Client Results: How ITSoftExpert Helped 252+ Companies Scale Revenue</t>
  </si>
  <si>
    <t>https://www.j29creative.com/</t>
  </si>
  <si>
    <t>J29 Creative Group a Full-Service Creative Marketing Agency</t>
  </si>
  <si>
    <t>https://www.jellyfishtechnologies.com/top-digital-transformation-companies/</t>
  </si>
  <si>
    <t>Top 10 Digital Transformation Companies &amp;amp; Consulting Firms</t>
  </si>
  <si>
    <t>McKinsey, Huge, Jellyfish, Clutch, Deloitte Digital, Anomaly, IBM</t>
  </si>
  <si>
    <t>https://www.justuno.com/case-studies/mutesix-powers-full-funnel-marketing/</t>
  </si>
  <si>
    <t>MuteSix Agency - Justuno</t>
  </si>
  <si>
    <t>https://www.kailos.ai/ai-marketing-consulting-and-integration</t>
  </si>
  <si>
    <t>AI Marketing Consulting for B2B Firms — Kailos Marketing Lab</t>
  </si>
  <si>
    <t>https://kanerika.com/blogs/ai-marketing-automation-tools/</t>
  </si>
  <si>
    <t>Best AI Marketing Automation Tools in 2026: Reviewed</t>
  </si>
  <si>
    <t>https://keends.com/blog/top-marketing-mix-modeling-companies/</t>
  </si>
  <si>
    <t>Top marketing mix modeling companies compared | Keen</t>
  </si>
  <si>
    <t>Rockerbox, Recast, Measured, Nielsen, Neustar, Analytic Partners, Gain Theory, WPP, BCG, TransUnion</t>
  </si>
  <si>
    <t>https://www.kiwop.com/en/marketing-attribution</t>
  </si>
  <si>
    <t>Marketing Attribution &amp;amp; MMM | Measure True ROI | Kiwop</t>
  </si>
  <si>
    <t>Rockerbox, Northbeam, LifeSight, Measured</t>
  </si>
  <si>
    <t>https://www.klientboost.com/</t>
  </si>
  <si>
    <t>KlientBoost - Outcome Marketing Agency 2026</t>
  </si>
  <si>
    <t>KlientBoost, Clutch</t>
  </si>
  <si>
    <t>https://www.klientboost.com/services/</t>
  </si>
  <si>
    <t>KlientBoost Services - Online Marketing Services for 2026</t>
  </si>
  <si>
    <t>https://www.klientboost.com/services/google-ads-agency/</t>
  </si>
  <si>
    <t>Google Ads Agency | Expert PPC Management for B2B &amp;amp; SaaS | KlientBoost</t>
  </si>
  <si>
    <t>KlientBoost, Clutch, Measured</t>
  </si>
  <si>
    <t>https://www.konstructdigital.com/seo/best-geo-companies/</t>
  </si>
  <si>
    <t>The Best GEO Companies</t>
  </si>
  <si>
    <t>WebFX, First Page Sage, Intero Digital, iPullRank, Seer Interactive</t>
  </si>
  <si>
    <t>https://www.kovlystudio.com/blog/boutique-digital-marketing-firm</t>
  </si>
  <si>
    <t>Boutique Digital Marketing Firm Guide for Smart Brands</t>
  </si>
  <si>
    <t>NinjaPromo, Clutch, Major Tom</t>
  </si>
  <si>
    <t>https://www.kuehne-nagel.com/us/services/customs-clearance</t>
  </si>
  <si>
    <t>Customs Clearance &amp;amp; AEO Brokerage Services | Kuehne+Nagel United States</t>
  </si>
  <si>
    <t>https://www.kuehne-nagel.com/us/services/customs-clearance/customs-and-trade-consultancy#:~:text=United%20States%20of%20America%20%2D%20U.S.%20Customs,Health%20Inspection%20Service%20(APHIS)%20%2D%20Federal%20Register.</t>
  </si>
  <si>
    <t>Customs and trade consultancy services | Customs optimization | Kuehne+Nagel United States</t>
  </si>
  <si>
    <t>https://lasersightdigital.com/blog/best-amazon-agency-top-picks</t>
  </si>
  <si>
    <t>Best Amazon Agency in 2026: Top 10 Picks Ranked — Laser Sight Digital</t>
  </si>
  <si>
    <t>Clutch, Tinuiti, Ignite Visibility</t>
  </si>
  <si>
    <t>https://www.latimes.com/b2b/industry-lists/top-ad-agencies/tbwa-chiat-day-los-angeles</t>
  </si>
  <si>
    <t>TBWA\Chiat\Day Los Angeles - #8 Largest Advertising Agency in SoCal - Los Angeles Times</t>
  </si>
  <si>
    <t>https://lawrencebros.com/top-7-marketing-attribution-software-platforms-for-2026/</t>
  </si>
  <si>
    <t>Top 7 Marketing Attribution Software Platforms for 2026 - Lawrence Bros</t>
  </si>
  <si>
    <t>HockeyStack, Triple Whale, Northbeam, Ruler Analytics</t>
  </si>
  <si>
    <t>https://www.lazarev.agency/services/ui-ux-consulting</t>
  </si>
  <si>
    <t>UI UX consulting for AI-native B2B products | Lazarev.agency</t>
  </si>
  <si>
    <t>https://www.leadgem.nl/resources/best-growth-marketing-agencies</t>
  </si>
  <si>
    <t>LeadGem - Outbound Systems</t>
  </si>
  <si>
    <t>Clay, Single Grain, NoGood, KlientBoost, WebFX, Disruptive Advertising, Directive, Refine Labs, Clutch</t>
  </si>
  <si>
    <t>https://leadiq.com/c/adaction/5a1d9d4223000053008d1c3e</t>
  </si>
  <si>
    <t>AdAction Company Overview, Contact Details &amp;amp; Competitors | LeadIQ</t>
  </si>
  <si>
    <t>https://learn.g2.com/best-ppc-agencies</t>
  </si>
  <si>
    <t>7 Best PPC Agencies for 2026: My Top Picks</t>
  </si>
  <si>
    <t>SmartSites, WebFX, KlientBoost, Momentum</t>
  </si>
  <si>
    <t>https://lengreo.com/ai-marketing-consulting-companies/</t>
  </si>
  <si>
    <t>16 Best AI Marketing Consulting Companies (2026)</t>
  </si>
  <si>
    <t>Clutch, NinjaPromo, Bain &amp; Company, McKinsey, QuantumBlack, PwC, BCG, Momentum</t>
  </si>
  <si>
    <t>https://lengreo.com/top-15-aeo-agencies-for-u-s-companies-in-2025/</t>
  </si>
  <si>
    <t>15 Best AEO Companies for U.S. (2026)</t>
  </si>
  <si>
    <t>Marcel Digital, NoGood, Avenue Z, WebFX, Clutch</t>
  </si>
  <si>
    <t>https://lifesight.io/?trk=public_post_main-feed-card-text</t>
  </si>
  <si>
    <t>https://linea-analytics.com/</t>
  </si>
  <si>
    <t>Linea Analytics — True Marketing Impact Measurement (Always-on MMM)</t>
  </si>
  <si>
    <t>https://lineardesign.com/blog/pay-per-click-advertising-company/</t>
  </si>
  <si>
    <t>Pay Per Click Advertising Company: 10 Best Powerful Picks 2025</t>
  </si>
  <si>
    <t>https://www.linkedin.com/company/analytics-pros</t>
  </si>
  <si>
    <t>Analytics Pros | LinkedIn</t>
  </si>
  <si>
    <t>Adswerve, InfoTrust, Tinuiti, Monks, Acxiom</t>
  </si>
  <si>
    <t>https://www.linkedin.com/company/artefact-global</t>
  </si>
  <si>
    <t>Artefact | LinkedIn</t>
  </si>
  <si>
    <t>Artefact, IBM, Momentum, BCG</t>
  </si>
  <si>
    <t>https://www.linkedin.com/company/the-social-shepherd</t>
  </si>
  <si>
    <t>The Social Shepherd | LinkedIn</t>
  </si>
  <si>
    <t>The Social Shepherd, Huge</t>
  </si>
  <si>
    <t>https://www.linkedin.com/company/vaynermedia</t>
  </si>
  <si>
    <t>VaynerMedia | LinkedIn</t>
  </si>
  <si>
    <t>VaynerMedia, Huge, DEPT, Ogilvy, Dentsu, VML, Publicis Groupe</t>
  </si>
  <si>
    <t>https://www.linkedin.com/posts/clutch-co_bestofclutch-digitalmarketing-webdevelopment-activity-7323717286719090688-G6i3</t>
  </si>
  <si>
    <t>#bestofclutch #digitalmarketing #webdevelopment #webdesign | Clutch | 20 comments</t>
  </si>
  <si>
    <t>Clutch, Ignite Visibility, Victorious, Huge</t>
  </si>
  <si>
    <t>https://www.linkedin.com/posts/clutch-co_top-15-ppc-agencies-clutch-global-fall-2025-activity-7421548745084932096-DYA_</t>
  </si>
  <si>
    <t>Top 15 PPC Agencies: Clutch Global Fall 2025 | Clutch | 10 comments</t>
  </si>
  <si>
    <t>Clutch, KlientBoost, Disruptive Advertising, AdVenture Media, HawkSEM, Elit-Web, SmartSites</t>
  </si>
  <si>
    <t>https://www.linkedin.com/pulse/10-best-answer-engine-optimization-aeo-agencies-2026-nick-malekos-tkzqf</t>
  </si>
  <si>
    <t>12 Best Answer Engine Optimization (AEO) Agencies in 2026</t>
  </si>
  <si>
    <t>NoGood, iPullRank, Victorious, Clutch, Ignite Visibility, First Page Sage, Graphite</t>
  </si>
  <si>
    <t>https://www.linkedin.com/pulse/30-leading-graphic-design-companies-making-global-impact-lti6f</t>
  </si>
  <si>
    <t>30 Top Graphic Design Companies Revolutionizing the Industry</t>
  </si>
  <si>
    <t>Pentagram, Wolff Olins, AKQA</t>
  </si>
  <si>
    <t>https://www.linkedin.com/pulse/ai-seo-agencies-softtrix-web-solutions-zaxtc</t>
  </si>
  <si>
    <t>Top 10 AI SEO Agencies in USA</t>
  </si>
  <si>
    <t>Clutch, Victorious, Directive, Intero Digital, WebFX, Ignite Visibility, Thrive Internet Marketing Agency, SmartSites, iPullRank, Siege Media</t>
  </si>
  <si>
    <t>https://www.linkedin.com/pulse/deconstructing-common-solutions-first-party-data-pierre-cholet-booce</t>
  </si>
  <si>
    <t>Deconstructing common solutions for first-party data activation</t>
  </si>
  <si>
    <t>https://linkupst.com/design/blog-design/new-york-design-agencies</t>
  </si>
  <si>
    <t>Top New York Design Agencies to Work With in 2026 | Linkup ST</t>
  </si>
  <si>
    <t>Pentagram, Clutch, Momentum</t>
  </si>
  <si>
    <t>https://www.loopexdigital.com/blog/best-seo-companies-for-phoenix-market</t>
  </si>
  <si>
    <t>Top SEO Companies in Phoenix, AZ for 2026</t>
  </si>
  <si>
    <t>https://www.lotame.com/resources/agency-data-strategist-guide/</t>
  </si>
  <si>
    <t>Agency Data Strategist Guide to Identity Resolution &amp;amp; DSPs</t>
  </si>
  <si>
    <t>https://lotusbrainsstudio.com/ai-automation-agency-london/</t>
  </si>
  <si>
    <t>AI Agency London: Best 15 Providers Compared By Experts</t>
  </si>
  <si>
    <t>https://lseo.com/blog/generative-engine-optimization/the-best-generative-engine-optimization-geo-agencies-of-2026/</t>
  </si>
  <si>
    <t>The Best Generative Engine Optimization (GEO) Agencies of 2026 – LSEO</t>
  </si>
  <si>
    <t>WebFX, iPullRank, First Page Sage, Huge, Siege Media, Intero Digital, NoGood</t>
  </si>
  <si>
    <t>https://luckie.com/about-us/</t>
  </si>
  <si>
    <t>About - Luckie &amp;amp; Co.</t>
  </si>
  <si>
    <t>https://www.lumenlimitless.com/services/ai-consulting</t>
  </si>
  <si>
    <t>AI Readiness Consulting &amp;amp; Roadmap Development | Lumen Limitless</t>
  </si>
  <si>
    <t>https://lunarailab.com/blog/2026/03/04/top-5-ai-agent-adoption-agencies-in-2026/</t>
  </si>
  <si>
    <t>Top 5 AI Agent Adoption Agencies in 2026 - Lunar AI Lab</t>
  </si>
  <si>
    <t>Slalom, Fractal Analytics, Measured</t>
  </si>
  <si>
    <t>https://www.lyfemarketing.com/blog/top-travel-tourism-marketing-agencies-us/</t>
  </si>
  <si>
    <t>Top 20 Travel &amp;amp; Tourism Marketing Agencies in US 2026</t>
  </si>
  <si>
    <t>LYFE Marketing, Noble Studios</t>
  </si>
  <si>
    <t>https://lymlyt.pro/blog/best-ai-marketing-agencies/</t>
  </si>
  <si>
    <t>10 Best AI Marketing Agencies for B2B SaaS (2026)</t>
  </si>
  <si>
    <t>NoGood, Single Grain, Directive, NP Digital, Omniscient Digital, NinjaPromo, Monks, Keenfolks, Hawke Media, Clutch, Measured</t>
  </si>
  <si>
    <t>https://m.economictimes.com/industry/services/advertising/bcg-sees-wider-ai-execution-gap-in-india-as-marketers-prepare-for-agentic-ai/articleshow/132398248.cms</t>
  </si>
  <si>
    <t>BCG sees wider AI execution gap in India as marketers prepare for agentic AI - The Economic Times</t>
  </si>
  <si>
    <t>BCG, Kantar, Publicis Sapient, WPP, IBM, Momentum</t>
  </si>
  <si>
    <t>https://m.economictimes.com/small-biz/security-tech/technology/beyond-seo-the-new-rules-of-brand-discoverability-in-the-ai-era/articleshow/132474370.cms</t>
  </si>
  <si>
    <t>Beyond SEO: The new rules of brand discoverability in the AI era - The Economic Times</t>
  </si>
  <si>
    <t>IBM, Momentum</t>
  </si>
  <si>
    <t>https://mackmediagroup.com/5-ways-a-marketing-agency-can-help-your-small-business/</t>
  </si>
  <si>
    <t>5 Ways Marketing Agencies Boost Small Business Success</t>
  </si>
  <si>
    <t>https://madgicx.com/blog/ai-marketing-analytics-dashboard-platforms</t>
  </si>
  <si>
    <t>10 Top AI Marketing Analytics Dashboard Platforms for 2026</t>
  </si>
  <si>
    <t>McKinsey, BCG, Anomaly, Huge</t>
  </si>
  <si>
    <t>https://www.makingscience.com/blog/making-science-expands-us-service-offerings-with-new-google-marketing-platform-sales-partner-certification/</t>
  </si>
  <si>
    <t>Making Science expands US service offerings with new Google Marketing Platform Sales Partner Certification - Making Science</t>
  </si>
  <si>
    <t>https://www.manilatimes.net/2026/07/15/tmt-newswire/globenewswire/avalon-globocare-expands-ai-product-portfolio-with-planned-launch-of-beacon-an-agentic-generative-engine-optimization-platform-for-small-businesses/2385137</t>
  </si>
  <si>
    <t>Avalon GloboCare Expands AI Product Portfolio with Planned Launch of Beacon, an Agentic Generative Engine Optimization Platform for Small Businesses | The Manila Times</t>
  </si>
  <si>
    <t>https://www.manning.com/books/first-party-data-activation</t>
  </si>
  <si>
    <t>First-Party Data Activation - Alina D. Magauova, Oscar Kennis, and David H. Joosten</t>
  </si>
  <si>
    <t>https://www.marceldigital.com/services/answer-engine-optimization#:~:text=Frequently%20Asked%20Questions%20%2D%20What%20is%20Answer,in%20AI%20Overviews%20and%20other%20answer%20engines%3F</t>
  </si>
  <si>
    <t>Answer Engine Optimization (AEO) Services | Marcel Digital</t>
  </si>
  <si>
    <t>https://marketbridge.com/services/marketing-analytics-data/test-learn/</t>
  </si>
  <si>
    <t>Test &amp;amp; Learn - Marketbridge</t>
  </si>
  <si>
    <t>https://marketerhire.com/blog/aeo-agency#:~:text=What%20an%20AEO%20Agency%20Does.%20An%20AEO,The%20core%20services%20usually%20include%3A%20Content%20restructuring.</t>
  </si>
  <si>
    <t>What an AEO Agency Actually Does (and How to Hire One That Works)</t>
  </si>
  <si>
    <t>https://marketerhire.com/blog/b2c-marketing-agency</t>
  </si>
  <si>
    <t>10 Best B2C Marketing Agencies in 2025</t>
  </si>
  <si>
    <t>Sociallyin, Power Digital, Tinuiti, Triple Whale, Rockerbox, HawkSEM</t>
  </si>
  <si>
    <t>https://marketerhire.com/blog/media-buying-agencies</t>
  </si>
  <si>
    <t>25 Best Media Buying Agencies in 2025</t>
  </si>
  <si>
    <t>Momentum, Percepture, Hawke Media, Avenue Z, Clutch</t>
  </si>
  <si>
    <t>https://www.marketingaiinstitute.com/marketing-ai-consulting</t>
  </si>
  <si>
    <t>AI Consulting | Marketing AI Institute | SmarterX</t>
  </si>
  <si>
    <t>https://www.marketingattribution.com/marketing-mix-models/</t>
  </si>
  <si>
    <t>Marketing Mix Models | Marketing Attribution</t>
  </si>
  <si>
    <t>https://www.marketingdive.com/news/barkleyokrp-acquires-adlucent-performance-marketing-capabilities/715249/</t>
  </si>
  <si>
    <t>BarkleyOKRP acquires Adlucent to boost performance marketing capabilities | Marketing Dive</t>
  </si>
  <si>
    <t>https://marketingltb.com/blog/agency/best-email-marketing-agencies/</t>
  </si>
  <si>
    <t>10 Best Email Marketing Agencies in 2026 - Marketing LTB</t>
  </si>
  <si>
    <t>Hawke Media, Clutch</t>
  </si>
  <si>
    <t>https://marketingltb.com/blog/agency/best-google-ads-agencies/</t>
  </si>
  <si>
    <t>10 Best Google Ads Agencies in 2026 - Marketing LTB</t>
  </si>
  <si>
    <t>KlientBoost, Ignite Visibility, SmartSites, Directive, LYFE Marketing, Clutch, Thrive Internet Marketing Agency</t>
  </si>
  <si>
    <t>https://marketingltb.com/blog/agency/best-tourism-digital-marketing-agencies/</t>
  </si>
  <si>
    <t>10 Best Tourism Digital Marketing Agencies in 2026 - Marketing LTB</t>
  </si>
  <si>
    <t>Noble Studios, WebFX, Clutch</t>
  </si>
  <si>
    <t>https://www.marketingmonk.so/agency-directory/country/united%20states/service/conversion-optimization?page=2</t>
  </si>
  <si>
    <t>https://marketingplatform.google.com/about/enterprise/</t>
  </si>
  <si>
    <t>Enterprise Advertising &amp; Analytics Solutions - Google Marketing Platform</t>
  </si>
  <si>
    <t>https://marketingplatform.google.com/about/partners/find-a-partner</t>
  </si>
  <si>
    <t>https://marketingplatform.google.com/about/partners/find-a-partner?category=206</t>
  </si>
  <si>
    <t>https://marketplace.shopperapproved.com/</t>
  </si>
  <si>
    <t>Find the right Shopper Approved Service Partner</t>
  </si>
  <si>
    <t>https://markovate.com/top-ai-development-companies/</t>
  </si>
  <si>
    <t>Top AI Development Companies in 2026 - Markovate</t>
  </si>
  <si>
    <t>https://marrinadecisions.com/mmm-vs-attribution-in-2026-which-one-drives-revenue-when-you-need-both/</t>
  </si>
  <si>
    <t>MMM Vs. Attribution in 2026: Which One Drives Revenue &amp;amp; When You Need Both - Marrina Decisions</t>
  </si>
  <si>
    <t>https://martal.ca/integrated-marketing-agencies-lb/</t>
  </si>
  <si>
    <t>Top Integrated Marketing Agencies: ROI-Driven Guide for 2026</t>
  </si>
  <si>
    <t>McKinsey, Measured, Dentsu, Thrive Internet Marketing Agency, Intero Digital, Clutch</t>
  </si>
  <si>
    <t>https://matomo.org/blog/2024/03/incrementality-testing/</t>
  </si>
  <si>
    <t>Incrementality Testing: Quick-Start Guide (With Calculations) - Analytics Platform - Matomo</t>
  </si>
  <si>
    <t>https://www.maximuslabs.ai/answer-engine-optimizations/technical-aeo-agency</t>
  </si>
  <si>
    <t>10 Best Agencies for Technical AEO in 2025, Metrics Evaluated: Pricing, ROI &amp;amp; Reviews</t>
  </si>
  <si>
    <t>Funnel Boost Media, Victorious, NinjaPromo, SmartSites, Intero Digital, Clutch, Measured</t>
  </si>
  <si>
    <t>https://www.mayple.com/resources/paid-advertising/top-digital-marketing-companies-in-the-us</t>
  </si>
  <si>
    <t>Top 10 Digital Marketing Companies - Hire the...</t>
  </si>
  <si>
    <t>https://www.mckinsey.com/capabilities/growth-marketing-and-sales/how-we-help-clients/cmac</t>
  </si>
  <si>
    <t>Consumer Marketing Analytics Center | Growth, Marketing &amp; Sales | McKinsey &amp; Company</t>
  </si>
  <si>
    <t>https://www.mcsaatchiperformance.com/what-we-do/display/</t>
  </si>
  <si>
    <t>Display Advertising Agency | M+C Saatchi Performance</t>
  </si>
  <si>
    <t>https://measpublishing.co.uk/top-geo-agencies-in-the-uk-for-ai-search-performance-marketing</t>
  </si>
  <si>
    <t>Top GEO Agencies in the UK for AI Search Performance Marketing</t>
  </si>
  <si>
    <t>First Page Sage, Single Grain, iPullRank, Silverback Strategies</t>
  </si>
  <si>
    <t>https://www.measured.com/blog/%F0%9F%9A%80-unleashing-the-power-of-incrementality-the-all-new-measured-platform/</t>
  </si>
  <si>
    <t>🚀 Unleashing the Power of Incrementality: The All-New Measured Platform</t>
  </si>
  <si>
    <t>https://www.measured.com/faq/ad-measurement-the-complete-2026-guide-to-accurate-actionable-marketing-analytics/</t>
  </si>
  <si>
    <t>Ad Measurement: The Complete 2026 Guide to Accurate, Actionable Marketing Analytics | Measured®</t>
  </si>
  <si>
    <t>Measured, Clay, Nielsen, Kantar, Anomaly</t>
  </si>
  <si>
    <t>https://www.measured.com/incrementality-platform-overview/</t>
  </si>
  <si>
    <t>Measured Platform for Media Effectiveness: Overview</t>
  </si>
  <si>
    <t>https://www.measured.com/media-mix-modeling/</t>
  </si>
  <si>
    <t>Measured Platform: Media Mix Modeling (MMM)</t>
  </si>
  <si>
    <t>https://www.medianug.com/blog/10-paid-media-agencies-to-elevate-your-marketing-strategy-in-2026</t>
  </si>
  <si>
    <t>10 Paid Media Agencies to Elevate Your Marketing Strategy in 2026</t>
  </si>
  <si>
    <t>Directive, Power Digital, Wpromote, Tinuiti, NP Digital, KlientBoost, Disruptive Advertising, VaynerMedia, WebFX</t>
  </si>
  <si>
    <t>https://www.medianug.com/blog/paid-social-advertising-agency-vs-performance-marketing-agency-which-does-your-business-actually-need</t>
  </si>
  <si>
    <t>Paid Social Advertising Agency vs. Performance Marketing Agency: Which Does Your Business Actually Need?</t>
  </si>
  <si>
    <t>https://www.mediapost.com/publications/article/407384/omd-repeats-as-top-ranked-us-media-agency-by-billi.html</t>
  </si>
  <si>
    <t>OMD Repeats As Top-Ranked US Media Agency By Billings 07/15/2025</t>
  </si>
  <si>
    <t>Horizon Media, Omnicom Media Group, WPP, Measured</t>
  </si>
  <si>
    <t>https://mediavision2020.com/top-50-geofencing-companies-in-2026/#:~:text=Goodway%20Group%20%E2%80%93%20Enterprise%2Dlevel%20programmatic%20agency%20using,Boutique%20agency%20focused%20on%20precise%20geographic%20targeting.</t>
  </si>
  <si>
    <t>Top 50 Geofencing Companies in 2026</t>
  </si>
  <si>
    <t>WebFX, Silverback Strategies, Ignite Visibility, Thrive Internet Marketing Agency, iPullRank, IBM</t>
  </si>
  <si>
    <t>https://medium.com/@naiya.sharma_75305/10-best-digital-marketing-agencies-trusted-by-leading-brands-in-the-usa-db172483a516</t>
  </si>
  <si>
    <t>10+ Best Digital Marketing Agencies Trusted by Leading Brands in the USA | by Naiya Sharma | Medium</t>
  </si>
  <si>
    <t>Ogilvy, IBM, Dentsu, Merkle, Accenture Song, Deloitte Digital, BBDO, Omnicom Media Group, Publicis Groupe, Epsilon, Wieden+Kennedy</t>
  </si>
  <si>
    <t>https://medium.com/data-science-at-microsoft/how-do-you-know-your-ai-actually-works-b1a380a07825</t>
  </si>
  <si>
    <t>AI evals platforms: A comparative guide for production AI systems | by Francesca Lazzeri | Data Science + AI at Microsoft | Medium</t>
  </si>
  <si>
    <t>https://www.meioemensagem.com.br/comunicacao/agency-report-omnicom-lidera-e-publicis-ultrapassa-wpp</t>
  </si>
  <si>
    <t>Agency Report: Omnicom lidera e Publicis ultrapassa WPP</t>
  </si>
  <si>
    <t>WPP, Publicis Groupe, Accenture Song, Dentsu, Deloitte Digital, IBM, R/GA</t>
  </si>
  <si>
    <t>https://www.merkle.com/en/about-us/partnerships/google.html</t>
  </si>
  <si>
    <t>Merkle &amp;amp; Google Partnership - GMP &amp;amp; GCP Expertise | Merkle</t>
  </si>
  <si>
    <t>Merkle, Dentsu</t>
  </si>
  <si>
    <t>https://www.merkle.com/en/merkle-now/press-releases/2023/merkle-launches-uk-s-largest-and-first-ai-enabled-google-technol.html</t>
  </si>
  <si>
    <t>Merkle Launches UK’s Largest and First AI-Enabled Google Technology Practice</t>
  </si>
  <si>
    <t>Merkle, Dentsu, Huge, iProspect</t>
  </si>
  <si>
    <t>https://www.metabrand.digital/learn/creative-agencies-to-watch</t>
  </si>
  <si>
    <t>Creative Agencies for Startups to Watch in 2026 — Bold Design Leaders</t>
  </si>
  <si>
    <t>https://metaflow.life/blog/best-ai-native-marketing-agencies-2026</t>
  </si>
  <si>
    <t>NoGood, Power Digital, Animalz, Victorious, iPullRank</t>
  </si>
  <si>
    <t>https://www.midastouchinfotech.com/leading-digital-marketing-agencies-usa/</t>
  </si>
  <si>
    <t>List of Top Digital Marketing Agency in USA to Drive Business Growth</t>
  </si>
  <si>
    <t>Dentsu, Thrive Internet Marketing Agency, SmartSites, PMG</t>
  </si>
  <si>
    <t>https://mikekhorev.com/ai-seo-agency-for-software</t>
  </si>
  <si>
    <t>How to Hire an AI SEO Agency That Gets Real Results for Software Companies</t>
  </si>
  <si>
    <t>https://mikekhorev.com/top-performing-geo-agencies</t>
  </si>
  <si>
    <t>The Best Performing GEO Agencies</t>
  </si>
  <si>
    <t>https://minuttia.com/best-aeo-agencies/#:~:text=Now%20Over%20to%20You.%20HUMAN%20CRAFTED.%20This,Now%2C%20let's%20discuss%20each%20agency%20in%20detail.</t>
  </si>
  <si>
    <t>10 Best Answer Engine Optimization (AEO) Agencies in July, 2026</t>
  </si>
  <si>
    <t>Single Grain, First Page Sage, Siege Media, iPullRank, Avenue Z, NoGood, Clutch</t>
  </si>
  <si>
    <t>https://minuttia.com/best-ai-seo-agencies/</t>
  </si>
  <si>
    <t>10 Best AI SEO Agencies in July, 2026 - Minuttia</t>
  </si>
  <si>
    <t>iPullRank, Go Fish Digital, NoGood, Clutch</t>
  </si>
  <si>
    <t>https://www.mkt-sci.com/</t>
  </si>
  <si>
    <t>https://mma.com/solutions/agile-attribution/</t>
  </si>
  <si>
    <t>Privacy-Safe Agile Attribution Solutions - Ipsos MMA</t>
  </si>
  <si>
    <t>https://www.moburst.com/blog/top-media-buying-agencies/</t>
  </si>
  <si>
    <t>Top 10 Media Buying Agencies | Moburst</t>
  </si>
  <si>
    <t>Dentsu, inBeat, Single Grain, Percepture</t>
  </si>
  <si>
    <t>https://www.monks.com/partners/google-marketing-platform</t>
  </si>
  <si>
    <t>Google Marketing Platform | Partnerships | Monks</t>
  </si>
  <si>
    <t>Monks, Momentum</t>
  </si>
  <si>
    <t>https://movingminds.io/famous-marketing-agencies/#:~:text=A%20wild%2C%20funny%20twist%20can,rules%E2%80%94they%20rewrite%20'em.</t>
  </si>
  <si>
    <t>Famous Marketing Agencies: Iconic Campaigns &amp;amp; Flops</t>
  </si>
  <si>
    <t>Wieden+Kennedy, BBDO, Droga5, TBWA\Chiat\Day, Anomaly</t>
  </si>
  <si>
    <t>https://www.munro.agency/best-ai-seo-agencies-in-the-usa/</t>
  </si>
  <si>
    <t>20 Best AI SEO Agencies in the USA</t>
  </si>
  <si>
    <t>iPullRank, Omniscient Digital, Momentum, First Page Sage, RevenueZen, WebFX, Single Grain, NoGood, Victorious, Intero Digital, Thrive Internet Marketing Agency, Noble Studios</t>
  </si>
  <si>
    <t>https://www.munro.agency/insights/top-marketing-companies-in-the-world/</t>
  </si>
  <si>
    <t>Top 50 Marketing Companies in the World Ranked by Revenue - The Munro Agency</t>
  </si>
  <si>
    <t>IBM, Croud, R/GA, AKQA, VML, Ogilvy, Publicis Sapient, WPP, Digitas, Dentsu, Publicis Groupe, Accenture Song, Deloitte Digital, PwC, BCG, McKinsey</t>
  </si>
  <si>
    <t>https://www.munro.agency/top-10-paid-media-agencies/</t>
  </si>
  <si>
    <t>https://mutesix.com/</t>
  </si>
  <si>
    <t>Performance Marketing Agency | Advertising Marketing Group</t>
  </si>
  <si>
    <t>MuteSix, Measured</t>
  </si>
  <si>
    <t>https://myohomarketing.com.au/generative-engine-optimisation/</t>
  </si>
  <si>
    <t>Generative Engine Optimisation (GEO) Services | Leading GEO Agency in Australia - Myoho Marketing</t>
  </si>
  <si>
    <t>https://www.mythology.com/blog/most-creative-agency-nyc</t>
  </si>
  <si>
    <t>Blog - Best Creative Agency in New York City</t>
  </si>
  <si>
    <t>Droga5, R/GA, Anomaly, Pentagram, 72andSunny</t>
  </si>
  <si>
    <t>https://neilpatel.com/blog/challenge-of-marketing-attribution/</t>
  </si>
  <si>
    <t>How High-Growth Companies Actually Measure Marketing</t>
  </si>
  <si>
    <t>NP Digital, Measured, Northbeam, Triple Whale, Rockerbox</t>
  </si>
  <si>
    <t>https://www.neowork.com/insights/marketing-analytics-outsourcing-companies</t>
  </si>
  <si>
    <t>13 Best Marketing Analytics Outsourcing Companies (2026)</t>
  </si>
  <si>
    <t>https://netpeak.us/cases/</t>
  </si>
  <si>
    <t>Case Studies ▷ Real Results from 8,500+ Digital Marketing Projects | Netpeak Agency US</t>
  </si>
  <si>
    <t>https://netpeak.us/services/generative-engine-optimization/</t>
  </si>
  <si>
    <t>▷ Generative Engine Optimization Services (SEO for AI, LLMO, GEO) — Netpeak Agency USA</t>
  </si>
  <si>
    <t>https://newcombin.com/success-stories/</t>
  </si>
  <si>
    <t>LATAM Talent Success Stories &amp;amp; Case Studies | NewCombin</t>
  </si>
  <si>
    <t>https://www.newform.com/guides/best-performance-creative-agencies-nyc-2026</t>
  </si>
  <si>
    <t>Best Performance Creative Agencies in NYC for 2026 (Ranked) | NewForm</t>
  </si>
  <si>
    <t>Darkroom, inBeat, NoGood, Tinuiti, Power Digital, Directive, Droga5, Wieden+Kennedy, Ogilvy, R/GA, Huge</t>
  </si>
  <si>
    <t>https://ninjapromo.io/top-google-ads-agencies</t>
  </si>
  <si>
    <t>12 Best Google Ads Agencies for High-Scale PPC Growth in 2026</t>
  </si>
  <si>
    <t>NinjaPromo, WebFX, Clutch, MuteSix, Single Grain</t>
  </si>
  <si>
    <t>https://ninjapromo.io/top-graphic-design-companies</t>
  </si>
  <si>
    <t>15 Best Graphic Design Companies Redefining Visual Identity</t>
  </si>
  <si>
    <t>NinjaPromo, McKinsey, Pentagram, Superside, IBM, Clutch</t>
  </si>
  <si>
    <t>https://www.niracore.com/top-data-analytics-companies-usa-2026/</t>
  </si>
  <si>
    <t>Top Data Analytics Companies in USA (2026)</t>
  </si>
  <si>
    <t>https://nogood.io/blog/b2b-marketing-agencies/</t>
  </si>
  <si>
    <t>The Best B2B Marketing Agencies in 2026 | NoGood</t>
  </si>
  <si>
    <t>NoGood, Merkle, Clutch, Jellyfish, Viral Nation, IBM, Disruptive Advertising, Brandtech, Momentum</t>
  </si>
  <si>
    <t>https://nogood.io/blog/best-answer-engine-optimization-agencies/</t>
  </si>
  <si>
    <t>Best Answer Engine Optimization (AEO) Agencies 2026 | NoGood</t>
  </si>
  <si>
    <t>NoGood, Avenue Z, iPullRank, Amsive, RevenueZen, Go Fish Digital, Omniscient Digital, Marcel Digital</t>
  </si>
  <si>
    <t>https://nogood.io/blog/branding-agencies/#:~:text=AKQA%20at%20%232%20earns%20its%20position%20through,way%20that%20few%20agencies%20can%20credibly%20claim.</t>
  </si>
  <si>
    <t>The Best Branding Agencies in 2026 | NoGood</t>
  </si>
  <si>
    <t>NoGood, Pentagram, Anomaly, AKQA, Dentsu, WPP</t>
  </si>
  <si>
    <t>https://nogood.io/blog/digital-marketing-agencies-new-york/</t>
  </si>
  <si>
    <t>Top Digital Marketing Agencies in New York for 2026 | NoGood</t>
  </si>
  <si>
    <t>NoGood, Clutch, Wpromote, VaynerMedia, inBeat, Power Digital, Major Tom</t>
  </si>
  <si>
    <t>https://nogood.io/blog/global-marketing-agencies/</t>
  </si>
  <si>
    <t>The Best Global Marketing Agencies in 2026 | NoGood</t>
  </si>
  <si>
    <t>NoGood, Clutch, Digitas, Publicis Groupe, Omnicom Media Group, Viral Nation</t>
  </si>
  <si>
    <t>https://nogood.io/blog/instagram-marketing-agencies/</t>
  </si>
  <si>
    <t>The Instagram Marketing Agencies for 2026 | NoGood</t>
  </si>
  <si>
    <t>NoGood, inBeat, Viral Nation, Sociallyin, LYFE Marketing, Storm Brain, Clutch</t>
  </si>
  <si>
    <t>https://nogood.io/blog/marketing-attribution-tools/</t>
  </si>
  <si>
    <t>Top 10 Marketing Attribution Tools for 2025 [Updated] | NoGood</t>
  </si>
  <si>
    <t>NoGood, Measured, Rockerbox, LifeSight, Triple Whale, Northbeam</t>
  </si>
  <si>
    <t>https://northquery.com/best-aeo-agency/enterprise</t>
  </si>
  <si>
    <t>Best AEO Agency for Enterprise 2026: I Ranked 8 (With Honest Scores) | Northquery</t>
  </si>
  <si>
    <t>Siege Media, Wpromote, Jellyfish, Merkle, Dentsu, Graphite, NP Digital</t>
  </si>
  <si>
    <t>https://www.norvelljefferson.com/insights/top-25-creative-agencies-amsterdam-2026</t>
  </si>
  <si>
    <t>Top 25 Creative Agencies in Amsterdam 2026||Top 25 Creative Agencies in Amsterdam 2026</t>
  </si>
  <si>
    <t>Wieden+Kennedy, Dentsu, Publicis Groupe, Monks, 72andSunny, Ogilvy</t>
  </si>
  <si>
    <t>https://www.nutshell.com/blog/best-ai-seo-companies</t>
  </si>
  <si>
    <t>The 7 Best AI SEO Companies You Can Hire to Get Results</t>
  </si>
  <si>
    <t>Clutch, WebFX, The SEO Works</t>
  </si>
  <si>
    <t>https://nuundigital.com/insights/strategy/top-growth-agencies-north-america</t>
  </si>
  <si>
    <t>Top Growth Agencies in North America 2026 | NUUN Digital | NUUN Digital</t>
  </si>
  <si>
    <t>Tinuiti, Wpromote, NoGood, Jellyfish, VaynerMedia, R/GA, Huge, AKQA, Single Grain, Brandtech, WPP, GroupM, Dentsu, Measured, MuteSix</t>
  </si>
  <si>
    <t>https://www.nv5.com/geospatial/</t>
  </si>
  <si>
    <t>NV5 Geospatial Solutions &amp;amp; Services Expertise</t>
  </si>
  <si>
    <t>https://oakpool.xyz/drift/top-10-geo-aeo-ai-search-agencies/</t>
  </si>
  <si>
    <t>Top 10 GEO Agencies for AI Search in 2026</t>
  </si>
  <si>
    <t>First Page Sage, iPullRank, Seer Interactive, Intero Digital, NoGood</t>
  </si>
  <si>
    <t>https://www.ogilvy.com/</t>
  </si>
  <si>
    <t>Ogilvy, IBM</t>
  </si>
  <si>
    <t>https://www.ogilvy.com/ideas/ogilvy-recognized-worlds-most-creative-agency-network-warc-5th-consecutive-year</t>
  </si>
  <si>
    <t>Ogilvy Recognized as World’s Most Creative Agency Network by WARC for 5th Consecutive Year | Ogilvy</t>
  </si>
  <si>
    <t>Ogilvy, WPP, Graphite, Momentum, IBM, Deloitte Digital, Huge, Victorious</t>
  </si>
  <si>
    <t>https://www.ombrella.net/work/</t>
  </si>
  <si>
    <t>Marketing Case Studies | Ombrella Digital Marketing Agency</t>
  </si>
  <si>
    <t>https://www.omdena.com/blog/ai-agent-development-companies</t>
  </si>
  <si>
    <t>AI Agent Development Companies: Top Picks for 2026</t>
  </si>
  <si>
    <t>https://www.omnibound.ai/blog/first-party-data-statistics</t>
  </si>
  <si>
    <t>First-Party Data Statistics (2026): 52+ Data Points on Adoption, ROI, Privacy Drivers, and the CDP Transition</t>
  </si>
  <si>
    <t>BCG, McKinsey, Measured, Deloitte Digital</t>
  </si>
  <si>
    <t>https://www.omnius.so/blog/best-answer-engine-optimization-agencies#:~:text=2%20%7C%20Position%20Digital%20%7C%20%2F%20%7C,B2B%20SaaS%20multi%2Dsurface%20AEO%20%26%20pipeline%20attribution</t>
  </si>
  <si>
    <t>16 Best Answer Engine Optimization (AEO) Agencies in 2026</t>
  </si>
  <si>
    <t>Clutch, Omniscient Digital, iPullRank, Single Grain, Go Fish Digital, Seer Interactive</t>
  </si>
  <si>
    <t>https://www.omnius.so/blog/best-geo-agencies</t>
  </si>
  <si>
    <t>Top 15 Generative Engine Optimization (GEO) Agencies (2026)</t>
  </si>
  <si>
    <t>iPullRank, The SEO Works, First Page Sage, WebFX, Ignite Visibility, NoGood, Avenue Z, Victorious</t>
  </si>
  <si>
    <t>https://www.omnius.so/blog/marketing-agencies-for-small-businesses</t>
  </si>
  <si>
    <t>15 Best Marketing Agencies for Small Businesses in 2026</t>
  </si>
  <si>
    <t>Clutch, LYFE Marketing, Disruptive Advertising, NoGood, WebFX, NinjaPromo, Ignite Visibility, SmartSites</t>
  </si>
  <si>
    <t>https://oneclickseo.com/services/generative-engine-optimization/</t>
  </si>
  <si>
    <t>Generative Engine Optimization (GEO) — Be the Brand AI Search Engines Cite | One Click SEO</t>
  </si>
  <si>
    <t>https://www.oneclub.org/AWARDS/THEONESHOW/-archive/holdingcompany/2025/all/1/840</t>
  </si>
  <si>
    <t>One Show | Awards Archive | 2025</t>
  </si>
  <si>
    <t>BBDO, VML, Ogilvy, Dentsu, Droga5, AKQA, Monks</t>
  </si>
  <si>
    <t>https://www.oneclub.org/awards/adcawards/-archive/agency/2025/38/all/1/840</t>
  </si>
  <si>
    <t>ADC Awards | Agency Rankings | 2025 | Advertising | North America | United States</t>
  </si>
  <si>
    <t>BBDO, Accenture Song, Droga5, 72andSunny, Dentsu</t>
  </si>
  <si>
    <t>https://www.oneclub.org/awards/adcawards/-archive/agency/2025/61/all/1/all</t>
  </si>
  <si>
    <t>ADC Awards | Agency Rankings | 2025 | Interactive | North America</t>
  </si>
  <si>
    <t>https://onelittleweb.com/top-agencies/b2b-seo-agency/</t>
  </si>
  <si>
    <t>Top B2B SEO Agencies in the USA 2026 (Ranked &amp;amp; Reviewed)</t>
  </si>
  <si>
    <t>Clutch, WebFX, KlientBoost, Disruptive Advertising, Power Digital, SmartSites, Thrive Internet Marketing Agency, Intero Digital, Searchbloom, Funnel Boost Media, NinjaPromo, Siege Media, Go Fish Digital, Silverback Strategies, HawkSEM, Marcel Digital, Stratabeat, Storm Brain, Huge, Momentum</t>
  </si>
  <si>
    <t>https://onelittleweb.com/top-agencies/top-ai-seo-agencies/</t>
  </si>
  <si>
    <t>Top AI SEO Agencies 2026 – Best GEO &amp;amp; AI SEO Services</t>
  </si>
  <si>
    <t>WebFX, Intero Digital, Measured, Clutch, SmartSites, Funnel Boost Media, Elit-Web, The SEO Works, Momentum, Directive, Ignite Visibility</t>
  </si>
  <si>
    <t>https://www.onely.com/blog/best-geo-agencies-for-enterprise-brands/</t>
  </si>
  <si>
    <t>6 Best GEO Agencies for Enterprise Brands (2026) - Onely</t>
  </si>
  <si>
    <t>First Page Sage, iPullRank, Go Fish Digital, Siege Media, Intero Digital, Clutch</t>
  </si>
  <si>
    <t>https://onlineoptimism.com/learn/the-best-aeo-agencies-for-b2b-companies/</t>
  </si>
  <si>
    <t>The Best AEO Agencies for B2B Companies | Online Optimism</t>
  </si>
  <si>
    <t>https://open.spotify.com/artist/4yiB30K5scGkjmAgHGIH8Y</t>
  </si>
  <si>
    <t>T.O.P | Spotify</t>
  </si>
  <si>
    <t>https://openmoves.com/blog/the-50-best-b2b-social-media-companies/</t>
  </si>
  <si>
    <t>The 50 Best BtoB Social Media Companies - OpenMoves - Digital Marketing Agency NY</t>
  </si>
  <si>
    <t>WebFX, Clutch, The Social Shepherd, Sociallyin, Single Grain, Directive, Jellyfish, Intero Digital, Merkle, Ignite Visibility, Silverback Strategies, Power Digital, LYFE Marketing, Wpromote, Tinuiti</t>
  </si>
  <si>
    <t>https://www.opinosis-analytics.com/blog/best-ai-consulting-firms/</t>
  </si>
  <si>
    <t>Best AI Consulting Firms in 2026: 10 Options to Consider &amp;amp; How to Choose the Right One for Your Business | Opinosis Analytics</t>
  </si>
  <si>
    <t>IBM, McKinsey, QuantumBlack, BCG, PwC, Fractal Analytics, Bain &amp; Company</t>
  </si>
  <si>
    <t>https://optimisemedia.com/agency-services/</t>
  </si>
  <si>
    <t>Full-Service Media Agency | Optimise Media</t>
  </si>
  <si>
    <t>https://www.orangemantra.com/services/genrative-engine-optimization/</t>
  </si>
  <si>
    <t>Generative Engine Optimization Services \| GEO Agency</t>
  </si>
  <si>
    <t>https://orm-tech.com/blog/best-marketing-attribution-software/</t>
  </si>
  <si>
    <t>9 Best Marketing Attribution Software for B2B (2026) | ORM</t>
  </si>
  <si>
    <t>https://oski.site/blog/sales-and-marketing-analytics-usa/</t>
  </si>
  <si>
    <t>10 Best Sales and Marketing Analytics Companies in the USA (2026)</t>
  </si>
  <si>
    <t>https://www.osmos.ai/blog/first-party-data-in-retail-media-the-complete-targeting-guide</t>
  </si>
  <si>
    <t>First-Party Shopper Data in Retail Media: 2026 Playbook</t>
  </si>
  <si>
    <t>IBM, Nielsen, Bain &amp; Company</t>
  </si>
  <si>
    <t>https://ossisto.com/blog/display-advertising-companies/</t>
  </si>
  <si>
    <t>10 Best Display Advertising Companies for 2026</t>
  </si>
  <si>
    <t>https://outpaceseo.com/article/best-seo-agencies/</t>
  </si>
  <si>
    <t>25 Best SEO Agencies in the US [2026] - Top SEO Companies Reviewed</t>
  </si>
  <si>
    <t>WebFX, SmartSites, Ignite Visibility, Searchbloom, Victorious, HawkSEM, Funnel Boost Media, First Page Sage, Darkroom, Clay, Momentum, Clutch</t>
  </si>
  <si>
    <t>https://outreachz.com/blog/10-best-ai-seo-agencies-in-2026/</t>
  </si>
  <si>
    <t>10 Best AI SEO Agencies in 2026: Top Firms for AI Search, AEO, and GEO</t>
  </si>
  <si>
    <t>First Page Sage, NoGood, WebFX, Directive, Amsive, Victorious, iPullRank, Searchbloom</t>
  </si>
  <si>
    <t>https://www.outsourceaccelerator.com/guide/top-digital-marketing-companies-in-the-us/</t>
  </si>
  <si>
    <t>Top 50 digital marketing companies in the US | Outsource Accelerator</t>
  </si>
  <si>
    <t>WebFX, LYFE Marketing, Ignite Visibility, SmartSites, VaynerMedia, Merkle</t>
  </si>
  <si>
    <t>https://www.panorama-consulting.com/services/ai-readiness-and-enablement-service-offering/</t>
  </si>
  <si>
    <t>AI Readiness &amp;amp; Integration Service | Generatiive AI Consulting</t>
  </si>
  <si>
    <t>https://paramark.com/</t>
  </si>
  <si>
    <t>Paramark - Incrementality Measurement Redefined</t>
  </si>
  <si>
    <t>Measured, Haus, Recast</t>
  </si>
  <si>
    <t>https://partners.adobe.com/s/directory/solution/merkle</t>
  </si>
  <si>
    <t>https://partnersdirectory.withgoogle.com/intl/en-GB/</t>
  </si>
  <si>
    <t>Google Partners directory – Find a Partner for business growth</t>
  </si>
  <si>
    <t>https://partnersdirectory.withgoogle.com/?authuser=0&amp;gad_source=1&amp;gclsrc=aw.ds&amp;premier=true&amp;subid=gb-en-ha-aw-sk-c-bau%21o3%7ECj0KCQjw99e4BhDiARIsAISE7P_AKK8sUW0wxb3wRcAycqgV_kOr1CAvwurP2Zh74h49W64Fdq6R2BkaAhBkEALw_wcB%7E169785216468%7Ekwd-6084504794%7E19691765913%7E698238993598</t>
  </si>
  <si>
    <t>https://www.patientprism.com/blog/best-marketing-attribution-tools-healthcare/</t>
  </si>
  <si>
    <t>Best Marketing Attribution Tools for Healthcare (Revenue-Focused Comparison): 2026 - Patient Prism</t>
  </si>
  <si>
    <t>https://pearllemonleads.com/top-10-lead-generation-companies/</t>
  </si>
  <si>
    <t>10 Leading Lead Generation Companies for Small Businesses</t>
  </si>
  <si>
    <t>https://www.pedowitzgroup.com/blog/best-revenue-marketing-consulting-firms-for-fortune-1000-enterprises?hs_amp=true</t>
  </si>
  <si>
    <t>Best Revenue Marketing Consulting Firms for Fortune 1000 Enterprises</t>
  </si>
  <si>
    <t>IBM, Accenture Song, Deloitte Digital, PwC, Publicis Sapient, Slalom, Merkle, Dentsu, McKinsey, BCG</t>
  </si>
  <si>
    <t>https://www.perceptive-analytics.com/marketing-analytics-companies/</t>
  </si>
  <si>
    <t>Marketing Analytics That Prove Revenue Impact \| Perceptive Analytics</t>
  </si>
  <si>
    <t>https://www.performics.com/</t>
  </si>
  <si>
    <t>Performics Home | The Performance Marketing Agency</t>
  </si>
  <si>
    <t>https://www.phable.io/top-creative-agencies/leading-creative-agencies-in-new-york-masters-of-branding-content-creation-and-digital-innovation</t>
  </si>
  <si>
    <t>Top Creative Agencies in New York | Leaders in Branding and Digital Innovation — Branding And Content Marketing For Technology</t>
  </si>
  <si>
    <t>Pentagram, Huge, R/GA, Droga5, Wieden+Kennedy, Ogilvy, IBM, AKQA</t>
  </si>
  <si>
    <t>https://phueled.com/marketing-science</t>
  </si>
  <si>
    <t>PHUELED™ Growth Marketing Agency | Based in the United States</t>
  </si>
  <si>
    <t>https://pipeline.zoominfo.com/marketing/digital-marketing-tools</t>
  </si>
  <si>
    <t>Digital Marketing Tools: 12 Best Platforms Compared for 2026</t>
  </si>
  <si>
    <t>https://www.pitchkitchen.com/best-ai-sales-marketing-agencies</t>
  </si>
  <si>
    <t>Best AI Sales and Marketing Agencies for B2B in 2026 | PitchKitchen</t>
  </si>
  <si>
    <t>https://pixelprodigies.com/case-studies/</t>
  </si>
  <si>
    <t>Case Studies - Pixel Prodigies</t>
  </si>
  <si>
    <t>https://www.pleiadesconsultancy.com/blog/best-ai-search-agencies-2026</t>
  </si>
  <si>
    <t>Best AI Search Optimization Agencies in 2026, Compared</t>
  </si>
  <si>
    <t>https://www.plerdy.com/blog/performance-marketing/</t>
  </si>
  <si>
    <t>Top 15 Performance Marketing Agencies – Plerdy</t>
  </si>
  <si>
    <t>Clutch, Disruptive Advertising, WebFX, Ignite Visibility, Directive, Kobe Digital, Publicis Groupe</t>
  </si>
  <si>
    <t>https://www.plerdy.com/blog/social-media-marketing-agencies/</t>
  </si>
  <si>
    <t>Top 15 Social Media Marketing Agencies for 2025 – Plerdy</t>
  </si>
  <si>
    <t>LYFE Marketing, Sociallyin, Clutch, Power Digital</t>
  </si>
  <si>
    <t>https://pointsourcemarketing.com/performance-marketing/analytics/ga-consulting/</t>
  </si>
  <si>
    <t>Google Analytics Consulting | Point Source Marketing</t>
  </si>
  <si>
    <t>https://www.portagelabs.io/services/ai-enablement</t>
  </si>
  <si>
    <t>AI Integration Services for Marketing Teams | Portage Labs</t>
  </si>
  <si>
    <t>Anomaly, Momentum</t>
  </si>
  <si>
    <t>https://www.portofino.marketing/client-portfolio.html</t>
  </si>
  <si>
    <t>U.S. Digital Marketing Case Studies | Portofino Marketing</t>
  </si>
  <si>
    <t>https://powerdigitalmarketing.com/atlanta/seo/</t>
  </si>
  <si>
    <t>SEO Agency in Atlanta | Power Digital</t>
  </si>
  <si>
    <t>https://powerdigitalmarketing.com/blog/best-digital-marketing-agency/</t>
  </si>
  <si>
    <t>10 Best Digital Marketing Agencies | Power Digital Marketing</t>
  </si>
  <si>
    <t>https://www.pravaahconsulting.com/post/agentic-ai-development-companies</t>
  </si>
  <si>
    <t>Agentic AI Companies Shaping the Future - 2026 Rankings</t>
  </si>
  <si>
    <t>IBM, Fractal Analytics, McKinsey, QuantumBlack</t>
  </si>
  <si>
    <t>https://prerender.io/blog/best-technical-geo-and-ai-se-tools/</t>
  </si>
  <si>
    <t>7 Best Technical GEO Tools for 2026 (AI Search Optimization)</t>
  </si>
  <si>
    <t>https://www.primeone.global/case-study/</t>
  </si>
  <si>
    <t>Successful Digital Marketing Case Studies - Prime One Global</t>
  </si>
  <si>
    <t>https://primetrics.cpa/what-we-do/it-services/ai-readiness-adoption/</t>
  </si>
  <si>
    <t>AI Readiness &amp;amp; Adoption - Primetrics</t>
  </si>
  <si>
    <t>https://www.prnewswire.com/news-releases/measured-announces-2-million-finance-facility-from-timia-capital-corporation-301036413.html</t>
  </si>
  <si>
    <t>Measured Announces $2 Million Finance Facility from TIMIA Capital Corporation</t>
  </si>
  <si>
    <t>https://projectmanagers.net/top-a-b-testing-agencies-delivering-proven-results/</t>
  </si>
  <si>
    <t>Top 8 Testing Agencies Delivering Proven Results in 2025</t>
  </si>
  <si>
    <t>https://www.promodo.com/blog/best-geo-agencies</t>
  </si>
  <si>
    <t>Top GEO Agencies in 2026: Get Your Brand Cited by AI Search</t>
  </si>
  <si>
    <t>Clutch, Searchbloom, Directive, Siege Media, The SEO Works, Go Fish Digital, Intero Digital, Measured</t>
  </si>
  <si>
    <t>https://promoguy.nl/blog/2026/02/12/incrementality-testing-for-marketing-promotion/</t>
  </si>
  <si>
    <t>Incrementality Testing For Marketing &amp;amp; Promotion - Promoguy Digital Marketing Agency</t>
  </si>
  <si>
    <t>LifeSight, Haus, Measured, LiftLab</t>
  </si>
  <si>
    <t>https://www.propellic.com/</t>
  </si>
  <si>
    <t>Propellic® | The Leading Global Travel Marketing Agency</t>
  </si>
  <si>
    <t>https://www.provokemedia.com/ranking-and-data/global-pr-agency-rankings/2025-pr-agency-rankings/top-250</t>
  </si>
  <si>
    <t>Global Top 250 PR Agency Ranking 2025 \| PRovoke Media</t>
  </si>
  <si>
    <t>https://www.prweek.com/article/1908852/prweek-us-awards-2025-outstanding-large-agency</t>
  </si>
  <si>
    <t>PRWeek US Awards 2025: Outstanding Large Agency | PR Week</t>
  </si>
  <si>
    <t>https://punchcut.com/perspectives/best-ai-design-agencies/</t>
  </si>
  <si>
    <t>The 8 Best AI Design Agencies in 2026: An Honest Comparison</t>
  </si>
  <si>
    <t>Accenture Song, Huge, Clay, McKinsey, QuantumBlack</t>
  </si>
  <si>
    <t>https://purealanalytics.co.uk/</t>
  </si>
  <si>
    <t>Pureal Analytics — Marketing measurement, modelled properly</t>
  </si>
  <si>
    <t>https://puremarketing.ai/aeo-agency-montclair/</t>
  </si>
  <si>
    <t>Best AEO Agency for AI Search Visibility (Complete Guide)</t>
  </si>
  <si>
    <t>https://purplez.com/digital-marketing-services/display-advertising-services/</t>
  </si>
  <si>
    <t>Display Advertising Services | PurpleZ Digital Marketing Agency</t>
  </si>
  <si>
    <t>https://pwskills.com/blog/digital-marketing/performance-marketing-agencies</t>
  </si>
  <si>
    <t>What Are Performance Marketing Agencies</t>
  </si>
  <si>
    <t>NinjaPromo, Brainlabs, NoGood, MuteSix, Measured</t>
  </si>
  <si>
    <t>https://www.q3tech.com/blogs/ai-agent-development-companies-in-usa/</t>
  </si>
  <si>
    <t>Top 10 AI Agent Development Companies in the USA (2026)</t>
  </si>
  <si>
    <t>https://qs.digital/</t>
  </si>
  <si>
    <t>AI Marketing Agency — QS Digital</t>
  </si>
  <si>
    <t>https://www.quoleady.com/aeo-agencies/</t>
  </si>
  <si>
    <t>8 Best AEO Agencies in 2026: Who's Optimizing for AI Answers</t>
  </si>
  <si>
    <t>Measured, Darkroom, Omniscient Digital, Discovered Labs, NoGood</t>
  </si>
  <si>
    <t>https://www.quora.com/What-are-some-AI-SEO-agencies</t>
  </si>
  <si>
    <t>What are some AI SEO agencies? - Quora</t>
  </si>
  <si>
    <t>NP Digital, Directive, Victorious, Single Grain, Siege Media</t>
  </si>
  <si>
    <t>https://www.quora.com/Which-are-the-best-social-media-marketing-agencies-in-USA</t>
  </si>
  <si>
    <t>https://www.ramotion.com/blog/top-branding-agencies/</t>
  </si>
  <si>
    <t>Top Branding Agencies in 2026 | Ramotion</t>
  </si>
  <si>
    <t>Wolff Olins, Pentagram, BBDO</t>
  </si>
  <si>
    <t>https://rankai.ai/articles/best-geo-agencies</t>
  </si>
  <si>
    <t>Best GEO Agencies in 2026 — Ranked for AI Search Optimization</t>
  </si>
  <si>
    <t>Daydream, Graphite, iPullRank, Clay</t>
  </si>
  <si>
    <t>https://rankmybusiness.com.au/ai-seo-marketing-agency/</t>
  </si>
  <si>
    <t>AI Digital Marketing Agency | Australia&amp;#039;s Best AI Marketing &amp;amp; SEO Services</t>
  </si>
  <si>
    <t>https://www.rankshift.ai/blog/generative-engine-optimization-tools/</t>
  </si>
  <si>
    <t>14 Generative Engine Optimization (GEO) Tools Worth Paying For in 2026 - Rankshift</t>
  </si>
  <si>
    <t>https://ranktix.co.uk/best-answer-engine-optimization-tools/</t>
  </si>
  <si>
    <t>10 Best Answer Engine Optimization Tools In 2026 – Ranktix</t>
  </si>
  <si>
    <t>https://www.ranktracker.com/blog/best-aiseo-agencies/</t>
  </si>
  <si>
    <t>8 Best AI Visibility (AISEO) Agencies in 2026</t>
  </si>
  <si>
    <t>Clutch, Momentum, Ignite Visibility, Single Grain, First Page Sage, Intero Digital</t>
  </si>
  <si>
    <t>https://www.ranktracker.com/blog/generative-engine-optimization-agencies/</t>
  </si>
  <si>
    <t>7 Top Generative Engine Optimization (GEO) Agencies to Get Your Brand Found in AI Search</t>
  </si>
  <si>
    <t>https://rankz.co/blog/best-agencies-for-ai-search-optimization/</t>
  </si>
  <si>
    <t>Best Agencies for AI Search Optimization: 12 Top Picks for 2026</t>
  </si>
  <si>
    <t>iPullRank, First Page Sage, Avenue Z, NoGood, Single Grain</t>
  </si>
  <si>
    <t>https://rankz.co/blog/best-ai-marketing-agencies/</t>
  </si>
  <si>
    <t>Best AI Marketing Agencies (2026): Top Picks for Smarter Growth</t>
  </si>
  <si>
    <t>Anomaly, WebFX, IBM, Single Grain, NP Digital, Disruptive Advertising, SmartSites, Directive, Siege Media, Tinuiti, Thrive Internet Marketing Agency, Clutch</t>
  </si>
  <si>
    <t>https://rankz.co/blog/top-ai-marketing-agencies/</t>
  </si>
  <si>
    <t>Top AI Marketing Agencies in 2026: Best Partners for SEO, Paid Media, Content, and AI Search Growth - RankZ Blog</t>
  </si>
  <si>
    <t>McKinsey, WebFX, NoGood, Single Grain, NP Digital, Jellyfish, Keenfolks, SmartSites, Huge</t>
  </si>
  <si>
    <t>https://rational.partners/us/services/ai-enablement</t>
  </si>
  <si>
    <t>AI Consulting, Strategy &amp;amp; Training for US Companies | Rational Partners</t>
  </si>
  <si>
    <t>https://realtimeagency.com/blog/how-to-choose-a-media-mix-modelling-partner-in-2023/</t>
  </si>
  <si>
    <t>How to Choose A Media Mix Modelling Partner In 2023</t>
  </si>
  <si>
    <t>Nielsen, Sellforte, Huge</t>
  </si>
  <si>
    <t>https://www.rebootonline.com/data-marketing/best-data-marketing-agencies/</t>
  </si>
  <si>
    <t>Best Data Marketing Agencies 2026 | Ultimate Top 10 List Ranked &amp;amp; Rated</t>
  </si>
  <si>
    <t>Brainlabs, PMG, Directive</t>
  </si>
  <si>
    <t>https://www.rebootonline.com/seo/best-seo-agencies/</t>
  </si>
  <si>
    <t>Best SEO Agencies for 2026 | Ultimate Top 20 List Ranked &amp;amp; Rated</t>
  </si>
  <si>
    <t>The SEO Works, NP Digital, WebFX, Clutch</t>
  </si>
  <si>
    <t>https://red-engage.com/blog/best-ai-seo-agencies</t>
  </si>
  <si>
    <t>10 Best Answer Engine Optimization (AEO) Agencies in 2026</t>
  </si>
  <si>
    <t>iPullRank, Amsive, Sociallyin, First Page Sage, Single Grain, Clutch</t>
  </si>
  <si>
    <t>https://www.redcubedigital.com/blog/what-makes-a-good-digital-marketing-agency-stand-out-from-the-rest/?srsltid=AfmBOopgDFexWeUnEVvdyjTw74fggMn1x6hFr0gGxI7ClMpnUl40GA8K</t>
  </si>
  <si>
    <t>What Makes a Good Digital Marketing Agency Stand out from the Rest?</t>
  </si>
  <si>
    <t>https://www.reddit.com/r/Agentic_Marketing/comments/1ue8msc/top_ai_consulting_firms_in_the_usa_driving/</t>
  </si>
  <si>
    <t>Top AI Consulting Firms in the USA: Driving Innovation and Business Transformation in 2026</t>
  </si>
  <si>
    <t>https://www.reddit.com/r/AskMarketing/comments/1jwyn6z/a_client_is_looking_for_a_cheaper_incrementality/</t>
  </si>
  <si>
    <t>A client is looking for a cheaper incrementality testing alternative.</t>
  </si>
  <si>
    <t>Measured, Haus, LifeSight, INCRMNTAL, Huge, Northbeam, LiftLab</t>
  </si>
  <si>
    <t>https://www.reddit.com/r/DigitalMarketing/comments/1rwxybs/which_agencies_are_actually_wellknown_worldwide/</t>
  </si>
  <si>
    <t>Which agencies are actually well-known worldwide right now</t>
  </si>
  <si>
    <t>https://www.reddit.com/r/DigitalMarketing/comments/1tdfcjb/every_seo_agency_now_lists_ai_search_optimization/</t>
  </si>
  <si>
    <t>Every SEO agency now lists AI search optimization. Most are describing the wrong thing.</t>
  </si>
  <si>
    <t>https://www.reddit.com/r/DigitalMarketing/comments/1tpb0sw/mmm_tools_for_50k200kmo_ad_spend_brands_recast_vs/</t>
  </si>
  <si>
    <t>MMM tools for $50K-$200K/mo ad spend brands. Recast vs Lifesight vs in-house. real-world experience?</t>
  </si>
  <si>
    <t>Recast, LifeSight</t>
  </si>
  <si>
    <t>https://www.reddit.com/r/FacebookAds/comments/1nhohty/meta_insights_based_on_640_incrementality_tests/</t>
  </si>
  <si>
    <t>Meta Insights based on 640 Incrementality Tests</t>
  </si>
  <si>
    <t>Haus, Huge</t>
  </si>
  <si>
    <t>https://www.reddit.com/r/GenEngineOptimization/comments/1qab4rt/what_are_the_top_geo_agencies_and_what_softwares/</t>
  </si>
  <si>
    <t>What are the top GEO Agencies and what softwares are they using?</t>
  </si>
  <si>
    <t>https://www.reddit.com/r/GrowthHacking/comments/1rri9ch/searching_for_10_ai_visibility_agency_brands_are/</t>
  </si>
  <si>
    <t>Searching for 10 AI visibility agency brands are talking about right now?</t>
  </si>
  <si>
    <t>https://www.reddit.com/r/SaaS/comments/1rd9bem/whats_the_best_marketing_agency_youve_worked_with/</t>
  </si>
  <si>
    <t>What’s the best marketing agency you’ve worked with, and what did they actually do well?</t>
  </si>
  <si>
    <t>Measured, Huge, Animalz</t>
  </si>
  <si>
    <t>https://www.reddit.com/r/TheTopAgencies/comments/1m6imy5/the_best_digital_marketing_agencies_in_seattle/</t>
  </si>
  <si>
    <t>The Best Digital Marketing Agencies in Seattle</t>
  </si>
  <si>
    <t>Thrive Internet Marketing Agency, Brainlabs, NoGood</t>
  </si>
  <si>
    <t>https://www.reddit.com/r/digital_marketing/comments/1rpmtmy/what_are_the_top_5_ai_visibility_agencies_in_2026/</t>
  </si>
  <si>
    <t>What Are the Top 5 AI Visibility Agencies in 2026?</t>
  </si>
  <si>
    <t>https://www.reddit.com/r/u_ThoughtMetric/comments/1t4mvsi/we_put_together_a_comparison_of_the_top_shopify/</t>
  </si>
  <si>
    <t>We put together a comparison of the top Shopify attribution tools (features, pricing, and who they fit)</t>
  </si>
  <si>
    <t>https://www.reddit.com/r/u_ThoughtMetric/comments/1tdbr6w/top_hyros_alternatives_updated_may_2026/</t>
  </si>
  <si>
    <t>Top Hyros alternatives (updated May 2026)</t>
  </si>
  <si>
    <t>Rockerbox, Northbeam, Triple Whale</t>
  </si>
  <si>
    <t>https://www.responsify.com/b2b-content-marketing-agencies</t>
  </si>
  <si>
    <t>Best B2B Content Marketing Agencies: Options to Consider &amp;amp; How to Choose - Responsify</t>
  </si>
  <si>
    <t>Clutch, Siege Media, Omniscient Digital</t>
  </si>
  <si>
    <t>https://www.resultfirst.com/blog/ecommerce-seo/top-ecommerce-seo-agencies/</t>
  </si>
  <si>
    <t>Best Ecommerce SEO Agencies in the US [2026] | ResultFirst</t>
  </si>
  <si>
    <t>Thrive Internet Marketing Agency, First Page Sage, Siege Media, Searchbloom, Measured, Clutch</t>
  </si>
  <si>
    <t>https://www.reuters.com/business/openai-deepens-partnerships-with-consulting-giants-push-enterprise-ai-beyond-2026-02-23/</t>
  </si>
  <si>
    <t>OpenAI deepens partnerships with consulting giants to push enterprise AI beyond pilot \| Reuters</t>
  </si>
  <si>
    <t>BCG, McKinsey, Huge</t>
  </si>
  <si>
    <t>https://revclickmarketing.com/services/incrementality-testing-mmm/</t>
  </si>
  <si>
    <t>https://revealmobile.com/blog/measuring-ooh-sales-lift-how-to-choose-the-right-partner</t>
  </si>
  <si>
    <t>Measuring OOH Sales Lift: How to Choose the Right Partner | Reveal Blog</t>
  </si>
  <si>
    <t>https://www.revvgrowth.com/geo/enterprise-geo-agency</t>
  </si>
  <si>
    <t>10 Best Enterprise GEO Agencies in 2026 | AI Search Optimization</t>
  </si>
  <si>
    <t>First Page Sage, Intero Digital, Siege Media, Go Fish Digital, WebFX, Omniscient Digital, iPullRank, NoGood, Clutch, Single Grain, Measured</t>
  </si>
  <si>
    <t>https://www.rightsideup.com/blog/top-fractional-marketing-agencies</t>
  </si>
  <si>
    <t>The Top 7 Fractional Marketing Agencies in 2026 (and How to Choose the Right One)</t>
  </si>
  <si>
    <t>Right Side Up, Huge</t>
  </si>
  <si>
    <t>https://riverjournalonline.com/news/best-amazon-ppc-agencies-to-lower-acos-in-2026/300535/</t>
  </si>
  <si>
    <t>Best Amazon PPC Agencies to Lower ACoS in 2026 - River Journal Online - News for Tarrytown, Sleepy Hollow, Irvington, Ossining, Briarcliff Manor, Croton-on-Hudson, Cortlandt and Peekskill</t>
  </si>
  <si>
    <t>https://www.rockerbox.com/blog/everything-you-need-to-know-about-incrementality-testing-with-rockerbox</t>
  </si>
  <si>
    <t>Everything You Need to Know About Incrementality Testing with Rockerbox | Rockerbox</t>
  </si>
  <si>
    <t>https://www.rockerbox.com/faq/what-is-incrementality-analysis</t>
  </si>
  <si>
    <t>What is Incrementality Analysis? | Rockerbox</t>
  </si>
  <si>
    <t>https://roirevolution.com/</t>
  </si>
  <si>
    <t>Digital Marketing Agency for Brand Growth | ROI Revolution</t>
  </si>
  <si>
    <t>https://rokointernational.com/</t>
  </si>
  <si>
    <t>RØKØ | Marketing Mix Modeling &amp;amp; Analytics</t>
  </si>
  <si>
    <t>https://www.rokt.com/blog/incrementality-performance-standard-rokt-haus-transaction-moment</t>
  </si>
  <si>
    <t>Incrementality Is The Performance Standard | Rokt</t>
  </si>
  <si>
    <t>Haus, TransUnion, Measured</t>
  </si>
  <si>
    <t>https://royaldigitalagency.com/blogs/ai-vs-search-engine/</t>
  </si>
  <si>
    <t>What's The Difference Between AI And Search Engine? - Royal Digital Agency</t>
  </si>
  <si>
    <t>https://rsmus.com/services/digital-transformation/ai-readiness-assessment.html</t>
  </si>
  <si>
    <t>AI readiness assessment | RSM US</t>
  </si>
  <si>
    <t>https://rsmus.com/services/digital-transformation/artificial-intelligence.html</t>
  </si>
  <si>
    <t>AI consulting services | RSM US</t>
  </si>
  <si>
    <t>https://www.ruleranalytics.com/blog/ppc/first-party-data-activation/</t>
  </si>
  <si>
    <t>First-Party Data Activation: A Smarter Path to Better Ad Targeting | Ruler Analytics</t>
  </si>
  <si>
    <t>https://www.rzlt.io/blog/10-best-growth-marketing-agencies-for-startups-in-2026#:~:text=NoGood%20is%20a%20growth%20marketing,%2C%20content%2C%20and%20lifecycle%20marketing.</t>
  </si>
  <si>
    <t>10 Growth Marketing Agencies for Startups in 2026</t>
  </si>
  <si>
    <t>NoGood, NinjaPromo, Single Grain, Clutch</t>
  </si>
  <si>
    <t>https://s360digital.com/capabilities/data/incrementality-testing/</t>
  </si>
  <si>
    <t>Prove marketing impact with Incrementality Testing | s360</t>
  </si>
  <si>
    <t>https://s3da-design.com/guest-contribution/best-remodeling-digital-marketing-agencies-in-2025/</t>
  </si>
  <si>
    <t>Best Remodeling Digital Marketing &amp;amp; SEO Agencies for Contractors 2025</t>
  </si>
  <si>
    <t>https://salesduo.com/blog/amazon-product-ads-management-agencies-comparison/</t>
  </si>
  <si>
    <t>Best Amazon Product Ads Management Agencies in 2026</t>
  </si>
  <si>
    <t>Tinuiti, Disruptive Advertising, Measured</t>
  </si>
  <si>
    <t>https://www.scaleandcompany.com/</t>
  </si>
  <si>
    <t>Scale &amp;amp; Co</t>
  </si>
  <si>
    <t>https://scopicstudios.com/blog/best-geo-agencies-ai-search-visibility-2026/</t>
  </si>
  <si>
    <t>10 Best GEO Agencies for AI Search Brand Visibility</t>
  </si>
  <si>
    <t>https://scopicstudios.com/blog/first-party-data-adoption-statistics-every-marketer-must-know/</t>
  </si>
  <si>
    <t>First-Party Data Strategies: Key Stats for Marketers in 2026</t>
  </si>
  <si>
    <t>Epsilon, NoGood</t>
  </si>
  <si>
    <t>https://scopicstudios.com/blog/top-ai-marketing-agencies/</t>
  </si>
  <si>
    <t>10 Best AI Marketing Agencies in 2026 (Ranked &amp;amp; Reviewed)</t>
  </si>
  <si>
    <t>Clutch, NoGood, Single Grain, Keenfolks, Anomaly</t>
  </si>
  <si>
    <t>https://scrap.io/marketing-agency-email-list-guide</t>
  </si>
  <si>
    <t>Marketing Agency Email List: How to Reach 118,872+ US Agencies in 2026 | Scrap.io</t>
  </si>
  <si>
    <t>https://www.sdim.nl/en/certifications-and-partners/google-premier-partner/</t>
  </si>
  <si>
    <t>Google Premier Partner 2026 » SDIM Digital Marketing Agency</t>
  </si>
  <si>
    <t>https://www.sealglobalholdings.com/blog/best-ai-search-optimization-agencies-2026#:~:text=AI%20visibility%20monitoring.-,Generative%20Engine%20Optimization%20(GEO),Answer%20Engine%20Optimization%20(AEO)</t>
  </si>
  <si>
    <t>https://searchconversions.com/the-10-best-answer-engine-optimization-aeo-agencies/</t>
  </si>
  <si>
    <t>The 10 Best Answer Engine Optimization (AEO) Agencies</t>
  </si>
  <si>
    <t>Omniscient Digital, iPullRank, NoGood, Ignite Visibility, Single Grain</t>
  </si>
  <si>
    <t>https://seedcreativestudio.com/</t>
  </si>
  <si>
    <t>Seed Creative Studio</t>
  </si>
  <si>
    <t>https://www.seerinteractive.com/news/seer-interactive-named-a-2026-google-premier-partner</t>
  </si>
  <si>
    <t>Seer Interactive Named a 2026 Google Premier Partner</t>
  </si>
  <si>
    <t>https://segmentstream.com/blog/articles/best-marketing-intelligence-tools</t>
  </si>
  <si>
    <t>10 Best Marketing Intelligence Tools &amp;amp; Platforms for 2026 — SegmentStream</t>
  </si>
  <si>
    <t>SegmentStream, LifeSight, Northbeam, Measured, Rockerbox, Anomaly</t>
  </si>
  <si>
    <t>https://segmetrics.io/articles/the-best-marketing-attribution-tools-for-2026-and-how-to-choose-the-right-one/</t>
  </si>
  <si>
    <t>The Best Marketing Attribution Tools for 2026 (And How to Choose the Right One) - SegMetrics</t>
  </si>
  <si>
    <t>https://www.sei.com/our-services/ai-readiness-assessments/</t>
  </si>
  <si>
    <t>AI Readiness Assessment Services | SEI Consulting</t>
  </si>
  <si>
    <t>https://selectedfirms.co/companies/aeo-companies</t>
  </si>
  <si>
    <t>Top AEO Companies Companies (2026) — SelectedFirms</t>
  </si>
  <si>
    <t>IBM, Silverback Strategies, Clutch, Momentum, Avenue Z</t>
  </si>
  <si>
    <t>https://selectedfirms.co/companies/digital-marketing-agencies/usa</t>
  </si>
  <si>
    <t>Top Digital Marketing Companies in USA (2026) — SelectedFirms</t>
  </si>
  <si>
    <t>IBM, Elit-Web, Clutch, Huge, Momentum, AdVenture Media, HawkSEM, Silverback Strategies, RevenueZen</t>
  </si>
  <si>
    <t>https://semnexus.com/top-ai-powered-marketing-agencies-in-2026-ranked-by-innovation-performance/</t>
  </si>
  <si>
    <t>Top AI-Powered Marketing Agencies in 2026 (Ranked by Innovation &amp;amp; Performance) | SEM Nexus</t>
  </si>
  <si>
    <t>Jellyfish, Wpromote, NoGood</t>
  </si>
  <si>
    <t>https://www.semrush.com/agencies/list/display-advertising/information-technology/united-states/</t>
  </si>
  <si>
    <t>Best IT Display Ads Agencies in United States 2026 \| Semrush</t>
  </si>
  <si>
    <t>https://www.seo.com/ai/services/</t>
  </si>
  <si>
    <t>AI SEO Services That Increase Visibility for Businesses</t>
  </si>
  <si>
    <t>WebFX, Clutch</t>
  </si>
  <si>
    <t>https://www.seobrand.com/ai-seo-services/</t>
  </si>
  <si>
    <t>AI SEO Services for Stronger Brand Visibility in LLMs</t>
  </si>
  <si>
    <t>https://seostrategylab.com/blog/best-llm-seo-agencies-usa/</t>
  </si>
  <si>
    <t>Best LLM SEO Agencies in the USA for AI Search Growth</t>
  </si>
  <si>
    <t>Omniscient Digital, iPullRank, Go Fish Digital, Thrive Internet Marketing Agency</t>
  </si>
  <si>
    <t>https://seostrategylab.com/blog/best-technical-seo-agencies-usa/</t>
  </si>
  <si>
    <t>Best Technical SEO Agencies in the USA (2026 Edition) | SEO Strategy Lab</t>
  </si>
  <si>
    <t>iPullRank, Darkroom, Single Grain</t>
  </si>
  <si>
    <t>https://setupad.com/blog/display-advertising-guide/</t>
  </si>
  <si>
    <t>What is Display Advertising &amp;amp; How to Monetize Your Content?</t>
  </si>
  <si>
    <t>https://shifu-marketing.com/ai-consulting-services/ai-strategy-consulting/</t>
  </si>
  <si>
    <t>AI Strategy &amp;amp; Readiness - Shifu Marketing – AI Consulting &amp;amp; Strategy</t>
  </si>
  <si>
    <t>https://www.shipmercury.com/shipping-service/ctpat-consulting</t>
  </si>
  <si>
    <t>CTPAT Consulting Services | Mercury</t>
  </si>
  <si>
    <t>https://www.sianamarketing.com/resources/the-top-geo-agencies-2026</t>
  </si>
  <si>
    <t>The Top GEO Agencies of 2026 — Siana</t>
  </si>
  <si>
    <t>Clutch, First Page Sage, Intero Digital, Graphite</t>
  </si>
  <si>
    <t>https://www.siegemedia.com/strategy/best-link-building-services</t>
  </si>
  <si>
    <t>The 12 Best Link Building Services for Authority &amp;amp; Mentions in 2026</t>
  </si>
  <si>
    <t>https://www.siegemedia.com/strategy/content-strategy-agency</t>
  </si>
  <si>
    <t>12 Best Content Strategy Agencies That Drive Results (2026)</t>
  </si>
  <si>
    <t>Siege Media, Omniscient Digital, Animalz, NP Digital, Power Digital, Single Grain</t>
  </si>
  <si>
    <t>https://www.signitysolutions.com/blog/top-ai-consulting-firms</t>
  </si>
  <si>
    <t>Top 10 AI Consulting Companies 2026</t>
  </si>
  <si>
    <t>Clutch, McKinsey, QuantumBlack, IBM, PwC, BCG</t>
  </si>
  <si>
    <t>https://www.silverbackstrategies.com/lists/best-ecommerce-agencies-in-the-us-ranked-reviewed/</t>
  </si>
  <si>
    <t>Best eCommerce Agencies in the U.S. in 2026 (Ranked &amp;amp; Reviewed) | Silverback Strategies</t>
  </si>
  <si>
    <t>Silverback Strategies, Measured, Clutch, Disruptive Advertising, Ignite Visibility, Accelerated Digital Media, NinjaPromo, Elit-Web</t>
  </si>
  <si>
    <t>https://www.silverbackstrategies.com/services/measurement/incrementality-testing/</t>
  </si>
  <si>
    <t>Incrementality Testing Strategies | Silverback Strategies</t>
  </si>
  <si>
    <t>Silverback Strategies</t>
  </si>
  <si>
    <t>https://simplythebestdigital.com/best-digital-marketing-agencies-usa/</t>
  </si>
  <si>
    <t>Best Digital Marketing Agencies in the USA 2026 (Ranked &amp;amp; Reviewed) | Simply The Best Digital</t>
  </si>
  <si>
    <t>WebFX, Ignite Visibility, SmartSites, Disruptive Advertising, First Page Sage, Power Digital, Clutch</t>
  </si>
  <si>
    <t>https://sinfa.com/</t>
  </si>
  <si>
    <t>Sinfa | Enterprise CRO, Experimentation &amp; Measurement</t>
  </si>
  <si>
    <t>https://www.singlegrain.com/</t>
  </si>
  <si>
    <t>Single Grain | Revenue Marketing Agency — Pipeline-Focused SEO, Paid Media &amp;amp; AI Growth</t>
  </si>
  <si>
    <t>Single Grain, Momentum</t>
  </si>
  <si>
    <t>https://www.singlegrain.com/?p=69243</t>
  </si>
  <si>
    <t>Single Grain, NoGood, RevenueZen, iPullRank, WebFX, First Page Sage</t>
  </si>
  <si>
    <t>https://www.singlegrain.com/?p=69273</t>
  </si>
  <si>
    <t>https://www.singlestoneconsulting.com/blog/best-data-modernization-services</t>
  </si>
  <si>
    <t>SingleStone - The 6 Best Data Modernization Services of 2026</t>
  </si>
  <si>
    <t>Slalom, PwC</t>
  </si>
  <si>
    <t>https://skai.io/blog/a-dozen-examples-of-incrementality-tests/</t>
  </si>
  <si>
    <t>What Is Incrementality Testing | The Marketers Experiment Guide</t>
  </si>
  <si>
    <t>https://skipthenoisemedia.com/</t>
  </si>
  <si>
    <t>AI Creative Production + Performance Marketing Agency | Skip the Noise Media</t>
  </si>
  <si>
    <t>GroupM, WPP</t>
  </si>
  <si>
    <t>https://slashdot.org/software/incrementality-testing/</t>
  </si>
  <si>
    <t>Top Incrementality Testing Tools in 2026</t>
  </si>
  <si>
    <t>Measured, LifeSight, Sellforte, Rockerbox, Recast, Haus, Analytic Partners, Momentum</t>
  </si>
  <si>
    <t>https://slashdot.org/software/incrementality-testing/in-usa/</t>
  </si>
  <si>
    <t>Top Incrementality Testing Tools in the USA in 2026</t>
  </si>
  <si>
    <t>https://www.smartosc.com/10-best-ai-services-in-japan/</t>
  </si>
  <si>
    <t>10 Best AI Services Solutions for Japanese Organisations - SmartOSC</t>
  </si>
  <si>
    <t>McKinsey, Anomaly, Measured</t>
  </si>
  <si>
    <t>https://www.smartsites.com/blog/the-different-types-of-ppc-ads/</t>
  </si>
  <si>
    <t>The Different Types Of PPC Ads - SmartSites</t>
  </si>
  <si>
    <t>https://www.smartsites.com/ppc-marketing/display-advertising/</t>
  </si>
  <si>
    <t>Get Seen with #1 Best Display Advertising Services</t>
  </si>
  <si>
    <t>SmartSites, Clutch, Huge</t>
  </si>
  <si>
    <t>https://www.smartsites.com/web-design/graphics-digital/web-display-banners/</t>
  </si>
  <si>
    <t>Display Banners Design Agency Services | Award Winning Web Designers</t>
  </si>
  <si>
    <t>SmartSites, Clutch</t>
  </si>
  <si>
    <t>https://snov.io/blog/best-digital-marketing-platforms/</t>
  </si>
  <si>
    <t>13 best digital marketing platforms in 2026 (reviewed &amp;amp; ranked)</t>
  </si>
  <si>
    <t>https://socialander.com/top-digital-marketing-companies-in-usa/</t>
  </si>
  <si>
    <t>Top 17 Digital Marketing Companies in USA</t>
  </si>
  <si>
    <t>Ignite Visibility, WebFX, Disruptive Advertising, KlientBoost, LYFE Marketing, Searchbloom, Thrive Internet Marketing Agency, SmartSites</t>
  </si>
  <si>
    <t>https://sociallyin.com/resources/top-creative-strategy-agencies-us/</t>
  </si>
  <si>
    <t>Top 5 Creative Strategy Agencies in the US (2026 Rankings)</t>
  </si>
  <si>
    <t>Sociallyin, Wieden+Kennedy, Droga5, Accenture Song, R/GA, BBDO, Measured</t>
  </si>
  <si>
    <t>https://sociallyin.com/resources/top-social-media-agencies-in-us/</t>
  </si>
  <si>
    <t>Top 5 Social Media Marketing Agencies in the US (2026)</t>
  </si>
  <si>
    <t>Sociallyin, Clutch, Viral Nation, Measured, Momentum</t>
  </si>
  <si>
    <t>https://sociallypowerful.com/post/top-international-marketing-agencies</t>
  </si>
  <si>
    <t>Top 25 International Marketing Agencies</t>
  </si>
  <si>
    <t>NoGood, AKQA, inBeat, Web Tonic, R/GA, Ignite Visibility, WebFX</t>
  </si>
  <si>
    <t>https://sociallypowerful.com/post/top-retail-marketing-agencies</t>
  </si>
  <si>
    <t>Top 30 Retail Marketing Agencies (2025)</t>
  </si>
  <si>
    <t>SmartSites, Disruptive Advertising, NoGood, BBDO, Web Tonic</t>
  </si>
  <si>
    <t>https://sociolabs.in/top-indian-generative-engine-optimization-companies/</t>
  </si>
  <si>
    <t>Top Indian Companies in Generative Engine Optimization</t>
  </si>
  <si>
    <t>https://soft-industry.com/data-analytics-services/</t>
  </si>
  <si>
    <t>Data &amp;amp; AI – Soft Industry Alliance</t>
  </si>
  <si>
    <t>McKinsey, Anomaly, Clutch</t>
  </si>
  <si>
    <t>https://www.sona.com/blog/vendors-supporting-first-party-intent-data-targeting-for-b2b-sales-prospecting-a-comprehensive-activation-guide</t>
  </si>
  <si>
    <t>Vendors Supporting First-Party Intent Data Targeting for B2B Sales Prospecting: A Comprehensive Activation Guide | Sona</t>
  </si>
  <si>
    <t>https://www.sortlist.com/digital-marketing/doha-qa</t>
  </si>
  <si>
    <t>The 10 Best Digital Marketing Agencies in Doha - 2026 Reviews</t>
  </si>
  <si>
    <t>Clutch, Directive</t>
  </si>
  <si>
    <t>https://www.sortlist.com/paid-media#:~:text=Instead%20of%20traditional%20agencies%20that%20bill%20per,marketing%20across%20all%20key%20channels%20and%20disciplines.</t>
  </si>
  <si>
    <t>The 100 Best Paid Media Agencies - 2026 Reviews</t>
  </si>
  <si>
    <t>NinjaPromo, Triple Whale, Northbeam, HockeyStack</t>
  </si>
  <si>
    <t>https://www.sortlist.com/performance-marketing</t>
  </si>
  <si>
    <t>The 100 Best Performance Marketing Agencies - 2026 Reviews</t>
  </si>
  <si>
    <t>Triple Whale, Northbeam, HockeyStack, Measured</t>
  </si>
  <si>
    <t>https://www.sortlist.com/s/artificial-intelligence/united-states-us</t>
  </si>
  <si>
    <t>The 10 Best Artificial Intelligence Agencies in the United States - 2026 Reviews</t>
  </si>
  <si>
    <t>https://www.sortlist.com/s/display-advertising/los-angeles-ca-us</t>
  </si>
  <si>
    <t>The 10 Best Display Advertising Agencies in Los Angeles, CA - 2026 Reviews</t>
  </si>
  <si>
    <t>NinjaPromo, IBM, Clutch, Clay</t>
  </si>
  <si>
    <t>https://www.sortlist.com/s/display-advertising/nashville-tn-us</t>
  </si>
  <si>
    <t>The 10 Best Display Advertising Agencies in Nashville - 2026 Reviews</t>
  </si>
  <si>
    <t>NinjaPromo, IBM, Clutch, Clay, Nielsen</t>
  </si>
  <si>
    <t>https://www.sortlist.com/s/performance-marketing/atlanta-ga-us</t>
  </si>
  <si>
    <t>The 10 Best Performance Marketing Agencies in Atlanta, GA - 2026 Reviews</t>
  </si>
  <si>
    <t>IBM, Clutch, Clay, Anomaly</t>
  </si>
  <si>
    <t>https://sourceforge.net/software/incrementality-testing/usa/</t>
  </si>
  <si>
    <t>Best Incrementality Testing Tools in the USA of 2026 - Reviews &amp;amp; Comparison</t>
  </si>
  <si>
    <t>https://sourceforge.net/software/product/INCRMNTAL/</t>
  </si>
  <si>
    <t>INCRMNTAL Reviews in 2026</t>
  </si>
  <si>
    <t>INCRMNTAL, Haus, SegmentStream, Tinuiti, Measured, LifeSight</t>
  </si>
  <si>
    <t>https://www.sparkouttech.com/ui-ux-design-agencies-usa/</t>
  </si>
  <si>
    <t>Discover Top 10 UI/UX Design Agencies in USA For Businesses</t>
  </si>
  <si>
    <t>Clay, Momentum, IBM, Haus</t>
  </si>
  <si>
    <t>https://www.spicymargarita.co/blog/top-ai-seo-agencies-for-b2b</t>
  </si>
  <si>
    <t>8 Top AI SEO Agencies for B2B | The Best AI SEO Agencies in 2026</t>
  </si>
  <si>
    <t>https://www.stackadapt.com/resources/blog/first-party-data-strategy</t>
  </si>
  <si>
    <t>First-party data strategy: An in-depth guide for marketers</t>
  </si>
  <si>
    <t>McKinsey, BCG, Acxiom</t>
  </si>
  <si>
    <t>https://www.stackmatix.com/blog/best-facebook-ads-agencies</t>
  </si>
  <si>
    <t>15 Best Facebook Ads Agencies in 2026 (Vetted &amp;amp; Compared)</t>
  </si>
  <si>
    <t>Disruptive Advertising, Clutch, KlientBoost, SmartSites, WebFX, LYFE Marketing, Thrive Internet Marketing Agency, The Social Shepherd, Brighter Click, Power Digital, Single Grain</t>
  </si>
  <si>
    <t>https://www.stanleyconsultants.com/solutions/planning-consulting/geospatial-surveying-services#:~:text=As%20a%20full%2Dservice%20GIS%20consulting%20firm%2C%20Stanley,and%20manage%20spatial%20information%20in%20real%20time.</t>
  </si>
  <si>
    <t>https://starusa.org/services/ctpat-certification/#:~:text=Our%20experts%20streamline%20your%20supply%20chain%20processes,operations%2C%20enhancing%20efficiency%20and%20reducing%20potential%20disruptions.</t>
  </si>
  <si>
    <t>CTPAT Certification - Star USA, Inc.</t>
  </si>
  <si>
    <t>https://www.stellaheystella.com/</t>
  </si>
  <si>
    <t>Stella: Know what’s causing growth. Know what to do next.</t>
  </si>
  <si>
    <t>https://stridec.com/blog/best-ai-seo-agencies/</t>
  </si>
  <si>
    <t>7 Best AI SEO Agencies in 2026 (Ranked by Results)</t>
  </si>
  <si>
    <t>First Page Sage, Siege Media, WebFX</t>
  </si>
  <si>
    <t>https://stridec.com/blog/best-geo-tools-ai-search/</t>
  </si>
  <si>
    <t>10 Best GEO Tools for AI Search Optimization (2026 Guide)</t>
  </si>
  <si>
    <t>https://www.stryde.com/best-ecommerce-paid-search-agencies-in-the-us/</t>
  </si>
  <si>
    <t>Best Ecommerce Paid Search Agencies in the US in 2026 - STRYDE</t>
  </si>
  <si>
    <t>NoGood, HawkSEM, Disruptive Advertising, Thrive Internet Marketing Agency, Seer Interactive, Tinuiti, Huge</t>
  </si>
  <si>
    <t>https://superbcompanies.com/categories/media-planning-buying-agencies-in-the-usa/</t>
  </si>
  <si>
    <t>Top 50 Media Planning &amp;amp; Buying Agencies in the United States - Jul 2026 | Ranking | SuperbCompanies</t>
  </si>
  <si>
    <t>https://www.superside.com/blog/ai-powered-agencies</t>
  </si>
  <si>
    <t>10 AI-Powered Agencies Blending Automation and Creativity in 2026</t>
  </si>
  <si>
    <t>Superside, PwC, Jellyfish, Brandtech, Keenfolks, NoGood</t>
  </si>
  <si>
    <t>https://www.superside.com/blog/creative-at-scale</t>
  </si>
  <si>
    <t>Driving Creative at Scale for Brands To Achieve Success (Services &amp;amp; Tips)</t>
  </si>
  <si>
    <t>Superside, GroupM, WPP, Publicis Groupe, Accenture Song, Deloitte Digital</t>
  </si>
  <si>
    <t>https://www.superside.com/blog/creative-content-agencies</t>
  </si>
  <si>
    <t>10 Creative Content Agencies Making Brands Shine in 2026</t>
  </si>
  <si>
    <t>Superside, Animalz</t>
  </si>
  <si>
    <t>https://www.superside.com/blog/creative-performance-agencies</t>
  </si>
  <si>
    <t>12 Strategic Creative Performance Agencies for Brands in 2026</t>
  </si>
  <si>
    <t>Superside, Huge, Silverback Strategies, Croud, Noble Studios</t>
  </si>
  <si>
    <t>https://www.superside.com/blog/financial-services-creative-agencies</t>
  </si>
  <si>
    <t>The 7 Best Financial Services Creative Agencies in 2026</t>
  </si>
  <si>
    <t>Superside, Ogilvy, Droga5, Accenture Song, BBDO, VML, WPP, R/GA, Dentsu, Merkle</t>
  </si>
  <si>
    <t>https://www.superside.com/blog/omnichannel-design-partners</t>
  </si>
  <si>
    <t>The 10 best omnichannel design partners for enterprise brands</t>
  </si>
  <si>
    <t>Superside, Momentum, Accenture Song, DEPT, Wieden+Kennedy, Monks, R/GA, Huge</t>
  </si>
  <si>
    <t>https://support.google.com/tagmanager/answer/7237700?hl=en-AU</t>
  </si>
  <si>
    <t>https://sweatpantsagency.com/the-top-9-digital-marketing-agencies</t>
  </si>
  <si>
    <t>The Top 9 Digital Marketing Agencies in 2026 | Sweat Pants Agency</t>
  </si>
  <si>
    <t>Wieden+Kennedy, NoGood, WebFX, The Social Shepherd, LYFE Marketing, First Page Sage, Disruptive Advertising</t>
  </si>
  <si>
    <t>https://talents.vaia.com/companies/vaynermedia-llc/</t>
  </si>
  <si>
    <t>VaynerMedia LLC – Vaia – Talents</t>
  </si>
  <si>
    <t>https://taqwah.agency/blog/top-saas-landing-page-design-agencies</t>
  </si>
  <si>
    <t>Top 10 SaaS Landing Page Design Agencies 2026</t>
  </si>
  <si>
    <t>https://tbwa.com/</t>
  </si>
  <si>
    <t>Home Page - TBWA Worldwide Site</t>
  </si>
  <si>
    <t>https://technologyarch.com/it-consulting/ai-adoption/</t>
  </si>
  <si>
    <t>AI Adoption Consulting in Minneapolis, Green Bay &amp;amp; Denver</t>
  </si>
  <si>
    <t>https://techradiant.co/agencies/social-media-marketing/</t>
  </si>
  <si>
    <t>Best Social Media Marketing Agencies 2026 | Top SMM Experts - Techradiant</t>
  </si>
  <si>
    <t>Power Digital, Sociallyin, Elit-Web</t>
  </si>
  <si>
    <t>https://techreviewer.co/digital-marketing</t>
  </si>
  <si>
    <t>Top Digital Marketing Agencies in 2026 | Techreviewer.co</t>
  </si>
  <si>
    <t>inBeat, Clutch, Huge</t>
  </si>
  <si>
    <t>https://www.tenspeed.io/blog/best-content-marketing-agencies</t>
  </si>
  <si>
    <t>The 8 Best Content Marketing Agencies in 2026 | Ten Speed</t>
  </si>
  <si>
    <t>Single Grain, Siege Media, Omniscient Digital, Animalz, Power Digital, Clutch</t>
  </si>
  <si>
    <t>https://www.theatdb.com/companies/accenture-song</t>
  </si>
  <si>
    <t>Accenture Song — Creative &amp;amp; Experience Services | ATDb</t>
  </si>
  <si>
    <t>https://www.theaustralian.com.au/sponsored-content/beyond-ai-pilots-the-organisations-turning-ai-ambition-into-action/news-story/415e261ad0bf616e51c3b7b79b17a86f</t>
  </si>
  <si>
    <t>Beyond AI pilots, the organisations turning AI ambition into action \| The Australian</t>
  </si>
  <si>
    <t>https://theb2bplaybook.com/best-google-ads-agencies-for-b2b</t>
  </si>
  <si>
    <t>12 Best Google Ads Agencies for B2B Companies [2026]</t>
  </si>
  <si>
    <t>Directive, McKinsey, KlientBoost, HawkSEM, Disruptive Advertising, WebFX, Single Grain, Silverback Strategies, NP Digital, Momentum, Clutch</t>
  </si>
  <si>
    <t>https://www.thebusinessrover.com/blog/best-ppc-agencies</t>
  </si>
  <si>
    <t>21 Best PPC Agencies in 2026 | The Business Rover</t>
  </si>
  <si>
    <t>Disruptive Advertising, KlientBoost, Directive, Tinuiti, AdVenture Media, Brainlabs, Merkle, iProspect, DEPT, Wpromote, Jellyfish, Momentum, Dentsu, TransUnion</t>
  </si>
  <si>
    <t>https://www.thebusinessrover.com/sv/blog/growth-marketing-agencies#:~:text=Right%20Side%20Up%20is%20a,house%2C%20not%20junior%20account%20managers.</t>
  </si>
  <si>
    <t>14 Best Growth Marketing Agencies in 2026 | Business Rover</t>
  </si>
  <si>
    <t>NoGood, NP Digital, Right Side Up, Wpromote, Omniscient Digital, Single Grain, Refine Labs, TransUnion</t>
  </si>
  <si>
    <t>https://thecmo.com/services/best-digital-marketing-agency/</t>
  </si>
  <si>
    <t>10 Best Digital Marketing Agency Reviewed in 2026</t>
  </si>
  <si>
    <t>Victorious, Searchbloom, Thrive Internet Marketing Agency, WebFX, SmartSites, KlientBoost</t>
  </si>
  <si>
    <t>https://thecrunch.io/ai-software-sales/</t>
  </si>
  <si>
    <t>10 Best AI Software Sales Tools to Double Your Revenue in 2026</t>
  </si>
  <si>
    <t>https://www.thedrum.com/lists/world-creative-rankings/companies/the-most-awarded-agencies-in-the-united-states/2024</t>
  </si>
  <si>
    <t>Lists \| Discover the world’s most awarded creative people, companies and campaigns \| The Drum</t>
  </si>
  <si>
    <t>VML, Wieden+Kennedy, Ogilvy, Droga5, BBDO, R/GA, Dentsu, 72andSunny, Anomaly, AKQA</t>
  </si>
  <si>
    <t>https://www.thedrum.com/news/in-face-of-massive-change-wpp-networks-dominate-2026-world-creative-rankings</t>
  </si>
  <si>
    <t>As WPP reinvents itself (again), its networks dominate World Creative Rankings (again) | The Drum</t>
  </si>
  <si>
    <t>WPP, Publicis Groupe, Dentsu, Momentum, Ogilvy, VML, AKQA, BBDO</t>
  </si>
  <si>
    <t>https://www.thedrum.com/news/the-most-awarded-holding-companies-in-the-drum-honors-2025-a-swan-song-for-ipg</t>
  </si>
  <si>
    <t>The most awarded holding companies in The Drum Honors 2025: A swan song for IPG | The Drum</t>
  </si>
  <si>
    <t>WPP, Dentsu, Publicis Groupe</t>
  </si>
  <si>
    <t>https://www.thedrum.com/news/world-creative-rankings-the-top-100-most-awarded-agencies-the-us</t>
  </si>
  <si>
    <t>World Creative Rankings: the top 100 most awarded agencies in the US \| The Drum</t>
  </si>
  <si>
    <t>72andSunny, Merkle</t>
  </si>
  <si>
    <t>https://www.thegrowthsyndicate.com/agencies/best-b2b-marketing-agencies-us</t>
  </si>
  <si>
    <t>The 10 Best B2B Marketing Agencies in the US in 2026</t>
  </si>
  <si>
    <t>Directive, Measured, Animalz, Clutch, Refine Labs</t>
  </si>
  <si>
    <t>https://www.thegrowthsyndicate.com/agencies/best-linkedin-ads-agencies-us</t>
  </si>
  <si>
    <t>Best LinkedIn Ads Agencies in the US (2026)</t>
  </si>
  <si>
    <t>Directive, Refine Labs, Disruptive Advertising, Clutch, Measured</t>
  </si>
  <si>
    <t>https://www.thegutenberg.com/blog/measuring-marketing-roi-in-the-tech-industry-key-metrics-and-tools/</t>
  </si>
  <si>
    <t>Measuring Marketing ROI in Tech Brands: Metrics that Matter</t>
  </si>
  <si>
    <t>https://www.thehackettgroup.com/ai-consulting-hckt/</t>
  </si>
  <si>
    <t>Reimagine Business with AI-Powered Transformation - The Hackett Group®</t>
  </si>
  <si>
    <t>https://www.thehackettgroup.com/gen-ai-consulting/#:~:text=We%20assess%20your%20data%2C%20systems%2C%20governance%20and,ensuring%20your%20foundation%20is%20secure%20and%20scalable.</t>
  </si>
  <si>
    <t>Generative AI Consulting Services | The Hackett Group®</t>
  </si>
  <si>
    <t>https://theinklusive.com/blog/12-best-branding-agencies/</t>
  </si>
  <si>
    <t>Top 15 Branding Agencies in the World (2025 Rankings)</t>
  </si>
  <si>
    <t>BCG, Dentsu, Anomaly, Pentagram, WPP</t>
  </si>
  <si>
    <t>https://www.thekeenfolks.com/blog-article/top-ai-marketing-companies</t>
  </si>
  <si>
    <t>The best AI Marketing Companies for large enterprises</t>
  </si>
  <si>
    <t>Keenfolks, Tinuiti, Wpromote, DEPT, Clay, Measured</t>
  </si>
  <si>
    <t>https://www.thekeenfolks.com/solutions/20-the-best-ai-marketing-companies-for-large-enterprises</t>
  </si>
  <si>
    <t>20-The best AI Marketing Companies for large enterprises</t>
  </si>
  <si>
    <t>https://themanifest.com/media-buying/agencies</t>
  </si>
  <si>
    <t>The Best Media Planning and Buying Companies - Jul 2026 | The Manifest</t>
  </si>
  <si>
    <t>Clutch, Accelerated Digital Media, Major Tom, Tinuiti</t>
  </si>
  <si>
    <t>https://themanifest.com/us/creative/agencies?page=1</t>
  </si>
  <si>
    <t>https://themanifest.com/us/digital/agencies</t>
  </si>
  <si>
    <t>The Best Full Service Digital Companies in United States - Jul 2026 | The Manifest</t>
  </si>
  <si>
    <t>Clutch, Ignite Visibility, Storm Brain, Funnel Boost Media</t>
  </si>
  <si>
    <t>https://themanifest.com/us/social-media/agencies?page=1</t>
  </si>
  <si>
    <t>Clutch, Ignite Visibility, Elit-Web, KlientBoost, Disruptive Advertising, AdVenture Media, HawkSEM, Acadia, SmartSites, NinjaPromo, LYFE Marketing, Sociallyin</t>
  </si>
  <si>
    <t>https://themanifest.com/us/social-media/instagram/agencies</t>
  </si>
  <si>
    <t>The Best Instagram Advertising Companies in United States - Jul 2026 | The Manifest</t>
  </si>
  <si>
    <t>Clutch, LYFE Marketing, Elit-Web, Power Digital, Disruptive Advertising, Sociallyin, SmartSites, AdVenture Media, HawkSEM, Brighter Click, NinjaPromo</t>
  </si>
  <si>
    <t>https://www.themediaant.com/blog/types-of-advertising-agencies-2025/</t>
  </si>
  <si>
    <t>Discover the 7 Types of Advertising Agencies for 2025</t>
  </si>
  <si>
    <t>Ogilvy, Dentsu, VML, iProspect, BBDO, Merkle</t>
  </si>
  <si>
    <t>https://www.themill.com/</t>
  </si>
  <si>
    <t>Creative craft, designed to scale. — The Mill</t>
  </si>
  <si>
    <t>https://thesocialshepherd.com/blog/top-advertising-agencies-us</t>
  </si>
  <si>
    <t>The Social Shepherd | Top 17 Advertising Agencies in the U.S. (2026)</t>
  </si>
  <si>
    <t>The Social Shepherd, Refine Labs, Kobe Digital</t>
  </si>
  <si>
    <t>https://thesocialshepherd.com/blog/top-digital-marketing-agencies-us</t>
  </si>
  <si>
    <t>The Social Shepherd | Top 17 Digital Marketing Agencies in the U.S.…</t>
  </si>
  <si>
    <t>The Social Shepherd, Refine Labs, Intero Digital, Single Grain, Power Digital, KlientBoost, VaynerMedia, Publicis Groupe, Digitas</t>
  </si>
  <si>
    <t>https://www.thezulumethod.com/top-ai-marketing-agencies</t>
  </si>
  <si>
    <t>Top 7 AI Marketing Agencies in 2026 (Compared) | Zulu</t>
  </si>
  <si>
    <t>Power Digital, Wpromote, Single Grain, Directive, NoGood, Giant Spoon, Hawke Media, Measured</t>
  </si>
  <si>
    <t>https://thinkstrategic.com/display-advertising/</t>
  </si>
  <si>
    <t>Display Advertising Agency | Strategic Marketing</t>
  </si>
  <si>
    <t>Measured, Huge</t>
  </si>
  <si>
    <t>https://thinkwithalec.com/2025/03/02/best-marketing-platforms-for-tracking-first-party-data/</t>
  </si>
  <si>
    <t>Best Marketing Platforms for Tracking First-Party Data – THINK WITH ALEC</t>
  </si>
  <si>
    <t>https://www.thirstysprout.com/post/best-tech-recruiting-agencies</t>
  </si>
  <si>
    <t>7 Best Tech Recruiting Agencies for AI &amp;amp; Engineering in 2025 | ThirstySprout</t>
  </si>
  <si>
    <t>https://thriveagency.com/news/best-digital-pr-agencies/</t>
  </si>
  <si>
    <t>10 Best Digital PR Agencies in 2026 | Thrive Agency</t>
  </si>
  <si>
    <t>Thrive Internet Marketing Agency, Go Fish Digital, Momentum</t>
  </si>
  <si>
    <t>https://thriveagency.com/news/best-social-media-marketing-companies/</t>
  </si>
  <si>
    <t>19 Best Social Media Marketing Companies in 2026 | Thrive</t>
  </si>
  <si>
    <t>Thrive Internet Marketing Agency, Sociallyin, KlientBoost, Power Digital, Hawke Media, Clutch</t>
  </si>
  <si>
    <t>https://tinuiti.com/</t>
  </si>
  <si>
    <t>Tinuiti | Media Agency</t>
  </si>
  <si>
    <t>https://tinuiti.com/blisspoint/measurement/incrementality-lab/</t>
  </si>
  <si>
    <t>Incrementality Lab | Tinuiti</t>
  </si>
  <si>
    <t>https://tinuiti.com/research-insights/guides/the-incrementality-playbook/</t>
  </si>
  <si>
    <t>The Incrementality Playbook | Tinuiti</t>
  </si>
  <si>
    <t>https://tinuiti.com/services/</t>
  </si>
  <si>
    <t>Performance Marketing Services | Tinuiti</t>
  </si>
  <si>
    <t>https://tinuiti.com/services/social/</t>
  </si>
  <si>
    <t>Paid Social Media Agency | Tinuiti</t>
  </si>
  <si>
    <t>https://topmarketingagencies.com/case-studies/</t>
  </si>
  <si>
    <t>Case Studies</t>
  </si>
  <si>
    <t>https://www.trackingplan.com/blog/incrementality-testing-a-2026-guide-for-marketers-en#:~:text=Incrementality%20testing%20is%20a%20controlled%20marketing%20experiment,for%20conversions%20that%20would%20have%20happened%20anyway.</t>
  </si>
  <si>
    <t>Incrementality Testing: A 2026 Guide for Marketers | Trackingplan</t>
  </si>
  <si>
    <t>Measured, Cometly, Nielsen, Anomaly</t>
  </si>
  <si>
    <t>https://www.tradingview.com/news/zacks:213c37a79094b:0-ai-powered-earth-observation-drives-planet-labs-growth/</t>
  </si>
  <si>
    <t>AI-Powered Earth Observation Drives Planet Labs' Growth? — TradingView News</t>
  </si>
  <si>
    <t>https://trailblazermktg.com/blog/best-seo-agency-in-the-usa#:~:text=They%20operate%20in%2015%2B%20languages,around%20content%20and%20authority%20signals.</t>
  </si>
  <si>
    <t>42 Best SEO Agencies in the USA in 2026 to Grow Traffic &amp;amp; Revenue - Trailblazer</t>
  </si>
  <si>
    <t>Momentum, WebFX, Clutch, First Page Sage, Victorious, Thrive Internet Marketing Agency, Ignite Visibility, SmartSites, LYFE Marketing, NinjaPromo, Storm Brain, Go Fish Digital, Funnel Boost Media, KlientBoost, Major Tom, Searchbloom, Directive, Siege Media</t>
  </si>
  <si>
    <t>https://transform.omnicommedia.com/report-confirms-omnicom-media-leads-global-media-management-following-omg-mediabrands-integration/</t>
  </si>
  <si>
    <t>Home - Omnicom Media Transform</t>
  </si>
  <si>
    <t>IBM, Acxiom, Omnicom Media Group</t>
  </si>
  <si>
    <t>https://tribetronics.com/blog/top-ai-marketing-agencies-in-usa</t>
  </si>
  <si>
    <t>Top AI Marketing Agencies in USA | Tribetronics</t>
  </si>
  <si>
    <t>https://tridence.com/</t>
  </si>
  <si>
    <t>AI Marketing Agency | Jacksonville &amp;amp; Chicago | Tridence</t>
  </si>
  <si>
    <t>https://www.trinitybps.com/ai-consulting</t>
  </si>
  <si>
    <t>AI Adoption Consulting — ARTHA &amp;amp; PRISM | Trinity Bridge PS</t>
  </si>
  <si>
    <t>https://www.tripledart.com/ai-marketing/ai-marketing-agencies</t>
  </si>
  <si>
    <t>7 Best B2B AI Marketing Agencies for 2026</t>
  </si>
  <si>
    <t>Single Grain, NoGood, Major Tom, Clutch, Croud</t>
  </si>
  <si>
    <t>https://www.tripledart.com/ai-seo/ai-seo-agencies</t>
  </si>
  <si>
    <t>Best AI SEO Agencies in 2026</t>
  </si>
  <si>
    <t>iPullRank, First Page Sage, WebFX, NoGood, SmartSites, Omniscient Digital, Siege Media, Measured</t>
  </si>
  <si>
    <t>https://www.tripledart.com/saas-seo/agencies</t>
  </si>
  <si>
    <t>Top SaaS SEO Agencies in 2026</t>
  </si>
  <si>
    <t>Omniscient Digital, Single Grain, Directive, Optimist, Clutch, WebFX</t>
  </si>
  <si>
    <t>https://www.triplewhale.com/blog/incrementality-testing</t>
  </si>
  <si>
    <t>What Is Incrementality Testing? The Ultimate Guide for Modern Marketers | Triple Whale</t>
  </si>
  <si>
    <t>https://www.trusted-trade.net/services/compliant-processes/#:~:text=The%20Trusted%20Trade%20Alliance%20team%20is%20comprised,the%20trusted%20trader%20and%20AEO%20programs%20of</t>
  </si>
  <si>
    <t>Business Consulting Services - Trusted Trade Alliance LLC.</t>
  </si>
  <si>
    <t>https://www.trustpilot.com/review/www.mutesix.com</t>
  </si>
  <si>
    <t>MuteSix Reviews \| Read Customer Service Reviews of www.mutesix.com</t>
  </si>
  <si>
    <t>NinjaPromo, MuteSix, LYFE Marketing, Superside</t>
  </si>
  <si>
    <t>https://www.tryprofound.com/partners/tinuiti</t>
  </si>
  <si>
    <t>https://www.uforocks.com/blog/20-top-marketing-agencies-in-kansas-city-for-impressive-business-growth/</t>
  </si>
  <si>
    <t>20 Top Marketing Agencies in Kansas City for Impressive Business Growth - UFO Digital Marketing Agency</t>
  </si>
  <si>
    <t>https://ugcengine.ai/blog/best-aeo-agencies</t>
  </si>
  <si>
    <t>Best AEO Agencies in 2026: 9 Top Firms for AI Search Visibility</t>
  </si>
  <si>
    <t>NoGood, iPullRank, Animalz, Omniscient Digital, Graphite, First Page Sage, Amsive, Momentum</t>
  </si>
  <si>
    <t>https://uitop.design/blog/design/b2b-design-agency/</t>
  </si>
  <si>
    <t>TOP-5 B2B Design Agencies in 2025 | UITOP</t>
  </si>
  <si>
    <t>Clay, Pentagram, Clutch</t>
  </si>
  <si>
    <t>https://www.usekaya.com/blog/b2b-marketing-agencies-for-ads</t>
  </si>
  <si>
    <t>Top B2B Marketing Agencies for Paid Ads in 2025 \| Kaya</t>
  </si>
  <si>
    <t>Directive, WebFX, KlientBoost, Single Grain, Hey Digital, Metric Theory, Brainlabs, Measured, Huge</t>
  </si>
  <si>
    <t>https://usercentrics.com/guides/future-of-data-in-marketing/first-party-data-marketing/</t>
  </si>
  <si>
    <t>First-Party Data Marketing | Tips &amp;amp; Strategies for 2026</t>
  </si>
  <si>
    <t>https://www.useready.com/aixcelerate</t>
  </si>
  <si>
    <t>AIxcelerate – Enterprise AI Adoption &amp;amp; Enablement Program | USEReady</t>
  </si>
  <si>
    <t>BCG, Measured</t>
  </si>
  <si>
    <t>https://usermaven.com/blog/marketing-attribution-tools</t>
  </si>
  <si>
    <t>15 best marketing attribution tools (compared for 2026)</t>
  </si>
  <si>
    <t>HockeyStack, Triple Whale, Cometly, Rockerbox, Measured, Ruler Analytics, Northbeam</t>
  </si>
  <si>
    <t>https://vantecmarketing.com/</t>
  </si>
  <si>
    <t>Answer Engine Marketing Agency | Van Tec Marketing</t>
  </si>
  <si>
    <t>https://vaynermedia.com/</t>
  </si>
  <si>
    <t>VaynerMedia : Integrated Strategy, Creative and Media Agency</t>
  </si>
  <si>
    <t>https://vaynermedia.com/work/</t>
  </si>
  <si>
    <t>VaynerMedia Work, Clients, Case Studies &amp;amp; Awards</t>
  </si>
  <si>
    <t>VaynerMedia, Digitas</t>
  </si>
  <si>
    <t>https://www.vdigitalservices.com/press-releases/v-digital-services-earns-google-premier-partner-status-for-fifth-consecutive-year/</t>
  </si>
  <si>
    <t>V Digital Services Earns Google Premier Partner Status for Fifth Consecutive Year - V Digital Services</t>
  </si>
  <si>
    <t>https://www.vendry.io/agency/the-social-shepherd-xbvkqj</t>
  </si>
  <si>
    <t>The Social Shepherd — Case Studies, Pricing &amp; Reviews \| Vendry</t>
  </si>
  <si>
    <t>https://www.venturemedia.io/post/top-social-media-marketing-agencies-in-the-united-states#:~:text=Sociallyin%20is%20a%20creative%2Dled%20social%20media%20marketing,strong%20blend%20of%20creativity%20with%20data%2Ddriven%20strategy.</t>
  </si>
  <si>
    <t>Top Social Media Marketing Agencies in the US (2026)</t>
  </si>
  <si>
    <t>Clutch, SmartSites, LYFE Marketing, Sociallyin, Disruptive Advertising, Ignite Visibility, Power Digital, VaynerMedia</t>
  </si>
  <si>
    <t>https://verdtek.com/ai-adoption/</t>
  </si>
  <si>
    <t>AI Adoption - Verdtek</t>
  </si>
  <si>
    <t>https://vibebranding.com/blog/best-performance-marketing-agencies/</t>
  </si>
  <si>
    <t>Best Performance Marketing Agencies for ROI Growth 2025</t>
  </si>
  <si>
    <t>https://victoriaolsina.com/blog/geo-startups/</t>
  </si>
  <si>
    <t>How to Rank in ChatGPT: GEO Guide for Startups - Victoria Olsina</t>
  </si>
  <si>
    <t>https://vidi-corp.com/ecommerce-analytics-companies/</t>
  </si>
  <si>
    <t>Top 10 Ecommerce Analytics Companies For Data-Driven Growth</t>
  </si>
  <si>
    <t>https://vidico.com/news/creative-advertising-agencies/</t>
  </si>
  <si>
    <t>15 Best Creative Advertising Agencies in 2026 (Complete Guide)</t>
  </si>
  <si>
    <t>Wieden+Kennedy, Ogilvy, Superside, Giant Spoon, IBM, WPP, Measured, Droga5, Accenture Song, Publicis Groupe, Dentsu, VML, BBDO, Kantar</t>
  </si>
  <si>
    <t>https://vietnammarcom.edu.vn/marketing/best-digital-marketing-agencies-winning-projects-around-the-world/</t>
  </si>
  <si>
    <t>Best Digital Marketing Agencies Winning Projects Around The World - VietnamMarcom</t>
  </si>
  <si>
    <t>WebFX, Disruptive Advertising, NoGood, Directive</t>
  </si>
  <si>
    <t>https://virtualadagency.com.au/top-digital-advertising-agencies/</t>
  </si>
  <si>
    <t>7 Top Digital Advertising Agencies in Australia (2025 Guide)</t>
  </si>
  <si>
    <t>https://www.visioneerit.com/services/artificial-intelligence-adoption</t>
  </si>
  <si>
    <t>AI Adoption Services: Production AI That Drives Real Outcomes</t>
  </si>
  <si>
    <t>https://vstorm.co/agentic-ai/top-10-agentic-ai-development-and-consulting-companies-for-smbs-and-enterprises/</t>
  </si>
  <si>
    <t>Top 10 agentic AI development and consulting companies for SMBs and enterprises in 2026 - Vstorm</t>
  </si>
  <si>
    <t>https://www.w3era.com/blog/local-seo/top-digital-marketing-agencies-usa/</t>
  </si>
  <si>
    <t>Top 10 Digital Marketing Agencies in USA (2025 Guide)</t>
  </si>
  <si>
    <t>Clutch, Ignite Visibility, WebFX, Disruptive Advertising, Thrive Internet Marketing Agency, SmartSites, LYFE Marketing, Directive, Measured</t>
  </si>
  <si>
    <t>https://weareaudiences.com/</t>
  </si>
  <si>
    <t>AUDIENCES | In-Cloud Signal Distribution for First-Party Data</t>
  </si>
  <si>
    <t>https://www.weareqry.com/blog/best-performance-marketing-agencies</t>
  </si>
  <si>
    <t>Best Performance Marketing Agencies for 2026 | QRY</t>
  </si>
  <si>
    <t>Measured, Tinuiti, Power Digital, NoGood, Right Side Up, Major Tom, Hawke Media</t>
  </si>
  <si>
    <t>https://webflow.com/blog/how-to-come-up-with-a-brand-name</t>
  </si>
  <si>
    <t>How to come up with a brand name: The ultimate guide | Webflow Blog</t>
  </si>
  <si>
    <t>https://www.webfx.com/analytics/learn/top-marketing-analytics-companies/</t>
  </si>
  <si>
    <t>11 Top Marketing Analytics Companies to Enhance Your Campaigns</t>
  </si>
  <si>
    <t>https://webguruz.in/blog/start-your-ai-marketing-transformation-today</t>
  </si>
  <si>
    <t>7 AI Marketing Agencies Transforming How Businesses Grow</t>
  </si>
  <si>
    <t>Disruptive Advertising, NP Digital, Measured, Clutch</t>
  </si>
  <si>
    <t>https://weblystudio.com/work/</t>
  </si>
  <si>
    <t>Digital marketing case studies for US businesses · Webly Studio</t>
  </si>
  <si>
    <t>https://www.webtonic.io/blog/best-ai-powered-agencies</t>
  </si>
  <si>
    <t>30 Best AI-Powered Agencies for 2026</t>
  </si>
  <si>
    <t>Web Tonic, Disruptive Advertising, WebFX, Sociallyin, Ignite Visibility, Merkle, Dentsu, iProspect, Jellyfish, Publicis Sapient, Huge, R/GA, Accenture Song, Hawke Media, Wpromote, TransUnion, Tinuiti, Brainlabs, VaynerMedia, IBM, Seer Interactive, SmartSites, Power Digital</t>
  </si>
  <si>
    <t>https://www.webtonic.io/blog/best-global-marketing-agencies</t>
  </si>
  <si>
    <t>35 Best Global Marketing Agencies for 2026</t>
  </si>
  <si>
    <t>Web Tonic, BBDO, WPP, Ogilvy, VML, GroupM, Publicis Groupe, Dentsu, Merkle, Accenture Song, Deloitte Digital, PwC, IBM, R/GA, 72andSunny, Wieden+Kennedy, Droga5, AKQA, Huge</t>
  </si>
  <si>
    <t>https://www.webtonic.io/blog/best-ppc-agencies-us#:~:text=%238.-,HawkSEM,clients%20averaging%204.5x%20ROI.</t>
  </si>
  <si>
    <t>The 37 Best PPC Agencies in the US for 2026</t>
  </si>
  <si>
    <t>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t>
  </si>
  <si>
    <t>https://www.webtonic.io/blog/top-creative-performance-agencies</t>
  </si>
  <si>
    <t>37 Top Creative Performance Agencies for 2026</t>
  </si>
  <si>
    <t>Web Tonic, MuteSix, Tinuiti, Wpromote, TransUnion, Metric Theory, WPP, Hawke Media, AKQA, R/GA, Droga5, Accenture Song, 72andSunny, Wieden+Kennedy, Superside</t>
  </si>
  <si>
    <t>https://www.webtonic.io/blog/top-performance-creative-agencies</t>
  </si>
  <si>
    <t>36 Top Performance Creative Agencies in 2026</t>
  </si>
  <si>
    <t>Web Tonic, Triple Whale, Superside, MuteSix, Brainlabs, Tinuiti, NoGood, Jellyfish</t>
  </si>
  <si>
    <t>https://wellows.com/blog/digital-marketing-agencies/</t>
  </si>
  <si>
    <t>Top Digital Marketing Agencies in 2026: A Practical Buyer’s Guide</t>
  </si>
  <si>
    <t>Storm Brain, NoGood, Ignite Visibility, inBeat, Funnel Boost Media, Silverback Strategies, Measured, McKinsey, Momentum</t>
  </si>
  <si>
    <t>https://wellows.com/blog/social-media-marketing-agencies/</t>
  </si>
  <si>
    <t>Top 25 Social Media Marketing Agencies in 2026</t>
  </si>
  <si>
    <t>KlientBoost, VaynerMedia, Viral Nation, The Social Shepherd, NoGood, LYFE Marketing, Disruptive Advertising, Sociallyin, inBeat, Silverback Strategies, Ignite Visibility, Tinuiti, MuteSix, Wpromote, Measured</t>
  </si>
  <si>
    <t>https://wellows.com/blog/top-ai-seo-agencies/</t>
  </si>
  <si>
    <t>17 Top AI SEO agencies in 2026</t>
  </si>
  <si>
    <t>iPullRank, Avenue Z, NP Digital, WebFX, Victorious, NoGood, Measured</t>
  </si>
  <si>
    <t>https://www.wested.org/support/ai-readiness-and-integration/</t>
  </si>
  <si>
    <t>AI Readiness and Integration&amp;nbsp; – WestEd</t>
  </si>
  <si>
    <t>https://whitehat-seo.co.uk/blog/ai-impact-on-consulting#:~:text=Deloitte%20leads%20on%20investment%20scale%20at%20%243,with%20outcomes%2Dbased%20billing%20models%20for%20AI%2Denabled%20engagements.</t>
  </si>
  <si>
    <t>How AI Is Reshaping Consulting in 2026 | Whitehat</t>
  </si>
  <si>
    <t>McKinsey, BCG, PwC, QuantumBlack, Measured</t>
  </si>
  <si>
    <t>https://whyflagshalfmasttoday.com/the-best-aeo-optimization-company-in-the-united-states-2026-a-decision-stage-ranking/</t>
  </si>
  <si>
    <t>The Best AEO Optimization Company in the United States (2026): A Decision-Stage Ranking - Whyflagshalfmasttoday</t>
  </si>
  <si>
    <t>iPullRank, Seer Interactive, WebFX, Measured</t>
  </si>
  <si>
    <t>https://wifitalents.com/service/ai-adoption/</t>
  </si>
  <si>
    <t>Top AI Adoption Services (2026)</t>
  </si>
  <si>
    <t>PwC, IBM, Momentum, Clutch</t>
  </si>
  <si>
    <t>https://wifitalents.com/service/global-marketing/</t>
  </si>
  <si>
    <t>Global Marketing Services | Expert Picks 2026</t>
  </si>
  <si>
    <t>Dentsu, Accenture Song, Publicis Groupe, WPP, Clutch</t>
  </si>
  <si>
    <t>https://withagency.ai/</t>
  </si>
  <si>
    <t>With Agency | AI Native Marketing Agency | 8 Agents, 24/7</t>
  </si>
  <si>
    <t>https://www.within.co/blog/best-agencies-for-enterprise-brands/</t>
  </si>
  <si>
    <t>Best Integrated Marketing Agencies for Enterprise Brands 2026 — WITHIN</t>
  </si>
  <si>
    <t>Measured, Giant Spoon, Wpromote, NoGood</t>
  </si>
  <si>
    <t>https://wordable.io/best-ai-seo-agency/</t>
  </si>
  <si>
    <t>5 Best AI SEO Agencies to Boost Your Business in 2025</t>
  </si>
  <si>
    <t>Clutch, WebFX, iPullRank, NoGood, Victorious, Huge</t>
  </si>
  <si>
    <t>https://worldcomgroup.com/insights/ai-visibility-and-new-era-of-pr/</t>
  </si>
  <si>
    <t>How AI &amp;amp; Generative Engine Optimization is Transforming Public Relations</t>
  </si>
  <si>
    <t>https://worldmetrics.org/service/ai-adoption/</t>
  </si>
  <si>
    <t>Top 10 Best AI Adoption Services | 2026 Expert Picks</t>
  </si>
  <si>
    <t>https://worldmetrics.org/service/data-marketing/</t>
  </si>
  <si>
    <t>Best Data Marketing Services (2026)</t>
  </si>
  <si>
    <t>Merkle, Dentsu, Publicis Groupe, WPP, Kantar, iProspect, Clutch</t>
  </si>
  <si>
    <t>https://worldmetrics.org/service/digital-content-marketing/</t>
  </si>
  <si>
    <t>Best Digital Content Marketing Services | 2026 Rankings</t>
  </si>
  <si>
    <t>Dentsu, WPP, Accenture Song, Publicis Groupe, IBM, R/GA, Ogilvy, AKQA, VML, Clutch</t>
  </si>
  <si>
    <t>https://worldmetrics.org/service/digital-media-planning/</t>
  </si>
  <si>
    <t>Best Digital Media Planning Services | 2026 Rankings</t>
  </si>
  <si>
    <t>GroupM, Dentsu, Measured, Accenture Song, Deloitte Digital, WPP, Merkle, VML, Clutch</t>
  </si>
  <si>
    <t>https://worldmetrics.org/service/digital-media-production/</t>
  </si>
  <si>
    <t>Best Digital Media Production Services (2026)</t>
  </si>
  <si>
    <t>Wieden+Kennedy, R/GA, AKQA, Dentsu, VML, Clutch</t>
  </si>
  <si>
    <t>https://www.wpp.com/en/news/2026/03/wpp-claims-top-spot-on-warc-creative-100-for-fourth-consecutive-year</t>
  </si>
  <si>
    <t>WPP claims top spot on WARC Creative 100 for fourth consecutive year | WPP</t>
  </si>
  <si>
    <t>WPP, Ogilvy, VML, AKQA</t>
  </si>
  <si>
    <t>https://www.wpromote.com/digital-marketing-services/strategy-planning/</t>
  </si>
  <si>
    <t>Marketing Strategy Services | Digital Marketing Agency | Wpromote</t>
  </si>
  <si>
    <t>https://www.wsj.com/articles/big-ad-agencies-hope-to-gain-edge-by-buying-data-companies-11560823201</t>
  </si>
  <si>
    <t>Big Ad Agencies Hope to Gain Edge by Buying Data Companies - WSJ</t>
  </si>
  <si>
    <t>Epsilon, Publicis Groupe</t>
  </si>
  <si>
    <t>https://xcelacore.com/ai-consultants-for-mid-sized-companies/</t>
  </si>
  <si>
    <t>Top AI Consultants for Mid-Sized Companies (2026)</t>
  </si>
  <si>
    <t>BCG, PwC</t>
  </si>
  <si>
    <t>https://xcelacore.com/best-ai-automation-agencies-usa-guide/</t>
  </si>
  <si>
    <t>Top AI Automation Agencies in the USA: Best Enterprise Solutions</t>
  </si>
  <si>
    <t>Slalom</t>
  </si>
  <si>
    <t>https://yourcontentmart.co/best-answer-engine-optimization-agencies/</t>
  </si>
  <si>
    <t>7 Best Answer Engine Optimization Agencies for SaaS Companies</t>
  </si>
  <si>
    <t>iPullRank, Omniscient Digital, Discovered Labs, NoGood, Momentum, Clutch</t>
  </si>
  <si>
    <t>https://www.youtube.com/shorts/-1J3sczOLNs</t>
  </si>
  <si>
    <t>5 Best Answer Engine Optimization (AEO) Agencies in 2026</t>
  </si>
  <si>
    <t>Single Grain, First Page Sage, Siege Media</t>
  </si>
  <si>
    <t>https://www.youtube.com/watch?v=3KVWXIXXyJo</t>
  </si>
  <si>
    <t>What Are the Best Generative Engine Optimization (GEO) Agencies in Moreno Valley?</t>
  </si>
  <si>
    <t>https://www.youtube.com/watch?v=AF_p3QnDcNE&amp;t=358</t>
  </si>
  <si>
    <t>5 AI Search Signals Winning Rankings in 2026</t>
  </si>
  <si>
    <t>https://www.youtube.com/watch?v=DKfcaxbRHcQ&amp;t=331</t>
  </si>
  <si>
    <t>Cometly Review: The Best Marketing Attribution Platform for B2B</t>
  </si>
  <si>
    <t>Cometly</t>
  </si>
  <si>
    <t>https://www.youtube.com/watch?v=GBZzmnhPh4U&amp;t=5</t>
  </si>
  <si>
    <t>What Are The 10 Best Artificial Intelligence (AI) Consulting Firms?</t>
  </si>
  <si>
    <t>PwC, QuantumBlack, McKinsey, BCG, IBM</t>
  </si>
  <si>
    <t>https://www.youtube.com/watch?v=IjasEPvA-K4</t>
  </si>
  <si>
    <t>Top 10 AI-Native B2B Marketing Agencies for 2026 | Unbiased list</t>
  </si>
  <si>
    <t>Single Grain, Directive, NoGood, Omniscient Digital, Measured, Major Tom, GrowthSpree</t>
  </si>
  <si>
    <t>https://www.youtube.com/watch?v=LPvRUxJ5J1E</t>
  </si>
  <si>
    <t>Incrementality Testing and Marketing ROI with Aleksandra Semenenko - Data Coffee</t>
  </si>
  <si>
    <t>https://www.youtube.com/watch?v=NXkXQbQ9-kk&amp;vl=en&amp;t=332</t>
  </si>
  <si>
    <t>Best AI Tools for Generative Engine Optimization (GEO)</t>
  </si>
  <si>
    <t>https://www.youtube.com/watch?v=OvrST0uq8uk</t>
  </si>
  <si>
    <t>How Mejuri Used Incrementality Testing to Unlock a 13% Lift in New Customer Revenue | Haus</t>
  </si>
  <si>
    <t>https://www.youtube.com/watch?v=VQQ_1ODhyvo&amp;vl=en</t>
  </si>
  <si>
    <t>HubSpot AEO vs Profound vs Rankability: What's Best for Agencies?</t>
  </si>
  <si>
    <t>https://www.youtube.com/watch?v=XhMbeN7cH34&amp;t=707</t>
  </si>
  <si>
    <t>Incrementality Testing: How to Actually Measure Marketing Effectiveness (2026)</t>
  </si>
  <si>
    <t>https://www.youtube.com/watch?v=XuM7q15_u04</t>
  </si>
  <si>
    <t>How Incrementality Cuts Waste + What and Where to Test in Ecommerce</t>
  </si>
  <si>
    <t>Northbeam, Measured, Huge</t>
  </si>
  <si>
    <t>https://www.youtube.com/watch?v=YVG_HfB0Dpw&amp;t=604</t>
  </si>
  <si>
    <t>3 Best AI Marketing Agencies To Start in 2025</t>
  </si>
  <si>
    <t>https://www.youtube.com/watch?v=a_Q3LpltO8I&amp;t=2</t>
  </si>
  <si>
    <t>Top Marketing Attribution Software</t>
  </si>
  <si>
    <t>https://www.youtube.com/watch?v=yIAxLp4yY3E</t>
  </si>
  <si>
    <t>7 Best B2B SaaS Marketing Agencies Under $5,000/Month in 2026</t>
  </si>
  <si>
    <t>GrowthSpree, AdVenture Media, Searchbloom, Clutch</t>
  </si>
  <si>
    <t>https://www.youtube.com/watch?v=ytsrFDab4QQ</t>
  </si>
  <si>
    <t>E123: The Meta Incrementality Report: Lessons from 640 Haus Experiments</t>
  </si>
  <si>
    <t>Haus, Northbeam, Measured, Huge</t>
  </si>
  <si>
    <t>https://www.zapshere.com/us</t>
  </si>
  <si>
    <t>Digital Marketing Agency USA | AI Marketing &amp;amp; Automation — ZAPSHERE</t>
  </si>
  <si>
    <t>https://zeroado.com/blog/best-marketing-agencies-for-small-businesses</t>
  </si>
  <si>
    <t>7 Best Marketing Agencies for Small Businesses in India</t>
  </si>
  <si>
    <t>IBM, Huge</t>
  </si>
  <si>
    <t>https://zeroado.com/blog/generative-engine-optimization-agencies-in-bangalore</t>
  </si>
  <si>
    <t>7 Best GEO Agencies in Bangalore for AI SEO in 2026</t>
  </si>
  <si>
    <t>https://zetaglobal.com/resource-center/ai-first-party-data-agency-growth/</t>
  </si>
  <si>
    <t>AI-Powered First-Party Data for Agency Growth | Zeta</t>
  </si>
  <si>
    <t>https://zipdo.co/service/business-digital-marketing/</t>
  </si>
  <si>
    <t>Best Business Digital Marketing Services | 2026 Rankings</t>
  </si>
  <si>
    <t>WPP, Dentsu, Publicis Groupe, Accenture Song, IBM, Merkle, Publicis Sapient, iProspect, Thrive Internet Marketing Agency, Momentum, Clutch</t>
  </si>
  <si>
    <t>https://zipdo.co/service/digital-marketing-analytics/</t>
  </si>
  <si>
    <t>Digital Marketing Analytics Services: Best Picks (2026)</t>
  </si>
  <si>
    <t>Merkle, Dentsu, Publicis Sapient, Kantar, WebFX, Victorious, Clutch</t>
  </si>
  <si>
    <t>https://zipdo.co/service/first-party-data/</t>
  </si>
  <si>
    <t>First Party Data Services: Best Picks (2026)</t>
  </si>
  <si>
    <t>Cardinal Path, Merkle, Dentsu, Publicis Groupe, PwC, Clutch</t>
  </si>
  <si>
    <t>https://zipdo.co/service/media-mix-modeling/</t>
  </si>
  <si>
    <t>Top 10 Best Media Mix Modeling Services: 2026 Comparison</t>
  </si>
  <si>
    <t>Kantar, Epsilon, Merkle, Dentsu, GroupM, Measured, Momentum, Clutch</t>
  </si>
  <si>
    <t>https://zryly.net/paid-social-agencies-in-the-u-s/</t>
  </si>
  <si>
    <t>Top 17 Paid Social Agencies in the U.S. (2025)</t>
  </si>
  <si>
    <t>The Social Shepherd, Jellyfish, Tinuiti, iProspect</t>
  </si>
  <si>
    <t>https://zyner.io/blog/best-ui-ux-design-agency</t>
  </si>
  <si>
    <t>Best UI UX Design Agencies for Startups 2026 (Ranked)</t>
  </si>
  <si>
    <t>Clutch, Clay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</si>
</sst>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Arial"/>
    </font>
    <font>
      <color rgb="FFFFFFFF"/>
      <name val="Arial"/>
    </font>
    <font>
      <color theme="1"/>
      <name val="Arial"/>
    </font>
    <font>
      <u/>
      <color rgb="FF0000FF"/>
    </font>
    <font>
      <color theme="1"/>
      <name val="Arial"/>
      <scheme val="minor"/>
    </font>
    <font>
      <u/>
      <color rgb="FF0000FF"/>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readingOrder="0"/>
    </xf>
    <xf borderId="0" fillId="2" fontId="2" numFmtId="0" xfId="0" applyAlignment="1" applyFont="1">
      <alignment readingOrder="0" vertical="bottom"/>
    </xf>
    <xf borderId="0" fillId="2" fontId="2" numFmtId="0" xfId="0" applyAlignment="1" applyFont="1">
      <alignment vertical="bottom"/>
    </xf>
    <xf borderId="0" fillId="2" fontId="1" numFmtId="0" xfId="0" applyFont="1"/>
    <xf borderId="0" fillId="2" fontId="3" numFmtId="0" xfId="0" applyAlignment="1" applyFont="1">
      <alignment vertical="bottom"/>
    </xf>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0" fontId="6" numFmtId="0" xfId="0" applyFont="1"/>
    <xf borderId="0" fillId="0" fontId="5" numFmtId="0" xfId="0" applyFont="1"/>
    <xf borderId="0" fillId="0" fontId="3" numFmtId="0" xfId="0" applyAlignment="1" applyFont="1">
      <alignment vertical="bottom"/>
    </xf>
    <xf borderId="0" fillId="0" fontId="3" numFmtId="0" xfId="0" applyAlignment="1" applyFont="1">
      <alignment vertical="bottom"/>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leadsrx.com" TargetMode="External"/><Relationship Id="rId194" Type="http://schemas.openxmlformats.org/officeDocument/2006/relationships/hyperlink" Target="http://smacient.com" TargetMode="External"/><Relationship Id="rId193" Type="http://schemas.openxmlformats.org/officeDocument/2006/relationships/hyperlink" Target="http://outreachz.com" TargetMode="External"/><Relationship Id="rId192" Type="http://schemas.openxmlformats.org/officeDocument/2006/relationships/hyperlink" Target="http://mordorintelligence.com" TargetMode="External"/><Relationship Id="rId191" Type="http://schemas.openxmlformats.org/officeDocument/2006/relationships/hyperlink" Target="http://minuttia.com" TargetMode="External"/><Relationship Id="rId187" Type="http://schemas.openxmlformats.org/officeDocument/2006/relationships/hyperlink" Target="http://digitalreference.co" TargetMode="External"/><Relationship Id="rId186" Type="http://schemas.openxmlformats.org/officeDocument/2006/relationships/hyperlink" Target="http://designity.com" TargetMode="External"/><Relationship Id="rId185" Type="http://schemas.openxmlformats.org/officeDocument/2006/relationships/hyperlink" Target="http://compass-360.ai" TargetMode="External"/><Relationship Id="rId184" Type="http://schemas.openxmlformats.org/officeDocument/2006/relationships/hyperlink" Target="http://accordtechsolutions.com" TargetMode="External"/><Relationship Id="rId189" Type="http://schemas.openxmlformats.org/officeDocument/2006/relationships/hyperlink" Target="http://krowdbase.com" TargetMode="External"/><Relationship Id="rId188" Type="http://schemas.openxmlformats.org/officeDocument/2006/relationships/hyperlink" Target="http://embarque.io" TargetMode="External"/><Relationship Id="rId183" Type="http://schemas.openxmlformats.org/officeDocument/2006/relationships/hyperlink" Target="http://75way.com" TargetMode="External"/><Relationship Id="rId182" Type="http://schemas.openxmlformats.org/officeDocument/2006/relationships/hyperlink" Target="http://agencylist.com" TargetMode="External"/><Relationship Id="rId181" Type="http://schemas.openxmlformats.org/officeDocument/2006/relationships/hyperlink" Target="http://chiefoutsiders.com" TargetMode="External"/><Relationship Id="rId180" Type="http://schemas.openxmlformats.org/officeDocument/2006/relationships/hyperlink" Target="http://mma.com" TargetMode="External"/><Relationship Id="rId176" Type="http://schemas.openxmlformats.org/officeDocument/2006/relationships/hyperlink" Target="http://rankarise.com" TargetMode="External"/><Relationship Id="rId175" Type="http://schemas.openxmlformats.org/officeDocument/2006/relationships/hyperlink" Target="http://plerdy.com" TargetMode="External"/><Relationship Id="rId174" Type="http://schemas.openxmlformats.org/officeDocument/2006/relationships/hyperlink" Target="http://omnieclipse.ai" TargetMode="External"/><Relationship Id="rId173" Type="http://schemas.openxmlformats.org/officeDocument/2006/relationships/hyperlink" Target="http://moburst.com" TargetMode="External"/><Relationship Id="rId179" Type="http://schemas.openxmlformats.org/officeDocument/2006/relationships/hyperlink" Target="http://saffronedge.com" TargetMode="External"/><Relationship Id="rId178" Type="http://schemas.openxmlformats.org/officeDocument/2006/relationships/hyperlink" Target="http://brandmentions.com" TargetMode="External"/><Relationship Id="rId177" Type="http://schemas.openxmlformats.org/officeDocument/2006/relationships/hyperlink" Target="http://xponent21.com" TargetMode="External"/><Relationship Id="rId198" Type="http://schemas.openxmlformats.org/officeDocument/2006/relationships/hyperlink" Target="http://getrecast.com" TargetMode="External"/><Relationship Id="rId197" Type="http://schemas.openxmlformats.org/officeDocument/2006/relationships/hyperlink" Target="http://brillmedia.co" TargetMode="External"/><Relationship Id="rId196" Type="http://schemas.openxmlformats.org/officeDocument/2006/relationships/hyperlink" Target="http://wikipedia.org" TargetMode="External"/><Relationship Id="rId195" Type="http://schemas.openxmlformats.org/officeDocument/2006/relationships/hyperlink" Target="http://sourceloop.ai" TargetMode="External"/><Relationship Id="rId199" Type="http://schemas.openxmlformats.org/officeDocument/2006/relationships/hyperlink" Target="http://starfishco.com" TargetMode="External"/><Relationship Id="rId150" Type="http://schemas.openxmlformats.org/officeDocument/2006/relationships/hyperlink" Target="http://forrester.com" TargetMode="External"/><Relationship Id="rId392" Type="http://schemas.openxmlformats.org/officeDocument/2006/relationships/hyperlink" Target="http://cygnal.co" TargetMode="External"/><Relationship Id="rId391" Type="http://schemas.openxmlformats.org/officeDocument/2006/relationships/hyperlink" Target="http://craftandroot.com" TargetMode="External"/><Relationship Id="rId390" Type="http://schemas.openxmlformats.org/officeDocument/2006/relationships/hyperlink" Target="http://cornerstonecontent.com" TargetMode="External"/><Relationship Id="rId1" Type="http://schemas.openxmlformats.org/officeDocument/2006/relationships/hyperlink" Target="http://clutch.co" TargetMode="External"/><Relationship Id="rId2" Type="http://schemas.openxmlformats.org/officeDocument/2006/relationships/hyperlink" Target="http://webtonic.io" TargetMode="External"/><Relationship Id="rId3" Type="http://schemas.openxmlformats.org/officeDocument/2006/relationships/hyperlink" Target="http://designrush.com" TargetMode="External"/><Relationship Id="rId149" Type="http://schemas.openxmlformats.org/officeDocument/2006/relationships/hyperlink" Target="http://deducive.com" TargetMode="External"/><Relationship Id="rId4" Type="http://schemas.openxmlformats.org/officeDocument/2006/relationships/hyperlink" Target="http://sortlist.com" TargetMode="External"/><Relationship Id="rId148" Type="http://schemas.openxmlformats.org/officeDocument/2006/relationships/hyperlink" Target="http://centricconsulting.com" TargetMode="External"/><Relationship Id="rId9" Type="http://schemas.openxmlformats.org/officeDocument/2006/relationships/hyperlink" Target="http://beomniscient.com" TargetMode="External"/><Relationship Id="rId143" Type="http://schemas.openxmlformats.org/officeDocument/2006/relationships/hyperlink" Target="http://worldmetrics.org" TargetMode="External"/><Relationship Id="rId385" Type="http://schemas.openxmlformats.org/officeDocument/2006/relationships/hyperlink" Target="http://businesswire.com" TargetMode="External"/><Relationship Id="rId142" Type="http://schemas.openxmlformats.org/officeDocument/2006/relationships/hyperlink" Target="http://20northmarketing.com" TargetMode="External"/><Relationship Id="rId384" Type="http://schemas.openxmlformats.org/officeDocument/2006/relationships/hyperlink" Target="http://businessgoalmag.com" TargetMode="External"/><Relationship Id="rId141" Type="http://schemas.openxmlformats.org/officeDocument/2006/relationships/hyperlink" Target="http://pedowitzgroup.com" TargetMode="External"/><Relationship Id="rId383" Type="http://schemas.openxmlformats.org/officeDocument/2006/relationships/hyperlink" Target="http://brafton.com" TargetMode="External"/><Relationship Id="rId140" Type="http://schemas.openxmlformats.org/officeDocument/2006/relationships/hyperlink" Target="http://incremental.com" TargetMode="External"/><Relationship Id="rId382" Type="http://schemas.openxmlformats.org/officeDocument/2006/relationships/hyperlink" Target="http://bigspy.com" TargetMode="External"/><Relationship Id="rId5" Type="http://schemas.openxmlformats.org/officeDocument/2006/relationships/hyperlink" Target="http://semrush.com" TargetMode="External"/><Relationship Id="rId147" Type="http://schemas.openxmlformats.org/officeDocument/2006/relationships/hyperlink" Target="http://businessinsider.com" TargetMode="External"/><Relationship Id="rId389" Type="http://schemas.openxmlformats.org/officeDocument/2006/relationships/hyperlink" Target="http://commonthreadco.com" TargetMode="External"/><Relationship Id="rId6" Type="http://schemas.openxmlformats.org/officeDocument/2006/relationships/hyperlink" Target="http://digitalagencynetwork.com" TargetMode="External"/><Relationship Id="rId146" Type="http://schemas.openxmlformats.org/officeDocument/2006/relationships/hyperlink" Target="http://webfx.com" TargetMode="External"/><Relationship Id="rId388" Type="http://schemas.openxmlformats.org/officeDocument/2006/relationships/hyperlink" Target="http://collegian.com" TargetMode="External"/><Relationship Id="rId7" Type="http://schemas.openxmlformats.org/officeDocument/2006/relationships/hyperlink" Target="http://directiveconsulting.com" TargetMode="External"/><Relationship Id="rId145" Type="http://schemas.openxmlformats.org/officeDocument/2006/relationships/hyperlink" Target="http://aeoagency.org" TargetMode="External"/><Relationship Id="rId387" Type="http://schemas.openxmlformats.org/officeDocument/2006/relationships/hyperlink" Target="http://cmswire.com" TargetMode="External"/><Relationship Id="rId8" Type="http://schemas.openxmlformats.org/officeDocument/2006/relationships/hyperlink" Target="http://thesocialshepherd.com" TargetMode="External"/><Relationship Id="rId144" Type="http://schemas.openxmlformats.org/officeDocument/2006/relationships/hyperlink" Target="http://improvado.io" TargetMode="External"/><Relationship Id="rId386" Type="http://schemas.openxmlformats.org/officeDocument/2006/relationships/hyperlink" Target="http://cairrot.com" TargetMode="External"/><Relationship Id="rId381" Type="http://schemas.openxmlformats.org/officeDocument/2006/relationships/hyperlink" Target="http://benly.ai" TargetMode="External"/><Relationship Id="rId380" Type="http://schemas.openxmlformats.org/officeDocument/2006/relationships/hyperlink" Target="http://auditynow.com" TargetMode="External"/><Relationship Id="rId139" Type="http://schemas.openxmlformats.org/officeDocument/2006/relationships/hyperlink" Target="http://thekeenfolks.com" TargetMode="External"/><Relationship Id="rId138" Type="http://schemas.openxmlformats.org/officeDocument/2006/relationships/hyperlink" Target="http://rightleftagency.com" TargetMode="External"/><Relationship Id="rId137" Type="http://schemas.openxmlformats.org/officeDocument/2006/relationships/hyperlink" Target="http://topseobrands.com" TargetMode="External"/><Relationship Id="rId379" Type="http://schemas.openxmlformats.org/officeDocument/2006/relationships/hyperlink" Target="http://animalz.co" TargetMode="External"/><Relationship Id="rId132" Type="http://schemas.openxmlformats.org/officeDocument/2006/relationships/hyperlink" Target="http://inflectionpointe.com" TargetMode="External"/><Relationship Id="rId374" Type="http://schemas.openxmlformats.org/officeDocument/2006/relationships/hyperlink" Target="http://abbacustechnologies.com" TargetMode="External"/><Relationship Id="rId131" Type="http://schemas.openxmlformats.org/officeDocument/2006/relationships/hyperlink" Target="http://funnel.io" TargetMode="External"/><Relationship Id="rId373" Type="http://schemas.openxmlformats.org/officeDocument/2006/relationships/hyperlink" Target="http://42dm.net" TargetMode="External"/><Relationship Id="rId130" Type="http://schemas.openxmlformats.org/officeDocument/2006/relationships/hyperlink" Target="http://creativemilkshake.com" TargetMode="External"/><Relationship Id="rId372" Type="http://schemas.openxmlformats.org/officeDocument/2006/relationships/hyperlink" Target="http://310creative.com" TargetMode="External"/><Relationship Id="rId371" Type="http://schemas.openxmlformats.org/officeDocument/2006/relationships/hyperlink" Target="http://thebusinessrover.com" TargetMode="External"/><Relationship Id="rId136" Type="http://schemas.openxmlformats.org/officeDocument/2006/relationships/hyperlink" Target="http://thebrandsbureau.com" TargetMode="External"/><Relationship Id="rId378" Type="http://schemas.openxmlformats.org/officeDocument/2006/relationships/hyperlink" Target="http://aiadvantageagency.com" TargetMode="External"/><Relationship Id="rId135" Type="http://schemas.openxmlformats.org/officeDocument/2006/relationships/hyperlink" Target="http://stellaheystella.com" TargetMode="External"/><Relationship Id="rId377" Type="http://schemas.openxmlformats.org/officeDocument/2006/relationships/hyperlink" Target="http://agencymb.com" TargetMode="External"/><Relationship Id="rId134" Type="http://schemas.openxmlformats.org/officeDocument/2006/relationships/hyperlink" Target="http://quoleady.com" TargetMode="External"/><Relationship Id="rId376" Type="http://schemas.openxmlformats.org/officeDocument/2006/relationships/hyperlink" Target="http://adobe.com" TargetMode="External"/><Relationship Id="rId133" Type="http://schemas.openxmlformats.org/officeDocument/2006/relationships/hyperlink" Target="http://perceptive-analytics.com" TargetMode="External"/><Relationship Id="rId375" Type="http://schemas.openxmlformats.org/officeDocument/2006/relationships/hyperlink" Target="http://addepto.com" TargetMode="External"/><Relationship Id="rId172" Type="http://schemas.openxmlformats.org/officeDocument/2006/relationships/hyperlink" Target="http://gestisoft.com" TargetMode="External"/><Relationship Id="rId171" Type="http://schemas.openxmlformats.org/officeDocument/2006/relationships/hyperlink" Target="http://digitalmarketingsupermarket.com" TargetMode="External"/><Relationship Id="rId170" Type="http://schemas.openxmlformats.org/officeDocument/2006/relationships/hyperlink" Target="http://cbinsights.com" TargetMode="External"/><Relationship Id="rId165" Type="http://schemas.openxmlformats.org/officeDocument/2006/relationships/hyperlink" Target="http://growthmarshal.io" TargetMode="External"/><Relationship Id="rId164" Type="http://schemas.openxmlformats.org/officeDocument/2006/relationships/hyperlink" Target="http://entermind.com" TargetMode="External"/><Relationship Id="rId163" Type="http://schemas.openxmlformats.org/officeDocument/2006/relationships/hyperlink" Target="http://deviatelabs.com" TargetMode="External"/><Relationship Id="rId162" Type="http://schemas.openxmlformats.org/officeDocument/2006/relationships/hyperlink" Target="http://copilot-experts.com" TargetMode="External"/><Relationship Id="rId169" Type="http://schemas.openxmlformats.org/officeDocument/2006/relationships/hyperlink" Target="http://appsflyer.com" TargetMode="External"/><Relationship Id="rId168" Type="http://schemas.openxmlformats.org/officeDocument/2006/relationships/hyperlink" Target="http://techaheadcorp.com" TargetMode="External"/><Relationship Id="rId167" Type="http://schemas.openxmlformats.org/officeDocument/2006/relationships/hyperlink" Target="http://marketri.com" TargetMode="External"/><Relationship Id="rId166" Type="http://schemas.openxmlformats.org/officeDocument/2006/relationships/hyperlink" Target="http://hashmeta.ai" TargetMode="External"/><Relationship Id="rId161" Type="http://schemas.openxmlformats.org/officeDocument/2006/relationships/hyperlink" Target="http://blueprintdemand.com" TargetMode="External"/><Relationship Id="rId160" Type="http://schemas.openxmlformats.org/officeDocument/2006/relationships/hyperlink" Target="http://askattest.com" TargetMode="External"/><Relationship Id="rId159" Type="http://schemas.openxmlformats.org/officeDocument/2006/relationships/hyperlink" Target="http://bconic.com" TargetMode="External"/><Relationship Id="rId154" Type="http://schemas.openxmlformats.org/officeDocument/2006/relationships/hyperlink" Target="http://techstepsolutions.com" TargetMode="External"/><Relationship Id="rId396" Type="http://schemas.openxmlformats.org/officeDocument/2006/relationships/hyperlink" Target="http://digitalrhinos.com" TargetMode="External"/><Relationship Id="rId153" Type="http://schemas.openxmlformats.org/officeDocument/2006/relationships/hyperlink" Target="http://nealschaffer.com" TargetMode="External"/><Relationship Id="rId395" Type="http://schemas.openxmlformats.org/officeDocument/2006/relationships/hyperlink" Target="http://digipims.com" TargetMode="External"/><Relationship Id="rId152" Type="http://schemas.openxmlformats.org/officeDocument/2006/relationships/hyperlink" Target="http://joseangelostudios.com" TargetMode="External"/><Relationship Id="rId394" Type="http://schemas.openxmlformats.org/officeDocument/2006/relationships/hyperlink" Target="http://dentsu.com" TargetMode="External"/><Relationship Id="rId151" Type="http://schemas.openxmlformats.org/officeDocument/2006/relationships/hyperlink" Target="http://growthmanager.ai" TargetMode="External"/><Relationship Id="rId393" Type="http://schemas.openxmlformats.org/officeDocument/2006/relationships/hyperlink" Target="http://dawnmarketing.com" TargetMode="External"/><Relationship Id="rId158" Type="http://schemas.openxmlformats.org/officeDocument/2006/relationships/hyperlink" Target="http://aimadethisbrand.com" TargetMode="External"/><Relationship Id="rId157" Type="http://schemas.openxmlformats.org/officeDocument/2006/relationships/hyperlink" Target="http://campaignlive.com" TargetMode="External"/><Relationship Id="rId399" Type="http://schemas.openxmlformats.org/officeDocument/2006/relationships/hyperlink" Target="http://economictimes.com" TargetMode="External"/><Relationship Id="rId156" Type="http://schemas.openxmlformats.org/officeDocument/2006/relationships/hyperlink" Target="http://wearetenet.com" TargetMode="External"/><Relationship Id="rId398" Type="http://schemas.openxmlformats.org/officeDocument/2006/relationships/hyperlink" Target="http://dontpaniclondon.com" TargetMode="External"/><Relationship Id="rId155" Type="http://schemas.openxmlformats.org/officeDocument/2006/relationships/hyperlink" Target="http://theverge.com" TargetMode="External"/><Relationship Id="rId397" Type="http://schemas.openxmlformats.org/officeDocument/2006/relationships/hyperlink" Target="http://dmcinsider.com" TargetMode="External"/><Relationship Id="rId808" Type="http://schemas.openxmlformats.org/officeDocument/2006/relationships/hyperlink" Target="http://sdim.nl" TargetMode="External"/><Relationship Id="rId807" Type="http://schemas.openxmlformats.org/officeDocument/2006/relationships/hyperlink" Target="http://scrap.io" TargetMode="External"/><Relationship Id="rId806" Type="http://schemas.openxmlformats.org/officeDocument/2006/relationships/hyperlink" Target="http://scaleandcompany.com" TargetMode="External"/><Relationship Id="rId805" Type="http://schemas.openxmlformats.org/officeDocument/2006/relationships/hyperlink" Target="http://salesduo.com" TargetMode="External"/><Relationship Id="rId809" Type="http://schemas.openxmlformats.org/officeDocument/2006/relationships/hyperlink" Target="http://searchconversions.com" TargetMode="External"/><Relationship Id="rId800" Type="http://schemas.openxmlformats.org/officeDocument/2006/relationships/hyperlink" Target="http://rokointernational.com" TargetMode="External"/><Relationship Id="rId804" Type="http://schemas.openxmlformats.org/officeDocument/2006/relationships/hyperlink" Target="http://s3da-design.com" TargetMode="External"/><Relationship Id="rId803" Type="http://schemas.openxmlformats.org/officeDocument/2006/relationships/hyperlink" Target="http://ruleranalytics.com" TargetMode="External"/><Relationship Id="rId802" Type="http://schemas.openxmlformats.org/officeDocument/2006/relationships/hyperlink" Target="http://royaldigitalagency.com" TargetMode="External"/><Relationship Id="rId801" Type="http://schemas.openxmlformats.org/officeDocument/2006/relationships/hyperlink" Target="http://rokt.com" TargetMode="External"/><Relationship Id="rId40" Type="http://schemas.openxmlformats.org/officeDocument/2006/relationships/hyperlink" Target="http://thegrowthsyndicate.com" TargetMode="External"/><Relationship Id="rId42" Type="http://schemas.openxmlformats.org/officeDocument/2006/relationships/hyperlink" Target="http://nutshell.com" TargetMode="External"/><Relationship Id="rId41" Type="http://schemas.openxmlformats.org/officeDocument/2006/relationships/hyperlink" Target="http://qoulomb.com" TargetMode="External"/><Relationship Id="rId44" Type="http://schemas.openxmlformats.org/officeDocument/2006/relationships/hyperlink" Target="http://unifiedplatforms.com" TargetMode="External"/><Relationship Id="rId43" Type="http://schemas.openxmlformats.org/officeDocument/2006/relationships/hyperlink" Target="http://scopicstudios.com" TargetMode="External"/><Relationship Id="rId46" Type="http://schemas.openxmlformats.org/officeDocument/2006/relationships/hyperlink" Target="http://nationalmarketingawards.com" TargetMode="External"/><Relationship Id="rId45" Type="http://schemas.openxmlformats.org/officeDocument/2006/relationships/hyperlink" Target="http://percepture.com" TargetMode="External"/><Relationship Id="rId509" Type="http://schemas.openxmlformats.org/officeDocument/2006/relationships/hyperlink" Target="http://aisyndicate.com" TargetMode="External"/><Relationship Id="rId508" Type="http://schemas.openxmlformats.org/officeDocument/2006/relationships/hyperlink" Target="http://aisera.com" TargetMode="External"/><Relationship Id="rId503" Type="http://schemas.openxmlformats.org/officeDocument/2006/relationships/hyperlink" Target="http://ahrefs.com" TargetMode="External"/><Relationship Id="rId745" Type="http://schemas.openxmlformats.org/officeDocument/2006/relationships/hyperlink" Target="http://nv5.com" TargetMode="External"/><Relationship Id="rId502" Type="http://schemas.openxmlformats.org/officeDocument/2006/relationships/hyperlink" Target="http://agenticmarketingpro.com" TargetMode="External"/><Relationship Id="rId744" Type="http://schemas.openxmlformats.org/officeDocument/2006/relationships/hyperlink" Target="http://norvelljefferson.com" TargetMode="External"/><Relationship Id="rId501" Type="http://schemas.openxmlformats.org/officeDocument/2006/relationships/hyperlink" Target="http://agencyranks.com" TargetMode="External"/><Relationship Id="rId743" Type="http://schemas.openxmlformats.org/officeDocument/2006/relationships/hyperlink" Target="http://northquery.com" TargetMode="External"/><Relationship Id="rId500" Type="http://schemas.openxmlformats.org/officeDocument/2006/relationships/hyperlink" Target="http://adzooma.com" TargetMode="External"/><Relationship Id="rId742" Type="http://schemas.openxmlformats.org/officeDocument/2006/relationships/hyperlink" Target="http://niracore.com" TargetMode="External"/><Relationship Id="rId507" Type="http://schemas.openxmlformats.org/officeDocument/2006/relationships/hyperlink" Target="http://airpost.ai" TargetMode="External"/><Relationship Id="rId749" Type="http://schemas.openxmlformats.org/officeDocument/2006/relationships/hyperlink" Target="http://omnibound.ai" TargetMode="External"/><Relationship Id="rId506" Type="http://schemas.openxmlformats.org/officeDocument/2006/relationships/hyperlink" Target="http://aimarketing-agency.com" TargetMode="External"/><Relationship Id="rId748" Type="http://schemas.openxmlformats.org/officeDocument/2006/relationships/hyperlink" Target="http://omdena.com" TargetMode="External"/><Relationship Id="rId505" Type="http://schemas.openxmlformats.org/officeDocument/2006/relationships/hyperlink" Target="http://aiagents4cfo.com" TargetMode="External"/><Relationship Id="rId747" Type="http://schemas.openxmlformats.org/officeDocument/2006/relationships/hyperlink" Target="http://ombrella.net" TargetMode="External"/><Relationship Id="rId504" Type="http://schemas.openxmlformats.org/officeDocument/2006/relationships/hyperlink" Target="http://ai360review.com" TargetMode="External"/><Relationship Id="rId746" Type="http://schemas.openxmlformats.org/officeDocument/2006/relationships/hyperlink" Target="http://oakpool.xyz" TargetMode="External"/><Relationship Id="rId48" Type="http://schemas.openxmlformats.org/officeDocument/2006/relationships/hyperlink" Target="http://coolnerdsmarketing.com" TargetMode="External"/><Relationship Id="rId47" Type="http://schemas.openxmlformats.org/officeDocument/2006/relationships/hyperlink" Target="http://youtube.com" TargetMode="External"/><Relationship Id="rId49" Type="http://schemas.openxmlformats.org/officeDocument/2006/relationships/hyperlink" Target="http://themanifest.com" TargetMode="External"/><Relationship Id="rId741" Type="http://schemas.openxmlformats.org/officeDocument/2006/relationships/hyperlink" Target="http://newcombin.com" TargetMode="External"/><Relationship Id="rId740" Type="http://schemas.openxmlformats.org/officeDocument/2006/relationships/hyperlink" Target="http://neowork.com" TargetMode="External"/><Relationship Id="rId31" Type="http://schemas.openxmlformats.org/officeDocument/2006/relationships/hyperlink" Target="http://superside.com" TargetMode="External"/><Relationship Id="rId30" Type="http://schemas.openxmlformats.org/officeDocument/2006/relationships/hyperlink" Target="http://influencermarketinghub.com" TargetMode="External"/><Relationship Id="rId33" Type="http://schemas.openxmlformats.org/officeDocument/2006/relationships/hyperlink" Target="http://segmentstream.com" TargetMode="External"/><Relationship Id="rId32" Type="http://schemas.openxmlformats.org/officeDocument/2006/relationships/hyperlink" Target="http://onelittleweb.com" TargetMode="External"/><Relationship Id="rId35" Type="http://schemas.openxmlformats.org/officeDocument/2006/relationships/hyperlink" Target="http://thriveagency.com" TargetMode="External"/><Relationship Id="rId34" Type="http://schemas.openxmlformats.org/officeDocument/2006/relationships/hyperlink" Target="http://triplewhale.com" TargetMode="External"/><Relationship Id="rId739" Type="http://schemas.openxmlformats.org/officeDocument/2006/relationships/hyperlink" Target="http://neilpatel.com" TargetMode="External"/><Relationship Id="rId734" Type="http://schemas.openxmlformats.org/officeDocument/2006/relationships/hyperlink" Target="http://midastouchinfotech.com" TargetMode="External"/><Relationship Id="rId733" Type="http://schemas.openxmlformats.org/officeDocument/2006/relationships/hyperlink" Target="http://microsoft.com" TargetMode="External"/><Relationship Id="rId732" Type="http://schemas.openxmlformats.org/officeDocument/2006/relationships/hyperlink" Target="http://meioemensagem.com.br" TargetMode="External"/><Relationship Id="rId731" Type="http://schemas.openxmlformats.org/officeDocument/2006/relationships/hyperlink" Target="http://mediapost.com" TargetMode="External"/><Relationship Id="rId738" Type="http://schemas.openxmlformats.org/officeDocument/2006/relationships/hyperlink" Target="http://mythology.com" TargetMode="External"/><Relationship Id="rId737" Type="http://schemas.openxmlformats.org/officeDocument/2006/relationships/hyperlink" Target="http://myohomarketing.com.au" TargetMode="External"/><Relationship Id="rId736" Type="http://schemas.openxmlformats.org/officeDocument/2006/relationships/hyperlink" Target="http://mutesix.com" TargetMode="External"/><Relationship Id="rId735" Type="http://schemas.openxmlformats.org/officeDocument/2006/relationships/hyperlink" Target="http://mkt-sci.com" TargetMode="External"/><Relationship Id="rId37" Type="http://schemas.openxmlformats.org/officeDocument/2006/relationships/hyperlink" Target="http://sellforte.com" TargetMode="External"/><Relationship Id="rId36" Type="http://schemas.openxmlformats.org/officeDocument/2006/relationships/hyperlink" Target="http://ritnerdigital.com" TargetMode="External"/><Relationship Id="rId39" Type="http://schemas.openxmlformats.org/officeDocument/2006/relationships/hyperlink" Target="http://revvgrowth.com" TargetMode="External"/><Relationship Id="rId38" Type="http://schemas.openxmlformats.org/officeDocument/2006/relationships/hyperlink" Target="http://google.com" TargetMode="External"/><Relationship Id="rId730" Type="http://schemas.openxmlformats.org/officeDocument/2006/relationships/hyperlink" Target="http://measpublishing.co.uk" TargetMode="External"/><Relationship Id="rId20" Type="http://schemas.openxmlformats.org/officeDocument/2006/relationships/hyperlink" Target="http://lyfemarketing.com" TargetMode="External"/><Relationship Id="rId22" Type="http://schemas.openxmlformats.org/officeDocument/2006/relationships/hyperlink" Target="http://gartner.com" TargetMode="External"/><Relationship Id="rId21" Type="http://schemas.openxmlformats.org/officeDocument/2006/relationships/hyperlink" Target="http://firstpagesage.com" TargetMode="External"/><Relationship Id="rId24" Type="http://schemas.openxmlformats.org/officeDocument/2006/relationships/hyperlink" Target="http://influencer-hero.com" TargetMode="External"/><Relationship Id="rId23" Type="http://schemas.openxmlformats.org/officeDocument/2006/relationships/hyperlink" Target="http://agencycluster.com" TargetMode="External"/><Relationship Id="rId525" Type="http://schemas.openxmlformats.org/officeDocument/2006/relationships/hyperlink" Target="http://attnagency.com" TargetMode="External"/><Relationship Id="rId767" Type="http://schemas.openxmlformats.org/officeDocument/2006/relationships/hyperlink" Target="http://phueled.com" TargetMode="External"/><Relationship Id="rId524" Type="http://schemas.openxmlformats.org/officeDocument/2006/relationships/hyperlink" Target="http://athenahq.ai" TargetMode="External"/><Relationship Id="rId766" Type="http://schemas.openxmlformats.org/officeDocument/2006/relationships/hyperlink" Target="http://performics.com" TargetMode="External"/><Relationship Id="rId523" Type="http://schemas.openxmlformats.org/officeDocument/2006/relationships/hyperlink" Target="http://assemblestudio.com" TargetMode="External"/><Relationship Id="rId765" Type="http://schemas.openxmlformats.org/officeDocument/2006/relationships/hyperlink" Target="http://pearllemonleads.com" TargetMode="External"/><Relationship Id="rId522" Type="http://schemas.openxmlformats.org/officeDocument/2006/relationships/hyperlink" Target="http://aspiremarketers.com" TargetMode="External"/><Relationship Id="rId764" Type="http://schemas.openxmlformats.org/officeDocument/2006/relationships/hyperlink" Target="http://patientprism.com" TargetMode="External"/><Relationship Id="rId529" Type="http://schemas.openxmlformats.org/officeDocument/2006/relationships/hyperlink" Target="http://austley.com" TargetMode="External"/><Relationship Id="rId528" Type="http://schemas.openxmlformats.org/officeDocument/2006/relationships/hyperlink" Target="http://auradigitalmarketers.com" TargetMode="External"/><Relationship Id="rId527" Type="http://schemas.openxmlformats.org/officeDocument/2006/relationships/hyperlink" Target="http://audigent.com" TargetMode="External"/><Relationship Id="rId769" Type="http://schemas.openxmlformats.org/officeDocument/2006/relationships/hyperlink" Target="http://pixelprodigies.com" TargetMode="External"/><Relationship Id="rId526" Type="http://schemas.openxmlformats.org/officeDocument/2006/relationships/hyperlink" Target="http://attributionapp.com" TargetMode="External"/><Relationship Id="rId768" Type="http://schemas.openxmlformats.org/officeDocument/2006/relationships/hyperlink" Target="http://pitchkitchen.com" TargetMode="External"/><Relationship Id="rId26" Type="http://schemas.openxmlformats.org/officeDocument/2006/relationships/hyperlink" Target="http://cometly.com" TargetMode="External"/><Relationship Id="rId25" Type="http://schemas.openxmlformats.org/officeDocument/2006/relationships/hyperlink" Target="http://uforocks.com" TargetMode="External"/><Relationship Id="rId28" Type="http://schemas.openxmlformats.org/officeDocument/2006/relationships/hyperlink" Target="http://darkroomagency.com" TargetMode="External"/><Relationship Id="rId27" Type="http://schemas.openxmlformats.org/officeDocument/2006/relationships/hyperlink" Target="http://hawkemedia.com" TargetMode="External"/><Relationship Id="rId521" Type="http://schemas.openxmlformats.org/officeDocument/2006/relationships/hyperlink" Target="http://argonandco.com" TargetMode="External"/><Relationship Id="rId763" Type="http://schemas.openxmlformats.org/officeDocument/2006/relationships/hyperlink" Target="http://paramark.com" TargetMode="External"/><Relationship Id="rId29" Type="http://schemas.openxmlformats.org/officeDocument/2006/relationships/hyperlink" Target="http://disruptiveadvertising.com" TargetMode="External"/><Relationship Id="rId520" Type="http://schemas.openxmlformats.org/officeDocument/2006/relationships/hyperlink" Target="http://answermaniac.ai" TargetMode="External"/><Relationship Id="rId762" Type="http://schemas.openxmlformats.org/officeDocument/2006/relationships/hyperlink" Target="http://panorama-consulting.com" TargetMode="External"/><Relationship Id="rId761" Type="http://schemas.openxmlformats.org/officeDocument/2006/relationships/hyperlink" Target="http://outsourceaccelerator.com" TargetMode="External"/><Relationship Id="rId760" Type="http://schemas.openxmlformats.org/officeDocument/2006/relationships/hyperlink" Target="http://outpaceseo.com" TargetMode="External"/><Relationship Id="rId11" Type="http://schemas.openxmlformats.org/officeDocument/2006/relationships/hyperlink" Target="http://yesoptimist.com" TargetMode="External"/><Relationship Id="rId10" Type="http://schemas.openxmlformats.org/officeDocument/2006/relationships/hyperlink" Target="http://reddit.com" TargetMode="External"/><Relationship Id="rId13" Type="http://schemas.openxmlformats.org/officeDocument/2006/relationships/hyperlink" Target="http://measured.com" TargetMode="External"/><Relationship Id="rId12" Type="http://schemas.openxmlformats.org/officeDocument/2006/relationships/hyperlink" Target="http://dataally.ai" TargetMode="External"/><Relationship Id="rId519" Type="http://schemas.openxmlformats.org/officeDocument/2006/relationships/hyperlink" Target="http://anml.com" TargetMode="External"/><Relationship Id="rId514" Type="http://schemas.openxmlformats.org/officeDocument/2006/relationships/hyperlink" Target="http://als-cs.com" TargetMode="External"/><Relationship Id="rId756" Type="http://schemas.openxmlformats.org/officeDocument/2006/relationships/hyperlink" Target="http://orangemantra.com" TargetMode="External"/><Relationship Id="rId513" Type="http://schemas.openxmlformats.org/officeDocument/2006/relationships/hyperlink" Target="http://alignedagency.io" TargetMode="External"/><Relationship Id="rId755" Type="http://schemas.openxmlformats.org/officeDocument/2006/relationships/hyperlink" Target="http://optimisemedia.com" TargetMode="External"/><Relationship Id="rId512" Type="http://schemas.openxmlformats.org/officeDocument/2006/relationships/hyperlink" Target="http://alicelabs.ai" TargetMode="External"/><Relationship Id="rId754" Type="http://schemas.openxmlformats.org/officeDocument/2006/relationships/hyperlink" Target="http://opinosis-analytics.com" TargetMode="External"/><Relationship Id="rId511" Type="http://schemas.openxmlformats.org/officeDocument/2006/relationships/hyperlink" Target="http://algoscale.com" TargetMode="External"/><Relationship Id="rId753" Type="http://schemas.openxmlformats.org/officeDocument/2006/relationships/hyperlink" Target="http://openmoves.com" TargetMode="External"/><Relationship Id="rId518" Type="http://schemas.openxmlformats.org/officeDocument/2006/relationships/hyperlink" Target="http://anderinger.com" TargetMode="External"/><Relationship Id="rId517" Type="http://schemas.openxmlformats.org/officeDocument/2006/relationships/hyperlink" Target="http://analyticsinsight.net" TargetMode="External"/><Relationship Id="rId759" Type="http://schemas.openxmlformats.org/officeDocument/2006/relationships/hyperlink" Target="http://ossisto.com" TargetMode="External"/><Relationship Id="rId516" Type="http://schemas.openxmlformats.org/officeDocument/2006/relationships/hyperlink" Target="http://amazon.com" TargetMode="External"/><Relationship Id="rId758" Type="http://schemas.openxmlformats.org/officeDocument/2006/relationships/hyperlink" Target="http://osmos.ai" TargetMode="External"/><Relationship Id="rId515" Type="http://schemas.openxmlformats.org/officeDocument/2006/relationships/hyperlink" Target="http://amakc.com" TargetMode="External"/><Relationship Id="rId757" Type="http://schemas.openxmlformats.org/officeDocument/2006/relationships/hyperlink" Target="http://orm-tech.com" TargetMode="External"/><Relationship Id="rId15" Type="http://schemas.openxmlformats.org/officeDocument/2006/relationships/hyperlink" Target="http://goodfirms.co" TargetMode="External"/><Relationship Id="rId14" Type="http://schemas.openxmlformats.org/officeDocument/2006/relationships/hyperlink" Target="http://searchbloom.com" TargetMode="External"/><Relationship Id="rId17" Type="http://schemas.openxmlformats.org/officeDocument/2006/relationships/hyperlink" Target="http://nogood.io" TargetMode="External"/><Relationship Id="rId16" Type="http://schemas.openxmlformats.org/officeDocument/2006/relationships/hyperlink" Target="http://silverbackstrategies.com" TargetMode="External"/><Relationship Id="rId19" Type="http://schemas.openxmlformats.org/officeDocument/2006/relationships/hyperlink" Target="http://linkedin.com" TargetMode="External"/><Relationship Id="rId510" Type="http://schemas.openxmlformats.org/officeDocument/2006/relationships/hyperlink" Target="http://ajelix.com" TargetMode="External"/><Relationship Id="rId752" Type="http://schemas.openxmlformats.org/officeDocument/2006/relationships/hyperlink" Target="http://onlineoptimism.com" TargetMode="External"/><Relationship Id="rId18" Type="http://schemas.openxmlformats.org/officeDocument/2006/relationships/hyperlink" Target="http://sociallyin.com" TargetMode="External"/><Relationship Id="rId751" Type="http://schemas.openxmlformats.org/officeDocument/2006/relationships/hyperlink" Target="http://oneclickseo.com" TargetMode="External"/><Relationship Id="rId750" Type="http://schemas.openxmlformats.org/officeDocument/2006/relationships/hyperlink" Target="http://omnicommedia.com" TargetMode="External"/><Relationship Id="rId84" Type="http://schemas.openxmlformats.org/officeDocument/2006/relationships/hyperlink" Target="http://singlegrain.com" TargetMode="External"/><Relationship Id="rId83" Type="http://schemas.openxmlformats.org/officeDocument/2006/relationships/hyperlink" Target="http://rzlt.io" TargetMode="External"/><Relationship Id="rId86" Type="http://schemas.openxmlformats.org/officeDocument/2006/relationships/hyperlink" Target="http://gtm8020.com" TargetMode="External"/><Relationship Id="rId85" Type="http://schemas.openxmlformats.org/officeDocument/2006/relationships/hyperlink" Target="http://weareqry.com" TargetMode="External"/><Relationship Id="rId88" Type="http://schemas.openxmlformats.org/officeDocument/2006/relationships/hyperlink" Target="http://zipdo.co" TargetMode="External"/><Relationship Id="rId87" Type="http://schemas.openxmlformats.org/officeDocument/2006/relationships/hyperlink" Target="http://hockeystack.com" TargetMode="External"/><Relationship Id="rId89" Type="http://schemas.openxmlformats.org/officeDocument/2006/relationships/hyperlink" Target="http://sweatpantsagency.com" TargetMode="External"/><Relationship Id="rId709" Type="http://schemas.openxmlformats.org/officeDocument/2006/relationships/hyperlink" Target="http://lotusbrainsstudio.com" TargetMode="External"/><Relationship Id="rId708" Type="http://schemas.openxmlformats.org/officeDocument/2006/relationships/hyperlink" Target="http://lotame.com" TargetMode="External"/><Relationship Id="rId707" Type="http://schemas.openxmlformats.org/officeDocument/2006/relationships/hyperlink" Target="http://loopexdigital.com" TargetMode="External"/><Relationship Id="rId706" Type="http://schemas.openxmlformats.org/officeDocument/2006/relationships/hyperlink" Target="http://linkupst.com" TargetMode="External"/><Relationship Id="rId80" Type="http://schemas.openxmlformats.org/officeDocument/2006/relationships/hyperlink" Target="http://techradar.com" TargetMode="External"/><Relationship Id="rId82" Type="http://schemas.openxmlformats.org/officeDocument/2006/relationships/hyperlink" Target="http://rightsideup.com" TargetMode="External"/><Relationship Id="rId81" Type="http://schemas.openxmlformats.org/officeDocument/2006/relationships/hyperlink" Target="http://primeavenuegroup.com" TargetMode="External"/><Relationship Id="rId701" Type="http://schemas.openxmlformats.org/officeDocument/2006/relationships/hyperlink" Target="http://lawrencebros.com" TargetMode="External"/><Relationship Id="rId700" Type="http://schemas.openxmlformats.org/officeDocument/2006/relationships/hyperlink" Target="http://latimes.com" TargetMode="External"/><Relationship Id="rId705" Type="http://schemas.openxmlformats.org/officeDocument/2006/relationships/hyperlink" Target="http://lineardesign.com" TargetMode="External"/><Relationship Id="rId704" Type="http://schemas.openxmlformats.org/officeDocument/2006/relationships/hyperlink" Target="http://linea-analytics.com" TargetMode="External"/><Relationship Id="rId703" Type="http://schemas.openxmlformats.org/officeDocument/2006/relationships/hyperlink" Target="http://leadiq.com" TargetMode="External"/><Relationship Id="rId702" Type="http://schemas.openxmlformats.org/officeDocument/2006/relationships/hyperlink" Target="http://leadgem.nl" TargetMode="External"/><Relationship Id="rId73" Type="http://schemas.openxmlformats.org/officeDocument/2006/relationships/hyperlink" Target="http://rankshift.ai" TargetMode="External"/><Relationship Id="rId72" Type="http://schemas.openxmlformats.org/officeDocument/2006/relationships/hyperlink" Target="http://seoprofy.com" TargetMode="External"/><Relationship Id="rId75" Type="http://schemas.openxmlformats.org/officeDocument/2006/relationships/hyperlink" Target="http://businessofapps.com" TargetMode="External"/><Relationship Id="rId74" Type="http://schemas.openxmlformats.org/officeDocument/2006/relationships/hyperlink" Target="http://aeovision.ai" TargetMode="External"/><Relationship Id="rId77" Type="http://schemas.openxmlformats.org/officeDocument/2006/relationships/hyperlink" Target="http://thedrum.com" TargetMode="External"/><Relationship Id="rId76" Type="http://schemas.openxmlformats.org/officeDocument/2006/relationships/hyperlink" Target="http://adbeacon.com" TargetMode="External"/><Relationship Id="rId79" Type="http://schemas.openxmlformats.org/officeDocument/2006/relationships/hyperlink" Target="http://ninjapromo.io" TargetMode="External"/><Relationship Id="rId78" Type="http://schemas.openxmlformats.org/officeDocument/2006/relationships/hyperlink" Target="http://growth-hackers.net" TargetMode="External"/><Relationship Id="rId71" Type="http://schemas.openxmlformats.org/officeDocument/2006/relationships/hyperlink" Target="http://alphaapexgroup.com" TargetMode="External"/><Relationship Id="rId70" Type="http://schemas.openxmlformats.org/officeDocument/2006/relationships/hyperlink" Target="http://onely.com" TargetMode="External"/><Relationship Id="rId62" Type="http://schemas.openxmlformats.org/officeDocument/2006/relationships/hyperlink" Target="http://g2.com" TargetMode="External"/><Relationship Id="rId61" Type="http://schemas.openxmlformats.org/officeDocument/2006/relationships/hyperlink" Target="http://marketingltb.com" TargetMode="External"/><Relationship Id="rId64" Type="http://schemas.openxmlformats.org/officeDocument/2006/relationships/hyperlink" Target="http://thedigitalelevator.com" TargetMode="External"/><Relationship Id="rId63" Type="http://schemas.openxmlformats.org/officeDocument/2006/relationships/hyperlink" Target="http://growthspreeofficial.com" TargetMode="External"/><Relationship Id="rId66" Type="http://schemas.openxmlformats.org/officeDocument/2006/relationships/hyperlink" Target="http://thatware.co" TargetMode="External"/><Relationship Id="rId65" Type="http://schemas.openxmlformats.org/officeDocument/2006/relationships/hyperlink" Target="http://withgoogle.com" TargetMode="External"/><Relationship Id="rId68" Type="http://schemas.openxmlformats.org/officeDocument/2006/relationships/hyperlink" Target="http://solved6.com" TargetMode="External"/><Relationship Id="rId67" Type="http://schemas.openxmlformats.org/officeDocument/2006/relationships/hyperlink" Target="http://haus.io" TargetMode="External"/><Relationship Id="rId729" Type="http://schemas.openxmlformats.org/officeDocument/2006/relationships/hyperlink" Target="http://mcsaatchiperformance.com" TargetMode="External"/><Relationship Id="rId728" Type="http://schemas.openxmlformats.org/officeDocument/2006/relationships/hyperlink" Target="http://mayple.com" TargetMode="External"/><Relationship Id="rId60" Type="http://schemas.openxmlformats.org/officeDocument/2006/relationships/hyperlink" Target="http://techbehemoths.com" TargetMode="External"/><Relationship Id="rId723" Type="http://schemas.openxmlformats.org/officeDocument/2006/relationships/hyperlink" Target="http://marketingmonk.so" TargetMode="External"/><Relationship Id="rId722" Type="http://schemas.openxmlformats.org/officeDocument/2006/relationships/hyperlink" Target="http://marketingaiinstitute.com" TargetMode="External"/><Relationship Id="rId721" Type="http://schemas.openxmlformats.org/officeDocument/2006/relationships/hyperlink" Target="http://marketbridge.com" TargetMode="External"/><Relationship Id="rId720" Type="http://schemas.openxmlformats.org/officeDocument/2006/relationships/hyperlink" Target="http://marceldigital.com" TargetMode="External"/><Relationship Id="rId727" Type="http://schemas.openxmlformats.org/officeDocument/2006/relationships/hyperlink" Target="http://matomo.org" TargetMode="External"/><Relationship Id="rId726" Type="http://schemas.openxmlformats.org/officeDocument/2006/relationships/hyperlink" Target="http://martal.ca" TargetMode="External"/><Relationship Id="rId725" Type="http://schemas.openxmlformats.org/officeDocument/2006/relationships/hyperlink" Target="http://marrinadecisions.com" TargetMode="External"/><Relationship Id="rId724" Type="http://schemas.openxmlformats.org/officeDocument/2006/relationships/hyperlink" Target="http://markovate.com" TargetMode="External"/><Relationship Id="rId69" Type="http://schemas.openxmlformats.org/officeDocument/2006/relationships/hyperlink" Target="http://50pros.com" TargetMode="External"/><Relationship Id="rId51" Type="http://schemas.openxmlformats.org/officeDocument/2006/relationships/hyperlink" Target="http://scalixai.com" TargetMode="External"/><Relationship Id="rId50" Type="http://schemas.openxmlformats.org/officeDocument/2006/relationships/hyperlink" Target="http://clicksgeek.com" TargetMode="External"/><Relationship Id="rId53" Type="http://schemas.openxmlformats.org/officeDocument/2006/relationships/hyperlink" Target="http://m1-project.com" TargetMode="External"/><Relationship Id="rId52" Type="http://schemas.openxmlformats.org/officeDocument/2006/relationships/hyperlink" Target="http://lifesight.io" TargetMode="External"/><Relationship Id="rId55" Type="http://schemas.openxmlformats.org/officeDocument/2006/relationships/hyperlink" Target="http://callboxinc.com" TargetMode="External"/><Relationship Id="rId54" Type="http://schemas.openxmlformats.org/officeDocument/2006/relationships/hyperlink" Target="http://agencyvista.com" TargetMode="External"/><Relationship Id="rId57" Type="http://schemas.openxmlformats.org/officeDocument/2006/relationships/hyperlink" Target="http://riseopp.com" TargetMode="External"/><Relationship Id="rId56" Type="http://schemas.openxmlformats.org/officeDocument/2006/relationships/hyperlink" Target="http://agencyspotter.com" TargetMode="External"/><Relationship Id="rId719" Type="http://schemas.openxmlformats.org/officeDocument/2006/relationships/hyperlink" Target="http://manning.com" TargetMode="External"/><Relationship Id="rId718" Type="http://schemas.openxmlformats.org/officeDocument/2006/relationships/hyperlink" Target="http://manilatimes.net" TargetMode="External"/><Relationship Id="rId717" Type="http://schemas.openxmlformats.org/officeDocument/2006/relationships/hyperlink" Target="http://makingscience.com" TargetMode="External"/><Relationship Id="rId712" Type="http://schemas.openxmlformats.org/officeDocument/2006/relationships/hyperlink" Target="http://lumenlimitless.com" TargetMode="External"/><Relationship Id="rId711" Type="http://schemas.openxmlformats.org/officeDocument/2006/relationships/hyperlink" Target="http://luckie.com" TargetMode="External"/><Relationship Id="rId710" Type="http://schemas.openxmlformats.org/officeDocument/2006/relationships/hyperlink" Target="http://lseo.com" TargetMode="External"/><Relationship Id="rId716" Type="http://schemas.openxmlformats.org/officeDocument/2006/relationships/hyperlink" Target="http://madgicx.com" TargetMode="External"/><Relationship Id="rId715" Type="http://schemas.openxmlformats.org/officeDocument/2006/relationships/hyperlink" Target="http://mackmediagroup.com" TargetMode="External"/><Relationship Id="rId714" Type="http://schemas.openxmlformats.org/officeDocument/2006/relationships/hyperlink" Target="http://lymlyt.pro" TargetMode="External"/><Relationship Id="rId713" Type="http://schemas.openxmlformats.org/officeDocument/2006/relationships/hyperlink" Target="http://lunarailab.com" TargetMode="External"/><Relationship Id="rId59" Type="http://schemas.openxmlformats.org/officeDocument/2006/relationships/hyperlink" Target="http://creativefrontiers.co" TargetMode="External"/><Relationship Id="rId58" Type="http://schemas.openxmlformats.org/officeDocument/2006/relationships/hyperlink" Target="http://quimbydigital.com" TargetMode="External"/><Relationship Id="rId590" Type="http://schemas.openxmlformats.org/officeDocument/2006/relationships/hyperlink" Target="http://crowley.com" TargetMode="External"/><Relationship Id="rId107" Type="http://schemas.openxmlformats.org/officeDocument/2006/relationships/hyperlink" Target="http://stratabeat.com" TargetMode="External"/><Relationship Id="rId349" Type="http://schemas.openxmlformats.org/officeDocument/2006/relationships/hyperlink" Target="http://teamai.com" TargetMode="External"/><Relationship Id="rId106" Type="http://schemas.openxmlformats.org/officeDocument/2006/relationships/hyperlink" Target="http://marketerhire.com" TargetMode="External"/><Relationship Id="rId348" Type="http://schemas.openxmlformats.org/officeDocument/2006/relationships/hyperlink" Target="http://slalom.com" TargetMode="External"/><Relationship Id="rId105" Type="http://schemas.openxmlformats.org/officeDocument/2006/relationships/hyperlink" Target="http://upliftgtm.com" TargetMode="External"/><Relationship Id="rId347" Type="http://schemas.openxmlformats.org/officeDocument/2006/relationships/hyperlink" Target="http://seo.com" TargetMode="External"/><Relationship Id="rId589" Type="http://schemas.openxmlformats.org/officeDocument/2006/relationships/hyperlink" Target="http://creativemediahouse.ae" TargetMode="External"/><Relationship Id="rId104" Type="http://schemas.openxmlformats.org/officeDocument/2006/relationships/hyperlink" Target="http://semfirms.com" TargetMode="External"/><Relationship Id="rId346" Type="http://schemas.openxmlformats.org/officeDocument/2006/relationships/hyperlink" Target="http://semnexus.com" TargetMode="External"/><Relationship Id="rId588" Type="http://schemas.openxmlformats.org/officeDocument/2006/relationships/hyperlink" Target="http://creativelivesinprogress.com" TargetMode="External"/><Relationship Id="rId109" Type="http://schemas.openxmlformats.org/officeDocument/2006/relationships/hyperlink" Target="http://aimerce.ai" TargetMode="External"/><Relationship Id="rId108" Type="http://schemas.openxmlformats.org/officeDocument/2006/relationships/hyperlink" Target="http://digitalnomadshq.com.au" TargetMode="External"/><Relationship Id="rId341" Type="http://schemas.openxmlformats.org/officeDocument/2006/relationships/hyperlink" Target="http://pixelmojo.io" TargetMode="External"/><Relationship Id="rId583" Type="http://schemas.openxmlformats.org/officeDocument/2006/relationships/hyperlink" Target="http://contensifyhq.com" TargetMode="External"/><Relationship Id="rId340" Type="http://schemas.openxmlformats.org/officeDocument/2006/relationships/hyperlink" Target="http://parallel365.com" TargetMode="External"/><Relationship Id="rId582" Type="http://schemas.openxmlformats.org/officeDocument/2006/relationships/hyperlink" Target="http://columnfivemedia.com" TargetMode="External"/><Relationship Id="rId581" Type="http://schemas.openxmlformats.org/officeDocument/2006/relationships/hyperlink" Target="http://coinbound.io" TargetMode="External"/><Relationship Id="rId580" Type="http://schemas.openxmlformats.org/officeDocument/2006/relationships/hyperlink" Target="http://coderoad.com" TargetMode="External"/><Relationship Id="rId103" Type="http://schemas.openxmlformats.org/officeDocument/2006/relationships/hyperlink" Target="http://mintcopywritingstudios.com" TargetMode="External"/><Relationship Id="rId345" Type="http://schemas.openxmlformats.org/officeDocument/2006/relationships/hyperlink" Target="http://sealglobalholdings.com" TargetMode="External"/><Relationship Id="rId587" Type="http://schemas.openxmlformats.org/officeDocument/2006/relationships/hyperlink" Target="http://creativeformore.com" TargetMode="External"/><Relationship Id="rId102" Type="http://schemas.openxmlformats.org/officeDocument/2006/relationships/hyperlink" Target="http://effectivesoft.com" TargetMode="External"/><Relationship Id="rId344" Type="http://schemas.openxmlformats.org/officeDocument/2006/relationships/hyperlink" Target="http://resultfirst.com" TargetMode="External"/><Relationship Id="rId586" Type="http://schemas.openxmlformats.org/officeDocument/2006/relationships/hyperlink" Target="http://createscale.co" TargetMode="External"/><Relationship Id="rId101" Type="http://schemas.openxmlformats.org/officeDocument/2006/relationships/hyperlink" Target="http://artefact.com" TargetMode="External"/><Relationship Id="rId343" Type="http://schemas.openxmlformats.org/officeDocument/2006/relationships/hyperlink" Target="http://redseo.io" TargetMode="External"/><Relationship Id="rId585" Type="http://schemas.openxmlformats.org/officeDocument/2006/relationships/hyperlink" Target="http://coseom.com" TargetMode="External"/><Relationship Id="rId100" Type="http://schemas.openxmlformats.org/officeDocument/2006/relationships/hyperlink" Target="http://arxiv.org" TargetMode="External"/><Relationship Id="rId342" Type="http://schemas.openxmlformats.org/officeDocument/2006/relationships/hyperlink" Target="http://rankz.co" TargetMode="External"/><Relationship Id="rId584" Type="http://schemas.openxmlformats.org/officeDocument/2006/relationships/hyperlink" Target="http://contently.com" TargetMode="External"/><Relationship Id="rId338" Type="http://schemas.openxmlformats.org/officeDocument/2006/relationships/hyperlink" Target="http://outrightcrm.com" TargetMode="External"/><Relationship Id="rId337" Type="http://schemas.openxmlformats.org/officeDocument/2006/relationships/hyperlink" Target="http://omnius.so" TargetMode="External"/><Relationship Id="rId579" Type="http://schemas.openxmlformats.org/officeDocument/2006/relationships/hyperlink" Target="http://coalitiontechnologies.com" TargetMode="External"/><Relationship Id="rId336" Type="http://schemas.openxmlformats.org/officeDocument/2006/relationships/hyperlink" Target="http://objectiveplatform.com" TargetMode="External"/><Relationship Id="rId578" Type="http://schemas.openxmlformats.org/officeDocument/2006/relationships/hyperlink" Target="http://cmox.co" TargetMode="External"/><Relationship Id="rId335" Type="http://schemas.openxmlformats.org/officeDocument/2006/relationships/hyperlink" Target="http://nine.am" TargetMode="External"/><Relationship Id="rId577" Type="http://schemas.openxmlformats.org/officeDocument/2006/relationships/hyperlink" Target="http://cloudsecuretech.com" TargetMode="External"/><Relationship Id="rId339" Type="http://schemas.openxmlformats.org/officeDocument/2006/relationships/hyperlink" Target="http://oxdpr.com" TargetMode="External"/><Relationship Id="rId330" Type="http://schemas.openxmlformats.org/officeDocument/2006/relationships/hyperlink" Target="http://magier.com" TargetMode="External"/><Relationship Id="rId572" Type="http://schemas.openxmlformats.org/officeDocument/2006/relationships/hyperlink" Target="http://clearforge.ai" TargetMode="External"/><Relationship Id="rId571" Type="http://schemas.openxmlformats.org/officeDocument/2006/relationships/hyperlink" Target="http://citrusbug.com" TargetMode="External"/><Relationship Id="rId570" Type="http://schemas.openxmlformats.org/officeDocument/2006/relationships/hyperlink" Target="http://citeme.io" TargetMode="External"/><Relationship Id="rId334" Type="http://schemas.openxmlformats.org/officeDocument/2006/relationships/hyperlink" Target="http://nexusaiconsulting.com" TargetMode="External"/><Relationship Id="rId576" Type="http://schemas.openxmlformats.org/officeDocument/2006/relationships/hyperlink" Target="http://cloudconsultingfirms.com" TargetMode="External"/><Relationship Id="rId333" Type="http://schemas.openxmlformats.org/officeDocument/2006/relationships/hyperlink" Target="http://miniloop.ai" TargetMode="External"/><Relationship Id="rId575" Type="http://schemas.openxmlformats.org/officeDocument/2006/relationships/hyperlink" Target="http://clickup.com" TargetMode="External"/><Relationship Id="rId332" Type="http://schemas.openxmlformats.org/officeDocument/2006/relationships/hyperlink" Target="http://mckinsey.com" TargetMode="External"/><Relationship Id="rId574" Type="http://schemas.openxmlformats.org/officeDocument/2006/relationships/hyperlink" Target="http://clickstrike.com" TargetMode="External"/><Relationship Id="rId331" Type="http://schemas.openxmlformats.org/officeDocument/2006/relationships/hyperlink" Target="http://maxconnect.com" TargetMode="External"/><Relationship Id="rId573" Type="http://schemas.openxmlformats.org/officeDocument/2006/relationships/hyperlink" Target="http://clearleaddigital.com" TargetMode="External"/><Relationship Id="rId370" Type="http://schemas.openxmlformats.org/officeDocument/2006/relationships/hyperlink" Target="http://mountainstoseamedia.com" TargetMode="External"/><Relationship Id="rId129" Type="http://schemas.openxmlformats.org/officeDocument/2006/relationships/hyperlink" Target="http://advertising-in-the-united-states.com" TargetMode="External"/><Relationship Id="rId128" Type="http://schemas.openxmlformats.org/officeDocument/2006/relationships/hyperlink" Target="http://maxiomtech.com" TargetMode="External"/><Relationship Id="rId127" Type="http://schemas.openxmlformats.org/officeDocument/2006/relationships/hyperlink" Target="http://barchart.com" TargetMode="External"/><Relationship Id="rId369" Type="http://schemas.openxmlformats.org/officeDocument/2006/relationships/hyperlink" Target="http://monks.com" TargetMode="External"/><Relationship Id="rId126" Type="http://schemas.openxmlformats.org/officeDocument/2006/relationships/hyperlink" Target="http://wsj.com" TargetMode="External"/><Relationship Id="rId368" Type="http://schemas.openxmlformats.org/officeDocument/2006/relationships/hyperlink" Target="http://marketingattribution.com" TargetMode="External"/><Relationship Id="rId121" Type="http://schemas.openxmlformats.org/officeDocument/2006/relationships/hyperlink" Target="http://zyppy.com" TargetMode="External"/><Relationship Id="rId363" Type="http://schemas.openxmlformats.org/officeDocument/2006/relationships/hyperlink" Target="http://featuredcustomers.com" TargetMode="External"/><Relationship Id="rId120" Type="http://schemas.openxmlformats.org/officeDocument/2006/relationships/hyperlink" Target="http://visionlabs.com" TargetMode="External"/><Relationship Id="rId362" Type="http://schemas.openxmlformats.org/officeDocument/2006/relationships/hyperlink" Target="http://customssupport.com" TargetMode="External"/><Relationship Id="rId361" Type="http://schemas.openxmlformats.org/officeDocument/2006/relationships/hyperlink" Target="http://aimsetwin.com" TargetMode="External"/><Relationship Id="rId360" Type="http://schemas.openxmlformats.org/officeDocument/2006/relationships/hyperlink" Target="http://rockerbox.com" TargetMode="External"/><Relationship Id="rId125" Type="http://schemas.openxmlformats.org/officeDocument/2006/relationships/hyperlink" Target="http://liftlab.com" TargetMode="External"/><Relationship Id="rId367" Type="http://schemas.openxmlformats.org/officeDocument/2006/relationships/hyperlink" Target="http://kuehne-nagel.com" TargetMode="External"/><Relationship Id="rId124" Type="http://schemas.openxmlformats.org/officeDocument/2006/relationships/hyperlink" Target="http://intellectyx.com" TargetMode="External"/><Relationship Id="rId366" Type="http://schemas.openxmlformats.org/officeDocument/2006/relationships/hyperlink" Target="http://klientboost.com" TargetMode="External"/><Relationship Id="rId123" Type="http://schemas.openxmlformats.org/officeDocument/2006/relationships/hyperlink" Target="http://enzuzo.com" TargetMode="External"/><Relationship Id="rId365" Type="http://schemas.openxmlformats.org/officeDocument/2006/relationships/hyperlink" Target="http://icoda.io" TargetMode="External"/><Relationship Id="rId122" Type="http://schemas.openxmlformats.org/officeDocument/2006/relationships/hyperlink" Target="http://dmidigitalmarketing.com" TargetMode="External"/><Relationship Id="rId364" Type="http://schemas.openxmlformats.org/officeDocument/2006/relationships/hyperlink" Target="http://flyingvgroup.com" TargetMode="External"/><Relationship Id="rId95" Type="http://schemas.openxmlformats.org/officeDocument/2006/relationships/hyperlink" Target="http://ie.edu" TargetMode="External"/><Relationship Id="rId94" Type="http://schemas.openxmlformats.org/officeDocument/2006/relationships/hyperlink" Target="http://loudface.co" TargetMode="External"/><Relationship Id="rId97" Type="http://schemas.openxmlformats.org/officeDocument/2006/relationships/hyperlink" Target="http://phosailabs.com" TargetMode="External"/><Relationship Id="rId96" Type="http://schemas.openxmlformats.org/officeDocument/2006/relationships/hyperlink" Target="http://getapexanalytics.com" TargetMode="External"/><Relationship Id="rId99" Type="http://schemas.openxmlformats.org/officeDocument/2006/relationships/hyperlink" Target="http://andersoncollaborative.com" TargetMode="External"/><Relationship Id="rId98" Type="http://schemas.openxmlformats.org/officeDocument/2006/relationships/hyperlink" Target="http://amworldgroup.com" TargetMode="External"/><Relationship Id="rId91" Type="http://schemas.openxmlformats.org/officeDocument/2006/relationships/hyperlink" Target="http://inbeat.co" TargetMode="External"/><Relationship Id="rId90" Type="http://schemas.openxmlformats.org/officeDocument/2006/relationships/hyperlink" Target="http://fahrenheitmarketing.com" TargetMode="External"/><Relationship Id="rId93" Type="http://schemas.openxmlformats.org/officeDocument/2006/relationships/hyperlink" Target="http://mightyandtrue.com" TargetMode="External"/><Relationship Id="rId92" Type="http://schemas.openxmlformats.org/officeDocument/2006/relationships/hyperlink" Target="http://leewayhertz.com" TargetMode="External"/><Relationship Id="rId118" Type="http://schemas.openxmlformats.org/officeDocument/2006/relationships/hyperlink" Target="http://supermetrics.com" TargetMode="External"/><Relationship Id="rId117" Type="http://schemas.openxmlformats.org/officeDocument/2006/relationships/hyperlink" Target="http://sageitinc.com" TargetMode="External"/><Relationship Id="rId359" Type="http://schemas.openxmlformats.org/officeDocument/2006/relationships/hyperlink" Target="http://marksourced.com" TargetMode="External"/><Relationship Id="rId116" Type="http://schemas.openxmlformats.org/officeDocument/2006/relationships/hyperlink" Target="http://nuundigital.com" TargetMode="External"/><Relationship Id="rId358" Type="http://schemas.openxmlformats.org/officeDocument/2006/relationships/hyperlink" Target="http://exacti.us" TargetMode="External"/><Relationship Id="rId115" Type="http://schemas.openxmlformats.org/officeDocument/2006/relationships/hyperlink" Target="http://lengreo.com" TargetMode="External"/><Relationship Id="rId357" Type="http://schemas.openxmlformats.org/officeDocument/2006/relationships/hyperlink" Target="http://tinuiti.com" TargetMode="External"/><Relationship Id="rId599" Type="http://schemas.openxmlformats.org/officeDocument/2006/relationships/hyperlink" Target="http://demandspring.com" TargetMode="External"/><Relationship Id="rId119" Type="http://schemas.openxmlformats.org/officeDocument/2006/relationships/hyperlink" Target="http://thecmo.com" TargetMode="External"/><Relationship Id="rId110" Type="http://schemas.openxmlformats.org/officeDocument/2006/relationships/hyperlink" Target="http://decisionfoundry.com" TargetMode="External"/><Relationship Id="rId352" Type="http://schemas.openxmlformats.org/officeDocument/2006/relationships/hyperlink" Target="http://wamdigital.com" TargetMode="External"/><Relationship Id="rId594" Type="http://schemas.openxmlformats.org/officeDocument/2006/relationships/hyperlink" Target="http://darwinapps.com" TargetMode="External"/><Relationship Id="rId351" Type="http://schemas.openxmlformats.org/officeDocument/2006/relationships/hyperlink" Target="http://velocitybyca.com" TargetMode="External"/><Relationship Id="rId593" Type="http://schemas.openxmlformats.org/officeDocument/2006/relationships/hyperlink" Target="http://dacmarketing.co" TargetMode="External"/><Relationship Id="rId350" Type="http://schemas.openxmlformats.org/officeDocument/2006/relationships/hyperlink" Target="http://tenten.co" TargetMode="External"/><Relationship Id="rId592" Type="http://schemas.openxmlformats.org/officeDocument/2006/relationships/hyperlink" Target="http://daasity.com" TargetMode="External"/><Relationship Id="rId591" Type="http://schemas.openxmlformats.org/officeDocument/2006/relationships/hyperlink" Target="http://cybersecuritymarketingagencies.com" TargetMode="External"/><Relationship Id="rId114" Type="http://schemas.openxmlformats.org/officeDocument/2006/relationships/hyperlink" Target="http://aeoagency.us" TargetMode="External"/><Relationship Id="rId356" Type="http://schemas.openxmlformats.org/officeDocument/2006/relationships/hyperlink" Target="http://maximuslabs.ai" TargetMode="External"/><Relationship Id="rId598" Type="http://schemas.openxmlformats.org/officeDocument/2006/relationships/hyperlink" Target="http://demandsage.com" TargetMode="External"/><Relationship Id="rId113" Type="http://schemas.openxmlformats.org/officeDocument/2006/relationships/hyperlink" Target="http://topgeoagencies.com" TargetMode="External"/><Relationship Id="rId355" Type="http://schemas.openxmlformats.org/officeDocument/2006/relationships/hyperlink" Target="http://yall.co" TargetMode="External"/><Relationship Id="rId597" Type="http://schemas.openxmlformats.org/officeDocument/2006/relationships/hyperlink" Target="http://demandlocal.com" TargetMode="External"/><Relationship Id="rId112" Type="http://schemas.openxmlformats.org/officeDocument/2006/relationships/hyperlink" Target="http://relevance.com" TargetMode="External"/><Relationship Id="rId354" Type="http://schemas.openxmlformats.org/officeDocument/2006/relationships/hyperlink" Target="http://wpp.com" TargetMode="External"/><Relationship Id="rId596" Type="http://schemas.openxmlformats.org/officeDocument/2006/relationships/hyperlink" Target="http://dcclicks.com" TargetMode="External"/><Relationship Id="rId111" Type="http://schemas.openxmlformats.org/officeDocument/2006/relationships/hyperlink" Target="http://marketinginsidergroup.com" TargetMode="External"/><Relationship Id="rId353" Type="http://schemas.openxmlformats.org/officeDocument/2006/relationships/hyperlink" Target="http://wellows.com" TargetMode="External"/><Relationship Id="rId595" Type="http://schemas.openxmlformats.org/officeDocument/2006/relationships/hyperlink" Target="http://datafeedwatch.com" TargetMode="External"/><Relationship Id="rId305" Type="http://schemas.openxmlformats.org/officeDocument/2006/relationships/hyperlink" Target="http://bounteous.com" TargetMode="External"/><Relationship Id="rId547" Type="http://schemas.openxmlformats.org/officeDocument/2006/relationships/hyperlink" Target="http://brandburp.com" TargetMode="External"/><Relationship Id="rId789" Type="http://schemas.openxmlformats.org/officeDocument/2006/relationships/hyperlink" Target="http://rankai.ai" TargetMode="External"/><Relationship Id="rId304" Type="http://schemas.openxmlformats.org/officeDocument/2006/relationships/hyperlink" Target="http://whyflagshalfmasttoday.com" TargetMode="External"/><Relationship Id="rId546" Type="http://schemas.openxmlformats.org/officeDocument/2006/relationships/hyperlink" Target="http://bolderagency.com" TargetMode="External"/><Relationship Id="rId788" Type="http://schemas.openxmlformats.org/officeDocument/2006/relationships/hyperlink" Target="http://ramotion.com" TargetMode="External"/><Relationship Id="rId303" Type="http://schemas.openxmlformats.org/officeDocument/2006/relationships/hyperlink" Target="http://stratevaai.com" TargetMode="External"/><Relationship Id="rId545" Type="http://schemas.openxmlformats.org/officeDocument/2006/relationships/hyperlink" Target="http://blueduckagency.com" TargetMode="External"/><Relationship Id="rId787" Type="http://schemas.openxmlformats.org/officeDocument/2006/relationships/hyperlink" Target="http://q3tech.com" TargetMode="External"/><Relationship Id="rId302" Type="http://schemas.openxmlformats.org/officeDocument/2006/relationships/hyperlink" Target="http://strategyeye.com" TargetMode="External"/><Relationship Id="rId544" Type="http://schemas.openxmlformats.org/officeDocument/2006/relationships/hyperlink" Target="http://bloggingtips.com" TargetMode="External"/><Relationship Id="rId786" Type="http://schemas.openxmlformats.org/officeDocument/2006/relationships/hyperlink" Target="http://pwskills.com" TargetMode="External"/><Relationship Id="rId309" Type="http://schemas.openxmlformats.org/officeDocument/2006/relationships/hyperlink" Target="http://accuracast.com" TargetMode="External"/><Relationship Id="rId308" Type="http://schemas.openxmlformats.org/officeDocument/2006/relationships/hyperlink" Target="http://aimediagroup.com" TargetMode="External"/><Relationship Id="rId307" Type="http://schemas.openxmlformats.org/officeDocument/2006/relationships/hyperlink" Target="http://ritzherald.com" TargetMode="External"/><Relationship Id="rId549" Type="http://schemas.openxmlformats.org/officeDocument/2006/relationships/hyperlink" Target="http://breakingb2b.com" TargetMode="External"/><Relationship Id="rId306" Type="http://schemas.openxmlformats.org/officeDocument/2006/relationships/hyperlink" Target="http://heydigital.co" TargetMode="External"/><Relationship Id="rId548" Type="http://schemas.openxmlformats.org/officeDocument/2006/relationships/hyperlink" Target="http://brandedagency.com" TargetMode="External"/><Relationship Id="rId781" Type="http://schemas.openxmlformats.org/officeDocument/2006/relationships/hyperlink" Target="http://prweek.com" TargetMode="External"/><Relationship Id="rId780" Type="http://schemas.openxmlformats.org/officeDocument/2006/relationships/hyperlink" Target="http://provokemedia.com" TargetMode="External"/><Relationship Id="rId301" Type="http://schemas.openxmlformats.org/officeDocument/2006/relationships/hyperlink" Target="http://sourceforge.net" TargetMode="External"/><Relationship Id="rId543" Type="http://schemas.openxmlformats.org/officeDocument/2006/relationships/hyperlink" Target="http://blendb2b.com" TargetMode="External"/><Relationship Id="rId785" Type="http://schemas.openxmlformats.org/officeDocument/2006/relationships/hyperlink" Target="http://purplez.com" TargetMode="External"/><Relationship Id="rId300" Type="http://schemas.openxmlformats.org/officeDocument/2006/relationships/hyperlink" Target="http://siegemedia.com" TargetMode="External"/><Relationship Id="rId542" Type="http://schemas.openxmlformats.org/officeDocument/2006/relationships/hyperlink" Target="http://blazonagency.com" TargetMode="External"/><Relationship Id="rId784" Type="http://schemas.openxmlformats.org/officeDocument/2006/relationships/hyperlink" Target="http://puremarketing.ai" TargetMode="External"/><Relationship Id="rId541" Type="http://schemas.openxmlformats.org/officeDocument/2006/relationships/hyperlink" Target="http://blackwelldigital.com" TargetMode="External"/><Relationship Id="rId783" Type="http://schemas.openxmlformats.org/officeDocument/2006/relationships/hyperlink" Target="http://purealanalytics.co.uk" TargetMode="External"/><Relationship Id="rId540" Type="http://schemas.openxmlformats.org/officeDocument/2006/relationships/hyperlink" Target="http://blackthorn-vision.com" TargetMode="External"/><Relationship Id="rId782" Type="http://schemas.openxmlformats.org/officeDocument/2006/relationships/hyperlink" Target="http://punchcut.com" TargetMode="External"/><Relationship Id="rId536" Type="http://schemas.openxmlformats.org/officeDocument/2006/relationships/hyperlink" Target="http://best-masters.com" TargetMode="External"/><Relationship Id="rId778" Type="http://schemas.openxmlformats.org/officeDocument/2006/relationships/hyperlink" Target="http://promoguy.nl" TargetMode="External"/><Relationship Id="rId535" Type="http://schemas.openxmlformats.org/officeDocument/2006/relationships/hyperlink" Target="http://bbdo.com" TargetMode="External"/><Relationship Id="rId777" Type="http://schemas.openxmlformats.org/officeDocument/2006/relationships/hyperlink" Target="http://promodo.com" TargetMode="External"/><Relationship Id="rId534" Type="http://schemas.openxmlformats.org/officeDocument/2006/relationships/hyperlink" Target="http://barkleyokrp.com" TargetMode="External"/><Relationship Id="rId776" Type="http://schemas.openxmlformats.org/officeDocument/2006/relationships/hyperlink" Target="http://projectmanagers.net" TargetMode="External"/><Relationship Id="rId533" Type="http://schemas.openxmlformats.org/officeDocument/2006/relationships/hyperlink" Target="http://backhouse.com" TargetMode="External"/><Relationship Id="rId775" Type="http://schemas.openxmlformats.org/officeDocument/2006/relationships/hyperlink" Target="http://prnewswire.com" TargetMode="External"/><Relationship Id="rId539" Type="http://schemas.openxmlformats.org/officeDocument/2006/relationships/hyperlink" Target="http://bimodal.io" TargetMode="External"/><Relationship Id="rId538" Type="http://schemas.openxmlformats.org/officeDocument/2006/relationships/hyperlink" Target="http://beyondthearc.com" TargetMode="External"/><Relationship Id="rId537" Type="http://schemas.openxmlformats.org/officeDocument/2006/relationships/hyperlink" Target="http://bestaiseoagencies.com" TargetMode="External"/><Relationship Id="rId779" Type="http://schemas.openxmlformats.org/officeDocument/2006/relationships/hyperlink" Target="http://propellic.com" TargetMode="External"/><Relationship Id="rId770" Type="http://schemas.openxmlformats.org/officeDocument/2006/relationships/hyperlink" Target="http://pleiadesconsultancy.com" TargetMode="External"/><Relationship Id="rId532" Type="http://schemas.openxmlformats.org/officeDocument/2006/relationships/hyperlink" Target="http://awwwards.com" TargetMode="External"/><Relationship Id="rId774" Type="http://schemas.openxmlformats.org/officeDocument/2006/relationships/hyperlink" Target="http://prerender.io" TargetMode="External"/><Relationship Id="rId531" Type="http://schemas.openxmlformats.org/officeDocument/2006/relationships/hyperlink" Target="http://awesomic.com" TargetMode="External"/><Relationship Id="rId773" Type="http://schemas.openxmlformats.org/officeDocument/2006/relationships/hyperlink" Target="http://pravaahconsulting.com" TargetMode="External"/><Relationship Id="rId530" Type="http://schemas.openxmlformats.org/officeDocument/2006/relationships/hyperlink" Target="http://avaus.com" TargetMode="External"/><Relationship Id="rId772" Type="http://schemas.openxmlformats.org/officeDocument/2006/relationships/hyperlink" Target="http://portagelabs.io" TargetMode="External"/><Relationship Id="rId771" Type="http://schemas.openxmlformats.org/officeDocument/2006/relationships/hyperlink" Target="http://pointsourcemarketing.com" TargetMode="External"/><Relationship Id="rId327" Type="http://schemas.openxmlformats.org/officeDocument/2006/relationships/hyperlink" Target="http://isuccessconsulting.com" TargetMode="External"/><Relationship Id="rId569" Type="http://schemas.openxmlformats.org/officeDocument/2006/relationships/hyperlink" Target="http://cisin.com" TargetMode="External"/><Relationship Id="rId326" Type="http://schemas.openxmlformats.org/officeDocument/2006/relationships/hyperlink" Target="http://hawksem.com" TargetMode="External"/><Relationship Id="rId568" Type="http://schemas.openxmlformats.org/officeDocument/2006/relationships/hyperlink" Target="http://ciocoverage.com" TargetMode="External"/><Relationship Id="rId325" Type="http://schemas.openxmlformats.org/officeDocument/2006/relationships/hyperlink" Target="http://fusepointinsights.com" TargetMode="External"/><Relationship Id="rId567" Type="http://schemas.openxmlformats.org/officeDocument/2006/relationships/hyperlink" Target="http://cimm-us.org" TargetMode="External"/><Relationship Id="rId324" Type="http://schemas.openxmlformats.org/officeDocument/2006/relationships/hyperlink" Target="http://fueler.io" TargetMode="External"/><Relationship Id="rId566" Type="http://schemas.openxmlformats.org/officeDocument/2006/relationships/hyperlink" Target="http://cigen.io" TargetMode="External"/><Relationship Id="rId329" Type="http://schemas.openxmlformats.org/officeDocument/2006/relationships/hyperlink" Target="http://itpro.com" TargetMode="External"/><Relationship Id="rId328" Type="http://schemas.openxmlformats.org/officeDocument/2006/relationships/hyperlink" Target="http://iternal.ai" TargetMode="External"/><Relationship Id="rId561" Type="http://schemas.openxmlformats.org/officeDocument/2006/relationships/hyperlink" Target="http://cdw.com" TargetMode="External"/><Relationship Id="rId560" Type="http://schemas.openxmlformats.org/officeDocument/2006/relationships/hyperlink" Target="http://causalityengine.ai" TargetMode="External"/><Relationship Id="rId323" Type="http://schemas.openxmlformats.org/officeDocument/2006/relationships/hyperlink" Target="http://flypix.ai" TargetMode="External"/><Relationship Id="rId565" Type="http://schemas.openxmlformats.org/officeDocument/2006/relationships/hyperlink" Target="http://cieden.com" TargetMode="External"/><Relationship Id="rId322" Type="http://schemas.openxmlformats.org/officeDocument/2006/relationships/hyperlink" Target="http://equinoxitsol.com" TargetMode="External"/><Relationship Id="rId564" Type="http://schemas.openxmlformats.org/officeDocument/2006/relationships/hyperlink" Target="http://choicehotels.com" TargetMode="External"/><Relationship Id="rId321" Type="http://schemas.openxmlformats.org/officeDocument/2006/relationships/hyperlink" Target="http://digitalstrategyforce.com" TargetMode="External"/><Relationship Id="rId563" Type="http://schemas.openxmlformats.org/officeDocument/2006/relationships/hyperlink" Target="http://chatterbuzzmedia.com" TargetMode="External"/><Relationship Id="rId320" Type="http://schemas.openxmlformats.org/officeDocument/2006/relationships/hyperlink" Target="http://deployflow.co" TargetMode="External"/><Relationship Id="rId562" Type="http://schemas.openxmlformats.org/officeDocument/2006/relationships/hyperlink" Target="http://ceamarketing.com" TargetMode="External"/><Relationship Id="rId316" Type="http://schemas.openxmlformats.org/officeDocument/2006/relationships/hyperlink" Target="http://baselinemix.com" TargetMode="External"/><Relationship Id="rId558" Type="http://schemas.openxmlformats.org/officeDocument/2006/relationships/hyperlink" Target="http://capterra.com" TargetMode="External"/><Relationship Id="rId315" Type="http://schemas.openxmlformats.org/officeDocument/2006/relationships/hyperlink" Target="http://atelligen.com" TargetMode="External"/><Relationship Id="rId557" Type="http://schemas.openxmlformats.org/officeDocument/2006/relationships/hyperlink" Target="http://capitala.co" TargetMode="External"/><Relationship Id="rId799" Type="http://schemas.openxmlformats.org/officeDocument/2006/relationships/hyperlink" Target="http://roirevolution.com" TargetMode="External"/><Relationship Id="rId314" Type="http://schemas.openxmlformats.org/officeDocument/2006/relationships/hyperlink" Target="http://askneedle.com" TargetMode="External"/><Relationship Id="rId556" Type="http://schemas.openxmlformats.org/officeDocument/2006/relationships/hyperlink" Target="http://cabinco.com" TargetMode="External"/><Relationship Id="rId798" Type="http://schemas.openxmlformats.org/officeDocument/2006/relationships/hyperlink" Target="http://riverjournalonline.com" TargetMode="External"/><Relationship Id="rId313" Type="http://schemas.openxmlformats.org/officeDocument/2006/relationships/hyperlink" Target="http://appkod.com" TargetMode="External"/><Relationship Id="rId555" Type="http://schemas.openxmlformats.org/officeDocument/2006/relationships/hyperlink" Target="http://caa.com" TargetMode="External"/><Relationship Id="rId797" Type="http://schemas.openxmlformats.org/officeDocument/2006/relationships/hyperlink" Target="http://revealmobile.com" TargetMode="External"/><Relationship Id="rId319" Type="http://schemas.openxmlformats.org/officeDocument/2006/relationships/hyperlink" Target="http://cracklepr.com" TargetMode="External"/><Relationship Id="rId318" Type="http://schemas.openxmlformats.org/officeDocument/2006/relationships/hyperlink" Target="http://clickz.com" TargetMode="External"/><Relationship Id="rId317" Type="http://schemas.openxmlformats.org/officeDocument/2006/relationships/hyperlink" Target="http://cleverly.co" TargetMode="External"/><Relationship Id="rId559" Type="http://schemas.openxmlformats.org/officeDocument/2006/relationships/hyperlink" Target="http://capterra.com.au" TargetMode="External"/><Relationship Id="rId550" Type="http://schemas.openxmlformats.org/officeDocument/2006/relationships/hyperlink" Target="http://brightlinkconsulting.com" TargetMode="External"/><Relationship Id="rId792" Type="http://schemas.openxmlformats.org/officeDocument/2006/relationships/hyperlink" Target="http://realtimeagency.com" TargetMode="External"/><Relationship Id="rId791" Type="http://schemas.openxmlformats.org/officeDocument/2006/relationships/hyperlink" Target="http://ranktix.co.uk" TargetMode="External"/><Relationship Id="rId790" Type="http://schemas.openxmlformats.org/officeDocument/2006/relationships/hyperlink" Target="http://rankmybusiness.com.au" TargetMode="External"/><Relationship Id="rId312" Type="http://schemas.openxmlformats.org/officeDocument/2006/relationships/hyperlink" Target="http://aiinsiderdaily.com" TargetMode="External"/><Relationship Id="rId554" Type="http://schemas.openxmlformats.org/officeDocument/2006/relationships/hyperlink" Target="http://c3digitus.com" TargetMode="External"/><Relationship Id="rId796" Type="http://schemas.openxmlformats.org/officeDocument/2006/relationships/hyperlink" Target="http://revclickmarketing.com" TargetMode="External"/><Relationship Id="rId311" Type="http://schemas.openxmlformats.org/officeDocument/2006/relationships/hyperlink" Target="http://aidigital.com" TargetMode="External"/><Relationship Id="rId553" Type="http://schemas.openxmlformats.org/officeDocument/2006/relationships/hyperlink" Target="http://byaries.com" TargetMode="External"/><Relationship Id="rId795" Type="http://schemas.openxmlformats.org/officeDocument/2006/relationships/hyperlink" Target="http://responsify.com" TargetMode="External"/><Relationship Id="rId310" Type="http://schemas.openxmlformats.org/officeDocument/2006/relationships/hyperlink" Target="http://adogy.com" TargetMode="External"/><Relationship Id="rId552" Type="http://schemas.openxmlformats.org/officeDocument/2006/relationships/hyperlink" Target="http://busylike.com" TargetMode="External"/><Relationship Id="rId794" Type="http://schemas.openxmlformats.org/officeDocument/2006/relationships/hyperlink" Target="http://redcubedigital.com" TargetMode="External"/><Relationship Id="rId551" Type="http://schemas.openxmlformats.org/officeDocument/2006/relationships/hyperlink" Target="http://builtincolorado.com" TargetMode="External"/><Relationship Id="rId793" Type="http://schemas.openxmlformats.org/officeDocument/2006/relationships/hyperlink" Target="http://red-engage.com" TargetMode="External"/><Relationship Id="rId297" Type="http://schemas.openxmlformats.org/officeDocument/2006/relationships/hyperlink" Target="http://prescientai.com" TargetMode="External"/><Relationship Id="rId296" Type="http://schemas.openxmlformats.org/officeDocument/2006/relationships/hyperlink" Target="http://pearllemon.com" TargetMode="External"/><Relationship Id="rId295" Type="http://schemas.openxmlformats.org/officeDocument/2006/relationships/hyperlink" Target="http://nuoptima.com" TargetMode="External"/><Relationship Id="rId294" Type="http://schemas.openxmlformats.org/officeDocument/2006/relationships/hyperlink" Target="http://motum-us.com" TargetMode="External"/><Relationship Id="rId299" Type="http://schemas.openxmlformats.org/officeDocument/2006/relationships/hyperlink" Target="http://seoworks.com" TargetMode="External"/><Relationship Id="rId298" Type="http://schemas.openxmlformats.org/officeDocument/2006/relationships/hyperlink" Target="http://seerinteractive.com" TargetMode="External"/><Relationship Id="rId271" Type="http://schemas.openxmlformats.org/officeDocument/2006/relationships/hyperlink" Target="http://bcg.com" TargetMode="External"/><Relationship Id="rId270" Type="http://schemas.openxmlformats.org/officeDocument/2006/relationships/hyperlink" Target="http://avixa.org" TargetMode="External"/><Relationship Id="rId269" Type="http://schemas.openxmlformats.org/officeDocument/2006/relationships/hyperlink" Target="http://warc.com" TargetMode="External"/><Relationship Id="rId264" Type="http://schemas.openxmlformats.org/officeDocument/2006/relationships/hyperlink" Target="http://theinklusive.com" TargetMode="External"/><Relationship Id="rId263" Type="http://schemas.openxmlformats.org/officeDocument/2006/relationships/hyperlink" Target="http://thefrankagency.com" TargetMode="External"/><Relationship Id="rId262" Type="http://schemas.openxmlformats.org/officeDocument/2006/relationships/hyperlink" Target="http://s360digital.com" TargetMode="External"/><Relationship Id="rId261" Type="http://schemas.openxmlformats.org/officeDocument/2006/relationships/hyperlink" Target="http://retailhub.co" TargetMode="External"/><Relationship Id="rId268" Type="http://schemas.openxmlformats.org/officeDocument/2006/relationships/hyperlink" Target="http://yahoo.com" TargetMode="External"/><Relationship Id="rId267" Type="http://schemas.openxmlformats.org/officeDocument/2006/relationships/hyperlink" Target="http://wifitalents.com" TargetMode="External"/><Relationship Id="rId266" Type="http://schemas.openxmlformats.org/officeDocument/2006/relationships/hyperlink" Target="http://typecast.ai" TargetMode="External"/><Relationship Id="rId265" Type="http://schemas.openxmlformats.org/officeDocument/2006/relationships/hyperlink" Target="http://tofuhq.com" TargetMode="External"/><Relationship Id="rId260" Type="http://schemas.openxmlformats.org/officeDocument/2006/relationships/hyperlink" Target="http://quandarypeak.com" TargetMode="External"/><Relationship Id="rId259" Type="http://schemas.openxmlformats.org/officeDocument/2006/relationships/hyperlink" Target="http://pinemarsh.com" TargetMode="External"/><Relationship Id="rId258" Type="http://schemas.openxmlformats.org/officeDocument/2006/relationships/hyperlink" Target="http://keywordsearch.com" TargetMode="External"/><Relationship Id="rId253" Type="http://schemas.openxmlformats.org/officeDocument/2006/relationships/hyperlink" Target="http://mobileappdaily.com" TargetMode="External"/><Relationship Id="rId495" Type="http://schemas.openxmlformats.org/officeDocument/2006/relationships/hyperlink" Target="http://adaptiveco.io" TargetMode="External"/><Relationship Id="rId252" Type="http://schemas.openxmlformats.org/officeDocument/2006/relationships/hyperlink" Target="http://masterrvdesigners.com" TargetMode="External"/><Relationship Id="rId494" Type="http://schemas.openxmlformats.org/officeDocument/2006/relationships/hyperlink" Target="http://accentmarketing.com" TargetMode="External"/><Relationship Id="rId251" Type="http://schemas.openxmlformats.org/officeDocument/2006/relationships/hyperlink" Target="http://themarketingagency.ca" TargetMode="External"/><Relationship Id="rId493" Type="http://schemas.openxmlformats.org/officeDocument/2006/relationships/hyperlink" Target="http://abry.com" TargetMode="External"/><Relationship Id="rId250" Type="http://schemas.openxmlformats.org/officeDocument/2006/relationships/hyperlink" Target="http://infotrust.com" TargetMode="External"/><Relationship Id="rId492" Type="http://schemas.openxmlformats.org/officeDocument/2006/relationships/hyperlink" Target="http://abetheagency.com" TargetMode="External"/><Relationship Id="rId257" Type="http://schemas.openxmlformats.org/officeDocument/2006/relationships/hyperlink" Target="http://growthmarketingpro.com" TargetMode="External"/><Relationship Id="rId499" Type="http://schemas.openxmlformats.org/officeDocument/2006/relationships/hyperlink" Target="http://adspyder.io" TargetMode="External"/><Relationship Id="rId256" Type="http://schemas.openxmlformats.org/officeDocument/2006/relationships/hyperlink" Target="http://brentonway.com" TargetMode="External"/><Relationship Id="rId498" Type="http://schemas.openxmlformats.org/officeDocument/2006/relationships/hyperlink" Target="http://addwebsolution.com" TargetMode="External"/><Relationship Id="rId255" Type="http://schemas.openxmlformats.org/officeDocument/2006/relationships/hyperlink" Target="http://alexbirkett.com" TargetMode="External"/><Relationship Id="rId497" Type="http://schemas.openxmlformats.org/officeDocument/2006/relationships/hyperlink" Target="http://adastracorp.com" TargetMode="External"/><Relationship Id="rId254" Type="http://schemas.openxmlformats.org/officeDocument/2006/relationships/hyperlink" Target="http://aismedia.com" TargetMode="External"/><Relationship Id="rId496" Type="http://schemas.openxmlformats.org/officeDocument/2006/relationships/hyperlink" Target="http://adasight.com" TargetMode="External"/><Relationship Id="rId293" Type="http://schemas.openxmlformats.org/officeDocument/2006/relationships/hyperlink" Target="http://marketingdive.com" TargetMode="External"/><Relationship Id="rId292" Type="http://schemas.openxmlformats.org/officeDocument/2006/relationships/hyperlink" Target="http://jake-jorgovan.com" TargetMode="External"/><Relationship Id="rId291" Type="http://schemas.openxmlformats.org/officeDocument/2006/relationships/hyperlink" Target="http://idimension.com" TargetMode="External"/><Relationship Id="rId290" Type="http://schemas.openxmlformats.org/officeDocument/2006/relationships/hyperlink" Target="http://hashmeta.com" TargetMode="External"/><Relationship Id="rId286" Type="http://schemas.openxmlformats.org/officeDocument/2006/relationships/hyperlink" Target="http://dexigner.com" TargetMode="External"/><Relationship Id="rId285" Type="http://schemas.openxmlformats.org/officeDocument/2006/relationships/hyperlink" Target="http://delogostudio.com" TargetMode="External"/><Relationship Id="rId284" Type="http://schemas.openxmlformats.org/officeDocument/2006/relationships/hyperlink" Target="http://christianandtimbers.com" TargetMode="External"/><Relationship Id="rId283" Type="http://schemas.openxmlformats.org/officeDocument/2006/relationships/hyperlink" Target="http://carvertise.com" TargetMode="External"/><Relationship Id="rId289" Type="http://schemas.openxmlformats.org/officeDocument/2006/relationships/hyperlink" Target="http://growwithvysta.com" TargetMode="External"/><Relationship Id="rId288" Type="http://schemas.openxmlformats.org/officeDocument/2006/relationships/hyperlink" Target="http://geovate.com" TargetMode="External"/><Relationship Id="rId287" Type="http://schemas.openxmlformats.org/officeDocument/2006/relationships/hyperlink" Target="http://fuelonline.com" TargetMode="External"/><Relationship Id="rId282" Type="http://schemas.openxmlformats.org/officeDocument/2006/relationships/hyperlink" Target="http://builtin.com" TargetMode="External"/><Relationship Id="rId281" Type="http://schemas.openxmlformats.org/officeDocument/2006/relationships/hyperlink" Target="http://bignewsnetwork.com" TargetMode="External"/><Relationship Id="rId280" Type="http://schemas.openxmlformats.org/officeDocument/2006/relationships/hyperlink" Target="http://b2bmarketing.net" TargetMode="External"/><Relationship Id="rId275" Type="http://schemas.openxmlformats.org/officeDocument/2006/relationships/hyperlink" Target="http://adswerve.com" TargetMode="External"/><Relationship Id="rId274" Type="http://schemas.openxmlformats.org/officeDocument/2006/relationships/hyperlink" Target="http://adcountable.com" TargetMode="External"/><Relationship Id="rId273" Type="http://schemas.openxmlformats.org/officeDocument/2006/relationships/hyperlink" Target="http://todaymade.com" TargetMode="External"/><Relationship Id="rId272" Type="http://schemas.openxmlformats.org/officeDocument/2006/relationships/hyperlink" Target="http://oneclub.org" TargetMode="External"/><Relationship Id="rId279" Type="http://schemas.openxmlformats.org/officeDocument/2006/relationships/hyperlink" Target="http://aventigroup.com" TargetMode="External"/><Relationship Id="rId278" Type="http://schemas.openxmlformats.org/officeDocument/2006/relationships/hyperlink" Target="http://amplitude.com" TargetMode="External"/><Relationship Id="rId277" Type="http://schemas.openxmlformats.org/officeDocument/2006/relationships/hyperlink" Target="http://aitworldwide.com" TargetMode="External"/><Relationship Id="rId276" Type="http://schemas.openxmlformats.org/officeDocument/2006/relationships/hyperlink" Target="http://ai-heroes.co" TargetMode="External"/><Relationship Id="rId901" Type="http://schemas.openxmlformats.org/officeDocument/2006/relationships/drawing" Target="../drawings/drawing1.xml"/><Relationship Id="rId900" Type="http://schemas.openxmlformats.org/officeDocument/2006/relationships/hyperlink" Target="http://zyner.io" TargetMode="External"/><Relationship Id="rId629" Type="http://schemas.openxmlformats.org/officeDocument/2006/relationships/hyperlink" Target="http://firstquery.ai" TargetMode="External"/><Relationship Id="rId624" Type="http://schemas.openxmlformats.org/officeDocument/2006/relationships/hyperlink" Target="http://factors.ai" TargetMode="External"/><Relationship Id="rId866" Type="http://schemas.openxmlformats.org/officeDocument/2006/relationships/hyperlink" Target="http://ugcengine.ai" TargetMode="External"/><Relationship Id="rId623" Type="http://schemas.openxmlformats.org/officeDocument/2006/relationships/hyperlink" Target="http://f6s.com" TargetMode="External"/><Relationship Id="rId865" Type="http://schemas.openxmlformats.org/officeDocument/2006/relationships/hyperlink" Target="http://udonis.co" TargetMode="External"/><Relationship Id="rId622" Type="http://schemas.openxmlformats.org/officeDocument/2006/relationships/hyperlink" Target="http://evincedev.com" TargetMode="External"/><Relationship Id="rId864" Type="http://schemas.openxmlformats.org/officeDocument/2006/relationships/hyperlink" Target="http://tryprofound.com" TargetMode="External"/><Relationship Id="rId621" Type="http://schemas.openxmlformats.org/officeDocument/2006/relationships/hyperlink" Target="http://epinium.com" TargetMode="External"/><Relationship Id="rId863" Type="http://schemas.openxmlformats.org/officeDocument/2006/relationships/hyperlink" Target="http://trustpilot.com" TargetMode="External"/><Relationship Id="rId628" Type="http://schemas.openxmlformats.org/officeDocument/2006/relationships/hyperlink" Target="http://firstmovers.ai" TargetMode="External"/><Relationship Id="rId627" Type="http://schemas.openxmlformats.org/officeDocument/2006/relationships/hyperlink" Target="http://firmcraft.ai" TargetMode="External"/><Relationship Id="rId869" Type="http://schemas.openxmlformats.org/officeDocument/2006/relationships/hyperlink" Target="http://useready.com" TargetMode="External"/><Relationship Id="rId626" Type="http://schemas.openxmlformats.org/officeDocument/2006/relationships/hyperlink" Target="http://finalscout.com" TargetMode="External"/><Relationship Id="rId868" Type="http://schemas.openxmlformats.org/officeDocument/2006/relationships/hyperlink" Target="http://usercentrics.com" TargetMode="External"/><Relationship Id="rId625" Type="http://schemas.openxmlformats.org/officeDocument/2006/relationships/hyperlink" Target="http://fibr.ai" TargetMode="External"/><Relationship Id="rId867" Type="http://schemas.openxmlformats.org/officeDocument/2006/relationships/hyperlink" Target="http://usekaya.com" TargetMode="External"/><Relationship Id="rId620" Type="http://schemas.openxmlformats.org/officeDocument/2006/relationships/hyperlink" Target="http://ensun.io" TargetMode="External"/><Relationship Id="rId862" Type="http://schemas.openxmlformats.org/officeDocument/2006/relationships/hyperlink" Target="http://trusted-trade.net" TargetMode="External"/><Relationship Id="rId861" Type="http://schemas.openxmlformats.org/officeDocument/2006/relationships/hyperlink" Target="http://trinitybps.com" TargetMode="External"/><Relationship Id="rId860" Type="http://schemas.openxmlformats.org/officeDocument/2006/relationships/hyperlink" Target="http://tridence.com" TargetMode="External"/><Relationship Id="rId619" Type="http://schemas.openxmlformats.org/officeDocument/2006/relationships/hyperlink" Target="http://emrgmedia.com" TargetMode="External"/><Relationship Id="rId618" Type="http://schemas.openxmlformats.org/officeDocument/2006/relationships/hyperlink" Target="http://empireentertainment.com" TargetMode="External"/><Relationship Id="rId613" Type="http://schemas.openxmlformats.org/officeDocument/2006/relationships/hyperlink" Target="http://effy.ai" TargetMode="External"/><Relationship Id="rId855" Type="http://schemas.openxmlformats.org/officeDocument/2006/relationships/hyperlink" Target="http://topmarketingagencies.com" TargetMode="External"/><Relationship Id="rId612" Type="http://schemas.openxmlformats.org/officeDocument/2006/relationships/hyperlink" Target="http://edelmandxi.com" TargetMode="External"/><Relationship Id="rId854" Type="http://schemas.openxmlformats.org/officeDocument/2006/relationships/hyperlink" Target="http://thirstysprout.com" TargetMode="External"/><Relationship Id="rId611" Type="http://schemas.openxmlformats.org/officeDocument/2006/relationships/hyperlink" Target="http://ecommercefastlane.com" TargetMode="External"/><Relationship Id="rId853" Type="http://schemas.openxmlformats.org/officeDocument/2006/relationships/hyperlink" Target="http://thinkwithalec.com" TargetMode="External"/><Relationship Id="rId610" Type="http://schemas.openxmlformats.org/officeDocument/2006/relationships/hyperlink" Target="http://echo-factory.com" TargetMode="External"/><Relationship Id="rId852" Type="http://schemas.openxmlformats.org/officeDocument/2006/relationships/hyperlink" Target="http://thinkstrategic.com" TargetMode="External"/><Relationship Id="rId617" Type="http://schemas.openxmlformats.org/officeDocument/2006/relationships/hyperlink" Target="http://embertribe.com" TargetMode="External"/><Relationship Id="rId859" Type="http://schemas.openxmlformats.org/officeDocument/2006/relationships/hyperlink" Target="http://tribetronics.com" TargetMode="External"/><Relationship Id="rId616" Type="http://schemas.openxmlformats.org/officeDocument/2006/relationships/hyperlink" Target="http://elsner.com" TargetMode="External"/><Relationship Id="rId858" Type="http://schemas.openxmlformats.org/officeDocument/2006/relationships/hyperlink" Target="http://trailblazermktg.com" TargetMode="External"/><Relationship Id="rId615" Type="http://schemas.openxmlformats.org/officeDocument/2006/relationships/hyperlink" Target="http://elementor.com" TargetMode="External"/><Relationship Id="rId857" Type="http://schemas.openxmlformats.org/officeDocument/2006/relationships/hyperlink" Target="http://tradingview.com" TargetMode="External"/><Relationship Id="rId614" Type="http://schemas.openxmlformats.org/officeDocument/2006/relationships/hyperlink" Target="http://eight26.com" TargetMode="External"/><Relationship Id="rId856" Type="http://schemas.openxmlformats.org/officeDocument/2006/relationships/hyperlink" Target="http://trackingplan.com" TargetMode="External"/><Relationship Id="rId851" Type="http://schemas.openxmlformats.org/officeDocument/2006/relationships/hyperlink" Target="http://thezulumethod.com" TargetMode="External"/><Relationship Id="rId850" Type="http://schemas.openxmlformats.org/officeDocument/2006/relationships/hyperlink" Target="http://themill.com" TargetMode="External"/><Relationship Id="rId409" Type="http://schemas.openxmlformats.org/officeDocument/2006/relationships/hyperlink" Target="http://gripped.io" TargetMode="External"/><Relationship Id="rId404" Type="http://schemas.openxmlformats.org/officeDocument/2006/relationships/hyperlink" Target="http://gen-optima.com" TargetMode="External"/><Relationship Id="rId646" Type="http://schemas.openxmlformats.org/officeDocument/2006/relationships/hyperlink" Target="http://gigawattgroup.com" TargetMode="External"/><Relationship Id="rId888" Type="http://schemas.openxmlformats.org/officeDocument/2006/relationships/hyperlink" Target="http://wested.org" TargetMode="External"/><Relationship Id="rId403" Type="http://schemas.openxmlformats.org/officeDocument/2006/relationships/hyperlink" Target="http://facebook.com" TargetMode="External"/><Relationship Id="rId645" Type="http://schemas.openxmlformats.org/officeDocument/2006/relationships/hyperlink" Target="http://getfishslapped.com" TargetMode="External"/><Relationship Id="rId887" Type="http://schemas.openxmlformats.org/officeDocument/2006/relationships/hyperlink" Target="http://weblystudio.com" TargetMode="External"/><Relationship Id="rId402" Type="http://schemas.openxmlformats.org/officeDocument/2006/relationships/hyperlink" Target="http://exposureninja.com" TargetMode="External"/><Relationship Id="rId644" Type="http://schemas.openxmlformats.org/officeDocument/2006/relationships/hyperlink" Target="http://getcrux.ai" TargetMode="External"/><Relationship Id="rId886" Type="http://schemas.openxmlformats.org/officeDocument/2006/relationships/hyperlink" Target="http://webguruz.in" TargetMode="External"/><Relationship Id="rId401" Type="http://schemas.openxmlformats.org/officeDocument/2006/relationships/hyperlink" Target="http://experian.com" TargetMode="External"/><Relationship Id="rId643" Type="http://schemas.openxmlformats.org/officeDocument/2006/relationships/hyperlink" Target="http://getcredo.com" TargetMode="External"/><Relationship Id="rId885" Type="http://schemas.openxmlformats.org/officeDocument/2006/relationships/hyperlink" Target="http://webflow.com" TargetMode="External"/><Relationship Id="rId408" Type="http://schemas.openxmlformats.org/officeDocument/2006/relationships/hyperlink" Target="http://gracker.ai" TargetMode="External"/><Relationship Id="rId407" Type="http://schemas.openxmlformats.org/officeDocument/2006/relationships/hyperlink" Target="http://gogloby.com" TargetMode="External"/><Relationship Id="rId649" Type="http://schemas.openxmlformats.org/officeDocument/2006/relationships/hyperlink" Target="http://gomega.ai" TargetMode="External"/><Relationship Id="rId406" Type="http://schemas.openxmlformats.org/officeDocument/2006/relationships/hyperlink" Target="http://gitnux.org" TargetMode="External"/><Relationship Id="rId648" Type="http://schemas.openxmlformats.org/officeDocument/2006/relationships/hyperlink" Target="http://gofishdigital.com" TargetMode="External"/><Relationship Id="rId405" Type="http://schemas.openxmlformats.org/officeDocument/2006/relationships/hyperlink" Target="http://getadlib.com" TargetMode="External"/><Relationship Id="rId647" Type="http://schemas.openxmlformats.org/officeDocument/2006/relationships/hyperlink" Target="http://girikon.com" TargetMode="External"/><Relationship Id="rId889" Type="http://schemas.openxmlformats.org/officeDocument/2006/relationships/hyperlink" Target="http://whitehat-seo.co.uk" TargetMode="External"/><Relationship Id="rId880" Type="http://schemas.openxmlformats.org/officeDocument/2006/relationships/hyperlink" Target="http://virtualadagency.com.au" TargetMode="External"/><Relationship Id="rId400" Type="http://schemas.openxmlformats.org/officeDocument/2006/relationships/hyperlink" Target="http://evolveamz.com" TargetMode="External"/><Relationship Id="rId642" Type="http://schemas.openxmlformats.org/officeDocument/2006/relationships/hyperlink" Target="http://geoagency.net" TargetMode="External"/><Relationship Id="rId884" Type="http://schemas.openxmlformats.org/officeDocument/2006/relationships/hyperlink" Target="http://weareaudiences.com" TargetMode="External"/><Relationship Id="rId641" Type="http://schemas.openxmlformats.org/officeDocument/2006/relationships/hyperlink" Target="http://genevate.co" TargetMode="External"/><Relationship Id="rId883" Type="http://schemas.openxmlformats.org/officeDocument/2006/relationships/hyperlink" Target="http://w3era.com" TargetMode="External"/><Relationship Id="rId640" Type="http://schemas.openxmlformats.org/officeDocument/2006/relationships/hyperlink" Target="http://generatemore.ai" TargetMode="External"/><Relationship Id="rId882" Type="http://schemas.openxmlformats.org/officeDocument/2006/relationships/hyperlink" Target="http://vstorm.co" TargetMode="External"/><Relationship Id="rId881" Type="http://schemas.openxmlformats.org/officeDocument/2006/relationships/hyperlink" Target="http://visioneerit.com" TargetMode="External"/><Relationship Id="rId635" Type="http://schemas.openxmlformats.org/officeDocument/2006/relationships/hyperlink" Target="http://freshcoast.ai" TargetMode="External"/><Relationship Id="rId877" Type="http://schemas.openxmlformats.org/officeDocument/2006/relationships/hyperlink" Target="http://vidi-corp.com" TargetMode="External"/><Relationship Id="rId634" Type="http://schemas.openxmlformats.org/officeDocument/2006/relationships/hyperlink" Target="http://foundersworkshop.com" TargetMode="External"/><Relationship Id="rId876" Type="http://schemas.openxmlformats.org/officeDocument/2006/relationships/hyperlink" Target="http://victoriaolsina.com" TargetMode="External"/><Relationship Id="rId633" Type="http://schemas.openxmlformats.org/officeDocument/2006/relationships/hyperlink" Target="http://found.co.uk" TargetMode="External"/><Relationship Id="rId875" Type="http://schemas.openxmlformats.org/officeDocument/2006/relationships/hyperlink" Target="http://vibebranding.com" TargetMode="External"/><Relationship Id="rId632" Type="http://schemas.openxmlformats.org/officeDocument/2006/relationships/hyperlink" Target="http://fortismedia.com" TargetMode="External"/><Relationship Id="rId874" Type="http://schemas.openxmlformats.org/officeDocument/2006/relationships/hyperlink" Target="http://verdtek.com" TargetMode="External"/><Relationship Id="rId639" Type="http://schemas.openxmlformats.org/officeDocument/2006/relationships/hyperlink" Target="http://geekwire.com" TargetMode="External"/><Relationship Id="rId638" Type="http://schemas.openxmlformats.org/officeDocument/2006/relationships/hyperlink" Target="http://gallup.com" TargetMode="External"/><Relationship Id="rId637" Type="http://schemas.openxmlformats.org/officeDocument/2006/relationships/hyperlink" Target="http://futuresupply.io" TargetMode="External"/><Relationship Id="rId879" Type="http://schemas.openxmlformats.org/officeDocument/2006/relationships/hyperlink" Target="http://vietnammarcom.edu.vn" TargetMode="External"/><Relationship Id="rId636" Type="http://schemas.openxmlformats.org/officeDocument/2006/relationships/hyperlink" Target="http://frontieraiconsulting.com" TargetMode="External"/><Relationship Id="rId878" Type="http://schemas.openxmlformats.org/officeDocument/2006/relationships/hyperlink" Target="http://vidico.com" TargetMode="External"/><Relationship Id="rId631" Type="http://schemas.openxmlformats.org/officeDocument/2006/relationships/hyperlink" Target="http://fntmanagement.com" TargetMode="External"/><Relationship Id="rId873" Type="http://schemas.openxmlformats.org/officeDocument/2006/relationships/hyperlink" Target="http://vendry.io" TargetMode="External"/><Relationship Id="rId630" Type="http://schemas.openxmlformats.org/officeDocument/2006/relationships/hyperlink" Target="http://fixnhour.com" TargetMode="External"/><Relationship Id="rId872" Type="http://schemas.openxmlformats.org/officeDocument/2006/relationships/hyperlink" Target="http://vdigitalservices.com" TargetMode="External"/><Relationship Id="rId871" Type="http://schemas.openxmlformats.org/officeDocument/2006/relationships/hyperlink" Target="http://vantecmarketing.com" TargetMode="External"/><Relationship Id="rId870" Type="http://schemas.openxmlformats.org/officeDocument/2006/relationships/hyperlink" Target="http://vaia.com" TargetMode="External"/><Relationship Id="rId829" Type="http://schemas.openxmlformats.org/officeDocument/2006/relationships/hyperlink" Target="http://sociolabs.in" TargetMode="External"/><Relationship Id="rId828" Type="http://schemas.openxmlformats.org/officeDocument/2006/relationships/hyperlink" Target="http://socialander.com" TargetMode="External"/><Relationship Id="rId827" Type="http://schemas.openxmlformats.org/officeDocument/2006/relationships/hyperlink" Target="http://snov.io" TargetMode="External"/><Relationship Id="rId822" Type="http://schemas.openxmlformats.org/officeDocument/2006/relationships/hyperlink" Target="http://sinfa.com" TargetMode="External"/><Relationship Id="rId821" Type="http://schemas.openxmlformats.org/officeDocument/2006/relationships/hyperlink" Target="http://simplythebestdigital.com" TargetMode="External"/><Relationship Id="rId820" Type="http://schemas.openxmlformats.org/officeDocument/2006/relationships/hyperlink" Target="http://signitysolutions.com" TargetMode="External"/><Relationship Id="rId826" Type="http://schemas.openxmlformats.org/officeDocument/2006/relationships/hyperlink" Target="http://smartosc.com" TargetMode="External"/><Relationship Id="rId825" Type="http://schemas.openxmlformats.org/officeDocument/2006/relationships/hyperlink" Target="http://skipthenoisemedia.com" TargetMode="External"/><Relationship Id="rId824" Type="http://schemas.openxmlformats.org/officeDocument/2006/relationships/hyperlink" Target="http://skai.io" TargetMode="External"/><Relationship Id="rId823" Type="http://schemas.openxmlformats.org/officeDocument/2006/relationships/hyperlink" Target="http://singlestoneconsulting.com" TargetMode="External"/><Relationship Id="rId819" Type="http://schemas.openxmlformats.org/officeDocument/2006/relationships/hyperlink" Target="http://sianamarketing.com" TargetMode="External"/><Relationship Id="rId818" Type="http://schemas.openxmlformats.org/officeDocument/2006/relationships/hyperlink" Target="http://shopperapproved.com" TargetMode="External"/><Relationship Id="rId817" Type="http://schemas.openxmlformats.org/officeDocument/2006/relationships/hyperlink" Target="http://shipmercury.com" TargetMode="External"/><Relationship Id="rId816" Type="http://schemas.openxmlformats.org/officeDocument/2006/relationships/hyperlink" Target="http://shifu-marketing.com" TargetMode="External"/><Relationship Id="rId811" Type="http://schemas.openxmlformats.org/officeDocument/2006/relationships/hyperlink" Target="http://seedcreativestudio.com" TargetMode="External"/><Relationship Id="rId810" Type="http://schemas.openxmlformats.org/officeDocument/2006/relationships/hyperlink" Target="http://secure-platform.com" TargetMode="External"/><Relationship Id="rId815" Type="http://schemas.openxmlformats.org/officeDocument/2006/relationships/hyperlink" Target="http://setupad.com" TargetMode="External"/><Relationship Id="rId814" Type="http://schemas.openxmlformats.org/officeDocument/2006/relationships/hyperlink" Target="http://seobrand.com" TargetMode="External"/><Relationship Id="rId813" Type="http://schemas.openxmlformats.org/officeDocument/2006/relationships/hyperlink" Target="http://sei.com" TargetMode="External"/><Relationship Id="rId812" Type="http://schemas.openxmlformats.org/officeDocument/2006/relationships/hyperlink" Target="http://segmetrics.io" TargetMode="External"/><Relationship Id="rId609" Type="http://schemas.openxmlformats.org/officeDocument/2006/relationships/hyperlink" Target="http://ebaqdesign.com" TargetMode="External"/><Relationship Id="rId608" Type="http://schemas.openxmlformats.org/officeDocument/2006/relationships/hyperlink" Target="http://easyinsights.ai" TargetMode="External"/><Relationship Id="rId607" Type="http://schemas.openxmlformats.org/officeDocument/2006/relationships/hyperlink" Target="http://dslxcontent.com" TargetMode="External"/><Relationship Id="rId849" Type="http://schemas.openxmlformats.org/officeDocument/2006/relationships/hyperlink" Target="http://themediaant.com" TargetMode="External"/><Relationship Id="rId602" Type="http://schemas.openxmlformats.org/officeDocument/2006/relationships/hyperlink" Target="http://diginsights.com" TargetMode="External"/><Relationship Id="rId844" Type="http://schemas.openxmlformats.org/officeDocument/2006/relationships/hyperlink" Target="http://theatdb.com" TargetMode="External"/><Relationship Id="rId601" Type="http://schemas.openxmlformats.org/officeDocument/2006/relationships/hyperlink" Target="http://digidir.com" TargetMode="External"/><Relationship Id="rId843" Type="http://schemas.openxmlformats.org/officeDocument/2006/relationships/hyperlink" Target="http://tenspeed.io" TargetMode="External"/><Relationship Id="rId600" Type="http://schemas.openxmlformats.org/officeDocument/2006/relationships/hyperlink" Target="http://diceus.com" TargetMode="External"/><Relationship Id="rId842" Type="http://schemas.openxmlformats.org/officeDocument/2006/relationships/hyperlink" Target="http://techreviewer.co" TargetMode="External"/><Relationship Id="rId841" Type="http://schemas.openxmlformats.org/officeDocument/2006/relationships/hyperlink" Target="http://technologyarch.com" TargetMode="External"/><Relationship Id="rId606" Type="http://schemas.openxmlformats.org/officeDocument/2006/relationships/hyperlink" Target="http://droga5.co.uk" TargetMode="External"/><Relationship Id="rId848" Type="http://schemas.openxmlformats.org/officeDocument/2006/relationships/hyperlink" Target="http://thegutenberg.com" TargetMode="External"/><Relationship Id="rId605" Type="http://schemas.openxmlformats.org/officeDocument/2006/relationships/hyperlink" Target="http://directom.com" TargetMode="External"/><Relationship Id="rId847" Type="http://schemas.openxmlformats.org/officeDocument/2006/relationships/hyperlink" Target="http://thecrunch.io" TargetMode="External"/><Relationship Id="rId604" Type="http://schemas.openxmlformats.org/officeDocument/2006/relationships/hyperlink" Target="http://digitalsurfer.com.au" TargetMode="External"/><Relationship Id="rId846" Type="http://schemas.openxmlformats.org/officeDocument/2006/relationships/hyperlink" Target="http://theb2bplaybook.com" TargetMode="External"/><Relationship Id="rId603" Type="http://schemas.openxmlformats.org/officeDocument/2006/relationships/hyperlink" Target="http://digital-hunch.com" TargetMode="External"/><Relationship Id="rId845" Type="http://schemas.openxmlformats.org/officeDocument/2006/relationships/hyperlink" Target="http://theaustralian.com.au" TargetMode="External"/><Relationship Id="rId840" Type="http://schemas.openxmlformats.org/officeDocument/2006/relationships/hyperlink" Target="http://tbwa.com" TargetMode="External"/><Relationship Id="rId839" Type="http://schemas.openxmlformats.org/officeDocument/2006/relationships/hyperlink" Target="http://superbcompanies.com" TargetMode="External"/><Relationship Id="rId838" Type="http://schemas.openxmlformats.org/officeDocument/2006/relationships/hyperlink" Target="http://stryde.com" TargetMode="External"/><Relationship Id="rId833" Type="http://schemas.openxmlformats.org/officeDocument/2006/relationships/hyperlink" Target="http://spotify.com" TargetMode="External"/><Relationship Id="rId832" Type="http://schemas.openxmlformats.org/officeDocument/2006/relationships/hyperlink" Target="http://sparkouttech.com" TargetMode="External"/><Relationship Id="rId831" Type="http://schemas.openxmlformats.org/officeDocument/2006/relationships/hyperlink" Target="http://sona.com" TargetMode="External"/><Relationship Id="rId830" Type="http://schemas.openxmlformats.org/officeDocument/2006/relationships/hyperlink" Target="http://soft-industry.com" TargetMode="External"/><Relationship Id="rId837" Type="http://schemas.openxmlformats.org/officeDocument/2006/relationships/hyperlink" Target="http://starusa.org" TargetMode="External"/><Relationship Id="rId836" Type="http://schemas.openxmlformats.org/officeDocument/2006/relationships/hyperlink" Target="http://stanleyconsultants.com" TargetMode="External"/><Relationship Id="rId835" Type="http://schemas.openxmlformats.org/officeDocument/2006/relationships/hyperlink" Target="http://stackmatix.com" TargetMode="External"/><Relationship Id="rId834" Type="http://schemas.openxmlformats.org/officeDocument/2006/relationships/hyperlink" Target="http://stackadapt.com" TargetMode="External"/><Relationship Id="rId228" Type="http://schemas.openxmlformats.org/officeDocument/2006/relationships/hyperlink" Target="http://wsiworld.com" TargetMode="External"/><Relationship Id="rId227" Type="http://schemas.openxmlformats.org/officeDocument/2006/relationships/hyperlink" Target="http://strategylinc.com" TargetMode="External"/><Relationship Id="rId469" Type="http://schemas.openxmlformats.org/officeDocument/2006/relationships/hyperlink" Target="http://zymr.com" TargetMode="External"/><Relationship Id="rId226" Type="http://schemas.openxmlformats.org/officeDocument/2006/relationships/hyperlink" Target="http://rtslabs.com" TargetMode="External"/><Relationship Id="rId468" Type="http://schemas.openxmlformats.org/officeDocument/2006/relationships/hyperlink" Target="http://zeroado.com" TargetMode="External"/><Relationship Id="rId225" Type="http://schemas.openxmlformats.org/officeDocument/2006/relationships/hyperlink" Target="http://presenc.ai" TargetMode="External"/><Relationship Id="rId467" Type="http://schemas.openxmlformats.org/officeDocument/2006/relationships/hyperlink" Target="http://xcelacore.com" TargetMode="External"/><Relationship Id="rId229" Type="http://schemas.openxmlformats.org/officeDocument/2006/relationships/hyperlink" Target="http://digitalsilk.com" TargetMode="External"/><Relationship Id="rId220" Type="http://schemas.openxmlformats.org/officeDocument/2006/relationships/hyperlink" Target="http://commercepundit.com" TargetMode="External"/><Relationship Id="rId462" Type="http://schemas.openxmlformats.org/officeDocument/2006/relationships/hyperlink" Target="http://warroominc.com" TargetMode="External"/><Relationship Id="rId461" Type="http://schemas.openxmlformats.org/officeDocument/2006/relationships/hyperlink" Target="http://vaynermedia.com" TargetMode="External"/><Relationship Id="rId460" Type="http://schemas.openxmlformats.org/officeDocument/2006/relationships/hyperlink" Target="http://valasys.com" TargetMode="External"/><Relationship Id="rId224" Type="http://schemas.openxmlformats.org/officeDocument/2006/relationships/hyperlink" Target="http://itprofiles.com" TargetMode="External"/><Relationship Id="rId466" Type="http://schemas.openxmlformats.org/officeDocument/2006/relationships/hyperlink" Target="http://wolfable.com" TargetMode="External"/><Relationship Id="rId223" Type="http://schemas.openxmlformats.org/officeDocument/2006/relationships/hyperlink" Target="http://gemfind.com" TargetMode="External"/><Relationship Id="rId465" Type="http://schemas.openxmlformats.org/officeDocument/2006/relationships/hyperlink" Target="http://wk.com" TargetMode="External"/><Relationship Id="rId222" Type="http://schemas.openxmlformats.org/officeDocument/2006/relationships/hyperlink" Target="http://gaper.io" TargetMode="External"/><Relationship Id="rId464" Type="http://schemas.openxmlformats.org/officeDocument/2006/relationships/hyperlink" Target="http://winmo.com" TargetMode="External"/><Relationship Id="rId221" Type="http://schemas.openxmlformats.org/officeDocument/2006/relationships/hyperlink" Target="http://einpresswire.com" TargetMode="External"/><Relationship Id="rId463" Type="http://schemas.openxmlformats.org/officeDocument/2006/relationships/hyperlink" Target="http://welcometothejungle.com" TargetMode="External"/><Relationship Id="rId217" Type="http://schemas.openxmlformats.org/officeDocument/2006/relationships/hyperlink" Target="http://charleagency.com" TargetMode="External"/><Relationship Id="rId459" Type="http://schemas.openxmlformats.org/officeDocument/2006/relationships/hyperlink" Target="http://usanews.com" TargetMode="External"/><Relationship Id="rId216" Type="http://schemas.openxmlformats.org/officeDocument/2006/relationships/hyperlink" Target="http://icreativez.com" TargetMode="External"/><Relationship Id="rId458" Type="http://schemas.openxmlformats.org/officeDocument/2006/relationships/hyperlink" Target="http://tryxlr8.ai" TargetMode="External"/><Relationship Id="rId215" Type="http://schemas.openxmlformats.org/officeDocument/2006/relationships/hyperlink" Target="http://techradiant.co" TargetMode="External"/><Relationship Id="rId457" Type="http://schemas.openxmlformats.org/officeDocument/2006/relationships/hyperlink" Target="http://trustradius.com" TargetMode="External"/><Relationship Id="rId699" Type="http://schemas.openxmlformats.org/officeDocument/2006/relationships/hyperlink" Target="http://lasersightdigital.com" TargetMode="External"/><Relationship Id="rId214" Type="http://schemas.openxmlformats.org/officeDocument/2006/relationships/hyperlink" Target="http://ragan.com" TargetMode="External"/><Relationship Id="rId456" Type="http://schemas.openxmlformats.org/officeDocument/2006/relationships/hyperlink" Target="http://topbrandingagencies.io" TargetMode="External"/><Relationship Id="rId698" Type="http://schemas.openxmlformats.org/officeDocument/2006/relationships/hyperlink" Target="http://kovlystudio.com" TargetMode="External"/><Relationship Id="rId219" Type="http://schemas.openxmlformats.org/officeDocument/2006/relationships/hyperlink" Target="http://aikenhouse.com" TargetMode="External"/><Relationship Id="rId218" Type="http://schemas.openxmlformats.org/officeDocument/2006/relationships/hyperlink" Target="http://agencyanalytics.com" TargetMode="External"/><Relationship Id="rId451" Type="http://schemas.openxmlformats.org/officeDocument/2006/relationships/hyperlink" Target="http://statista.com" TargetMode="External"/><Relationship Id="rId693" Type="http://schemas.openxmlformats.org/officeDocument/2006/relationships/hyperlink" Target="http://kanerika.com" TargetMode="External"/><Relationship Id="rId450" Type="http://schemas.openxmlformats.org/officeDocument/2006/relationships/hyperlink" Target="http://sociallypowerful.com" TargetMode="External"/><Relationship Id="rId692" Type="http://schemas.openxmlformats.org/officeDocument/2006/relationships/hyperlink" Target="http://kailos.ai" TargetMode="External"/><Relationship Id="rId691" Type="http://schemas.openxmlformats.org/officeDocument/2006/relationships/hyperlink" Target="http://justuno.com" TargetMode="External"/><Relationship Id="rId690" Type="http://schemas.openxmlformats.org/officeDocument/2006/relationships/hyperlink" Target="http://jellyfishtechnologies.com" TargetMode="External"/><Relationship Id="rId213" Type="http://schemas.openxmlformats.org/officeDocument/2006/relationships/hyperlink" Target="http://pikaseo.com" TargetMode="External"/><Relationship Id="rId455" Type="http://schemas.openxmlformats.org/officeDocument/2006/relationships/hyperlink" Target="http://therealsocialcompany.com" TargetMode="External"/><Relationship Id="rId697" Type="http://schemas.openxmlformats.org/officeDocument/2006/relationships/hyperlink" Target="http://konstructdigital.com" TargetMode="External"/><Relationship Id="rId212" Type="http://schemas.openxmlformats.org/officeDocument/2006/relationships/hyperlink" Target="http://newform.com" TargetMode="External"/><Relationship Id="rId454" Type="http://schemas.openxmlformats.org/officeDocument/2006/relationships/hyperlink" Target="http://thehackettgroup.com" TargetMode="External"/><Relationship Id="rId696" Type="http://schemas.openxmlformats.org/officeDocument/2006/relationships/hyperlink" Target="http://kiwop.com" TargetMode="External"/><Relationship Id="rId211" Type="http://schemas.openxmlformats.org/officeDocument/2006/relationships/hyperlink" Target="http://neurons-lab.com" TargetMode="External"/><Relationship Id="rId453" Type="http://schemas.openxmlformats.org/officeDocument/2006/relationships/hyperlink" Target="http://stridec.com" TargetMode="External"/><Relationship Id="rId695" Type="http://schemas.openxmlformats.org/officeDocument/2006/relationships/hyperlink" Target="http://keywordseverywhere.com" TargetMode="External"/><Relationship Id="rId210" Type="http://schemas.openxmlformats.org/officeDocument/2006/relationships/hyperlink" Target="http://museaward.com" TargetMode="External"/><Relationship Id="rId452" Type="http://schemas.openxmlformats.org/officeDocument/2006/relationships/hyperlink" Target="http://stonehillinnovation.com" TargetMode="External"/><Relationship Id="rId694" Type="http://schemas.openxmlformats.org/officeDocument/2006/relationships/hyperlink" Target="http://keends.com" TargetMode="External"/><Relationship Id="rId491" Type="http://schemas.openxmlformats.org/officeDocument/2006/relationships/hyperlink" Target="http://aaaa.org" TargetMode="External"/><Relationship Id="rId490" Type="http://schemas.openxmlformats.org/officeDocument/2006/relationships/hyperlink" Target="http://a3online.com" TargetMode="External"/><Relationship Id="rId249" Type="http://schemas.openxmlformats.org/officeDocument/2006/relationships/hyperlink" Target="http://thegpn.org" TargetMode="External"/><Relationship Id="rId248" Type="http://schemas.openxmlformats.org/officeDocument/2006/relationships/hyperlink" Target="http://incrmntal.com" TargetMode="External"/><Relationship Id="rId247" Type="http://schemas.openxmlformats.org/officeDocument/2006/relationships/hyperlink" Target="http://wearesocial.com" TargetMode="External"/><Relationship Id="rId489" Type="http://schemas.openxmlformats.org/officeDocument/2006/relationships/hyperlink" Target="http://7span.com" TargetMode="External"/><Relationship Id="rId242" Type="http://schemas.openxmlformats.org/officeDocument/2006/relationships/hyperlink" Target="http://moosend.com" TargetMode="External"/><Relationship Id="rId484" Type="http://schemas.openxmlformats.org/officeDocument/2006/relationships/hyperlink" Target="http://spicymargarita.co" TargetMode="External"/><Relationship Id="rId241" Type="http://schemas.openxmlformats.org/officeDocument/2006/relationships/hyperlink" Target="http://growandconvert.com" TargetMode="External"/><Relationship Id="rId483" Type="http://schemas.openxmlformats.org/officeDocument/2006/relationships/hyperlink" Target="http://rsmus.com" TargetMode="External"/><Relationship Id="rId240" Type="http://schemas.openxmlformats.org/officeDocument/2006/relationships/hyperlink" Target="http://foundgrove.com" TargetMode="External"/><Relationship Id="rId482" Type="http://schemas.openxmlformats.org/officeDocument/2006/relationships/hyperlink" Target="http://movingminds.io" TargetMode="External"/><Relationship Id="rId481" Type="http://schemas.openxmlformats.org/officeDocument/2006/relationships/hyperlink" Target="http://merkle.com" TargetMode="External"/><Relationship Id="rId246" Type="http://schemas.openxmlformats.org/officeDocument/2006/relationships/hyperlink" Target="http://usermaven.com" TargetMode="External"/><Relationship Id="rId488" Type="http://schemas.openxmlformats.org/officeDocument/2006/relationships/hyperlink" Target="http://72andsunny.com" TargetMode="External"/><Relationship Id="rId245" Type="http://schemas.openxmlformats.org/officeDocument/2006/relationships/hyperlink" Target="http://reuters.com" TargetMode="External"/><Relationship Id="rId487" Type="http://schemas.openxmlformats.org/officeDocument/2006/relationships/hyperlink" Target="http://617collective.com" TargetMode="External"/><Relationship Id="rId244" Type="http://schemas.openxmlformats.org/officeDocument/2006/relationships/hyperlink" Target="http://quora.com" TargetMode="External"/><Relationship Id="rId486" Type="http://schemas.openxmlformats.org/officeDocument/2006/relationships/hyperlink" Target="http://12amagency.com" TargetMode="External"/><Relationship Id="rId243" Type="http://schemas.openxmlformats.org/officeDocument/2006/relationships/hyperlink" Target="http://procloser.ai" TargetMode="External"/><Relationship Id="rId485" Type="http://schemas.openxmlformats.org/officeDocument/2006/relationships/hyperlink" Target="http://venturemedia.io" TargetMode="External"/><Relationship Id="rId480" Type="http://schemas.openxmlformats.org/officeDocument/2006/relationships/hyperlink" Target="http://evarigisconsulting.com" TargetMode="External"/><Relationship Id="rId239" Type="http://schemas.openxmlformats.org/officeDocument/2006/relationships/hyperlink" Target="http://forbes.com" TargetMode="External"/><Relationship Id="rId238" Type="http://schemas.openxmlformats.org/officeDocument/2006/relationships/hyperlink" Target="http://eseospace.com" TargetMode="External"/><Relationship Id="rId237" Type="http://schemas.openxmlformats.org/officeDocument/2006/relationships/hyperlink" Target="http://emarketer.com" TargetMode="External"/><Relationship Id="rId479" Type="http://schemas.openxmlformats.org/officeDocument/2006/relationships/hyperlink" Target="http://digitalapplied.com" TargetMode="External"/><Relationship Id="rId236" Type="http://schemas.openxmlformats.org/officeDocument/2006/relationships/hyperlink" Target="http://deloitte.com" TargetMode="External"/><Relationship Id="rId478" Type="http://schemas.openxmlformats.org/officeDocument/2006/relationships/hyperlink" Target="http://createscale.com" TargetMode="External"/><Relationship Id="rId231" Type="http://schemas.openxmlformats.org/officeDocument/2006/relationships/hyperlink" Target="http://aeo-collective.com" TargetMode="External"/><Relationship Id="rId473" Type="http://schemas.openxmlformats.org/officeDocument/2006/relationships/hyperlink" Target="http://indiehackers.com" TargetMode="External"/><Relationship Id="rId230" Type="http://schemas.openxmlformats.org/officeDocument/2006/relationships/hyperlink" Target="http://phable.io" TargetMode="External"/><Relationship Id="rId472" Type="http://schemas.openxmlformats.org/officeDocument/2006/relationships/hyperlink" Target="http://greenbananaseo.com" TargetMode="External"/><Relationship Id="rId471" Type="http://schemas.openxmlformats.org/officeDocument/2006/relationships/hyperlink" Target="http://hunterdigitalmarketing.com" TargetMode="External"/><Relationship Id="rId470" Type="http://schemas.openxmlformats.org/officeDocument/2006/relationships/hyperlink" Target="http://aisuperior.com" TargetMode="External"/><Relationship Id="rId235" Type="http://schemas.openxmlformats.org/officeDocument/2006/relationships/hyperlink" Target="http://circana.com" TargetMode="External"/><Relationship Id="rId477" Type="http://schemas.openxmlformats.org/officeDocument/2006/relationships/hyperlink" Target="http://braumillerconsulting.com" TargetMode="External"/><Relationship Id="rId234" Type="http://schemas.openxmlformats.org/officeDocument/2006/relationships/hyperlink" Target="http://arcintermedia.com" TargetMode="External"/><Relationship Id="rId476" Type="http://schemas.openxmlformats.org/officeDocument/2006/relationships/hyperlink" Target="http://aiag.org" TargetMode="External"/><Relationship Id="rId233" Type="http://schemas.openxmlformats.org/officeDocument/2006/relationships/hyperlink" Target="http://amos-os.com" TargetMode="External"/><Relationship Id="rId475" Type="http://schemas.openxmlformats.org/officeDocument/2006/relationships/hyperlink" Target="http://smartsites.com" TargetMode="External"/><Relationship Id="rId232" Type="http://schemas.openxmlformats.org/officeDocument/2006/relationships/hyperlink" Target="http://airconsulting.ai" TargetMode="External"/><Relationship Id="rId474" Type="http://schemas.openxmlformats.org/officeDocument/2006/relationships/hyperlink" Target="http://mediavision2020.com" TargetMode="External"/><Relationship Id="rId426" Type="http://schemas.openxmlformats.org/officeDocument/2006/relationships/hyperlink" Target="http://neuralcapital.ai" TargetMode="External"/><Relationship Id="rId668" Type="http://schemas.openxmlformats.org/officeDocument/2006/relationships/hyperlink" Target="http://houseofmvps.com" TargetMode="External"/><Relationship Id="rId425" Type="http://schemas.openxmlformats.org/officeDocument/2006/relationships/hyperlink" Target="http://netpeak.us" TargetMode="External"/><Relationship Id="rId667" Type="http://schemas.openxmlformats.org/officeDocument/2006/relationships/hyperlink" Target="http://hotsourcecreative.com" TargetMode="External"/><Relationship Id="rId424" Type="http://schemas.openxmlformats.org/officeDocument/2006/relationships/hyperlink" Target="http://nectivdigital.com" TargetMode="External"/><Relationship Id="rId666" Type="http://schemas.openxmlformats.org/officeDocument/2006/relationships/hyperlink" Target="http://hellobigidea.com" TargetMode="External"/><Relationship Id="rId423" Type="http://schemas.openxmlformats.org/officeDocument/2006/relationships/hyperlink" Target="http://mmaglobal.com" TargetMode="External"/><Relationship Id="rId665" Type="http://schemas.openxmlformats.org/officeDocument/2006/relationships/hyperlink" Target="http://havstrategy.com" TargetMode="External"/><Relationship Id="rId429" Type="http://schemas.openxmlformats.org/officeDocument/2006/relationships/hyperlink" Target="http://nga.mil" TargetMode="External"/><Relationship Id="rId428" Type="http://schemas.openxmlformats.org/officeDocument/2006/relationships/hyperlink" Target="http://nexusexpertresearch.co" TargetMode="External"/><Relationship Id="rId427" Type="http://schemas.openxmlformats.org/officeDocument/2006/relationships/hyperlink" Target="http://newengen.com" TargetMode="External"/><Relationship Id="rId669" Type="http://schemas.openxmlformats.org/officeDocument/2006/relationships/hyperlink" Target="http://housesofgrowth.com" TargetMode="External"/><Relationship Id="rId660" Type="http://schemas.openxmlformats.org/officeDocument/2006/relationships/hyperlink" Target="http://growthsprints.co" TargetMode="External"/><Relationship Id="rId422" Type="http://schemas.openxmlformats.org/officeDocument/2006/relationships/hyperlink" Target="http://mikekhorev.com" TargetMode="External"/><Relationship Id="rId664" Type="http://schemas.openxmlformats.org/officeDocument/2006/relationships/hyperlink" Target="http://harleyoliver.com" TargetMode="External"/><Relationship Id="rId421" Type="http://schemas.openxmlformats.org/officeDocument/2006/relationships/hyperlink" Target="http://medium.com" TargetMode="External"/><Relationship Id="rId663" Type="http://schemas.openxmlformats.org/officeDocument/2006/relationships/hyperlink" Target="http://hamstergarage.com" TargetMode="External"/><Relationship Id="rId420" Type="http://schemas.openxmlformats.org/officeDocument/2006/relationships/hyperlink" Target="http://medianug.com" TargetMode="External"/><Relationship Id="rId662" Type="http://schemas.openxmlformats.org/officeDocument/2006/relationships/hyperlink" Target="http://gumgum.com" TargetMode="External"/><Relationship Id="rId661" Type="http://schemas.openxmlformats.org/officeDocument/2006/relationships/hyperlink" Target="http://gsdcouncil.org" TargetMode="External"/><Relationship Id="rId415" Type="http://schemas.openxmlformats.org/officeDocument/2006/relationships/hyperlink" Target="http://intuz.com" TargetMode="External"/><Relationship Id="rId657" Type="http://schemas.openxmlformats.org/officeDocument/2006/relationships/hyperlink" Target="http://growthmarketingconsultancy.com" TargetMode="External"/><Relationship Id="rId899" Type="http://schemas.openxmlformats.org/officeDocument/2006/relationships/hyperlink" Target="http://zryly.net" TargetMode="External"/><Relationship Id="rId414" Type="http://schemas.openxmlformats.org/officeDocument/2006/relationships/hyperlink" Target="http://ingestlabs.com" TargetMode="External"/><Relationship Id="rId656" Type="http://schemas.openxmlformats.org/officeDocument/2006/relationships/hyperlink" Target="http://growth.cx" TargetMode="External"/><Relationship Id="rId898" Type="http://schemas.openxmlformats.org/officeDocument/2006/relationships/hyperlink" Target="http://zoominfo.com" TargetMode="External"/><Relationship Id="rId413" Type="http://schemas.openxmlformats.org/officeDocument/2006/relationships/hyperlink" Target="http://iab.com" TargetMode="External"/><Relationship Id="rId655" Type="http://schemas.openxmlformats.org/officeDocument/2006/relationships/hyperlink" Target="http://growth-rocket.com" TargetMode="External"/><Relationship Id="rId897" Type="http://schemas.openxmlformats.org/officeDocument/2006/relationships/hyperlink" Target="http://zetaglobal.com" TargetMode="External"/><Relationship Id="rId412" Type="http://schemas.openxmlformats.org/officeDocument/2006/relationships/hyperlink" Target="http://hivergentai.com" TargetMode="External"/><Relationship Id="rId654" Type="http://schemas.openxmlformats.org/officeDocument/2006/relationships/hyperlink" Target="http://growtal.com" TargetMode="External"/><Relationship Id="rId896" Type="http://schemas.openxmlformats.org/officeDocument/2006/relationships/hyperlink" Target="http://zapshere.com" TargetMode="External"/><Relationship Id="rId419" Type="http://schemas.openxmlformats.org/officeDocument/2006/relationships/hyperlink" Target="http://martechoutlook.com" TargetMode="External"/><Relationship Id="rId418" Type="http://schemas.openxmlformats.org/officeDocument/2006/relationships/hyperlink" Target="http://marketersmedia.com" TargetMode="External"/><Relationship Id="rId417" Type="http://schemas.openxmlformats.org/officeDocument/2006/relationships/hyperlink" Target="http://m8l.com" TargetMode="External"/><Relationship Id="rId659" Type="http://schemas.openxmlformats.org/officeDocument/2006/relationships/hyperlink" Target="http://growthrocks.com" TargetMode="External"/><Relationship Id="rId416" Type="http://schemas.openxmlformats.org/officeDocument/2006/relationships/hyperlink" Target="http://ishir.com" TargetMode="External"/><Relationship Id="rId658" Type="http://schemas.openxmlformats.org/officeDocument/2006/relationships/hyperlink" Target="http://growthmethod.com" TargetMode="External"/><Relationship Id="rId891" Type="http://schemas.openxmlformats.org/officeDocument/2006/relationships/hyperlink" Target="http://within.co" TargetMode="External"/><Relationship Id="rId890" Type="http://schemas.openxmlformats.org/officeDocument/2006/relationships/hyperlink" Target="http://withagency.ai" TargetMode="External"/><Relationship Id="rId411" Type="http://schemas.openxmlformats.org/officeDocument/2006/relationships/hyperlink" Target="http://hikemytraffic.com" TargetMode="External"/><Relationship Id="rId653" Type="http://schemas.openxmlformats.org/officeDocument/2006/relationships/hyperlink" Target="http://groas.com" TargetMode="External"/><Relationship Id="rId895" Type="http://schemas.openxmlformats.org/officeDocument/2006/relationships/hyperlink" Target="http://yourcontentmart.co" TargetMode="External"/><Relationship Id="rId410" Type="http://schemas.openxmlformats.org/officeDocument/2006/relationships/hyperlink" Target="http://helloroketto.com" TargetMode="External"/><Relationship Id="rId652" Type="http://schemas.openxmlformats.org/officeDocument/2006/relationships/hyperlink" Target="http://greenbook.org" TargetMode="External"/><Relationship Id="rId894" Type="http://schemas.openxmlformats.org/officeDocument/2006/relationships/hyperlink" Target="http://wpromote.com" TargetMode="External"/><Relationship Id="rId651" Type="http://schemas.openxmlformats.org/officeDocument/2006/relationships/hyperlink" Target="http://grazitti.com" TargetMode="External"/><Relationship Id="rId893" Type="http://schemas.openxmlformats.org/officeDocument/2006/relationships/hyperlink" Target="http://worldcomgroup.com" TargetMode="External"/><Relationship Id="rId650" Type="http://schemas.openxmlformats.org/officeDocument/2006/relationships/hyperlink" Target="http://goupward.com" TargetMode="External"/><Relationship Id="rId892" Type="http://schemas.openxmlformats.org/officeDocument/2006/relationships/hyperlink" Target="http://wordable.io" TargetMode="External"/><Relationship Id="rId206" Type="http://schemas.openxmlformats.org/officeDocument/2006/relationships/hyperlink" Target="http://awisee.com" TargetMode="External"/><Relationship Id="rId448" Type="http://schemas.openxmlformats.org/officeDocument/2006/relationships/hyperlink" Target="http://silverspoonagency.com" TargetMode="External"/><Relationship Id="rId205" Type="http://schemas.openxmlformats.org/officeDocument/2006/relationships/hyperlink" Target="http://avidtrak.com" TargetMode="External"/><Relationship Id="rId447" Type="http://schemas.openxmlformats.org/officeDocument/2006/relationships/hyperlink" Target="http://signaldepth.com" TargetMode="External"/><Relationship Id="rId689" Type="http://schemas.openxmlformats.org/officeDocument/2006/relationships/hyperlink" Target="http://j29creative.com" TargetMode="External"/><Relationship Id="rId204" Type="http://schemas.openxmlformats.org/officeDocument/2006/relationships/hyperlink" Target="http://architecturaldigest.com" TargetMode="External"/><Relationship Id="rId446" Type="http://schemas.openxmlformats.org/officeDocument/2006/relationships/hyperlink" Target="http://shuttergen.com" TargetMode="External"/><Relationship Id="rId688" Type="http://schemas.openxmlformats.org/officeDocument/2006/relationships/hyperlink" Target="http://itsoftexpert.com" TargetMode="External"/><Relationship Id="rId203" Type="http://schemas.openxmlformats.org/officeDocument/2006/relationships/hyperlink" Target="http://tripledart.com" TargetMode="External"/><Relationship Id="rId445" Type="http://schemas.openxmlformats.org/officeDocument/2006/relationships/hyperlink" Target="http://shopiator.com" TargetMode="External"/><Relationship Id="rId687" Type="http://schemas.openxmlformats.org/officeDocument/2006/relationships/hyperlink" Target="http://ipsos.com" TargetMode="External"/><Relationship Id="rId209" Type="http://schemas.openxmlformats.org/officeDocument/2006/relationships/hyperlink" Target="http://modernmarketingpartners.com" TargetMode="External"/><Relationship Id="rId208" Type="http://schemas.openxmlformats.org/officeDocument/2006/relationships/hyperlink" Target="http://intlda.com" TargetMode="External"/><Relationship Id="rId207" Type="http://schemas.openxmlformats.org/officeDocument/2006/relationships/hyperlink" Target="http://grizzle.io" TargetMode="External"/><Relationship Id="rId449" Type="http://schemas.openxmlformats.org/officeDocument/2006/relationships/hyperlink" Target="http://slashdot.org" TargetMode="External"/><Relationship Id="rId440" Type="http://schemas.openxmlformats.org/officeDocument/2006/relationships/hyperlink" Target="http://saas-hackers.com" TargetMode="External"/><Relationship Id="rId682" Type="http://schemas.openxmlformats.org/officeDocument/2006/relationships/hyperlink" Target="http://innovationegg.com" TargetMode="External"/><Relationship Id="rId681" Type="http://schemas.openxmlformats.org/officeDocument/2006/relationships/hyperlink" Target="http://indiatimes.com" TargetMode="External"/><Relationship Id="rId680" Type="http://schemas.openxmlformats.org/officeDocument/2006/relationships/hyperlink" Target="http://indiantelevision.com" TargetMode="External"/><Relationship Id="rId202" Type="http://schemas.openxmlformats.org/officeDocument/2006/relationships/hyperlink" Target="http://respona.com" TargetMode="External"/><Relationship Id="rId444" Type="http://schemas.openxmlformats.org/officeDocument/2006/relationships/hyperlink" Target="http://shiftelevates.com" TargetMode="External"/><Relationship Id="rId686" Type="http://schemas.openxmlformats.org/officeDocument/2006/relationships/hyperlink" Target="http://invademarketing.com" TargetMode="External"/><Relationship Id="rId201" Type="http://schemas.openxmlformats.org/officeDocument/2006/relationships/hyperlink" Target="http://avenuez.com" TargetMode="External"/><Relationship Id="rId443" Type="http://schemas.openxmlformats.org/officeDocument/2006/relationships/hyperlink" Target="http://seostrategylab.com" TargetMode="External"/><Relationship Id="rId685" Type="http://schemas.openxmlformats.org/officeDocument/2006/relationships/hyperlink" Target="http://interodigital.com" TargetMode="External"/><Relationship Id="rId200" Type="http://schemas.openxmlformats.org/officeDocument/2006/relationships/hyperlink" Target="http://indatalabs.com" TargetMode="External"/><Relationship Id="rId442" Type="http://schemas.openxmlformats.org/officeDocument/2006/relationships/hyperlink" Target="http://seodiscovery.com" TargetMode="External"/><Relationship Id="rId684" Type="http://schemas.openxmlformats.org/officeDocument/2006/relationships/hyperlink" Target="http://intellibright.com" TargetMode="External"/><Relationship Id="rId441" Type="http://schemas.openxmlformats.org/officeDocument/2006/relationships/hyperlink" Target="http://selectedfirms.co" TargetMode="External"/><Relationship Id="rId683" Type="http://schemas.openxmlformats.org/officeDocument/2006/relationships/hyperlink" Target="http://instagram.com" TargetMode="External"/><Relationship Id="rId437" Type="http://schemas.openxmlformats.org/officeDocument/2006/relationships/hyperlink" Target="http://rocketium.ai" TargetMode="External"/><Relationship Id="rId679" Type="http://schemas.openxmlformats.org/officeDocument/2006/relationships/hyperlink" Target="http://indeed.com" TargetMode="External"/><Relationship Id="rId436" Type="http://schemas.openxmlformats.org/officeDocument/2006/relationships/hyperlink" Target="http://rhblake.com" TargetMode="External"/><Relationship Id="rId678" Type="http://schemas.openxmlformats.org/officeDocument/2006/relationships/hyperlink" Target="http://incrmntal.net" TargetMode="External"/><Relationship Id="rId435" Type="http://schemas.openxmlformats.org/officeDocument/2006/relationships/hyperlink" Target="http://revsure.ai" TargetMode="External"/><Relationship Id="rId677" Type="http://schemas.openxmlformats.org/officeDocument/2006/relationships/hyperlink" Target="http://impressiondigital.com" TargetMode="External"/><Relationship Id="rId434" Type="http://schemas.openxmlformats.org/officeDocument/2006/relationships/hyperlink" Target="http://rebootonline.com" TargetMode="External"/><Relationship Id="rId676" Type="http://schemas.openxmlformats.org/officeDocument/2006/relationships/hyperlink" Target="http://impact.com" TargetMode="External"/><Relationship Id="rId439" Type="http://schemas.openxmlformats.org/officeDocument/2006/relationships/hyperlink" Target="http://rssing.com" TargetMode="External"/><Relationship Id="rId438" Type="http://schemas.openxmlformats.org/officeDocument/2006/relationships/hyperlink" Target="http://rocktherankings.com" TargetMode="External"/><Relationship Id="rId671" Type="http://schemas.openxmlformats.org/officeDocument/2006/relationships/hyperlink" Target="http://humanr.ai" TargetMode="External"/><Relationship Id="rId670" Type="http://schemas.openxmlformats.org/officeDocument/2006/relationships/hyperlink" Target="http://hubspot.com" TargetMode="External"/><Relationship Id="rId433" Type="http://schemas.openxmlformats.org/officeDocument/2006/relationships/hyperlink" Target="http://ranktracker.com" TargetMode="External"/><Relationship Id="rId675" Type="http://schemas.openxmlformats.org/officeDocument/2006/relationships/hyperlink" Target="http://iconagility.com" TargetMode="External"/><Relationship Id="rId432" Type="http://schemas.openxmlformats.org/officeDocument/2006/relationships/hyperlink" Target="http://prometheusagency.co" TargetMode="External"/><Relationship Id="rId674" Type="http://schemas.openxmlformats.org/officeDocument/2006/relationships/hyperlink" Target="http://ibm.com" TargetMode="External"/><Relationship Id="rId431" Type="http://schemas.openxmlformats.org/officeDocument/2006/relationships/hyperlink" Target="http://powerdigitalmarketing.com" TargetMode="External"/><Relationship Id="rId673" Type="http://schemas.openxmlformats.org/officeDocument/2006/relationships/hyperlink" Target="http://iacaward.org" TargetMode="External"/><Relationship Id="rId430" Type="http://schemas.openxmlformats.org/officeDocument/2006/relationships/hyperlink" Target="http://ogilvy.com" TargetMode="External"/><Relationship Id="rId672" Type="http://schemas.openxmlformats.org/officeDocument/2006/relationships/hyperlink" Target="http://humanshiftready.com"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calixai.com" TargetMode="External"/><Relationship Id="rId391" Type="http://schemas.openxmlformats.org/officeDocument/2006/relationships/hyperlink" Target="https://scalixai.com/blog/top-google-ad-agencies-in-us" TargetMode="External"/><Relationship Id="rId390" Type="http://schemas.openxmlformats.org/officeDocument/2006/relationships/hyperlink" Target="https://sage.agency/blog/best-google-ads-agency-partners-for-2026/" TargetMode="External"/><Relationship Id="rId2180" Type="http://schemas.openxmlformats.org/officeDocument/2006/relationships/hyperlink" Target="http://cometly.com" TargetMode="External"/><Relationship Id="rId2181" Type="http://schemas.openxmlformats.org/officeDocument/2006/relationships/hyperlink" Target="https://compare.growthmarshal.io/best-ai-search-optimization-agencies-2026/" TargetMode="External"/><Relationship Id="rId2182" Type="http://schemas.openxmlformats.org/officeDocument/2006/relationships/hyperlink" Target="http://growthmarshal.io" TargetMode="External"/><Relationship Id="rId2183" Type="http://schemas.openxmlformats.org/officeDocument/2006/relationships/hyperlink" Target="https://contensifyhq.com/blog/best-geo-agencies-for-b2b-saas/" TargetMode="External"/><Relationship Id="rId385" Type="http://schemas.openxmlformats.org/officeDocument/2006/relationships/hyperlink" Target="http://measured.com" TargetMode="External"/><Relationship Id="rId2184" Type="http://schemas.openxmlformats.org/officeDocument/2006/relationships/hyperlink" Target="http://contensifyhq.com" TargetMode="External"/><Relationship Id="rId384" Type="http://schemas.openxmlformats.org/officeDocument/2006/relationships/hyperlink" Target="https://www.measured.com/" TargetMode="External"/><Relationship Id="rId2185" Type="http://schemas.openxmlformats.org/officeDocument/2006/relationships/hyperlink" Target="https://contently.com/2025/07/17/top-10-agencies-leading-answer-engine-optimization-aeo-in-2025/" TargetMode="External"/><Relationship Id="rId383" Type="http://schemas.openxmlformats.org/officeDocument/2006/relationships/hyperlink" Target="http://maxiomtech.com" TargetMode="External"/><Relationship Id="rId2186" Type="http://schemas.openxmlformats.org/officeDocument/2006/relationships/hyperlink" Target="http://contently.com" TargetMode="External"/><Relationship Id="rId382" Type="http://schemas.openxmlformats.org/officeDocument/2006/relationships/hyperlink" Target="https://www.maxiomtech.com/top-10-ai-marketing-automation-agencies/" TargetMode="External"/><Relationship Id="rId2187" Type="http://schemas.openxmlformats.org/officeDocument/2006/relationships/hyperlink" Target="https://coolnerdsmarketing.com/best-integrated-marketing-agencies/" TargetMode="External"/><Relationship Id="rId389" Type="http://schemas.openxmlformats.org/officeDocument/2006/relationships/hyperlink" Target="http://revvgrowth.com" TargetMode="External"/><Relationship Id="rId2188" Type="http://schemas.openxmlformats.org/officeDocument/2006/relationships/hyperlink" Target="http://coolnerdsmarketing.com" TargetMode="External"/><Relationship Id="rId388" Type="http://schemas.openxmlformats.org/officeDocument/2006/relationships/hyperlink" Target="https://www.revvgrowth.com/geo/geo-agency-usa" TargetMode="External"/><Relationship Id="rId2189" Type="http://schemas.openxmlformats.org/officeDocument/2006/relationships/hyperlink" Target="https://coolnerdsmarketing.com/marketing-agencies-usa/" TargetMode="External"/><Relationship Id="rId387" Type="http://schemas.openxmlformats.org/officeDocument/2006/relationships/hyperlink" Target="http://nationalmarketingawards.com" TargetMode="External"/><Relationship Id="rId386" Type="http://schemas.openxmlformats.org/officeDocument/2006/relationships/hyperlink" Target="https://nationalmarketingawards.com/awards/categories/ppc/" TargetMode="External"/><Relationship Id="rId381" Type="http://schemas.openxmlformats.org/officeDocument/2006/relationships/hyperlink" Target="http://influencermarketinghub.com" TargetMode="External"/><Relationship Id="rId380" Type="http://schemas.openxmlformats.org/officeDocument/2006/relationships/hyperlink" Target="https://influencermarketinghub.com/marketing-analytics-agency/" TargetMode="External"/><Relationship Id="rId379" Type="http://schemas.openxmlformats.org/officeDocument/2006/relationships/hyperlink" Target="http://influencermarketinghub.com" TargetMode="External"/><Relationship Id="rId2170" Type="http://schemas.openxmlformats.org/officeDocument/2006/relationships/hyperlink" Target="http://cometly.com" TargetMode="External"/><Relationship Id="rId2171" Type="http://schemas.openxmlformats.org/officeDocument/2006/relationships/hyperlink" Target="https://www.cometly.com/post/cross-channel-campaign-measurement-solutions" TargetMode="External"/><Relationship Id="rId2172" Type="http://schemas.openxmlformats.org/officeDocument/2006/relationships/hyperlink" Target="http://cometly.com" TargetMode="External"/><Relationship Id="rId374" Type="http://schemas.openxmlformats.org/officeDocument/2006/relationships/hyperlink" Target="https://inflectionpointe.com/" TargetMode="External"/><Relationship Id="rId2173" Type="http://schemas.openxmlformats.org/officeDocument/2006/relationships/hyperlink" Target="https://www.cometly.com/post/marketing-analytics-platforms-review" TargetMode="External"/><Relationship Id="rId373" Type="http://schemas.openxmlformats.org/officeDocument/2006/relationships/hyperlink" Target="http://inbeat.co" TargetMode="External"/><Relationship Id="rId2174" Type="http://schemas.openxmlformats.org/officeDocument/2006/relationships/hyperlink" Target="http://cometly.com" TargetMode="External"/><Relationship Id="rId372" Type="http://schemas.openxmlformats.org/officeDocument/2006/relationships/hyperlink" Target="https://www.inbeat.co/articles/paid-media-agencies/" TargetMode="External"/><Relationship Id="rId2175" Type="http://schemas.openxmlformats.org/officeDocument/2006/relationships/hyperlink" Target="https://www.cometly.com/post/marketing-attribution-tools-comparison" TargetMode="External"/><Relationship Id="rId371" Type="http://schemas.openxmlformats.org/officeDocument/2006/relationships/hyperlink" Target="http://growth-hackers.net" TargetMode="External"/><Relationship Id="rId2176" Type="http://schemas.openxmlformats.org/officeDocument/2006/relationships/hyperlink" Target="http://cometly.com" TargetMode="External"/><Relationship Id="rId378" Type="http://schemas.openxmlformats.org/officeDocument/2006/relationships/hyperlink" Target="https://influencermarketinghub.com/google-ads-agencies/" TargetMode="External"/><Relationship Id="rId2177" Type="http://schemas.openxmlformats.org/officeDocument/2006/relationships/hyperlink" Target="https://www.cometly.com/post/marketing-performance-analytics-tools" TargetMode="External"/><Relationship Id="rId377" Type="http://schemas.openxmlformats.org/officeDocument/2006/relationships/hyperlink" Target="http://influencermarketinghub.com" TargetMode="External"/><Relationship Id="rId2178" Type="http://schemas.openxmlformats.org/officeDocument/2006/relationships/hyperlink" Target="http://cometly.com" TargetMode="External"/><Relationship Id="rId376" Type="http://schemas.openxmlformats.org/officeDocument/2006/relationships/hyperlink" Target="https://influencermarketinghub.com/ai-marketing-agencies/" TargetMode="External"/><Relationship Id="rId2179" Type="http://schemas.openxmlformats.org/officeDocument/2006/relationships/hyperlink" Target="https://www.cometly.com/post/paid-advertising-analytics-tools" TargetMode="External"/><Relationship Id="rId375" Type="http://schemas.openxmlformats.org/officeDocument/2006/relationships/hyperlink" Target="http://inflectionpointe.com" TargetMode="External"/><Relationship Id="rId2190" Type="http://schemas.openxmlformats.org/officeDocument/2006/relationships/hyperlink" Target="http://coolnerdsmarketing.com" TargetMode="External"/><Relationship Id="rId2191" Type="http://schemas.openxmlformats.org/officeDocument/2006/relationships/hyperlink" Target="https://coolnerdsmarketing.com/top-omnichannel-marketing-agencies/" TargetMode="External"/><Relationship Id="rId2192" Type="http://schemas.openxmlformats.org/officeDocument/2006/relationships/hyperlink" Target="http://coolnerdsmarketing.com" TargetMode="External"/><Relationship Id="rId2193" Type="http://schemas.openxmlformats.org/officeDocument/2006/relationships/hyperlink" Target="https://www.coseom.com/best-b2b-marketing-agencies-for-saas-fintech-and-cybersecurity/" TargetMode="External"/><Relationship Id="rId2194" Type="http://schemas.openxmlformats.org/officeDocument/2006/relationships/hyperlink" Target="http://coseom.com" TargetMode="External"/><Relationship Id="rId396" Type="http://schemas.openxmlformats.org/officeDocument/2006/relationships/hyperlink" Target="http://seoprofy.com" TargetMode="External"/><Relationship Id="rId2195" Type="http://schemas.openxmlformats.org/officeDocument/2006/relationships/hyperlink" Target="https://craftandroot.com/blog/saas-tech-branding-agencies/" TargetMode="External"/><Relationship Id="rId395" Type="http://schemas.openxmlformats.org/officeDocument/2006/relationships/hyperlink" Target="https://seoprofy.com/blog/best-ai-seo-agencies/" TargetMode="External"/><Relationship Id="rId2196" Type="http://schemas.openxmlformats.org/officeDocument/2006/relationships/hyperlink" Target="http://craftandroot.com" TargetMode="External"/><Relationship Id="rId394" Type="http://schemas.openxmlformats.org/officeDocument/2006/relationships/hyperlink" Target="http://sellforte.com" TargetMode="External"/><Relationship Id="rId2197" Type="http://schemas.openxmlformats.org/officeDocument/2006/relationships/hyperlink" Target="https://craftandroot.com/blog/web-marketing-agencies/" TargetMode="External"/><Relationship Id="rId393" Type="http://schemas.openxmlformats.org/officeDocument/2006/relationships/hyperlink" Target="https://sellforte.com/" TargetMode="External"/><Relationship Id="rId2198" Type="http://schemas.openxmlformats.org/officeDocument/2006/relationships/hyperlink" Target="http://craftandroot.com" TargetMode="External"/><Relationship Id="rId2199" Type="http://schemas.openxmlformats.org/officeDocument/2006/relationships/hyperlink" Target="https://createscale.co/" TargetMode="External"/><Relationship Id="rId399" Type="http://schemas.openxmlformats.org/officeDocument/2006/relationships/hyperlink" Target="https://thebrandsbureau.com/top-creative-agencies-2026/" TargetMode="External"/><Relationship Id="rId398" Type="http://schemas.openxmlformats.org/officeDocument/2006/relationships/hyperlink" Target="http://techbehemoths.com" TargetMode="External"/><Relationship Id="rId397" Type="http://schemas.openxmlformats.org/officeDocument/2006/relationships/hyperlink" Target="https://techbehemoths.com/companies/google-marketing-platform/united-states" TargetMode="External"/><Relationship Id="rId1730" Type="http://schemas.openxmlformats.org/officeDocument/2006/relationships/hyperlink" Target="https://zipdo.co/service/marketing-attribution/" TargetMode="External"/><Relationship Id="rId1731" Type="http://schemas.openxmlformats.org/officeDocument/2006/relationships/hyperlink" Target="http://zipdo.co" TargetMode="External"/><Relationship Id="rId1732" Type="http://schemas.openxmlformats.org/officeDocument/2006/relationships/hyperlink" Target="https://www.zymr.com/blog/how-to-choose-the-right-ai-consulting-company-in-the-usa" TargetMode="External"/><Relationship Id="rId1733" Type="http://schemas.openxmlformats.org/officeDocument/2006/relationships/hyperlink" Target="http://zymr.com" TargetMode="External"/><Relationship Id="rId1734" Type="http://schemas.openxmlformats.org/officeDocument/2006/relationships/hyperlink" Target="https://12amagency.com/blog/digital-marketing-agency-for-small-business-comparison/" TargetMode="External"/><Relationship Id="rId1735" Type="http://schemas.openxmlformats.org/officeDocument/2006/relationships/hyperlink" Target="http://12amagency.com" TargetMode="External"/><Relationship Id="rId1736" Type="http://schemas.openxmlformats.org/officeDocument/2006/relationships/hyperlink" Target="https://www.20northmarketing.com/blog/best-marketing-agencies-atlanta" TargetMode="External"/><Relationship Id="rId1737" Type="http://schemas.openxmlformats.org/officeDocument/2006/relationships/hyperlink" Target="http://20northmarketing.com" TargetMode="External"/><Relationship Id="rId1738" Type="http://schemas.openxmlformats.org/officeDocument/2006/relationships/hyperlink" Target="https://www.50pros.com/hire/conversion-rate-optimization/ab-and-multivariate-testing" TargetMode="External"/><Relationship Id="rId1739" Type="http://schemas.openxmlformats.org/officeDocument/2006/relationships/hyperlink" Target="http://50pros.com" TargetMode="External"/><Relationship Id="rId1720" Type="http://schemas.openxmlformats.org/officeDocument/2006/relationships/hyperlink" Target="https://xchange.avixa.org/posts/top-10-digital-marketing-companies-in-the-usa-for-2026" TargetMode="External"/><Relationship Id="rId1721" Type="http://schemas.openxmlformats.org/officeDocument/2006/relationships/hyperlink" Target="http://avixa.org" TargetMode="External"/><Relationship Id="rId1722" Type="http://schemas.openxmlformats.org/officeDocument/2006/relationships/hyperlink" Target="https://www.youtube.com/watch?v=OR58Odpst7Q" TargetMode="External"/><Relationship Id="rId1723" Type="http://schemas.openxmlformats.org/officeDocument/2006/relationships/hyperlink" Target="http://youtube.com" TargetMode="External"/><Relationship Id="rId1724" Type="http://schemas.openxmlformats.org/officeDocument/2006/relationships/hyperlink" Target="https://www.youtube.com/watch?v=dtlZTULGX4A" TargetMode="External"/><Relationship Id="rId1725" Type="http://schemas.openxmlformats.org/officeDocument/2006/relationships/hyperlink" Target="http://youtube.com" TargetMode="External"/><Relationship Id="rId1726" Type="http://schemas.openxmlformats.org/officeDocument/2006/relationships/hyperlink" Target="https://zipdo.co/service/advertising-and-marketing/" TargetMode="External"/><Relationship Id="rId1727" Type="http://schemas.openxmlformats.org/officeDocument/2006/relationships/hyperlink" Target="http://zipdo.co" TargetMode="External"/><Relationship Id="rId1728" Type="http://schemas.openxmlformats.org/officeDocument/2006/relationships/hyperlink" Target="https://zipdo.co/service/agency-digital-marketing/" TargetMode="External"/><Relationship Id="rId1729" Type="http://schemas.openxmlformats.org/officeDocument/2006/relationships/hyperlink" Target="http://zipdo.co" TargetMode="External"/><Relationship Id="rId1752" Type="http://schemas.openxmlformats.org/officeDocument/2006/relationships/hyperlink" Target="https://www.abbacustechnologies.com/top-ai-development-companies-in-dubai/" TargetMode="External"/><Relationship Id="rId1753" Type="http://schemas.openxmlformats.org/officeDocument/2006/relationships/hyperlink" Target="http://abbacustechnologies.com" TargetMode="External"/><Relationship Id="rId1754" Type="http://schemas.openxmlformats.org/officeDocument/2006/relationships/hyperlink" Target="https://www.abetheagency.com/blog/best-b2b-social-media-agencies-for-paid-social-2026" TargetMode="External"/><Relationship Id="rId1755" Type="http://schemas.openxmlformats.org/officeDocument/2006/relationships/hyperlink" Target="http://abetheagency.com" TargetMode="External"/><Relationship Id="rId1756" Type="http://schemas.openxmlformats.org/officeDocument/2006/relationships/hyperlink" Target="https://abry.com/news-article/abry-partners-backed-adswerve-acquires-analytics-pros/" TargetMode="External"/><Relationship Id="rId1757" Type="http://schemas.openxmlformats.org/officeDocument/2006/relationships/hyperlink" Target="http://abry.com" TargetMode="External"/><Relationship Id="rId1758" Type="http://schemas.openxmlformats.org/officeDocument/2006/relationships/hyperlink" Target="https://www.accentmarketing.com/" TargetMode="External"/><Relationship Id="rId1759" Type="http://schemas.openxmlformats.org/officeDocument/2006/relationships/hyperlink" Target="http://accentmarketing.com" TargetMode="External"/><Relationship Id="rId1750" Type="http://schemas.openxmlformats.org/officeDocument/2006/relationships/hyperlink" Target="https://www.abbacustechnologies.com/top-ai-consulting-firms-in-2026/" TargetMode="External"/><Relationship Id="rId1751" Type="http://schemas.openxmlformats.org/officeDocument/2006/relationships/hyperlink" Target="http://abbacustechnologies.com" TargetMode="External"/><Relationship Id="rId1741" Type="http://schemas.openxmlformats.org/officeDocument/2006/relationships/hyperlink" Target="http://50pros.com" TargetMode="External"/><Relationship Id="rId1742" Type="http://schemas.openxmlformats.org/officeDocument/2006/relationships/hyperlink" Target="https://www.617collective.com/" TargetMode="External"/><Relationship Id="rId1743" Type="http://schemas.openxmlformats.org/officeDocument/2006/relationships/hyperlink" Target="http://617collective.com" TargetMode="External"/><Relationship Id="rId1744" Type="http://schemas.openxmlformats.org/officeDocument/2006/relationships/hyperlink" Target="https://www.72andsunny.com/" TargetMode="External"/><Relationship Id="rId1745" Type="http://schemas.openxmlformats.org/officeDocument/2006/relationships/hyperlink" Target="http://72andsunny.com" TargetMode="External"/><Relationship Id="rId1746" Type="http://schemas.openxmlformats.org/officeDocument/2006/relationships/hyperlink" Target="https://7span.com/blog/branding-agencies" TargetMode="External"/><Relationship Id="rId1747" Type="http://schemas.openxmlformats.org/officeDocument/2006/relationships/hyperlink" Target="http://7span.com" TargetMode="External"/><Relationship Id="rId1748" Type="http://schemas.openxmlformats.org/officeDocument/2006/relationships/hyperlink" Target="https://www.aaaa.org/agency-profile/a4O5Y000001uknt/broadhead/" TargetMode="External"/><Relationship Id="rId1749" Type="http://schemas.openxmlformats.org/officeDocument/2006/relationships/hyperlink" Target="http://aaaa.org" TargetMode="External"/><Relationship Id="rId1740" Type="http://schemas.openxmlformats.org/officeDocument/2006/relationships/hyperlink" Target="https://www.50pros.com/hire/digital-marketing/marketing-analytics-and-reporting" TargetMode="External"/><Relationship Id="rId1710" Type="http://schemas.openxmlformats.org/officeDocument/2006/relationships/hyperlink" Target="https://worldmetrics.org/service/full-digital-marketing/" TargetMode="External"/><Relationship Id="rId1711" Type="http://schemas.openxmlformats.org/officeDocument/2006/relationships/hyperlink" Target="http://worldmetrics.org" TargetMode="External"/><Relationship Id="rId1712" Type="http://schemas.openxmlformats.org/officeDocument/2006/relationships/hyperlink" Target="https://www.wpp.com/en/about" TargetMode="External"/><Relationship Id="rId1713" Type="http://schemas.openxmlformats.org/officeDocument/2006/relationships/hyperlink" Target="http://wpp.com" TargetMode="External"/><Relationship Id="rId1714" Type="http://schemas.openxmlformats.org/officeDocument/2006/relationships/hyperlink" Target="https://www.wsj.com/cio-journal/the-ai-superfans-companies-count-on-to-convert-the-skeptics-5b301a90" TargetMode="External"/><Relationship Id="rId1715" Type="http://schemas.openxmlformats.org/officeDocument/2006/relationships/hyperlink" Target="http://wsj.com" TargetMode="External"/><Relationship Id="rId1716" Type="http://schemas.openxmlformats.org/officeDocument/2006/relationships/hyperlink" Target="https://www.wsj.com/tech/ai/ai-needs-management-consultants-after-all-bd28ecb9" TargetMode="External"/><Relationship Id="rId1717" Type="http://schemas.openxmlformats.org/officeDocument/2006/relationships/hyperlink" Target="http://wsj.com" TargetMode="External"/><Relationship Id="rId1718" Type="http://schemas.openxmlformats.org/officeDocument/2006/relationships/hyperlink" Target="https://xchange.avixa.org/posts/10-best-digital-marketing-agencies-in-usa-2026" TargetMode="External"/><Relationship Id="rId1719" Type="http://schemas.openxmlformats.org/officeDocument/2006/relationships/hyperlink" Target="http://avixa.org" TargetMode="External"/><Relationship Id="rId1700" Type="http://schemas.openxmlformats.org/officeDocument/2006/relationships/hyperlink" Target="https://www.welcometothejungle.com/en/companies/artefact" TargetMode="External"/><Relationship Id="rId1701" Type="http://schemas.openxmlformats.org/officeDocument/2006/relationships/hyperlink" Target="http://welcometothejungle.com" TargetMode="External"/><Relationship Id="rId1702" Type="http://schemas.openxmlformats.org/officeDocument/2006/relationships/hyperlink" Target="https://wildnetmarketing.agency/blog/top-digital-marketing-companies-list/" TargetMode="External"/><Relationship Id="rId1703" Type="http://schemas.openxmlformats.org/officeDocument/2006/relationships/hyperlink" Target="https://wildnetmarketing.agency/blog/top-programmatic-advertising-agencies-in-usa/" TargetMode="External"/><Relationship Id="rId1704" Type="http://schemas.openxmlformats.org/officeDocument/2006/relationships/hyperlink" Target="https://www.wk.com/" TargetMode="External"/><Relationship Id="rId1705" Type="http://schemas.openxmlformats.org/officeDocument/2006/relationships/hyperlink" Target="http://wk.com" TargetMode="External"/><Relationship Id="rId1706" Type="http://schemas.openxmlformats.org/officeDocument/2006/relationships/hyperlink" Target="https://wolfable.com/best-creative-agencies/" TargetMode="External"/><Relationship Id="rId1707" Type="http://schemas.openxmlformats.org/officeDocument/2006/relationships/hyperlink" Target="http://wolfable.com" TargetMode="External"/><Relationship Id="rId1708" Type="http://schemas.openxmlformats.org/officeDocument/2006/relationships/hyperlink" Target="https://worldmetrics.org/service/creative-marketing/" TargetMode="External"/><Relationship Id="rId1709" Type="http://schemas.openxmlformats.org/officeDocument/2006/relationships/hyperlink" Target="http://worldmetrics.org" TargetMode="External"/><Relationship Id="rId40" Type="http://schemas.openxmlformats.org/officeDocument/2006/relationships/hyperlink" Target="http://unifiedplatforms.com" TargetMode="External"/><Relationship Id="rId3513" Type="http://schemas.openxmlformats.org/officeDocument/2006/relationships/hyperlink" Target="https://www.weareqry.com/blog/best-performance-marketing-agencies" TargetMode="External"/><Relationship Id="rId3512" Type="http://schemas.openxmlformats.org/officeDocument/2006/relationships/hyperlink" Target="http://weareaudiences.com" TargetMode="External"/><Relationship Id="rId42" Type="http://schemas.openxmlformats.org/officeDocument/2006/relationships/hyperlink" Target="http://webtonic.io" TargetMode="External"/><Relationship Id="rId3515" Type="http://schemas.openxmlformats.org/officeDocument/2006/relationships/hyperlink" Target="https://webflow.com/blog/how-to-come-up-with-a-brand-name" TargetMode="External"/><Relationship Id="rId41" Type="http://schemas.openxmlformats.org/officeDocument/2006/relationships/hyperlink" Target="https://www.webtonic.io/blog/best-paid-social-agencies-us" TargetMode="External"/><Relationship Id="rId3514" Type="http://schemas.openxmlformats.org/officeDocument/2006/relationships/hyperlink" Target="http://weareqry.com" TargetMode="External"/><Relationship Id="rId44" Type="http://schemas.openxmlformats.org/officeDocument/2006/relationships/hyperlink" Target="http://linkedin.com" TargetMode="External"/><Relationship Id="rId3517" Type="http://schemas.openxmlformats.org/officeDocument/2006/relationships/hyperlink" Target="https://www.webfx.com/analytics/learn/top-marketing-analytics-companies/" TargetMode="External"/><Relationship Id="rId43" Type="http://schemas.openxmlformats.org/officeDocument/2006/relationships/hyperlink" Target="https://www.linkedin.com/pulse/top-25-performance-marketing-agencies-us-hawkemedia-iqbnc" TargetMode="External"/><Relationship Id="rId3516" Type="http://schemas.openxmlformats.org/officeDocument/2006/relationships/hyperlink" Target="http://webflow.com" TargetMode="External"/><Relationship Id="rId46" Type="http://schemas.openxmlformats.org/officeDocument/2006/relationships/hyperlink" Target="http://nutshell.com" TargetMode="External"/><Relationship Id="rId3519" Type="http://schemas.openxmlformats.org/officeDocument/2006/relationships/hyperlink" Target="https://webguruz.in/blog/start-your-ai-marketing-transformation-today" TargetMode="External"/><Relationship Id="rId45" Type="http://schemas.openxmlformats.org/officeDocument/2006/relationships/hyperlink" Target="https://www.nutshell.com/blog/top-geo-agencies" TargetMode="External"/><Relationship Id="rId3518" Type="http://schemas.openxmlformats.org/officeDocument/2006/relationships/hyperlink" Target="http://webfx.com" TargetMode="External"/><Relationship Id="rId48" Type="http://schemas.openxmlformats.org/officeDocument/2006/relationships/hyperlink" Target="http://darkroomagency.com" TargetMode="External"/><Relationship Id="rId47" Type="http://schemas.openxmlformats.org/officeDocument/2006/relationships/hyperlink" Target="https://www.darkroomagency.com/observatory/best-performance-marketing-agencies-in-2026" TargetMode="External"/><Relationship Id="rId49" Type="http://schemas.openxmlformats.org/officeDocument/2006/relationships/hyperlink" Target="https://disruptiveadvertising.com/blog/business/top-us-digital-marketing-agencies/" TargetMode="External"/><Relationship Id="rId3511" Type="http://schemas.openxmlformats.org/officeDocument/2006/relationships/hyperlink" Target="https://weareaudiences.com/" TargetMode="External"/><Relationship Id="rId3510" Type="http://schemas.openxmlformats.org/officeDocument/2006/relationships/hyperlink" Target="http://w3era.com" TargetMode="External"/><Relationship Id="rId3502" Type="http://schemas.openxmlformats.org/officeDocument/2006/relationships/hyperlink" Target="http://vietnammarcom.edu.vn" TargetMode="External"/><Relationship Id="rId3501" Type="http://schemas.openxmlformats.org/officeDocument/2006/relationships/hyperlink" Target="https://vietnammarcom.edu.vn/marketing/best-digital-marketing-agencies-winning-projects-around-the-world/" TargetMode="External"/><Relationship Id="rId31" Type="http://schemas.openxmlformats.org/officeDocument/2006/relationships/hyperlink" Target="http://clutch.co" TargetMode="External"/><Relationship Id="rId3504" Type="http://schemas.openxmlformats.org/officeDocument/2006/relationships/hyperlink" Target="http://virtualadagency.com.au" TargetMode="External"/><Relationship Id="rId30" Type="http://schemas.openxmlformats.org/officeDocument/2006/relationships/hyperlink" Target="https://clutch.co/us/agencies/creative" TargetMode="External"/><Relationship Id="rId3503" Type="http://schemas.openxmlformats.org/officeDocument/2006/relationships/hyperlink" Target="https://virtualadagency.com.au/top-digital-advertising-agencies/" TargetMode="External"/><Relationship Id="rId33" Type="http://schemas.openxmlformats.org/officeDocument/2006/relationships/hyperlink" Target="http://directiveconsulting.com" TargetMode="External"/><Relationship Id="rId3506" Type="http://schemas.openxmlformats.org/officeDocument/2006/relationships/hyperlink" Target="http://visioneerit.com" TargetMode="External"/><Relationship Id="rId32" Type="http://schemas.openxmlformats.org/officeDocument/2006/relationships/hyperlink" Target="https://directiveconsulting.com/blog/25-best-paid-media-agencies-that-turn-ad-spend-into-revenue/" TargetMode="External"/><Relationship Id="rId3505" Type="http://schemas.openxmlformats.org/officeDocument/2006/relationships/hyperlink" Target="https://www.visioneerit.com/services/artificial-intelligence-adoption" TargetMode="External"/><Relationship Id="rId35" Type="http://schemas.openxmlformats.org/officeDocument/2006/relationships/hyperlink" Target="http://silverbackstrategies.com" TargetMode="External"/><Relationship Id="rId3508" Type="http://schemas.openxmlformats.org/officeDocument/2006/relationships/hyperlink" Target="http://vstorm.co" TargetMode="External"/><Relationship Id="rId34" Type="http://schemas.openxmlformats.org/officeDocument/2006/relationships/hyperlink" Target="https://www.silverbackstrategies.com/lists/best-social-media-advertising-agencies-in-the-us-ranked-reviewed/" TargetMode="External"/><Relationship Id="rId3507" Type="http://schemas.openxmlformats.org/officeDocument/2006/relationships/hyperlink" Target="https://vstorm.co/agentic-ai/top-10-agentic-ai-development-and-consulting-companies-for-smbs-and-enterprises/" TargetMode="External"/><Relationship Id="rId3509" Type="http://schemas.openxmlformats.org/officeDocument/2006/relationships/hyperlink" Target="https://www.w3era.com/blog/local-seo/top-digital-marketing-agencies-usa/" TargetMode="External"/><Relationship Id="rId37" Type="http://schemas.openxmlformats.org/officeDocument/2006/relationships/hyperlink" Target="https://www.designrush.com/agency/digital-marketing/analytics/us" TargetMode="External"/><Relationship Id="rId36" Type="http://schemas.openxmlformats.org/officeDocument/2006/relationships/hyperlink" Target="https://inbeat.agency/blog/top-marketing-analytics-agencies" TargetMode="External"/><Relationship Id="rId39" Type="http://schemas.openxmlformats.org/officeDocument/2006/relationships/hyperlink" Target="https://unifiedplatforms.com/blogs/aeo/top-answer-engine-optimization-aeo-agencies-united-states/" TargetMode="External"/><Relationship Id="rId38" Type="http://schemas.openxmlformats.org/officeDocument/2006/relationships/hyperlink" Target="http://designrush.com" TargetMode="External"/><Relationship Id="rId3500" Type="http://schemas.openxmlformats.org/officeDocument/2006/relationships/hyperlink" Target="http://vidico.com" TargetMode="External"/><Relationship Id="rId2203" Type="http://schemas.openxmlformats.org/officeDocument/2006/relationships/hyperlink" Target="https://createscale.com/production" TargetMode="External"/><Relationship Id="rId3535" Type="http://schemas.openxmlformats.org/officeDocument/2006/relationships/hyperlink" Target="https://wellows.com/blog/social-media-marketing-agencies/" TargetMode="External"/><Relationship Id="rId2204" Type="http://schemas.openxmlformats.org/officeDocument/2006/relationships/hyperlink" Target="http://createscale.com" TargetMode="External"/><Relationship Id="rId3534" Type="http://schemas.openxmlformats.org/officeDocument/2006/relationships/hyperlink" Target="http://wellows.com" TargetMode="External"/><Relationship Id="rId20" Type="http://schemas.openxmlformats.org/officeDocument/2006/relationships/hyperlink" Target="http://measured.com" TargetMode="External"/><Relationship Id="rId2205" Type="http://schemas.openxmlformats.org/officeDocument/2006/relationships/hyperlink" Target="https://creatif.agency/best-branding-agencies-in-the-us/" TargetMode="External"/><Relationship Id="rId3537" Type="http://schemas.openxmlformats.org/officeDocument/2006/relationships/hyperlink" Target="https://wellows.com/blog/top-ai-seo-agencies/" TargetMode="External"/><Relationship Id="rId2206" Type="http://schemas.openxmlformats.org/officeDocument/2006/relationships/hyperlink" Target="https://creativeformore.com/top-cross-border-marketing-agencies-helping-u-s-brands-expand-into-asia/" TargetMode="External"/><Relationship Id="rId3536" Type="http://schemas.openxmlformats.org/officeDocument/2006/relationships/hyperlink" Target="http://wellows.com" TargetMode="External"/><Relationship Id="rId22" Type="http://schemas.openxmlformats.org/officeDocument/2006/relationships/hyperlink" Target="https://www.sortlist.com/s/paid-media/united-states-us" TargetMode="External"/><Relationship Id="rId2207" Type="http://schemas.openxmlformats.org/officeDocument/2006/relationships/hyperlink" Target="http://creativeformore.com" TargetMode="External"/><Relationship Id="rId3539" Type="http://schemas.openxmlformats.org/officeDocument/2006/relationships/hyperlink" Target="https://www.wested.org/support/ai-readiness-and-integration/" TargetMode="External"/><Relationship Id="rId21" Type="http://schemas.openxmlformats.org/officeDocument/2006/relationships/hyperlink" Target="https://inbeat.agency/blog/top-marketing-measurement-and-analytics-companies" TargetMode="External"/><Relationship Id="rId2208" Type="http://schemas.openxmlformats.org/officeDocument/2006/relationships/hyperlink" Target="https://www.creativefrontiers.co/blog/best-creative-agency-nyc-elevate-your-brand-with-expert-solutions" TargetMode="External"/><Relationship Id="rId3538" Type="http://schemas.openxmlformats.org/officeDocument/2006/relationships/hyperlink" Target="http://wellows.com" TargetMode="External"/><Relationship Id="rId24" Type="http://schemas.openxmlformats.org/officeDocument/2006/relationships/hyperlink" Target="https://agencies.semrush.com/list/display-advertising/united-states/" TargetMode="External"/><Relationship Id="rId2209" Type="http://schemas.openxmlformats.org/officeDocument/2006/relationships/hyperlink" Target="http://creativefrontiers.co" TargetMode="External"/><Relationship Id="rId23" Type="http://schemas.openxmlformats.org/officeDocument/2006/relationships/hyperlink" Target="http://sortlist.com" TargetMode="External"/><Relationship Id="rId26" Type="http://schemas.openxmlformats.org/officeDocument/2006/relationships/hyperlink" Target="https://www.triplewhale.com/blog/best-incrementality-testing-tools" TargetMode="External"/><Relationship Id="rId25" Type="http://schemas.openxmlformats.org/officeDocument/2006/relationships/hyperlink" Target="http://semrush.com" TargetMode="External"/><Relationship Id="rId28" Type="http://schemas.openxmlformats.org/officeDocument/2006/relationships/hyperlink" Target="https://www.yesoptimist.com/best-aeo-agencies/" TargetMode="External"/><Relationship Id="rId27" Type="http://schemas.openxmlformats.org/officeDocument/2006/relationships/hyperlink" Target="http://triplewhale.com" TargetMode="External"/><Relationship Id="rId3531" Type="http://schemas.openxmlformats.org/officeDocument/2006/relationships/hyperlink" Target="https://www.webtonic.io/blog/top-performance-creative-agencies" TargetMode="External"/><Relationship Id="rId29" Type="http://schemas.openxmlformats.org/officeDocument/2006/relationships/hyperlink" Target="http://yesoptimist.com" TargetMode="External"/><Relationship Id="rId2200" Type="http://schemas.openxmlformats.org/officeDocument/2006/relationships/hyperlink" Target="http://createscale.co" TargetMode="External"/><Relationship Id="rId3530" Type="http://schemas.openxmlformats.org/officeDocument/2006/relationships/hyperlink" Target="http://webtonic.io" TargetMode="External"/><Relationship Id="rId2201" Type="http://schemas.openxmlformats.org/officeDocument/2006/relationships/hyperlink" Target="https://createscale.com/" TargetMode="External"/><Relationship Id="rId3533" Type="http://schemas.openxmlformats.org/officeDocument/2006/relationships/hyperlink" Target="https://wellows.com/blog/digital-marketing-agencies/" TargetMode="External"/><Relationship Id="rId2202" Type="http://schemas.openxmlformats.org/officeDocument/2006/relationships/hyperlink" Target="http://createscale.com" TargetMode="External"/><Relationship Id="rId3532" Type="http://schemas.openxmlformats.org/officeDocument/2006/relationships/hyperlink" Target="http://webtonic.io" TargetMode="External"/><Relationship Id="rId3524" Type="http://schemas.openxmlformats.org/officeDocument/2006/relationships/hyperlink" Target="http://webtonic.io" TargetMode="External"/><Relationship Id="rId3523" Type="http://schemas.openxmlformats.org/officeDocument/2006/relationships/hyperlink" Target="https://www.webtonic.io/blog/best-ai-powered-agencies" TargetMode="External"/><Relationship Id="rId3526" Type="http://schemas.openxmlformats.org/officeDocument/2006/relationships/hyperlink" Target="http://webtonic.io" TargetMode="External"/><Relationship Id="rId3525" Type="http://schemas.openxmlformats.org/officeDocument/2006/relationships/hyperlink" Target="https://www.webtonic.io/blog/best-global-marketing-agencies" TargetMode="External"/><Relationship Id="rId11" Type="http://schemas.openxmlformats.org/officeDocument/2006/relationships/hyperlink" Target="https://hawkemedia.com/insights/top-performance-marketing-agencies/" TargetMode="External"/><Relationship Id="rId3528" Type="http://schemas.openxmlformats.org/officeDocument/2006/relationships/hyperlink" Target="http://webtonic.io" TargetMode="External"/><Relationship Id="rId10" Type="http://schemas.openxmlformats.org/officeDocument/2006/relationships/hyperlink" Target="http://dataally.ai" TargetMode="External"/><Relationship Id="rId3527" Type="http://schemas.openxmlformats.org/officeDocument/2006/relationships/hyperlink" Target="https://www.webtonic.io/blog/best-ppc-agencies-us" TargetMode="External"/><Relationship Id="rId13" Type="http://schemas.openxmlformats.org/officeDocument/2006/relationships/hyperlink" Target="https://www.searchbloom.com/strategy/best-ai-seo-agency-companies-services-usa/" TargetMode="External"/><Relationship Id="rId12" Type="http://schemas.openxmlformats.org/officeDocument/2006/relationships/hyperlink" Target="http://hawkemedia.com" TargetMode="External"/><Relationship Id="rId3529" Type="http://schemas.openxmlformats.org/officeDocument/2006/relationships/hyperlink" Target="https://www.webtonic.io/blog/top-creative-performance-agencies" TargetMode="External"/><Relationship Id="rId15" Type="http://schemas.openxmlformats.org/officeDocument/2006/relationships/hyperlink" Target="https://digitalagencynetwork.com/agencies/usa/ai-marketing/" TargetMode="External"/><Relationship Id="rId14" Type="http://schemas.openxmlformats.org/officeDocument/2006/relationships/hyperlink" Target="http://searchbloom.com" TargetMode="External"/><Relationship Id="rId17" Type="http://schemas.openxmlformats.org/officeDocument/2006/relationships/hyperlink" Target="https://beomniscient.com/blog/best-ai-marketing-agencies/" TargetMode="External"/><Relationship Id="rId16" Type="http://schemas.openxmlformats.org/officeDocument/2006/relationships/hyperlink" Target="http://digitalagencynetwork.com" TargetMode="External"/><Relationship Id="rId19" Type="http://schemas.openxmlformats.org/officeDocument/2006/relationships/hyperlink" Target="https://www.measured.com/faq/best-incrementality-testing-companies-software-for-marketing-2026/" TargetMode="External"/><Relationship Id="rId3520" Type="http://schemas.openxmlformats.org/officeDocument/2006/relationships/hyperlink" Target="http://webguruz.in" TargetMode="External"/><Relationship Id="rId18" Type="http://schemas.openxmlformats.org/officeDocument/2006/relationships/hyperlink" Target="http://beomniscient.com" TargetMode="External"/><Relationship Id="rId3522" Type="http://schemas.openxmlformats.org/officeDocument/2006/relationships/hyperlink" Target="http://weblystudio.com" TargetMode="External"/><Relationship Id="rId3521" Type="http://schemas.openxmlformats.org/officeDocument/2006/relationships/hyperlink" Target="https://weblystudio.com/work/" TargetMode="External"/><Relationship Id="rId84" Type="http://schemas.openxmlformats.org/officeDocument/2006/relationships/hyperlink" Target="http://firstpagesage.com" TargetMode="External"/><Relationship Id="rId1774" Type="http://schemas.openxmlformats.org/officeDocument/2006/relationships/hyperlink" Target="http://microsoft.com" TargetMode="External"/><Relationship Id="rId83" Type="http://schemas.openxmlformats.org/officeDocument/2006/relationships/hyperlink" Target="https://firstpagesage.com/seo-blog/the-top-saas-geo-aeo-agencies/" TargetMode="External"/><Relationship Id="rId1775" Type="http://schemas.openxmlformats.org/officeDocument/2006/relationships/hyperlink" Target="https://ads.google.com/intl/fy/home/partners/become-a-partner/" TargetMode="External"/><Relationship Id="rId86" Type="http://schemas.openxmlformats.org/officeDocument/2006/relationships/hyperlink" Target="http://nationalmarketingawards.com" TargetMode="External"/><Relationship Id="rId1776" Type="http://schemas.openxmlformats.org/officeDocument/2006/relationships/hyperlink" Target="http://google.com" TargetMode="External"/><Relationship Id="rId85" Type="http://schemas.openxmlformats.org/officeDocument/2006/relationships/hyperlink" Target="https://nationalmarketingawards.com/leaderboard/" TargetMode="External"/><Relationship Id="rId1777" Type="http://schemas.openxmlformats.org/officeDocument/2006/relationships/hyperlink" Target="https://adspyder.io/blog/top-25-global-ad-agencies/" TargetMode="External"/><Relationship Id="rId88" Type="http://schemas.openxmlformats.org/officeDocument/2006/relationships/hyperlink" Target="http://riseopp.com" TargetMode="External"/><Relationship Id="rId1778" Type="http://schemas.openxmlformats.org/officeDocument/2006/relationships/hyperlink" Target="http://adspyder.io" TargetMode="External"/><Relationship Id="rId87" Type="http://schemas.openxmlformats.org/officeDocument/2006/relationships/hyperlink" Target="https://riseopp.com/blog/top-25-geo-agencies-in-the-united-states" TargetMode="External"/><Relationship Id="rId1779" Type="http://schemas.openxmlformats.org/officeDocument/2006/relationships/hyperlink" Target="https://adswerve.com/our-services/consulting-and-licensing" TargetMode="External"/><Relationship Id="rId89" Type="http://schemas.openxmlformats.org/officeDocument/2006/relationships/hyperlink" Target="https://sociallyin.com/resources/top-paid-media-agencies-us/" TargetMode="External"/><Relationship Id="rId80" Type="http://schemas.openxmlformats.org/officeDocument/2006/relationships/hyperlink" Target="http://clutch.co" TargetMode="External"/><Relationship Id="rId82" Type="http://schemas.openxmlformats.org/officeDocument/2006/relationships/hyperlink" Target="http://directiveconsulting.com" TargetMode="External"/><Relationship Id="rId81" Type="http://schemas.openxmlformats.org/officeDocument/2006/relationships/hyperlink" Target="https://directiveconsulting.com/blog/top-performance-marketing-agencies/" TargetMode="External"/><Relationship Id="rId1770" Type="http://schemas.openxmlformats.org/officeDocument/2006/relationships/hyperlink" Target="https://adgeeks.agency/blogs/best-programmatic-dsp-agencies-for-google-dv360-access-in-2026" TargetMode="External"/><Relationship Id="rId1771" Type="http://schemas.openxmlformats.org/officeDocument/2006/relationships/hyperlink" Target="http://www.adlucent.a3online.com/" TargetMode="External"/><Relationship Id="rId1772" Type="http://schemas.openxmlformats.org/officeDocument/2006/relationships/hyperlink" Target="http://a3online.com" TargetMode="External"/><Relationship Id="rId1773" Type="http://schemas.openxmlformats.org/officeDocument/2006/relationships/hyperlink" Target="https://adoption.microsoft.com/en-us/ai-readiness-wizard/" TargetMode="External"/><Relationship Id="rId73" Type="http://schemas.openxmlformats.org/officeDocument/2006/relationships/hyperlink" Target="https://onelittleweb.com/top-agencies/top-performance-marketing-agencies/" TargetMode="External"/><Relationship Id="rId1763" Type="http://schemas.openxmlformats.org/officeDocument/2006/relationships/hyperlink" Target="http://adaptiveco.io" TargetMode="External"/><Relationship Id="rId72" Type="http://schemas.openxmlformats.org/officeDocument/2006/relationships/hyperlink" Target="http://goodfirms.co" TargetMode="External"/><Relationship Id="rId1764" Type="http://schemas.openxmlformats.org/officeDocument/2006/relationships/hyperlink" Target="https://www.adasight.com/blog/top-marketing-attribution-tools" TargetMode="External"/><Relationship Id="rId75" Type="http://schemas.openxmlformats.org/officeDocument/2006/relationships/hyperlink" Target="https://www.m1-project.com/blog/10-best-ai-marketing-agencies-in-depth-comparison" TargetMode="External"/><Relationship Id="rId1765" Type="http://schemas.openxmlformats.org/officeDocument/2006/relationships/hyperlink" Target="http://adasight.com" TargetMode="External"/><Relationship Id="rId74" Type="http://schemas.openxmlformats.org/officeDocument/2006/relationships/hyperlink" Target="http://onelittleweb.com" TargetMode="External"/><Relationship Id="rId1766" Type="http://schemas.openxmlformats.org/officeDocument/2006/relationships/hyperlink" Target="https://adastracorp.com/articles/top-data-analytics-companies-to-compare-in-2026-usa-canada/" TargetMode="External"/><Relationship Id="rId77" Type="http://schemas.openxmlformats.org/officeDocument/2006/relationships/hyperlink" Target="https://sellforte.com/blog/best-incrementality-testing-tools" TargetMode="External"/><Relationship Id="rId1767" Type="http://schemas.openxmlformats.org/officeDocument/2006/relationships/hyperlink" Target="http://adastracorp.com" TargetMode="External"/><Relationship Id="rId76" Type="http://schemas.openxmlformats.org/officeDocument/2006/relationships/hyperlink" Target="http://m1-project.com" TargetMode="External"/><Relationship Id="rId1768" Type="http://schemas.openxmlformats.org/officeDocument/2006/relationships/hyperlink" Target="https://www.addwebsolution.com/blog/ai-marketing-agencies" TargetMode="External"/><Relationship Id="rId79" Type="http://schemas.openxmlformats.org/officeDocument/2006/relationships/hyperlink" Target="https://clutch.co/us/agencies/social-media-marketing" TargetMode="External"/><Relationship Id="rId1769" Type="http://schemas.openxmlformats.org/officeDocument/2006/relationships/hyperlink" Target="http://addwebsolution.com" TargetMode="External"/><Relationship Id="rId78" Type="http://schemas.openxmlformats.org/officeDocument/2006/relationships/hyperlink" Target="http://sellforte.com" TargetMode="External"/><Relationship Id="rId71" Type="http://schemas.openxmlformats.org/officeDocument/2006/relationships/hyperlink" Target="https://www.goodfirms.co/directory/country/top-digital-marketing-companies/us" TargetMode="External"/><Relationship Id="rId70" Type="http://schemas.openxmlformats.org/officeDocument/2006/relationships/hyperlink" Target="http://clutch.co" TargetMode="External"/><Relationship Id="rId1760" Type="http://schemas.openxmlformats.org/officeDocument/2006/relationships/hyperlink" Target="https://adagealist.secure-platform.com/" TargetMode="External"/><Relationship Id="rId1761" Type="http://schemas.openxmlformats.org/officeDocument/2006/relationships/hyperlink" Target="http://secure-platform.com" TargetMode="External"/><Relationship Id="rId1762" Type="http://schemas.openxmlformats.org/officeDocument/2006/relationships/hyperlink" Target="https://www.adaptiveco.io/services/ai-agent-consulting" TargetMode="External"/><Relationship Id="rId62" Type="http://schemas.openxmlformats.org/officeDocument/2006/relationships/hyperlink" Target="http://clutch.co" TargetMode="External"/><Relationship Id="rId1796" Type="http://schemas.openxmlformats.org/officeDocument/2006/relationships/hyperlink" Target="http://semrush.com" TargetMode="External"/><Relationship Id="rId61" Type="http://schemas.openxmlformats.org/officeDocument/2006/relationships/hyperlink" Target="https://clutch.co/us/agencies/ppc/display" TargetMode="External"/><Relationship Id="rId1797" Type="http://schemas.openxmlformats.org/officeDocument/2006/relationships/hyperlink" Target="https://agencies.semrush.com/list/programmatic-advertising/arts-entertainment/united-states/" TargetMode="External"/><Relationship Id="rId64" Type="http://schemas.openxmlformats.org/officeDocument/2006/relationships/hyperlink" Target="http://measured.com" TargetMode="External"/><Relationship Id="rId1798" Type="http://schemas.openxmlformats.org/officeDocument/2006/relationships/hyperlink" Target="http://semrush.com" TargetMode="External"/><Relationship Id="rId63" Type="http://schemas.openxmlformats.org/officeDocument/2006/relationships/hyperlink" Target="https://www.measured.com/faq/best-incrementality-testing-companies-software-for-marketing-2025/" TargetMode="External"/><Relationship Id="rId1799" Type="http://schemas.openxmlformats.org/officeDocument/2006/relationships/hyperlink" Target="https://agencylist.com/services/programmatic-display-and-video/us/florida/" TargetMode="External"/><Relationship Id="rId66" Type="http://schemas.openxmlformats.org/officeDocument/2006/relationships/hyperlink" Target="http://google.com" TargetMode="External"/><Relationship Id="rId65" Type="http://schemas.openxmlformats.org/officeDocument/2006/relationships/hyperlink" Target="https://support.google.com/analytics/answer/7237700?hl=en" TargetMode="External"/><Relationship Id="rId68" Type="http://schemas.openxmlformats.org/officeDocument/2006/relationships/hyperlink" Target="http://thegrowthsyndicate.com" TargetMode="External"/><Relationship Id="rId67" Type="http://schemas.openxmlformats.org/officeDocument/2006/relationships/hyperlink" Target="https://www.thegrowthsyndicate.com/agencies/best-b2b-performance-marketing-agencies-us" TargetMode="External"/><Relationship Id="rId60" Type="http://schemas.openxmlformats.org/officeDocument/2006/relationships/hyperlink" Target="http://semrush.com" TargetMode="External"/><Relationship Id="rId69" Type="http://schemas.openxmlformats.org/officeDocument/2006/relationships/hyperlink" Target="https://clutch.co/us/agencies/ppc" TargetMode="External"/><Relationship Id="rId1790" Type="http://schemas.openxmlformats.org/officeDocument/2006/relationships/hyperlink" Target="http://semrush.com" TargetMode="External"/><Relationship Id="rId1791" Type="http://schemas.openxmlformats.org/officeDocument/2006/relationships/hyperlink" Target="https://agencies.semrush.com/list/ai-optimization/united-states/small-business/" TargetMode="External"/><Relationship Id="rId1792" Type="http://schemas.openxmlformats.org/officeDocument/2006/relationships/hyperlink" Target="http://semrush.com" TargetMode="External"/><Relationship Id="rId1793" Type="http://schemas.openxmlformats.org/officeDocument/2006/relationships/hyperlink" Target="https://agencies.semrush.com/list/los-angeles/" TargetMode="External"/><Relationship Id="rId1794" Type="http://schemas.openxmlformats.org/officeDocument/2006/relationships/hyperlink" Target="http://semrush.com" TargetMode="External"/><Relationship Id="rId1795" Type="http://schemas.openxmlformats.org/officeDocument/2006/relationships/hyperlink" Target="https://agencies.semrush.com/list/machine-learning-and-ai/business-professional-services/united-states/" TargetMode="External"/><Relationship Id="rId51" Type="http://schemas.openxmlformats.org/officeDocument/2006/relationships/hyperlink" Target="https://www.agencycluster.com/top-50/ppc-performance-marketing-agencies" TargetMode="External"/><Relationship Id="rId1785" Type="http://schemas.openxmlformats.org/officeDocument/2006/relationships/hyperlink" Target="https://aeoagency.org/aeo-approach/" TargetMode="External"/><Relationship Id="rId50" Type="http://schemas.openxmlformats.org/officeDocument/2006/relationships/hyperlink" Target="http://disruptiveadvertising.com" TargetMode="External"/><Relationship Id="rId1786" Type="http://schemas.openxmlformats.org/officeDocument/2006/relationships/hyperlink" Target="http://aeoagency.org" TargetMode="External"/><Relationship Id="rId53" Type="http://schemas.openxmlformats.org/officeDocument/2006/relationships/hyperlink" Target="https://nogood.io/blog/performance-marketing-agencies/" TargetMode="External"/><Relationship Id="rId1787" Type="http://schemas.openxmlformats.org/officeDocument/2006/relationships/hyperlink" Target="https://agencies.semrush.com/list/" TargetMode="External"/><Relationship Id="rId52" Type="http://schemas.openxmlformats.org/officeDocument/2006/relationships/hyperlink" Target="http://agencycluster.com" TargetMode="External"/><Relationship Id="rId1788" Type="http://schemas.openxmlformats.org/officeDocument/2006/relationships/hyperlink" Target="http://semrush.com" TargetMode="External"/><Relationship Id="rId55" Type="http://schemas.openxmlformats.org/officeDocument/2006/relationships/hyperlink" Target="https://thesocialshepherd.com/blog/top-paid-media-agencies-us" TargetMode="External"/><Relationship Id="rId1789" Type="http://schemas.openxmlformats.org/officeDocument/2006/relationships/hyperlink" Target="https://agencies.semrush.com/list/advertising/united-states/" TargetMode="External"/><Relationship Id="rId54" Type="http://schemas.openxmlformats.org/officeDocument/2006/relationships/hyperlink" Target="http://nogood.io" TargetMode="External"/><Relationship Id="rId57" Type="http://schemas.openxmlformats.org/officeDocument/2006/relationships/hyperlink" Target="https://www.yesoptimist.com/best-geo-agencies/" TargetMode="External"/><Relationship Id="rId56" Type="http://schemas.openxmlformats.org/officeDocument/2006/relationships/hyperlink" Target="http://thesocialshepherd.com" TargetMode="External"/><Relationship Id="rId59" Type="http://schemas.openxmlformats.org/officeDocument/2006/relationships/hyperlink" Target="https://agencies.semrush.com/list/united-states/" TargetMode="External"/><Relationship Id="rId58" Type="http://schemas.openxmlformats.org/officeDocument/2006/relationships/hyperlink" Target="http://yesoptimist.com" TargetMode="External"/><Relationship Id="rId1780" Type="http://schemas.openxmlformats.org/officeDocument/2006/relationships/hyperlink" Target="http://adswerve.com" TargetMode="External"/><Relationship Id="rId1781" Type="http://schemas.openxmlformats.org/officeDocument/2006/relationships/hyperlink" Target="https://adswerve.com/partners" TargetMode="External"/><Relationship Id="rId1782" Type="http://schemas.openxmlformats.org/officeDocument/2006/relationships/hyperlink" Target="http://adswerve.com" TargetMode="External"/><Relationship Id="rId1783" Type="http://schemas.openxmlformats.org/officeDocument/2006/relationships/hyperlink" Target="https://adzooma.com/blog/top-10-advertising-agencies-in-the-uk/" TargetMode="External"/><Relationship Id="rId1784" Type="http://schemas.openxmlformats.org/officeDocument/2006/relationships/hyperlink" Target="http://adzooma.com" TargetMode="External"/><Relationship Id="rId2269" Type="http://schemas.openxmlformats.org/officeDocument/2006/relationships/hyperlink" Target="http://designrush.com" TargetMode="External"/><Relationship Id="rId349" Type="http://schemas.openxmlformats.org/officeDocument/2006/relationships/hyperlink" Target="https://advertising-in-the-united-states.com/display-advertising-agencies" TargetMode="External"/><Relationship Id="rId348" Type="http://schemas.openxmlformats.org/officeDocument/2006/relationships/hyperlink" Target="http://thesocialshepherd.com" TargetMode="External"/><Relationship Id="rId347" Type="http://schemas.openxmlformats.org/officeDocument/2006/relationships/hyperlink" Target="https://thesocialshepherd.com/blog/top-performance-marketing-agencies-us" TargetMode="External"/><Relationship Id="rId346" Type="http://schemas.openxmlformats.org/officeDocument/2006/relationships/hyperlink" Target="http://thecmo.com" TargetMode="External"/><Relationship Id="rId3591" Type="http://schemas.openxmlformats.org/officeDocument/2006/relationships/hyperlink" Target="https://www.youtube.com/watch?v=LPvRUxJ5J1E" TargetMode="External"/><Relationship Id="rId2260" Type="http://schemas.openxmlformats.org/officeDocument/2006/relationships/hyperlink" Target="https://www.designity.com/blog/best-branding-agencies-for-startups" TargetMode="External"/><Relationship Id="rId3590" Type="http://schemas.openxmlformats.org/officeDocument/2006/relationships/hyperlink" Target="http://youtube.com" TargetMode="External"/><Relationship Id="rId341" Type="http://schemas.openxmlformats.org/officeDocument/2006/relationships/hyperlink" Target="https://www.haus.io/use-cases/incrementality" TargetMode="External"/><Relationship Id="rId2261" Type="http://schemas.openxmlformats.org/officeDocument/2006/relationships/hyperlink" Target="http://designity.com" TargetMode="External"/><Relationship Id="rId3593" Type="http://schemas.openxmlformats.org/officeDocument/2006/relationships/hyperlink" Target="https://www.youtube.com/watch?v=NXkXQbQ9-kk&amp;vl=en&amp;t=332" TargetMode="External"/><Relationship Id="rId340" Type="http://schemas.openxmlformats.org/officeDocument/2006/relationships/hyperlink" Target="https://enterprisemarketingportal.google/find-a-partner" TargetMode="External"/><Relationship Id="rId2262" Type="http://schemas.openxmlformats.org/officeDocument/2006/relationships/hyperlink" Target="https://www.designrush.com/agency/ad-agencies/missouri/kansas-city" TargetMode="External"/><Relationship Id="rId3592" Type="http://schemas.openxmlformats.org/officeDocument/2006/relationships/hyperlink" Target="http://youtube.com" TargetMode="External"/><Relationship Id="rId2263" Type="http://schemas.openxmlformats.org/officeDocument/2006/relationships/hyperlink" Target="http://designrush.com" TargetMode="External"/><Relationship Id="rId3595" Type="http://schemas.openxmlformats.org/officeDocument/2006/relationships/hyperlink" Target="https://www.youtube.com/watch?v=OvrST0uq8uk" TargetMode="External"/><Relationship Id="rId2264" Type="http://schemas.openxmlformats.org/officeDocument/2006/relationships/hyperlink" Target="https://www.designrush.com/agency/digital-marketing/digital-advertising/us" TargetMode="External"/><Relationship Id="rId3594" Type="http://schemas.openxmlformats.org/officeDocument/2006/relationships/hyperlink" Target="http://youtube.com" TargetMode="External"/><Relationship Id="rId345" Type="http://schemas.openxmlformats.org/officeDocument/2006/relationships/hyperlink" Target="https://thecmo.com/tools/best-marketing-attribution-software/" TargetMode="External"/><Relationship Id="rId2265" Type="http://schemas.openxmlformats.org/officeDocument/2006/relationships/hyperlink" Target="http://designrush.com" TargetMode="External"/><Relationship Id="rId3597" Type="http://schemas.openxmlformats.org/officeDocument/2006/relationships/hyperlink" Target="https://www.youtube.com/watch?v=VQQ_1ODhyvo&amp;vl=en" TargetMode="External"/><Relationship Id="rId344" Type="http://schemas.openxmlformats.org/officeDocument/2006/relationships/hyperlink" Target="http://nuundigital.com" TargetMode="External"/><Relationship Id="rId2266" Type="http://schemas.openxmlformats.org/officeDocument/2006/relationships/hyperlink" Target="https://www.designrush.com/agency/media-buying-agencies/us" TargetMode="External"/><Relationship Id="rId3596" Type="http://schemas.openxmlformats.org/officeDocument/2006/relationships/hyperlink" Target="http://youtube.com" TargetMode="External"/><Relationship Id="rId343" Type="http://schemas.openxmlformats.org/officeDocument/2006/relationships/hyperlink" Target="https://www.nuundigital.com/services/data-analytics/marketing-analytics-attribution" TargetMode="External"/><Relationship Id="rId2267" Type="http://schemas.openxmlformats.org/officeDocument/2006/relationships/hyperlink" Target="http://designrush.com" TargetMode="External"/><Relationship Id="rId3599" Type="http://schemas.openxmlformats.org/officeDocument/2006/relationships/hyperlink" Target="https://www.youtube.com/watch?v=XhMbeN7cH34&amp;t=707" TargetMode="External"/><Relationship Id="rId342" Type="http://schemas.openxmlformats.org/officeDocument/2006/relationships/hyperlink" Target="http://haus.io" TargetMode="External"/><Relationship Id="rId2268" Type="http://schemas.openxmlformats.org/officeDocument/2006/relationships/hyperlink" Target="https://www.designrush.com/agency/paid-media-pay-per-click/trends/display-ads" TargetMode="External"/><Relationship Id="rId3598" Type="http://schemas.openxmlformats.org/officeDocument/2006/relationships/hyperlink" Target="http://youtube.com" TargetMode="External"/><Relationship Id="rId2258" Type="http://schemas.openxmlformats.org/officeDocument/2006/relationships/hyperlink" Target="https://www.dentsu.com/us/en/who-we-are/our-agencies/merkle" TargetMode="External"/><Relationship Id="rId2259" Type="http://schemas.openxmlformats.org/officeDocument/2006/relationships/hyperlink" Target="http://dentsu.com" TargetMode="External"/><Relationship Id="rId3589" Type="http://schemas.openxmlformats.org/officeDocument/2006/relationships/hyperlink" Target="https://www.youtube.com/watch?v=IjasEPvA-K4" TargetMode="External"/><Relationship Id="rId338" Type="http://schemas.openxmlformats.org/officeDocument/2006/relationships/hyperlink" Target="https://dmidigitalmarketing.com/top-15-ai-marketing-agencies-in-the-us-2026/" TargetMode="External"/><Relationship Id="rId337" Type="http://schemas.openxmlformats.org/officeDocument/2006/relationships/hyperlink" Target="http://cometly.com" TargetMode="External"/><Relationship Id="rId336" Type="http://schemas.openxmlformats.org/officeDocument/2006/relationships/hyperlink" Target="https://www.cometly.com/post/marketing-attribution-tools-for-agencies" TargetMode="External"/><Relationship Id="rId335" Type="http://schemas.openxmlformats.org/officeDocument/2006/relationships/hyperlink" Target="http://clutch.co" TargetMode="External"/><Relationship Id="rId3580" Type="http://schemas.openxmlformats.org/officeDocument/2006/relationships/hyperlink" Target="http://youtube.com" TargetMode="External"/><Relationship Id="rId339" Type="http://schemas.openxmlformats.org/officeDocument/2006/relationships/hyperlink" Target="http://dmidigitalmarketing.com" TargetMode="External"/><Relationship Id="rId330" Type="http://schemas.openxmlformats.org/officeDocument/2006/relationships/hyperlink" Target="https://visionlabs.com/blog/top-web-analytics-agencies/" TargetMode="External"/><Relationship Id="rId2250" Type="http://schemas.openxmlformats.org/officeDocument/2006/relationships/hyperlink" Target="https://www.demandlocal.com/blog/search-everywhere-optimization-agencies/" TargetMode="External"/><Relationship Id="rId3582" Type="http://schemas.openxmlformats.org/officeDocument/2006/relationships/hyperlink" Target="http://youtube.com" TargetMode="External"/><Relationship Id="rId2251" Type="http://schemas.openxmlformats.org/officeDocument/2006/relationships/hyperlink" Target="http://demandlocal.com" TargetMode="External"/><Relationship Id="rId3581" Type="http://schemas.openxmlformats.org/officeDocument/2006/relationships/hyperlink" Target="https://www.youtube.com/watch?v=3KVWXIXXyJo" TargetMode="External"/><Relationship Id="rId2252" Type="http://schemas.openxmlformats.org/officeDocument/2006/relationships/hyperlink" Target="https://www.demandsage.com/saas-content-marketing-agencies/" TargetMode="External"/><Relationship Id="rId3584" Type="http://schemas.openxmlformats.org/officeDocument/2006/relationships/hyperlink" Target="http://youtube.com" TargetMode="External"/><Relationship Id="rId2253" Type="http://schemas.openxmlformats.org/officeDocument/2006/relationships/hyperlink" Target="http://demandsage.com" TargetMode="External"/><Relationship Id="rId3583" Type="http://schemas.openxmlformats.org/officeDocument/2006/relationships/hyperlink" Target="https://www.youtube.com/watch?v=AF_p3QnDcNE&amp;t=358" TargetMode="External"/><Relationship Id="rId334" Type="http://schemas.openxmlformats.org/officeDocument/2006/relationships/hyperlink" Target="https://clutch.co/us/agencies/ppc/google-adwords" TargetMode="External"/><Relationship Id="rId2254" Type="http://schemas.openxmlformats.org/officeDocument/2006/relationships/hyperlink" Target="https://demandspring.com/services/training-enablement-for-ai-first-mindset-teams/" TargetMode="External"/><Relationship Id="rId3586" Type="http://schemas.openxmlformats.org/officeDocument/2006/relationships/hyperlink" Target="http://youtube.com" TargetMode="External"/><Relationship Id="rId333" Type="http://schemas.openxmlformats.org/officeDocument/2006/relationships/hyperlink" Target="http://clutch.co" TargetMode="External"/><Relationship Id="rId2255" Type="http://schemas.openxmlformats.org/officeDocument/2006/relationships/hyperlink" Target="http://demandspring.com" TargetMode="External"/><Relationship Id="rId3585" Type="http://schemas.openxmlformats.org/officeDocument/2006/relationships/hyperlink" Target="https://www.youtube.com/watch?v=DKfcaxbRHcQ&amp;t=331" TargetMode="External"/><Relationship Id="rId332" Type="http://schemas.openxmlformats.org/officeDocument/2006/relationships/hyperlink" Target="https://clutch.co/agencies/digital-marketing" TargetMode="External"/><Relationship Id="rId2256" Type="http://schemas.openxmlformats.org/officeDocument/2006/relationships/hyperlink" Target="https://www.dentsu.com/us" TargetMode="External"/><Relationship Id="rId3588" Type="http://schemas.openxmlformats.org/officeDocument/2006/relationships/hyperlink" Target="http://youtube.com" TargetMode="External"/><Relationship Id="rId331" Type="http://schemas.openxmlformats.org/officeDocument/2006/relationships/hyperlink" Target="http://visionlabs.com" TargetMode="External"/><Relationship Id="rId2257" Type="http://schemas.openxmlformats.org/officeDocument/2006/relationships/hyperlink" Target="http://dentsu.com" TargetMode="External"/><Relationship Id="rId3587" Type="http://schemas.openxmlformats.org/officeDocument/2006/relationships/hyperlink" Target="https://www.youtube.com/watch?v=GBZzmnhPh4U&amp;t=5" TargetMode="External"/><Relationship Id="rId370" Type="http://schemas.openxmlformats.org/officeDocument/2006/relationships/hyperlink" Target="https://www.growth-hackers.net/best-analytics-marketing-agencies/" TargetMode="External"/><Relationship Id="rId369" Type="http://schemas.openxmlformats.org/officeDocument/2006/relationships/hyperlink" Target="http://funnel.io" TargetMode="External"/><Relationship Id="rId368" Type="http://schemas.openxmlformats.org/officeDocument/2006/relationships/hyperlink" Target="https://funnel.io/blog/top-mta-tools" TargetMode="External"/><Relationship Id="rId2280" Type="http://schemas.openxmlformats.org/officeDocument/2006/relationships/hyperlink" Target="https://digitalagencynetwork.com/agencies/san-diego/" TargetMode="External"/><Relationship Id="rId2281" Type="http://schemas.openxmlformats.org/officeDocument/2006/relationships/hyperlink" Target="http://digitalagencynetwork.com" TargetMode="External"/><Relationship Id="rId2282" Type="http://schemas.openxmlformats.org/officeDocument/2006/relationships/hyperlink" Target="https://digitalagencynetwork.com/agencies/usa/industry/travel-tourism/" TargetMode="External"/><Relationship Id="rId363" Type="http://schemas.openxmlformats.org/officeDocument/2006/relationships/hyperlink" Target="https://www.cometly.com/post/incrementality-measurement-tool" TargetMode="External"/><Relationship Id="rId2283" Type="http://schemas.openxmlformats.org/officeDocument/2006/relationships/hyperlink" Target="http://digitalagencynetwork.com" TargetMode="External"/><Relationship Id="rId362" Type="http://schemas.openxmlformats.org/officeDocument/2006/relationships/hyperlink" Target="http://cometly.com" TargetMode="External"/><Relationship Id="rId2284" Type="http://schemas.openxmlformats.org/officeDocument/2006/relationships/hyperlink" Target="https://digitalagencynetwork.com/agency/seer-interactive/" TargetMode="External"/><Relationship Id="rId361" Type="http://schemas.openxmlformats.org/officeDocument/2006/relationships/hyperlink" Target="https://www.cometly.com/post/best-top-marketing-attribution-firms-in-usa" TargetMode="External"/><Relationship Id="rId2285" Type="http://schemas.openxmlformats.org/officeDocument/2006/relationships/hyperlink" Target="http://digitalagencynetwork.com" TargetMode="External"/><Relationship Id="rId360" Type="http://schemas.openxmlformats.org/officeDocument/2006/relationships/hyperlink" Target="http://clutch.co" TargetMode="External"/><Relationship Id="rId2286" Type="http://schemas.openxmlformats.org/officeDocument/2006/relationships/hyperlink" Target="https://digitalagencynetwork.com/agency/webfx/" TargetMode="External"/><Relationship Id="rId367" Type="http://schemas.openxmlformats.org/officeDocument/2006/relationships/hyperlink" Target="https://www.cygnet.one/feeds/blog/compare-ai-consulting-marketing-automation" TargetMode="External"/><Relationship Id="rId2287" Type="http://schemas.openxmlformats.org/officeDocument/2006/relationships/hyperlink" Target="http://digitalagencynetwork.com" TargetMode="External"/><Relationship Id="rId366" Type="http://schemas.openxmlformats.org/officeDocument/2006/relationships/hyperlink" Target="http://creativemilkshake.com" TargetMode="External"/><Relationship Id="rId2288" Type="http://schemas.openxmlformats.org/officeDocument/2006/relationships/hyperlink" Target="https://digitalagencynetwork.com/geo-agency/" TargetMode="External"/><Relationship Id="rId365" Type="http://schemas.openxmlformats.org/officeDocument/2006/relationships/hyperlink" Target="https://www.creativemilkshake.com/blog/top-us-performance-marketing-agencies" TargetMode="External"/><Relationship Id="rId2289" Type="http://schemas.openxmlformats.org/officeDocument/2006/relationships/hyperlink" Target="http://digitalagencynetwork.com" TargetMode="External"/><Relationship Id="rId364" Type="http://schemas.openxmlformats.org/officeDocument/2006/relationships/hyperlink" Target="http://cometly.com" TargetMode="External"/><Relationship Id="rId95" Type="http://schemas.openxmlformats.org/officeDocument/2006/relationships/hyperlink" Target="https://www.cometly.com/post/marketing-incrementality-testing-tools" TargetMode="External"/><Relationship Id="rId94" Type="http://schemas.openxmlformats.org/officeDocument/2006/relationships/hyperlink" Target="http://clutch.co" TargetMode="External"/><Relationship Id="rId97" Type="http://schemas.openxmlformats.org/officeDocument/2006/relationships/hyperlink" Target="https://www.creativefrontiers.co/blog/the-20-best-creative-marketing-agencies-in-the-usa-2025-guide" TargetMode="External"/><Relationship Id="rId96" Type="http://schemas.openxmlformats.org/officeDocument/2006/relationships/hyperlink" Target="http://cometly.com" TargetMode="External"/><Relationship Id="rId99" Type="http://schemas.openxmlformats.org/officeDocument/2006/relationships/hyperlink" Target="https://quimbydigital.com/top-social-media-agencies-in-the-us-2026/" TargetMode="External"/><Relationship Id="rId98" Type="http://schemas.openxmlformats.org/officeDocument/2006/relationships/hyperlink" Target="http://creativefrontiers.co" TargetMode="External"/><Relationship Id="rId91" Type="http://schemas.openxmlformats.org/officeDocument/2006/relationships/hyperlink" Target="https://www.superside.com/blog/creative-agencies" TargetMode="External"/><Relationship Id="rId90" Type="http://schemas.openxmlformats.org/officeDocument/2006/relationships/hyperlink" Target="http://sociallyin.com" TargetMode="External"/><Relationship Id="rId93" Type="http://schemas.openxmlformats.org/officeDocument/2006/relationships/hyperlink" Target="https://clutch.co/us/agencies/ppc/advertising-industry" TargetMode="External"/><Relationship Id="rId92" Type="http://schemas.openxmlformats.org/officeDocument/2006/relationships/hyperlink" Target="http://superside.com" TargetMode="External"/><Relationship Id="rId359" Type="http://schemas.openxmlformats.org/officeDocument/2006/relationships/hyperlink" Target="https://clutch.co/us/agencies/ppc/display?page=8" TargetMode="External"/><Relationship Id="rId358" Type="http://schemas.openxmlformats.org/officeDocument/2006/relationships/hyperlink" Target="http://clutch.co" TargetMode="External"/><Relationship Id="rId357" Type="http://schemas.openxmlformats.org/officeDocument/2006/relationships/hyperlink" Target="https://clutch.co/us/agencies/ppc/display?page=2" TargetMode="External"/><Relationship Id="rId2270" Type="http://schemas.openxmlformats.org/officeDocument/2006/relationships/hyperlink" Target="https://deviatelabs.com/resources/12-best-performance-marketing-agencies-crushing-kpis/" TargetMode="External"/><Relationship Id="rId2271" Type="http://schemas.openxmlformats.org/officeDocument/2006/relationships/hyperlink" Target="http://deviatelabs.com" TargetMode="External"/><Relationship Id="rId352" Type="http://schemas.openxmlformats.org/officeDocument/2006/relationships/hyperlink" Target="http://semrush.com" TargetMode="External"/><Relationship Id="rId2272" Type="http://schemas.openxmlformats.org/officeDocument/2006/relationships/hyperlink" Target="https://diceus.com/top-generative-ai-consulting-companies/" TargetMode="External"/><Relationship Id="rId351" Type="http://schemas.openxmlformats.org/officeDocument/2006/relationships/hyperlink" Target="https://agencies.semrush.com/list/display-advertising/united-states/enterprise-business/" TargetMode="External"/><Relationship Id="rId2273" Type="http://schemas.openxmlformats.org/officeDocument/2006/relationships/hyperlink" Target="http://diceus.com" TargetMode="External"/><Relationship Id="rId350" Type="http://schemas.openxmlformats.org/officeDocument/2006/relationships/hyperlink" Target="http://advertising-in-the-united-states.com" TargetMode="External"/><Relationship Id="rId2274" Type="http://schemas.openxmlformats.org/officeDocument/2006/relationships/hyperlink" Target="https://www.digidir.com/digital-marketing-service-in-usa/" TargetMode="External"/><Relationship Id="rId2275" Type="http://schemas.openxmlformats.org/officeDocument/2006/relationships/hyperlink" Target="http://digidir.com" TargetMode="External"/><Relationship Id="rId356" Type="http://schemas.openxmlformats.org/officeDocument/2006/relationships/hyperlink" Target="http://clutch.co" TargetMode="External"/><Relationship Id="rId2276" Type="http://schemas.openxmlformats.org/officeDocument/2006/relationships/hyperlink" Target="https://diginsights.com/resources/market-research-companies-us-2025/" TargetMode="External"/><Relationship Id="rId355" Type="http://schemas.openxmlformats.org/officeDocument/2006/relationships/hyperlink" Target="https://clutch.co/agencies/ppc/google-adwords" TargetMode="External"/><Relationship Id="rId2277" Type="http://schemas.openxmlformats.org/officeDocument/2006/relationships/hyperlink" Target="http://diginsights.com" TargetMode="External"/><Relationship Id="rId354" Type="http://schemas.openxmlformats.org/officeDocument/2006/relationships/hyperlink" Target="http://google.com" TargetMode="External"/><Relationship Id="rId2278" Type="http://schemas.openxmlformats.org/officeDocument/2006/relationships/hyperlink" Target="https://digital-hunch.com/blog/best-fractional-cmo-companies/" TargetMode="External"/><Relationship Id="rId353" Type="http://schemas.openxmlformats.org/officeDocument/2006/relationships/hyperlink" Target="https://business.google.com/us/support/work-with-a-partner/" TargetMode="External"/><Relationship Id="rId2279" Type="http://schemas.openxmlformats.org/officeDocument/2006/relationships/hyperlink" Target="http://digital-hunch.com" TargetMode="External"/><Relationship Id="rId2225" Type="http://schemas.openxmlformats.org/officeDocument/2006/relationships/hyperlink" Target="http://dacmarketing.co" TargetMode="External"/><Relationship Id="rId3557" Type="http://schemas.openxmlformats.org/officeDocument/2006/relationships/hyperlink" Target="https://worldmetrics.org/service/ai-adoption/" TargetMode="External"/><Relationship Id="rId2226" Type="http://schemas.openxmlformats.org/officeDocument/2006/relationships/hyperlink" Target="https://www.darkroomagency.com/observatory/10-best-growth-marketing-agencies-in-2026-%28ranked-for-online-sales%29" TargetMode="External"/><Relationship Id="rId3556" Type="http://schemas.openxmlformats.org/officeDocument/2006/relationships/hyperlink" Target="http://worldcomgroup.com" TargetMode="External"/><Relationship Id="rId2227" Type="http://schemas.openxmlformats.org/officeDocument/2006/relationships/hyperlink" Target="http://darkroomagency.com" TargetMode="External"/><Relationship Id="rId3559" Type="http://schemas.openxmlformats.org/officeDocument/2006/relationships/hyperlink" Target="https://worldmetrics.org/service/data-marketing/" TargetMode="External"/><Relationship Id="rId2228" Type="http://schemas.openxmlformats.org/officeDocument/2006/relationships/hyperlink" Target="https://www.darkroomagency.com/observatory/15-leading-performance-creative-agencies-in-2025" TargetMode="External"/><Relationship Id="rId3558" Type="http://schemas.openxmlformats.org/officeDocument/2006/relationships/hyperlink" Target="http://worldmetrics.org" TargetMode="External"/><Relationship Id="rId2229" Type="http://schemas.openxmlformats.org/officeDocument/2006/relationships/hyperlink" Target="http://darkroomagency.com" TargetMode="External"/><Relationship Id="rId305" Type="http://schemas.openxmlformats.org/officeDocument/2006/relationships/hyperlink" Target="http://artefact.com" TargetMode="External"/><Relationship Id="rId304" Type="http://schemas.openxmlformats.org/officeDocument/2006/relationships/hyperlink" Target="https://www.artefact.com/offers/marketing-data-driven/marketing-analytics/" TargetMode="External"/><Relationship Id="rId303" Type="http://schemas.openxmlformats.org/officeDocument/2006/relationships/hyperlink" Target="http://semrush.com" TargetMode="External"/><Relationship Id="rId302" Type="http://schemas.openxmlformats.org/officeDocument/2006/relationships/hyperlink" Target="https://agencies.semrush.com/list/display-advertising/" TargetMode="External"/><Relationship Id="rId309" Type="http://schemas.openxmlformats.org/officeDocument/2006/relationships/hyperlink" Target="http://designrush.com" TargetMode="External"/><Relationship Id="rId308" Type="http://schemas.openxmlformats.org/officeDocument/2006/relationships/hyperlink" Target="https://www.designrush.com/agency/paid-media-pay-per-click/display-advertising-agency" TargetMode="External"/><Relationship Id="rId307" Type="http://schemas.openxmlformats.org/officeDocument/2006/relationships/hyperlink" Target="http://clutch.co" TargetMode="External"/><Relationship Id="rId306" Type="http://schemas.openxmlformats.org/officeDocument/2006/relationships/hyperlink" Target="https://clutch.co/us/consulting/ai" TargetMode="External"/><Relationship Id="rId3551" Type="http://schemas.openxmlformats.org/officeDocument/2006/relationships/hyperlink" Target="https://www.within.co/blog/best-agencies-for-enterprise-brands/" TargetMode="External"/><Relationship Id="rId2220" Type="http://schemas.openxmlformats.org/officeDocument/2006/relationships/hyperlink" Target="https://cybersecuritymarketingagencies.com/best-cybersecurity-marketing-agency" TargetMode="External"/><Relationship Id="rId3550" Type="http://schemas.openxmlformats.org/officeDocument/2006/relationships/hyperlink" Target="http://withagency.ai" TargetMode="External"/><Relationship Id="rId301" Type="http://schemas.openxmlformats.org/officeDocument/2006/relationships/hyperlink" Target="http://aeoagency.us" TargetMode="External"/><Relationship Id="rId2221" Type="http://schemas.openxmlformats.org/officeDocument/2006/relationships/hyperlink" Target="http://cybersecuritymarketingagencies.com" TargetMode="External"/><Relationship Id="rId3553" Type="http://schemas.openxmlformats.org/officeDocument/2006/relationships/hyperlink" Target="https://wordable.io/best-ai-seo-agency/" TargetMode="External"/><Relationship Id="rId300" Type="http://schemas.openxmlformats.org/officeDocument/2006/relationships/hyperlink" Target="https://aeoagency.us/" TargetMode="External"/><Relationship Id="rId2222" Type="http://schemas.openxmlformats.org/officeDocument/2006/relationships/hyperlink" Target="https://www.daasity.com/post/best-ecommerce-analytics-software-for-fast-growing-dtc-brands" TargetMode="External"/><Relationship Id="rId3552" Type="http://schemas.openxmlformats.org/officeDocument/2006/relationships/hyperlink" Target="http://within.co" TargetMode="External"/><Relationship Id="rId2223" Type="http://schemas.openxmlformats.org/officeDocument/2006/relationships/hyperlink" Target="http://daasity.com" TargetMode="External"/><Relationship Id="rId3555" Type="http://schemas.openxmlformats.org/officeDocument/2006/relationships/hyperlink" Target="https://worldcomgroup.com/insights/ai-visibility-and-new-era-of-pr/" TargetMode="External"/><Relationship Id="rId2224" Type="http://schemas.openxmlformats.org/officeDocument/2006/relationships/hyperlink" Target="https://dacmarketing.co/" TargetMode="External"/><Relationship Id="rId3554" Type="http://schemas.openxmlformats.org/officeDocument/2006/relationships/hyperlink" Target="http://wordable.io" TargetMode="External"/><Relationship Id="rId2214" Type="http://schemas.openxmlformats.org/officeDocument/2006/relationships/hyperlink" Target="https://www.crowley.com/oea-recertification/" TargetMode="External"/><Relationship Id="rId3546" Type="http://schemas.openxmlformats.org/officeDocument/2006/relationships/hyperlink" Target="http://wifitalents.com" TargetMode="External"/><Relationship Id="rId2215" Type="http://schemas.openxmlformats.org/officeDocument/2006/relationships/hyperlink" Target="http://crowley.com" TargetMode="External"/><Relationship Id="rId3545" Type="http://schemas.openxmlformats.org/officeDocument/2006/relationships/hyperlink" Target="https://wifitalents.com/service/ai-adoption/" TargetMode="External"/><Relationship Id="rId2216" Type="http://schemas.openxmlformats.org/officeDocument/2006/relationships/hyperlink" Target="https://www.customssupport.com/everything-you-need-know-about-getting-aeo-certified/" TargetMode="External"/><Relationship Id="rId3548" Type="http://schemas.openxmlformats.org/officeDocument/2006/relationships/hyperlink" Target="http://wifitalents.com" TargetMode="External"/><Relationship Id="rId2217" Type="http://schemas.openxmlformats.org/officeDocument/2006/relationships/hyperlink" Target="http://customssupport.com" TargetMode="External"/><Relationship Id="rId3547" Type="http://schemas.openxmlformats.org/officeDocument/2006/relationships/hyperlink" Target="https://wifitalents.com/service/global-marketing/" TargetMode="External"/><Relationship Id="rId2218" Type="http://schemas.openxmlformats.org/officeDocument/2006/relationships/hyperlink" Target="https://www.customssupport.com/solutions/trade-customs-accreditation/aeo-certification/" TargetMode="External"/><Relationship Id="rId2219" Type="http://schemas.openxmlformats.org/officeDocument/2006/relationships/hyperlink" Target="http://customssupport.com" TargetMode="External"/><Relationship Id="rId3549" Type="http://schemas.openxmlformats.org/officeDocument/2006/relationships/hyperlink" Target="https://withagency.ai/" TargetMode="External"/><Relationship Id="rId3540" Type="http://schemas.openxmlformats.org/officeDocument/2006/relationships/hyperlink" Target="http://wested.org" TargetMode="External"/><Relationship Id="rId2210" Type="http://schemas.openxmlformats.org/officeDocument/2006/relationships/hyperlink" Target="https://creativelivesinprogress.com/company-directory/huge" TargetMode="External"/><Relationship Id="rId3542" Type="http://schemas.openxmlformats.org/officeDocument/2006/relationships/hyperlink" Target="http://whitehat-seo.co.uk" TargetMode="External"/><Relationship Id="rId2211" Type="http://schemas.openxmlformats.org/officeDocument/2006/relationships/hyperlink" Target="http://creativelivesinprogress.com" TargetMode="External"/><Relationship Id="rId3541" Type="http://schemas.openxmlformats.org/officeDocument/2006/relationships/hyperlink" Target="https://whitehat-seo.co.uk/blog/ai-impact-on-consulting" TargetMode="External"/><Relationship Id="rId2212" Type="http://schemas.openxmlformats.org/officeDocument/2006/relationships/hyperlink" Target="https://creativemediahouse.ae/top-10-creative-agencies-in-gcc/" TargetMode="External"/><Relationship Id="rId3544" Type="http://schemas.openxmlformats.org/officeDocument/2006/relationships/hyperlink" Target="http://whyflagshalfmasttoday.com" TargetMode="External"/><Relationship Id="rId2213" Type="http://schemas.openxmlformats.org/officeDocument/2006/relationships/hyperlink" Target="http://creativemediahouse.ae" TargetMode="External"/><Relationship Id="rId3543" Type="http://schemas.openxmlformats.org/officeDocument/2006/relationships/hyperlink" Target="https://whyflagshalfmasttoday.com/the-best-aeo-optimization-company-in-the-united-states-2026-a-decision-stage-ranking/" TargetMode="External"/><Relationship Id="rId2247" Type="http://schemas.openxmlformats.org/officeDocument/2006/relationships/hyperlink" Target="http://wsj.com" TargetMode="External"/><Relationship Id="rId3579" Type="http://schemas.openxmlformats.org/officeDocument/2006/relationships/hyperlink" Target="https://www.youtube.com/shorts/-1J3sczOLNs" TargetMode="External"/><Relationship Id="rId2248" Type="http://schemas.openxmlformats.org/officeDocument/2006/relationships/hyperlink" Target="https://deloitte.wsj.com/cmo/the-ai-ready-marketing-organization-4-pillars-for-transformation-b859dc67" TargetMode="External"/><Relationship Id="rId3578" Type="http://schemas.openxmlformats.org/officeDocument/2006/relationships/hyperlink" Target="http://yourcontentmart.co" TargetMode="External"/><Relationship Id="rId2249" Type="http://schemas.openxmlformats.org/officeDocument/2006/relationships/hyperlink" Target="http://wsj.com" TargetMode="External"/><Relationship Id="rId327" Type="http://schemas.openxmlformats.org/officeDocument/2006/relationships/hyperlink" Target="http://thesocialshepherd.com" TargetMode="External"/><Relationship Id="rId326" Type="http://schemas.openxmlformats.org/officeDocument/2006/relationships/hyperlink" Target="https://thesocialshepherd.com/blog/top-social-media-agencies-us" TargetMode="External"/><Relationship Id="rId325" Type="http://schemas.openxmlformats.org/officeDocument/2006/relationships/hyperlink" Target="http://thesocialshepherd.com" TargetMode="External"/><Relationship Id="rId324" Type="http://schemas.openxmlformats.org/officeDocument/2006/relationships/hyperlink" Target="https://thesocialshepherd.com/blog/top-google-ads-agencies-us" TargetMode="External"/><Relationship Id="rId329" Type="http://schemas.openxmlformats.org/officeDocument/2006/relationships/hyperlink" Target="http://thriveagency.com" TargetMode="External"/><Relationship Id="rId328" Type="http://schemas.openxmlformats.org/officeDocument/2006/relationships/hyperlink" Target="https://thriveagency.com/news/best-digital-marketing-agencies/" TargetMode="External"/><Relationship Id="rId3571" Type="http://schemas.openxmlformats.org/officeDocument/2006/relationships/hyperlink" Target="https://www.wsj.com/articles/big-ad-agencies-hope-to-gain-edge-by-buying-data-companies-11560823201" TargetMode="External"/><Relationship Id="rId2240" Type="http://schemas.openxmlformats.org/officeDocument/2006/relationships/hyperlink" Target="https://www.datafeedwatch.com/blog/cross-channel-attribution" TargetMode="External"/><Relationship Id="rId3570" Type="http://schemas.openxmlformats.org/officeDocument/2006/relationships/hyperlink" Target="http://wpromote.com" TargetMode="External"/><Relationship Id="rId2241" Type="http://schemas.openxmlformats.org/officeDocument/2006/relationships/hyperlink" Target="http://datafeedwatch.com" TargetMode="External"/><Relationship Id="rId3573" Type="http://schemas.openxmlformats.org/officeDocument/2006/relationships/hyperlink" Target="https://xcelacore.com/ai-consultants-for-mid-sized-companies/" TargetMode="External"/><Relationship Id="rId2242" Type="http://schemas.openxmlformats.org/officeDocument/2006/relationships/hyperlink" Target="https://dcclicks.com/" TargetMode="External"/><Relationship Id="rId3572" Type="http://schemas.openxmlformats.org/officeDocument/2006/relationships/hyperlink" Target="http://wsj.com" TargetMode="External"/><Relationship Id="rId323" Type="http://schemas.openxmlformats.org/officeDocument/2006/relationships/hyperlink" Target="http://techbehemoths.com" TargetMode="External"/><Relationship Id="rId2243" Type="http://schemas.openxmlformats.org/officeDocument/2006/relationships/hyperlink" Target="http://dcclicks.com" TargetMode="External"/><Relationship Id="rId3575" Type="http://schemas.openxmlformats.org/officeDocument/2006/relationships/hyperlink" Target="https://xcelacore.com/best-ai-automation-agencies-usa-guide/" TargetMode="External"/><Relationship Id="rId322" Type="http://schemas.openxmlformats.org/officeDocument/2006/relationships/hyperlink" Target="https://techbehemoths.com/companies/marketing-analytics/united-states" TargetMode="External"/><Relationship Id="rId2244" Type="http://schemas.openxmlformats.org/officeDocument/2006/relationships/hyperlink" Target="https://delivix.digital/marketing/marketing-agencies-in-the-usa/" TargetMode="External"/><Relationship Id="rId3574" Type="http://schemas.openxmlformats.org/officeDocument/2006/relationships/hyperlink" Target="http://xcelacore.com" TargetMode="External"/><Relationship Id="rId321" Type="http://schemas.openxmlformats.org/officeDocument/2006/relationships/hyperlink" Target="http://sweatpantsagency.com" TargetMode="External"/><Relationship Id="rId2245" Type="http://schemas.openxmlformats.org/officeDocument/2006/relationships/hyperlink" Target="https://delivix.digital/seo/top-10-social-media-agencies-globally/" TargetMode="External"/><Relationship Id="rId3577" Type="http://schemas.openxmlformats.org/officeDocument/2006/relationships/hyperlink" Target="https://yourcontentmart.co/best-answer-engine-optimization-agencies/" TargetMode="External"/><Relationship Id="rId320" Type="http://schemas.openxmlformats.org/officeDocument/2006/relationships/hyperlink" Target="https://sweatpantsagency.com/the-top-9-social-media-ad-agencies" TargetMode="External"/><Relationship Id="rId2246" Type="http://schemas.openxmlformats.org/officeDocument/2006/relationships/hyperlink" Target="https://deloitte.wsj.com/cmo/is-your-customer-data-ai-ready-5e75b9ac" TargetMode="External"/><Relationship Id="rId3576" Type="http://schemas.openxmlformats.org/officeDocument/2006/relationships/hyperlink" Target="http://xcelacore.com" TargetMode="External"/><Relationship Id="rId2236" Type="http://schemas.openxmlformats.org/officeDocument/2006/relationships/hyperlink" Target="https://www.dataally.ai/blog/best-beauty-marketing-agencies" TargetMode="External"/><Relationship Id="rId3568" Type="http://schemas.openxmlformats.org/officeDocument/2006/relationships/hyperlink" Target="http://wpp.com" TargetMode="External"/><Relationship Id="rId2237" Type="http://schemas.openxmlformats.org/officeDocument/2006/relationships/hyperlink" Target="http://dataally.ai" TargetMode="External"/><Relationship Id="rId3567" Type="http://schemas.openxmlformats.org/officeDocument/2006/relationships/hyperlink" Target="https://www.wpp.com/en/news/2026/03/wpp-claims-top-spot-on-warc-creative-100-for-fourth-consecutive-year" TargetMode="External"/><Relationship Id="rId2238" Type="http://schemas.openxmlformats.org/officeDocument/2006/relationships/hyperlink" Target="https://www.dataally.ai/blog/best-saas-marketing-agencies" TargetMode="External"/><Relationship Id="rId2239" Type="http://schemas.openxmlformats.org/officeDocument/2006/relationships/hyperlink" Target="http://dataally.ai" TargetMode="External"/><Relationship Id="rId3569" Type="http://schemas.openxmlformats.org/officeDocument/2006/relationships/hyperlink" Target="https://www.wpromote.com/digital-marketing-services/strategy-planning/" TargetMode="External"/><Relationship Id="rId316" Type="http://schemas.openxmlformats.org/officeDocument/2006/relationships/hyperlink" Target="https://www.sortlist.com/s/marketing-analytics/united-states-us" TargetMode="External"/><Relationship Id="rId315" Type="http://schemas.openxmlformats.org/officeDocument/2006/relationships/hyperlink" Target="http://sageitinc.com" TargetMode="External"/><Relationship Id="rId314" Type="http://schemas.openxmlformats.org/officeDocument/2006/relationships/hyperlink" Target="https://sageitinc.com/reference-center/best-ai-consulting-companies" TargetMode="External"/><Relationship Id="rId313" Type="http://schemas.openxmlformats.org/officeDocument/2006/relationships/hyperlink" Target="http://nationalmarketingawards.com" TargetMode="External"/><Relationship Id="rId319" Type="http://schemas.openxmlformats.org/officeDocument/2006/relationships/hyperlink" Target="http://supermetrics.com" TargetMode="External"/><Relationship Id="rId318" Type="http://schemas.openxmlformats.org/officeDocument/2006/relationships/hyperlink" Target="https://supermetrics.com/blog/incrementality-testing" TargetMode="External"/><Relationship Id="rId317" Type="http://schemas.openxmlformats.org/officeDocument/2006/relationships/hyperlink" Target="http://sortlist.com" TargetMode="External"/><Relationship Id="rId3560" Type="http://schemas.openxmlformats.org/officeDocument/2006/relationships/hyperlink" Target="http://worldmetrics.org" TargetMode="External"/><Relationship Id="rId2230" Type="http://schemas.openxmlformats.org/officeDocument/2006/relationships/hyperlink" Target="https://www.darkroomagency.com/observatory/what-is-a-growth-hacking-agency-definition-and-top-12-picks-for-2026" TargetMode="External"/><Relationship Id="rId3562" Type="http://schemas.openxmlformats.org/officeDocument/2006/relationships/hyperlink" Target="http://worldmetrics.org" TargetMode="External"/><Relationship Id="rId2231" Type="http://schemas.openxmlformats.org/officeDocument/2006/relationships/hyperlink" Target="http://darkroomagency.com" TargetMode="External"/><Relationship Id="rId3561" Type="http://schemas.openxmlformats.org/officeDocument/2006/relationships/hyperlink" Target="https://worldmetrics.org/service/digital-content-marketing/" TargetMode="External"/><Relationship Id="rId312" Type="http://schemas.openxmlformats.org/officeDocument/2006/relationships/hyperlink" Target="https://www.nationalmarketingawards.com/" TargetMode="External"/><Relationship Id="rId2232" Type="http://schemas.openxmlformats.org/officeDocument/2006/relationships/hyperlink" Target="https://www.darwinapps.com/blog/9-best-marketing-measurement-tools-for-attribution-analytics-and-data-integration-in-2026/" TargetMode="External"/><Relationship Id="rId3564" Type="http://schemas.openxmlformats.org/officeDocument/2006/relationships/hyperlink" Target="http://worldmetrics.org" TargetMode="External"/><Relationship Id="rId311" Type="http://schemas.openxmlformats.org/officeDocument/2006/relationships/hyperlink" Target="http://lyfemarketing.com" TargetMode="External"/><Relationship Id="rId2233" Type="http://schemas.openxmlformats.org/officeDocument/2006/relationships/hyperlink" Target="http://darwinapps.com" TargetMode="External"/><Relationship Id="rId3563" Type="http://schemas.openxmlformats.org/officeDocument/2006/relationships/hyperlink" Target="https://worldmetrics.org/service/digital-media-planning/" TargetMode="External"/><Relationship Id="rId310" Type="http://schemas.openxmlformats.org/officeDocument/2006/relationships/hyperlink" Target="https://www.lyfemarketing.com/blog/top-paid-social-agencies-us/" TargetMode="External"/><Relationship Id="rId2234" Type="http://schemas.openxmlformats.org/officeDocument/2006/relationships/hyperlink" Target="https://dashboard.incrmntal.net/" TargetMode="External"/><Relationship Id="rId3566" Type="http://schemas.openxmlformats.org/officeDocument/2006/relationships/hyperlink" Target="http://worldmetrics.org" TargetMode="External"/><Relationship Id="rId2235" Type="http://schemas.openxmlformats.org/officeDocument/2006/relationships/hyperlink" Target="http://incrmntal.net" TargetMode="External"/><Relationship Id="rId3565" Type="http://schemas.openxmlformats.org/officeDocument/2006/relationships/hyperlink" Target="https://worldmetrics.org/service/digital-media-production/" TargetMode="External"/><Relationship Id="rId297" Type="http://schemas.openxmlformats.org/officeDocument/2006/relationships/hyperlink" Target="http://topgeoagencies.com" TargetMode="External"/><Relationship Id="rId296" Type="http://schemas.openxmlformats.org/officeDocument/2006/relationships/hyperlink" Target="https://topgeoagencies.com/" TargetMode="External"/><Relationship Id="rId295" Type="http://schemas.openxmlformats.org/officeDocument/2006/relationships/hyperlink" Target="http://thedrum.com" TargetMode="External"/><Relationship Id="rId294" Type="http://schemas.openxmlformats.org/officeDocument/2006/relationships/hyperlink" Target="https://www.thedrum.com/news/meet-the-us-agencies-with-the-biggest-increase-in-this-year-s-world-creative-rankings" TargetMode="External"/><Relationship Id="rId299" Type="http://schemas.openxmlformats.org/officeDocument/2006/relationships/hyperlink" Target="http://uforocks.com" TargetMode="External"/><Relationship Id="rId298" Type="http://schemas.openxmlformats.org/officeDocument/2006/relationships/hyperlink" Target="https://www.uforocks.com/blog/top-performance-marketing-agencies-in-the-u-s/" TargetMode="External"/><Relationship Id="rId271" Type="http://schemas.openxmlformats.org/officeDocument/2006/relationships/hyperlink" Target="http://decisionfoundry.com" TargetMode="External"/><Relationship Id="rId270" Type="http://schemas.openxmlformats.org/officeDocument/2006/relationships/hyperlink" Target="https://www.decisionfoundry.com/marketing-measurement-analytics-services/" TargetMode="External"/><Relationship Id="rId269" Type="http://schemas.openxmlformats.org/officeDocument/2006/relationships/hyperlink" Target="http://clutch.co" TargetMode="External"/><Relationship Id="rId264" Type="http://schemas.openxmlformats.org/officeDocument/2006/relationships/hyperlink" Target="https://www.andersoncollaborative.com/best-growth-marketing-agencies-in-the-united-states-accelerating-brand-expansion-through-innovative-strategies/" TargetMode="External"/><Relationship Id="rId263" Type="http://schemas.openxmlformats.org/officeDocument/2006/relationships/hyperlink" Target="http://aimerce.ai" TargetMode="External"/><Relationship Id="rId262" Type="http://schemas.openxmlformats.org/officeDocument/2006/relationships/hyperlink" Target="https://www.aimerce.ai/blogs/seo/top-5-incrementality-testing-tools-for-dtc-brands-in-2026" TargetMode="External"/><Relationship Id="rId261" Type="http://schemas.openxmlformats.org/officeDocument/2006/relationships/hyperlink" Target="http://agencyspotter.com" TargetMode="External"/><Relationship Id="rId268" Type="http://schemas.openxmlformats.org/officeDocument/2006/relationships/hyperlink" Target="https://clutch.co/us/agencies/media-buying" TargetMode="External"/><Relationship Id="rId267" Type="http://schemas.openxmlformats.org/officeDocument/2006/relationships/hyperlink" Target="http://businessofapps.com" TargetMode="External"/><Relationship Id="rId266" Type="http://schemas.openxmlformats.org/officeDocument/2006/relationships/hyperlink" Target="https://www.businessofapps.com/marketplace/ai-marketing/" TargetMode="External"/><Relationship Id="rId265" Type="http://schemas.openxmlformats.org/officeDocument/2006/relationships/hyperlink" Target="http://andersoncollaborative.com" TargetMode="External"/><Relationship Id="rId260" Type="http://schemas.openxmlformats.org/officeDocument/2006/relationships/hyperlink" Target="https://www.agencyspotter.com/top/paid-search-and-paid-social-advertising" TargetMode="External"/><Relationship Id="rId259" Type="http://schemas.openxmlformats.org/officeDocument/2006/relationships/hyperlink" Target="http://agencycluster.com" TargetMode="External"/><Relationship Id="rId258" Type="http://schemas.openxmlformats.org/officeDocument/2006/relationships/hyperlink" Target="https://www.agencycluster.com/top-10/branding-creative-agencies" TargetMode="External"/><Relationship Id="rId2290" Type="http://schemas.openxmlformats.org/officeDocument/2006/relationships/hyperlink" Target="https://www.digitalapplied.com/blog/data-clean-rooms-advertising-2026-marketer-decision-guide" TargetMode="External"/><Relationship Id="rId2291" Type="http://schemas.openxmlformats.org/officeDocument/2006/relationships/hyperlink" Target="http://digitalapplied.com" TargetMode="External"/><Relationship Id="rId2292" Type="http://schemas.openxmlformats.org/officeDocument/2006/relationships/hyperlink" Target="https://www.digitalapplied.com/blog/first-party-data-activation-2026-server-side-tracking-playbook" TargetMode="External"/><Relationship Id="rId2293" Type="http://schemas.openxmlformats.org/officeDocument/2006/relationships/hyperlink" Target="http://digitalapplied.com" TargetMode="External"/><Relationship Id="rId253" Type="http://schemas.openxmlformats.org/officeDocument/2006/relationships/hyperlink" Target="http://phosailabs.com" TargetMode="External"/><Relationship Id="rId2294" Type="http://schemas.openxmlformats.org/officeDocument/2006/relationships/hyperlink" Target="https://www.digitalreference.co/insights/marketing-professionals/best-marketing-companies-firms-in-the-usa" TargetMode="External"/><Relationship Id="rId252" Type="http://schemas.openxmlformats.org/officeDocument/2006/relationships/hyperlink" Target="https://phosailabs.com/blog/best-ai-consulting-firms-marketing-agencies" TargetMode="External"/><Relationship Id="rId2295" Type="http://schemas.openxmlformats.org/officeDocument/2006/relationships/hyperlink" Target="http://digitalreference.co" TargetMode="External"/><Relationship Id="rId251" Type="http://schemas.openxmlformats.org/officeDocument/2006/relationships/hyperlink" Target="http://mintcopywritingstudios.com" TargetMode="External"/><Relationship Id="rId2296" Type="http://schemas.openxmlformats.org/officeDocument/2006/relationships/hyperlink" Target="https://www.digitalsilk.com/branding-agency/branding-trends/best-branding-agencies/" TargetMode="External"/><Relationship Id="rId250" Type="http://schemas.openxmlformats.org/officeDocument/2006/relationships/hyperlink" Target="https://www.mintcopywritingstudios.com/blog/ai-search-optimization-geo-agencies" TargetMode="External"/><Relationship Id="rId2297" Type="http://schemas.openxmlformats.org/officeDocument/2006/relationships/hyperlink" Target="http://digitalsilk.com" TargetMode="External"/><Relationship Id="rId257" Type="http://schemas.openxmlformats.org/officeDocument/2006/relationships/hyperlink" Target="http://thedigitalelevator.com" TargetMode="External"/><Relationship Id="rId2298" Type="http://schemas.openxmlformats.org/officeDocument/2006/relationships/hyperlink" Target="https://www.digitalsilk.com/digital-marketing/marketing-trends/top-premium-marketing-agencies/" TargetMode="External"/><Relationship Id="rId256" Type="http://schemas.openxmlformats.org/officeDocument/2006/relationships/hyperlink" Target="https://thedigitalelevator.com/blog/best-generative-engine-optimization-geo-agencies/" TargetMode="External"/><Relationship Id="rId2299" Type="http://schemas.openxmlformats.org/officeDocument/2006/relationships/hyperlink" Target="http://digitalsilk.com" TargetMode="External"/><Relationship Id="rId255" Type="http://schemas.openxmlformats.org/officeDocument/2006/relationships/hyperlink" Target="http://scalixai.com" TargetMode="External"/><Relationship Id="rId254" Type="http://schemas.openxmlformats.org/officeDocument/2006/relationships/hyperlink" Target="https://scalixai.com/blog/best-performance-marketing-agencies" TargetMode="External"/><Relationship Id="rId293" Type="http://schemas.openxmlformats.org/officeDocument/2006/relationships/hyperlink" Target="http://stratabeat.com" TargetMode="External"/><Relationship Id="rId292" Type="http://schemas.openxmlformats.org/officeDocument/2006/relationships/hyperlink" Target="https://stratabeat.com/best-geo-agency/" TargetMode="External"/><Relationship Id="rId291" Type="http://schemas.openxmlformats.org/officeDocument/2006/relationships/hyperlink" Target="http://sociallyin.com" TargetMode="External"/><Relationship Id="rId290" Type="http://schemas.openxmlformats.org/officeDocument/2006/relationships/hyperlink" Target="https://sociallyin.com/resources/top-paid-social-agencies-us/" TargetMode="External"/><Relationship Id="rId286" Type="http://schemas.openxmlformats.org/officeDocument/2006/relationships/hyperlink" Target="https://www.relevance.com/2026-report-the-best-generative-engine-optimization-agencies/" TargetMode="External"/><Relationship Id="rId285" Type="http://schemas.openxmlformats.org/officeDocument/2006/relationships/hyperlink" Target="http://qoulomb.com" TargetMode="External"/><Relationship Id="rId284" Type="http://schemas.openxmlformats.org/officeDocument/2006/relationships/hyperlink" Target="https://qoulomb.com/best-ai-seo-agencies-in-the-usa/" TargetMode="External"/><Relationship Id="rId283" Type="http://schemas.openxmlformats.org/officeDocument/2006/relationships/hyperlink" Target="http://marketinginsidergroup.com" TargetMode="External"/><Relationship Id="rId289" Type="http://schemas.openxmlformats.org/officeDocument/2006/relationships/hyperlink" Target="http://scopicstudios.com" TargetMode="External"/><Relationship Id="rId288" Type="http://schemas.openxmlformats.org/officeDocument/2006/relationships/hyperlink" Target="https://scopicstudios.com/blog/top-marketing-analytics-agencies/" TargetMode="External"/><Relationship Id="rId287" Type="http://schemas.openxmlformats.org/officeDocument/2006/relationships/hyperlink" Target="http://relevance.com" TargetMode="External"/><Relationship Id="rId282" Type="http://schemas.openxmlformats.org/officeDocument/2006/relationships/hyperlink" Target="https://marketinginsidergroup.com/content-marketing/best-geo-aeo-agencies-in-us/" TargetMode="External"/><Relationship Id="rId281" Type="http://schemas.openxmlformats.org/officeDocument/2006/relationships/hyperlink" Target="http://hockeystack.com" TargetMode="External"/><Relationship Id="rId280" Type="http://schemas.openxmlformats.org/officeDocument/2006/relationships/hyperlink" Target="https://www.hockeystack.com/blog-posts/best-marketing-attribution-software" TargetMode="External"/><Relationship Id="rId275" Type="http://schemas.openxmlformats.org/officeDocument/2006/relationships/hyperlink" Target="http://digitalagencynetwork.com" TargetMode="External"/><Relationship Id="rId274" Type="http://schemas.openxmlformats.org/officeDocument/2006/relationships/hyperlink" Target="https://digitalagencynetwork.com/agencies/usa/" TargetMode="External"/><Relationship Id="rId273" Type="http://schemas.openxmlformats.org/officeDocument/2006/relationships/hyperlink" Target="http://designrush.com" TargetMode="External"/><Relationship Id="rId272" Type="http://schemas.openxmlformats.org/officeDocument/2006/relationships/hyperlink" Target="https://www.designrush.com/agency/digital-marketing/artificial-intelligence" TargetMode="External"/><Relationship Id="rId279" Type="http://schemas.openxmlformats.org/officeDocument/2006/relationships/hyperlink" Target="http://digitalnomadshq.com.au" TargetMode="External"/><Relationship Id="rId278" Type="http://schemas.openxmlformats.org/officeDocument/2006/relationships/hyperlink" Target="https://digitalnomadshq.com.au/blog/marketing-agencies-usa/" TargetMode="External"/><Relationship Id="rId277" Type="http://schemas.openxmlformats.org/officeDocument/2006/relationships/hyperlink" Target="http://digitalagencynetwork.com" TargetMode="External"/><Relationship Id="rId276" Type="http://schemas.openxmlformats.org/officeDocument/2006/relationships/hyperlink" Target="https://digitalagencynetwork.com/agencies/usa/geo/" TargetMode="External"/><Relationship Id="rId1851" Type="http://schemas.openxmlformats.org/officeDocument/2006/relationships/hyperlink" Target="https://algoscale.com/blog/top-business-intelligence-consulting-companies/" TargetMode="External"/><Relationship Id="rId1852" Type="http://schemas.openxmlformats.org/officeDocument/2006/relationships/hyperlink" Target="http://algoscale.com" TargetMode="External"/><Relationship Id="rId1853" Type="http://schemas.openxmlformats.org/officeDocument/2006/relationships/hyperlink" Target="https://alicelabs.ai/en/insights/ai-consulting-pricing-2026" TargetMode="External"/><Relationship Id="rId1854" Type="http://schemas.openxmlformats.org/officeDocument/2006/relationships/hyperlink" Target="http://alicelabs.ai" TargetMode="External"/><Relationship Id="rId1855" Type="http://schemas.openxmlformats.org/officeDocument/2006/relationships/hyperlink" Target="https://alignedagency.io/best-ai-marketing-agencies-for-2026/" TargetMode="External"/><Relationship Id="rId1856" Type="http://schemas.openxmlformats.org/officeDocument/2006/relationships/hyperlink" Target="http://alignedagency.io" TargetMode="External"/><Relationship Id="rId1857" Type="http://schemas.openxmlformats.org/officeDocument/2006/relationships/hyperlink" Target="https://www.als-cs.com/glossary/a/authorized-economic-operator-aeo-trusted-trader-programs/" TargetMode="External"/><Relationship Id="rId1858" Type="http://schemas.openxmlformats.org/officeDocument/2006/relationships/hyperlink" Target="http://als-cs.com" TargetMode="External"/><Relationship Id="rId1859" Type="http://schemas.openxmlformats.org/officeDocument/2006/relationships/hyperlink" Target="https://amakc.com/kansas-city-marketing-companies-directory/" TargetMode="External"/><Relationship Id="rId1850" Type="http://schemas.openxmlformats.org/officeDocument/2006/relationships/hyperlink" Target="http://ajelix.com" TargetMode="External"/><Relationship Id="rId1840" Type="http://schemas.openxmlformats.org/officeDocument/2006/relationships/hyperlink" Target="http://airpost.ai" TargetMode="External"/><Relationship Id="rId1841" Type="http://schemas.openxmlformats.org/officeDocument/2006/relationships/hyperlink" Target="https://aiseo.keywordseverywhere.com/brand/recast" TargetMode="External"/><Relationship Id="rId1842" Type="http://schemas.openxmlformats.org/officeDocument/2006/relationships/hyperlink" Target="http://keywordseverywhere.com" TargetMode="External"/><Relationship Id="rId1843" Type="http://schemas.openxmlformats.org/officeDocument/2006/relationships/hyperlink" Target="https://aisera.com/blog/ai-agent-development-companies-and-platforms/" TargetMode="External"/><Relationship Id="rId1844" Type="http://schemas.openxmlformats.org/officeDocument/2006/relationships/hyperlink" Target="http://aisera.com" TargetMode="External"/><Relationship Id="rId1845" Type="http://schemas.openxmlformats.org/officeDocument/2006/relationships/hyperlink" Target="https://aisuperior.com/geospatial-companies-in-the-usa/" TargetMode="External"/><Relationship Id="rId1846" Type="http://schemas.openxmlformats.org/officeDocument/2006/relationships/hyperlink" Target="http://aisuperior.com" TargetMode="External"/><Relationship Id="rId1847" Type="http://schemas.openxmlformats.org/officeDocument/2006/relationships/hyperlink" Target="https://www.aisyndicate.com/" TargetMode="External"/><Relationship Id="rId1848" Type="http://schemas.openxmlformats.org/officeDocument/2006/relationships/hyperlink" Target="http://aisyndicate.com" TargetMode="External"/><Relationship Id="rId1849" Type="http://schemas.openxmlformats.org/officeDocument/2006/relationships/hyperlink" Target="https://ajelix.com/ai/best-ai-agents/" TargetMode="External"/><Relationship Id="rId1873" Type="http://schemas.openxmlformats.org/officeDocument/2006/relationships/hyperlink" Target="https://www.answermaniac.ai/best-geo-agencies" TargetMode="External"/><Relationship Id="rId1874" Type="http://schemas.openxmlformats.org/officeDocument/2006/relationships/hyperlink" Target="http://answermaniac.ai" TargetMode="External"/><Relationship Id="rId1875" Type="http://schemas.openxmlformats.org/officeDocument/2006/relationships/hyperlink" Target="https://appkod.com/blogs/paid-media-agencies-us/" TargetMode="External"/><Relationship Id="rId1876" Type="http://schemas.openxmlformats.org/officeDocument/2006/relationships/hyperlink" Target="http://appkod.com" TargetMode="External"/><Relationship Id="rId1877" Type="http://schemas.openxmlformats.org/officeDocument/2006/relationships/hyperlink" Target="https://www.argonandco.com/us/services/data-and-ai/ai-adoption/" TargetMode="External"/><Relationship Id="rId1878" Type="http://schemas.openxmlformats.org/officeDocument/2006/relationships/hyperlink" Target="http://argonandco.com" TargetMode="External"/><Relationship Id="rId1879" Type="http://schemas.openxmlformats.org/officeDocument/2006/relationships/hyperlink" Target="https://www.artefact.com/" TargetMode="External"/><Relationship Id="rId1870" Type="http://schemas.openxmlformats.org/officeDocument/2006/relationships/hyperlink" Target="http://anderinger.com" TargetMode="External"/><Relationship Id="rId1871" Type="http://schemas.openxmlformats.org/officeDocument/2006/relationships/hyperlink" Target="https://www.anml.com/blog/best-b2b-web-design-agencies-in-2026" TargetMode="External"/><Relationship Id="rId1872" Type="http://schemas.openxmlformats.org/officeDocument/2006/relationships/hyperlink" Target="http://anml.com" TargetMode="External"/><Relationship Id="rId1862" Type="http://schemas.openxmlformats.org/officeDocument/2006/relationships/hyperlink" Target="http://amplitude.com" TargetMode="External"/><Relationship Id="rId1863" Type="http://schemas.openxmlformats.org/officeDocument/2006/relationships/hyperlink" Target="https://amworldgroup.com/best/ai-marketing-agencies" TargetMode="External"/><Relationship Id="rId1864" Type="http://schemas.openxmlformats.org/officeDocument/2006/relationships/hyperlink" Target="http://amworldgroup.com" TargetMode="External"/><Relationship Id="rId1865" Type="http://schemas.openxmlformats.org/officeDocument/2006/relationships/hyperlink" Target="https://amworldgroup.com/directory/seo-agencies/jellyfish" TargetMode="External"/><Relationship Id="rId1866" Type="http://schemas.openxmlformats.org/officeDocument/2006/relationships/hyperlink" Target="http://amworldgroup.com" TargetMode="External"/><Relationship Id="rId1867" Type="http://schemas.openxmlformats.org/officeDocument/2006/relationships/hyperlink" Target="https://www.analyticsinsight.net/amp/story/digital-marketing/top-aeo-agencies-in-usa-best-2026-picks-for-ai-search-optimization" TargetMode="External"/><Relationship Id="rId1868" Type="http://schemas.openxmlformats.org/officeDocument/2006/relationships/hyperlink" Target="http://analyticsinsight.net" TargetMode="External"/><Relationship Id="rId1869" Type="http://schemas.openxmlformats.org/officeDocument/2006/relationships/hyperlink" Target="https://www.anderinger.com/services/customs-brokerage-consulting/us-customs-brokerage/" TargetMode="External"/><Relationship Id="rId1860" Type="http://schemas.openxmlformats.org/officeDocument/2006/relationships/hyperlink" Target="http://amakc.com" TargetMode="External"/><Relationship Id="rId1861" Type="http://schemas.openxmlformats.org/officeDocument/2006/relationships/hyperlink" Target="https://amplitude.com/blog/first-party-data-strategy" TargetMode="External"/><Relationship Id="rId1810" Type="http://schemas.openxmlformats.org/officeDocument/2006/relationships/hyperlink" Target="http://agencyvista.com" TargetMode="External"/><Relationship Id="rId1811" Type="http://schemas.openxmlformats.org/officeDocument/2006/relationships/hyperlink" Target="https://agencyvista.com/lists/google-marketing-platform-certified/page/2/" TargetMode="External"/><Relationship Id="rId1812" Type="http://schemas.openxmlformats.org/officeDocument/2006/relationships/hyperlink" Target="http://agencyvista.com" TargetMode="External"/><Relationship Id="rId1813" Type="http://schemas.openxmlformats.org/officeDocument/2006/relationships/hyperlink" Target="https://agenticmarketingpro.com/incrementality-testing/" TargetMode="External"/><Relationship Id="rId1814" Type="http://schemas.openxmlformats.org/officeDocument/2006/relationships/hyperlink" Target="http://agenticmarketingpro.com" TargetMode="External"/><Relationship Id="rId1815" Type="http://schemas.openxmlformats.org/officeDocument/2006/relationships/hyperlink" Target="https://ahrefs.com/agencies/united-states" TargetMode="External"/><Relationship Id="rId1816" Type="http://schemas.openxmlformats.org/officeDocument/2006/relationships/hyperlink" Target="http://ahrefs.com" TargetMode="External"/><Relationship Id="rId1817" Type="http://schemas.openxmlformats.org/officeDocument/2006/relationships/hyperlink" Target="https://www.ai360review.com/" TargetMode="External"/><Relationship Id="rId1818" Type="http://schemas.openxmlformats.org/officeDocument/2006/relationships/hyperlink" Target="http://ai360review.com" TargetMode="External"/><Relationship Id="rId1819" Type="http://schemas.openxmlformats.org/officeDocument/2006/relationships/hyperlink" Target="https://aiadvantageagency.com/facebook-ads-agency/" TargetMode="External"/><Relationship Id="rId1800" Type="http://schemas.openxmlformats.org/officeDocument/2006/relationships/hyperlink" Target="http://agencylist.com" TargetMode="External"/><Relationship Id="rId1801" Type="http://schemas.openxmlformats.org/officeDocument/2006/relationships/hyperlink" Target="https://agencyranks.com/" TargetMode="External"/><Relationship Id="rId1802" Type="http://schemas.openxmlformats.org/officeDocument/2006/relationships/hyperlink" Target="http://agencyranks.com" TargetMode="External"/><Relationship Id="rId1803" Type="http://schemas.openxmlformats.org/officeDocument/2006/relationships/hyperlink" Target="https://www.agencyspotter.com/bbdo" TargetMode="External"/><Relationship Id="rId1804" Type="http://schemas.openxmlformats.org/officeDocument/2006/relationships/hyperlink" Target="http://agencyspotter.com" TargetMode="External"/><Relationship Id="rId1805" Type="http://schemas.openxmlformats.org/officeDocument/2006/relationships/hyperlink" Target="https://www.agencyspotter.com/top/digital-marketing-agencies" TargetMode="External"/><Relationship Id="rId1806" Type="http://schemas.openxmlformats.org/officeDocument/2006/relationships/hyperlink" Target="http://agencyspotter.com" TargetMode="External"/><Relationship Id="rId1807" Type="http://schemas.openxmlformats.org/officeDocument/2006/relationships/hyperlink" Target="https://www.agencyspotter.com/top/media-planning-and-strategy-agencies" TargetMode="External"/><Relationship Id="rId1808" Type="http://schemas.openxmlformats.org/officeDocument/2006/relationships/hyperlink" Target="http://agencyspotter.com" TargetMode="External"/><Relationship Id="rId1809" Type="http://schemas.openxmlformats.org/officeDocument/2006/relationships/hyperlink" Target="https://agencyvista.com/lists/google-marketing-platform-certified/" TargetMode="External"/><Relationship Id="rId1830" Type="http://schemas.openxmlformats.org/officeDocument/2006/relationships/hyperlink" Target="http://aidigital.com" TargetMode="External"/><Relationship Id="rId1831" Type="http://schemas.openxmlformats.org/officeDocument/2006/relationships/hyperlink" Target="https://www.aidigital.com/blog/what-is-incrementality-testing-in-marketing" TargetMode="External"/><Relationship Id="rId1832" Type="http://schemas.openxmlformats.org/officeDocument/2006/relationships/hyperlink" Target="http://aidigital.com" TargetMode="External"/><Relationship Id="rId1833" Type="http://schemas.openxmlformats.org/officeDocument/2006/relationships/hyperlink" Target="https://www.aikenhouse.com/post/8-top-ai-consulting-companies-to-consider-2026-review-comparison" TargetMode="External"/><Relationship Id="rId1834" Type="http://schemas.openxmlformats.org/officeDocument/2006/relationships/hyperlink" Target="http://aikenhouse.com" TargetMode="External"/><Relationship Id="rId1835" Type="http://schemas.openxmlformats.org/officeDocument/2006/relationships/hyperlink" Target="https://aimarketing-agency.com/" TargetMode="External"/><Relationship Id="rId1836" Type="http://schemas.openxmlformats.org/officeDocument/2006/relationships/hyperlink" Target="http://aimarketing-agency.com" TargetMode="External"/><Relationship Id="rId1837" Type="http://schemas.openxmlformats.org/officeDocument/2006/relationships/hyperlink" Target="https://www.aimediagroup.com/post/how-ai-is-revolutionizing-media-buying-smarter-bids-better-results" TargetMode="External"/><Relationship Id="rId1838" Type="http://schemas.openxmlformats.org/officeDocument/2006/relationships/hyperlink" Target="http://aimediagroup.com" TargetMode="External"/><Relationship Id="rId1839" Type="http://schemas.openxmlformats.org/officeDocument/2006/relationships/hyperlink" Target="https://www.airpost.ai/blog/best-performance-marketing-agencies" TargetMode="External"/><Relationship Id="rId1820" Type="http://schemas.openxmlformats.org/officeDocument/2006/relationships/hyperlink" Target="http://aiadvantageagency.com" TargetMode="External"/><Relationship Id="rId1821" Type="http://schemas.openxmlformats.org/officeDocument/2006/relationships/hyperlink" Target="https://aiadvantageagency.com/first-party-data-strategy/" TargetMode="External"/><Relationship Id="rId1822" Type="http://schemas.openxmlformats.org/officeDocument/2006/relationships/hyperlink" Target="http://aiadvantageagency.com" TargetMode="External"/><Relationship Id="rId1823" Type="http://schemas.openxmlformats.org/officeDocument/2006/relationships/hyperlink" Target="https://www.aiag.org/expertise-areas/supply-chain-management/north-american-customs---trade/ctpat-aeo---supply-chain-security-management" TargetMode="External"/><Relationship Id="rId1824" Type="http://schemas.openxmlformats.org/officeDocument/2006/relationships/hyperlink" Target="http://aiag.org" TargetMode="External"/><Relationship Id="rId1825" Type="http://schemas.openxmlformats.org/officeDocument/2006/relationships/hyperlink" Target="https://aiagents4cfo.com/the-cfos-ai-playbook-10-vendors-rebuilding-finance-in-2026/" TargetMode="External"/><Relationship Id="rId1826" Type="http://schemas.openxmlformats.org/officeDocument/2006/relationships/hyperlink" Target="http://aiagents4cfo.com" TargetMode="External"/><Relationship Id="rId1827" Type="http://schemas.openxmlformats.org/officeDocument/2006/relationships/hyperlink" Target="https://www.aidigital.com/blog/marketing-measurement-and-attribution-vs-mmm" TargetMode="External"/><Relationship Id="rId1828" Type="http://schemas.openxmlformats.org/officeDocument/2006/relationships/hyperlink" Target="http://aidigital.com" TargetMode="External"/><Relationship Id="rId1829" Type="http://schemas.openxmlformats.org/officeDocument/2006/relationships/hyperlink" Target="https://www.aidigital.com/blog/unified-marketing-measurement" TargetMode="External"/><Relationship Id="rId2302" Type="http://schemas.openxmlformats.org/officeDocument/2006/relationships/hyperlink" Target="https://directiveconsulting.com/blog/27-seo-agencies-built-for-b2b-growth-2026/" TargetMode="External"/><Relationship Id="rId2303" Type="http://schemas.openxmlformats.org/officeDocument/2006/relationships/hyperlink" Target="http://directiveconsulting.com" TargetMode="External"/><Relationship Id="rId2304" Type="http://schemas.openxmlformats.org/officeDocument/2006/relationships/hyperlink" Target="https://directiveconsulting.com/blog/performance-marketing-agencies/" TargetMode="External"/><Relationship Id="rId2305" Type="http://schemas.openxmlformats.org/officeDocument/2006/relationships/hyperlink" Target="http://directiveconsulting.com" TargetMode="External"/><Relationship Id="rId2306" Type="http://schemas.openxmlformats.org/officeDocument/2006/relationships/hyperlink" Target="https://directiveconsulting.com/wp-content/uploads/2019/08/MediaKit.pdf" TargetMode="External"/><Relationship Id="rId2307" Type="http://schemas.openxmlformats.org/officeDocument/2006/relationships/hyperlink" Target="http://directiveconsulting.com" TargetMode="External"/><Relationship Id="rId2308" Type="http://schemas.openxmlformats.org/officeDocument/2006/relationships/hyperlink" Target="https://www.directom.com/services/generative-engine-optimization-services/" TargetMode="External"/><Relationship Id="rId2309" Type="http://schemas.openxmlformats.org/officeDocument/2006/relationships/hyperlink" Target="http://directom.com" TargetMode="External"/><Relationship Id="rId3630" Type="http://schemas.openxmlformats.org/officeDocument/2006/relationships/hyperlink" Target="http://zyner.io" TargetMode="External"/><Relationship Id="rId2300" Type="http://schemas.openxmlformats.org/officeDocument/2006/relationships/hyperlink" Target="https://digitalsurfer.com.au/ai-seo" TargetMode="External"/><Relationship Id="rId2301" Type="http://schemas.openxmlformats.org/officeDocument/2006/relationships/hyperlink" Target="http://digitalsurfer.com.au" TargetMode="External"/><Relationship Id="rId3631" Type="http://schemas.openxmlformats.org/officeDocument/2006/relationships/drawing" Target="../drawings/drawing2.xml"/><Relationship Id="rId3623" Type="http://schemas.openxmlformats.org/officeDocument/2006/relationships/hyperlink" Target="https://zipdo.co/service/first-party-data/" TargetMode="External"/><Relationship Id="rId3622" Type="http://schemas.openxmlformats.org/officeDocument/2006/relationships/hyperlink" Target="http://zipdo.co" TargetMode="External"/><Relationship Id="rId3625" Type="http://schemas.openxmlformats.org/officeDocument/2006/relationships/hyperlink" Target="https://zipdo.co/service/media-mix-modeling/" TargetMode="External"/><Relationship Id="rId3624" Type="http://schemas.openxmlformats.org/officeDocument/2006/relationships/hyperlink" Target="http://zipdo.co" TargetMode="External"/><Relationship Id="rId3627" Type="http://schemas.openxmlformats.org/officeDocument/2006/relationships/hyperlink" Target="https://zryly.net/paid-social-agencies-in-the-u-s/" TargetMode="External"/><Relationship Id="rId3626" Type="http://schemas.openxmlformats.org/officeDocument/2006/relationships/hyperlink" Target="http://zipdo.co" TargetMode="External"/><Relationship Id="rId3629" Type="http://schemas.openxmlformats.org/officeDocument/2006/relationships/hyperlink" Target="https://zyner.io/blog/best-ui-ux-design-agency" TargetMode="External"/><Relationship Id="rId3628" Type="http://schemas.openxmlformats.org/officeDocument/2006/relationships/hyperlink" Target="http://zryly.net" TargetMode="External"/><Relationship Id="rId3621" Type="http://schemas.openxmlformats.org/officeDocument/2006/relationships/hyperlink" Target="https://zipdo.co/service/digital-marketing-analytics/" TargetMode="External"/><Relationship Id="rId3620" Type="http://schemas.openxmlformats.org/officeDocument/2006/relationships/hyperlink" Target="http://zipdo.co" TargetMode="External"/><Relationship Id="rId2324" Type="http://schemas.openxmlformats.org/officeDocument/2006/relationships/hyperlink" Target="https://easyinsights.ai/blog/first-party-data-activation-platforms/" TargetMode="External"/><Relationship Id="rId2325" Type="http://schemas.openxmlformats.org/officeDocument/2006/relationships/hyperlink" Target="http://easyinsights.ai" TargetMode="External"/><Relationship Id="rId2326" Type="http://schemas.openxmlformats.org/officeDocument/2006/relationships/hyperlink" Target="https://www.ebaqdesign.com/blog/top-branding-agencies" TargetMode="External"/><Relationship Id="rId2327" Type="http://schemas.openxmlformats.org/officeDocument/2006/relationships/hyperlink" Target="http://ebaqdesign.com" TargetMode="External"/><Relationship Id="rId2328" Type="http://schemas.openxmlformats.org/officeDocument/2006/relationships/hyperlink" Target="https://echo-factory.com/the-12-best-pr-agencies-in-los-angeles/" TargetMode="External"/><Relationship Id="rId2329" Type="http://schemas.openxmlformats.org/officeDocument/2006/relationships/hyperlink" Target="http://echo-factory.com" TargetMode="External"/><Relationship Id="rId2320" Type="http://schemas.openxmlformats.org/officeDocument/2006/relationships/hyperlink" Target="https://droga5.co.uk/people/" TargetMode="External"/><Relationship Id="rId2321" Type="http://schemas.openxmlformats.org/officeDocument/2006/relationships/hyperlink" Target="http://droga5.co.uk" TargetMode="External"/><Relationship Id="rId2322" Type="http://schemas.openxmlformats.org/officeDocument/2006/relationships/hyperlink" Target="https://www.dslxcontent.com/blog/saas-marketing-agencies" TargetMode="External"/><Relationship Id="rId2323" Type="http://schemas.openxmlformats.org/officeDocument/2006/relationships/hyperlink" Target="http://dslxcontent.com" TargetMode="External"/><Relationship Id="rId2313" Type="http://schemas.openxmlformats.org/officeDocument/2006/relationships/hyperlink" Target="http://disruptiveadvertising.com" TargetMode="External"/><Relationship Id="rId2314" Type="http://schemas.openxmlformats.org/officeDocument/2006/relationships/hyperlink" Target="https://disruptiveadvertising.com/blog/marketing/top-generative-engine-optimization-geo-agencies-in-2026/" TargetMode="External"/><Relationship Id="rId2315" Type="http://schemas.openxmlformats.org/officeDocument/2006/relationships/hyperlink" Target="http://disruptiveadvertising.com" TargetMode="External"/><Relationship Id="rId2316" Type="http://schemas.openxmlformats.org/officeDocument/2006/relationships/hyperlink" Target="https://disruptiveadvertising.com/blog/ppc/display-vs-search-ads/" TargetMode="External"/><Relationship Id="rId2317" Type="http://schemas.openxmlformats.org/officeDocument/2006/relationships/hyperlink" Target="http://disruptiveadvertising.com" TargetMode="External"/><Relationship Id="rId2318" Type="http://schemas.openxmlformats.org/officeDocument/2006/relationships/hyperlink" Target="https://disruptiveadvertising.com/social-media-advertising/" TargetMode="External"/><Relationship Id="rId2319" Type="http://schemas.openxmlformats.org/officeDocument/2006/relationships/hyperlink" Target="http://disruptiveadvertising.com" TargetMode="External"/><Relationship Id="rId2310" Type="http://schemas.openxmlformats.org/officeDocument/2006/relationships/hyperlink" Target="https://disruptiveadvertising.com/advertising-services/" TargetMode="External"/><Relationship Id="rId2311" Type="http://schemas.openxmlformats.org/officeDocument/2006/relationships/hyperlink" Target="http://disruptiveadvertising.com" TargetMode="External"/><Relationship Id="rId2312" Type="http://schemas.openxmlformats.org/officeDocument/2006/relationships/hyperlink" Target="https://disruptiveadvertising.com/blog/business/top-digital-marketing-agencies-in-utah/" TargetMode="External"/><Relationship Id="rId1895" Type="http://schemas.openxmlformats.org/officeDocument/2006/relationships/hyperlink" Target="https://athenahq.ai/articles/best-ai-seo-tools" TargetMode="External"/><Relationship Id="rId1896" Type="http://schemas.openxmlformats.org/officeDocument/2006/relationships/hyperlink" Target="http://athenahq.ai" TargetMode="External"/><Relationship Id="rId1897" Type="http://schemas.openxmlformats.org/officeDocument/2006/relationships/hyperlink" Target="https://www.attnagency.com/blog/first-party-data-activation-cdp-ad-platform-strategy" TargetMode="External"/><Relationship Id="rId1898" Type="http://schemas.openxmlformats.org/officeDocument/2006/relationships/hyperlink" Target="http://attnagency.com" TargetMode="External"/><Relationship Id="rId1899" Type="http://schemas.openxmlformats.org/officeDocument/2006/relationships/hyperlink" Target="https://www.attributionapp.com/plans/agency-partners/" TargetMode="External"/><Relationship Id="rId1890" Type="http://schemas.openxmlformats.org/officeDocument/2006/relationships/hyperlink" Target="http://askneedle.com" TargetMode="External"/><Relationship Id="rId1891" Type="http://schemas.openxmlformats.org/officeDocument/2006/relationships/hyperlink" Target="https://aspiremarketers.com/top-performance-marketing-companies/" TargetMode="External"/><Relationship Id="rId1892" Type="http://schemas.openxmlformats.org/officeDocument/2006/relationships/hyperlink" Target="http://aspiremarketers.com" TargetMode="External"/><Relationship Id="rId1893" Type="http://schemas.openxmlformats.org/officeDocument/2006/relationships/hyperlink" Target="https://www.assemblestudio.com/" TargetMode="External"/><Relationship Id="rId1894" Type="http://schemas.openxmlformats.org/officeDocument/2006/relationships/hyperlink" Target="http://assemblestudio.com" TargetMode="External"/><Relationship Id="rId1884" Type="http://schemas.openxmlformats.org/officeDocument/2006/relationships/hyperlink" Target="http://arxiv.org" TargetMode="External"/><Relationship Id="rId1885" Type="http://schemas.openxmlformats.org/officeDocument/2006/relationships/hyperlink" Target="https://arxiv.org/abs/2605.25517" TargetMode="External"/><Relationship Id="rId1886" Type="http://schemas.openxmlformats.org/officeDocument/2006/relationships/hyperlink" Target="http://arxiv.org" TargetMode="External"/><Relationship Id="rId1887" Type="http://schemas.openxmlformats.org/officeDocument/2006/relationships/hyperlink" Target="https://arxiv.org/abs/2607.14035" TargetMode="External"/><Relationship Id="rId1888" Type="http://schemas.openxmlformats.org/officeDocument/2006/relationships/hyperlink" Target="http://arxiv.org" TargetMode="External"/><Relationship Id="rId1889" Type="http://schemas.openxmlformats.org/officeDocument/2006/relationships/hyperlink" Target="https://www.askneedle.com/blog/best-ai-marketing-tools" TargetMode="External"/><Relationship Id="rId1880" Type="http://schemas.openxmlformats.org/officeDocument/2006/relationships/hyperlink" Target="http://artefact.com" TargetMode="External"/><Relationship Id="rId1881" Type="http://schemas.openxmlformats.org/officeDocument/2006/relationships/hyperlink" Target="https://www.artefact.com/wp-content/uploads/2024/09/Artefact-Data-and-AI-Marketing-Report.pdf" TargetMode="External"/><Relationship Id="rId1882" Type="http://schemas.openxmlformats.org/officeDocument/2006/relationships/hyperlink" Target="http://artefact.com" TargetMode="External"/><Relationship Id="rId1883" Type="http://schemas.openxmlformats.org/officeDocument/2006/relationships/hyperlink" Target="https://arxiv.org/abs/2201.07055" TargetMode="External"/><Relationship Id="rId3612" Type="http://schemas.openxmlformats.org/officeDocument/2006/relationships/hyperlink" Target="http://zapshere.com" TargetMode="External"/><Relationship Id="rId3611" Type="http://schemas.openxmlformats.org/officeDocument/2006/relationships/hyperlink" Target="https://www.zapshere.com/us" TargetMode="External"/><Relationship Id="rId3614" Type="http://schemas.openxmlformats.org/officeDocument/2006/relationships/hyperlink" Target="http://zeroado.com" TargetMode="External"/><Relationship Id="rId3613" Type="http://schemas.openxmlformats.org/officeDocument/2006/relationships/hyperlink" Target="https://zeroado.com/blog/best-marketing-agencies-for-small-businesses" TargetMode="External"/><Relationship Id="rId3616" Type="http://schemas.openxmlformats.org/officeDocument/2006/relationships/hyperlink" Target="http://zeroado.com" TargetMode="External"/><Relationship Id="rId3615" Type="http://schemas.openxmlformats.org/officeDocument/2006/relationships/hyperlink" Target="https://zeroado.com/blog/generative-engine-optimization-agencies-in-bangalore" TargetMode="External"/><Relationship Id="rId3618" Type="http://schemas.openxmlformats.org/officeDocument/2006/relationships/hyperlink" Target="http://zetaglobal.com" TargetMode="External"/><Relationship Id="rId3617" Type="http://schemas.openxmlformats.org/officeDocument/2006/relationships/hyperlink" Target="https://zetaglobal.com/resource-center/ai-first-party-data-agency-growth/" TargetMode="External"/><Relationship Id="rId3619" Type="http://schemas.openxmlformats.org/officeDocument/2006/relationships/hyperlink" Target="https://zipdo.co/service/business-digital-marketing/" TargetMode="External"/><Relationship Id="rId3610" Type="http://schemas.openxmlformats.org/officeDocument/2006/relationships/hyperlink" Target="http://youtube.com" TargetMode="External"/><Relationship Id="rId3601" Type="http://schemas.openxmlformats.org/officeDocument/2006/relationships/hyperlink" Target="https://www.youtube.com/watch?v=XuM7q15_u04" TargetMode="External"/><Relationship Id="rId3600" Type="http://schemas.openxmlformats.org/officeDocument/2006/relationships/hyperlink" Target="http://youtube.com" TargetMode="External"/><Relationship Id="rId3603" Type="http://schemas.openxmlformats.org/officeDocument/2006/relationships/hyperlink" Target="https://www.youtube.com/watch?v=YVG_HfB0Dpw&amp;t=604" TargetMode="External"/><Relationship Id="rId3602" Type="http://schemas.openxmlformats.org/officeDocument/2006/relationships/hyperlink" Target="http://youtube.com" TargetMode="External"/><Relationship Id="rId3605" Type="http://schemas.openxmlformats.org/officeDocument/2006/relationships/hyperlink" Target="https://www.youtube.com/watch?v=a_Q3LpltO8I&amp;t=2" TargetMode="External"/><Relationship Id="rId3604" Type="http://schemas.openxmlformats.org/officeDocument/2006/relationships/hyperlink" Target="http://youtube.com" TargetMode="External"/><Relationship Id="rId3607" Type="http://schemas.openxmlformats.org/officeDocument/2006/relationships/hyperlink" Target="https://www.youtube.com/watch?v=yIAxLp4yY3E" TargetMode="External"/><Relationship Id="rId3606" Type="http://schemas.openxmlformats.org/officeDocument/2006/relationships/hyperlink" Target="http://youtube.com" TargetMode="External"/><Relationship Id="rId3609" Type="http://schemas.openxmlformats.org/officeDocument/2006/relationships/hyperlink" Target="https://www.youtube.com/watch?v=ytsrFDab4QQ" TargetMode="External"/><Relationship Id="rId3608" Type="http://schemas.openxmlformats.org/officeDocument/2006/relationships/hyperlink" Target="http://youtube.com" TargetMode="External"/><Relationship Id="rId1059" Type="http://schemas.openxmlformats.org/officeDocument/2006/relationships/hyperlink" Target="http://prescientai.com" TargetMode="External"/><Relationship Id="rId228" Type="http://schemas.openxmlformats.org/officeDocument/2006/relationships/hyperlink" Target="https://www.getapexanalytics.com/" TargetMode="External"/><Relationship Id="rId227" Type="http://schemas.openxmlformats.org/officeDocument/2006/relationships/hyperlink" Target="http://gartner.com" TargetMode="External"/><Relationship Id="rId226" Type="http://schemas.openxmlformats.org/officeDocument/2006/relationships/hyperlink" Target="https://www.gartner.com/reviews/market/global-digital-marketing-agencies" TargetMode="External"/><Relationship Id="rId225" Type="http://schemas.openxmlformats.org/officeDocument/2006/relationships/hyperlink" Target="http://disruptiveadvertising.com" TargetMode="External"/><Relationship Id="rId2380" Type="http://schemas.openxmlformats.org/officeDocument/2006/relationships/hyperlink" Target="https://www.f6s.com/software/category/first-party-data-activation" TargetMode="External"/><Relationship Id="rId229" Type="http://schemas.openxmlformats.org/officeDocument/2006/relationships/hyperlink" Target="http://getapexanalytics.com" TargetMode="External"/><Relationship Id="rId1050" Type="http://schemas.openxmlformats.org/officeDocument/2006/relationships/hyperlink" Target="https://www.onely.com/blog/best-digital-marketing-agencies/" TargetMode="External"/><Relationship Id="rId2381" Type="http://schemas.openxmlformats.org/officeDocument/2006/relationships/hyperlink" Target="http://f6s.com" TargetMode="External"/><Relationship Id="rId220" Type="http://schemas.openxmlformats.org/officeDocument/2006/relationships/hyperlink" Target="https://clutch.co/agencies/social-media-marketing" TargetMode="External"/><Relationship Id="rId1051" Type="http://schemas.openxmlformats.org/officeDocument/2006/relationships/hyperlink" Target="http://onely.com" TargetMode="External"/><Relationship Id="rId2382" Type="http://schemas.openxmlformats.org/officeDocument/2006/relationships/hyperlink" Target="https://www.facebook.com/McKinsey/videos/only-11-of-companies-are-fully-leveraging-the-potential-of-gen-ai-quantumblack-a/932826565549113/" TargetMode="External"/><Relationship Id="rId1052" Type="http://schemas.openxmlformats.org/officeDocument/2006/relationships/hyperlink" Target="https://pearllemon.com/top-performance-marketing-agencies-usa/" TargetMode="External"/><Relationship Id="rId2383" Type="http://schemas.openxmlformats.org/officeDocument/2006/relationships/hyperlink" Target="http://facebook.com" TargetMode="External"/><Relationship Id="rId1053" Type="http://schemas.openxmlformats.org/officeDocument/2006/relationships/hyperlink" Target="http://pearllemon.com" TargetMode="External"/><Relationship Id="rId2384" Type="http://schemas.openxmlformats.org/officeDocument/2006/relationships/hyperlink" Target="https://www.facebook.com/tinuiti1/" TargetMode="External"/><Relationship Id="rId1054" Type="http://schemas.openxmlformats.org/officeDocument/2006/relationships/hyperlink" Target="https://www.pedowitzgroup.com/ai-assessment" TargetMode="External"/><Relationship Id="rId2385" Type="http://schemas.openxmlformats.org/officeDocument/2006/relationships/hyperlink" Target="http://facebook.com" TargetMode="External"/><Relationship Id="rId224" Type="http://schemas.openxmlformats.org/officeDocument/2006/relationships/hyperlink" Target="https://disruptiveadvertising.com/blog/business/best-ppc-agencies-in-the-us/" TargetMode="External"/><Relationship Id="rId1055" Type="http://schemas.openxmlformats.org/officeDocument/2006/relationships/hyperlink" Target="http://pedowitzgroup.com" TargetMode="External"/><Relationship Id="rId2386" Type="http://schemas.openxmlformats.org/officeDocument/2006/relationships/hyperlink" Target="https://www.factors.ai/blog/top-7-marketing-attribution-tools" TargetMode="External"/><Relationship Id="rId223" Type="http://schemas.openxmlformats.org/officeDocument/2006/relationships/hyperlink" Target="http://darkroomagency.com" TargetMode="External"/><Relationship Id="rId1056" Type="http://schemas.openxmlformats.org/officeDocument/2006/relationships/hyperlink" Target="https://www.phable.io/top-creative-agencies/top-creative-agencies-in-the-world-masters-of-branding-content-creation-and-innovation" TargetMode="External"/><Relationship Id="rId2387" Type="http://schemas.openxmlformats.org/officeDocument/2006/relationships/hyperlink" Target="http://factors.ai" TargetMode="External"/><Relationship Id="rId222" Type="http://schemas.openxmlformats.org/officeDocument/2006/relationships/hyperlink" Target="https://www.darkroomagency.com/observatory/the-12-top-rated-paid-media-agencies-this-year" TargetMode="External"/><Relationship Id="rId1057" Type="http://schemas.openxmlformats.org/officeDocument/2006/relationships/hyperlink" Target="http://phable.io" TargetMode="External"/><Relationship Id="rId2388" Type="http://schemas.openxmlformats.org/officeDocument/2006/relationships/hyperlink" Target="https://www.featuredcustomers.com/services/digital-marketing-agencies" TargetMode="External"/><Relationship Id="rId221" Type="http://schemas.openxmlformats.org/officeDocument/2006/relationships/hyperlink" Target="http://clutch.co" TargetMode="External"/><Relationship Id="rId1058" Type="http://schemas.openxmlformats.org/officeDocument/2006/relationships/hyperlink" Target="https://prescientai.com/blog/top-marketing-attribution-software-solutions" TargetMode="External"/><Relationship Id="rId2389" Type="http://schemas.openxmlformats.org/officeDocument/2006/relationships/hyperlink" Target="http://featuredcustomers.com" TargetMode="External"/><Relationship Id="rId1048" Type="http://schemas.openxmlformats.org/officeDocument/2006/relationships/hyperlink" Target="http://nuoptima.com" TargetMode="External"/><Relationship Id="rId2379" Type="http://schemas.openxmlformats.org/officeDocument/2006/relationships/hyperlink" Target="http://exposureninja.com" TargetMode="External"/><Relationship Id="rId1049" Type="http://schemas.openxmlformats.org/officeDocument/2006/relationships/hyperlink" Target="https://www.o8.agency/blog/ai/best-ai-marketing-agencies-2026-honest-comparison" TargetMode="External"/><Relationship Id="rId217" Type="http://schemas.openxmlformats.org/officeDocument/2006/relationships/hyperlink" Target="http://nogood.io" TargetMode="External"/><Relationship Id="rId216" Type="http://schemas.openxmlformats.org/officeDocument/2006/relationships/hyperlink" Target="https://nogood.io/blog/ai-marketing-agency/" TargetMode="External"/><Relationship Id="rId215" Type="http://schemas.openxmlformats.org/officeDocument/2006/relationships/hyperlink" Target="http://leewayhertz.com" TargetMode="External"/><Relationship Id="rId214" Type="http://schemas.openxmlformats.org/officeDocument/2006/relationships/hyperlink" Target="https://www.leewayhertz.com/top-ai-consulting-companies/" TargetMode="External"/><Relationship Id="rId219" Type="http://schemas.openxmlformats.org/officeDocument/2006/relationships/hyperlink" Target="http://thatware.co" TargetMode="External"/><Relationship Id="rId218" Type="http://schemas.openxmlformats.org/officeDocument/2006/relationships/hyperlink" Target="https://thatware.co/10-best-aeo-companies-in-usa/" TargetMode="External"/><Relationship Id="rId2370" Type="http://schemas.openxmlformats.org/officeDocument/2006/relationships/hyperlink" Target="https://evincedev.com/blog/best-display-ad-networks/" TargetMode="External"/><Relationship Id="rId1040" Type="http://schemas.openxmlformats.org/officeDocument/2006/relationships/hyperlink" Target="http://measured.com" TargetMode="External"/><Relationship Id="rId2371" Type="http://schemas.openxmlformats.org/officeDocument/2006/relationships/hyperlink" Target="http://evincedev.com" TargetMode="External"/><Relationship Id="rId1041" Type="http://schemas.openxmlformats.org/officeDocument/2006/relationships/hyperlink" Target="https://www.modernmarketingpartners.com/2026/03/19/14-best-answer-engine-optimization-agencies-aeo-insights-company-rankings-for-2026/" TargetMode="External"/><Relationship Id="rId2372" Type="http://schemas.openxmlformats.org/officeDocument/2006/relationships/hyperlink" Target="https://www.experian.com/blogs/marketing-forward/first-party-data-activation-2026/" TargetMode="External"/><Relationship Id="rId1042" Type="http://schemas.openxmlformats.org/officeDocument/2006/relationships/hyperlink" Target="http://modernmarketingpartners.com" TargetMode="External"/><Relationship Id="rId2373" Type="http://schemas.openxmlformats.org/officeDocument/2006/relationships/hyperlink" Target="http://experian.com" TargetMode="External"/><Relationship Id="rId1043" Type="http://schemas.openxmlformats.org/officeDocument/2006/relationships/hyperlink" Target="https://www.modernmarketingpartners.com/2026/03/19/15-best-answer-engine-optimization-agencies-aeo-insights-company-rankings-for-2026/" TargetMode="External"/><Relationship Id="rId2374" Type="http://schemas.openxmlformats.org/officeDocument/2006/relationships/hyperlink" Target="https://www.experian.com/marketing/consumer-view/activation" TargetMode="External"/><Relationship Id="rId213" Type="http://schemas.openxmlformats.org/officeDocument/2006/relationships/hyperlink" Target="http://fahrenheitmarketing.com" TargetMode="External"/><Relationship Id="rId1044" Type="http://schemas.openxmlformats.org/officeDocument/2006/relationships/hyperlink" Target="http://modernmarketingpartners.com" TargetMode="External"/><Relationship Id="rId2375" Type="http://schemas.openxmlformats.org/officeDocument/2006/relationships/hyperlink" Target="http://experian.com" TargetMode="External"/><Relationship Id="rId212" Type="http://schemas.openxmlformats.org/officeDocument/2006/relationships/hyperlink" Target="https://www.fahrenheitmarketing.com/services/strategy/top-10-marketing-agencies-usa/" TargetMode="External"/><Relationship Id="rId1045" Type="http://schemas.openxmlformats.org/officeDocument/2006/relationships/hyperlink" Target="https://www.motum-us.com/ai-readiness" TargetMode="External"/><Relationship Id="rId2376" Type="http://schemas.openxmlformats.org/officeDocument/2006/relationships/hyperlink" Target="https://exposureninja.com/" TargetMode="External"/><Relationship Id="rId211" Type="http://schemas.openxmlformats.org/officeDocument/2006/relationships/hyperlink" Target="http://designrush.com" TargetMode="External"/><Relationship Id="rId1046" Type="http://schemas.openxmlformats.org/officeDocument/2006/relationships/hyperlink" Target="http://motum-us.com" TargetMode="External"/><Relationship Id="rId2377" Type="http://schemas.openxmlformats.org/officeDocument/2006/relationships/hyperlink" Target="http://exposureninja.com" TargetMode="External"/><Relationship Id="rId210" Type="http://schemas.openxmlformats.org/officeDocument/2006/relationships/hyperlink" Target="https://www.designrush.com/agency/creative-agencies/us" TargetMode="External"/><Relationship Id="rId1047" Type="http://schemas.openxmlformats.org/officeDocument/2006/relationships/hyperlink" Target="https://nuoptima.com/ai-search-answer-engine-optimization-companies-usa" TargetMode="External"/><Relationship Id="rId2378" Type="http://schemas.openxmlformats.org/officeDocument/2006/relationships/hyperlink" Target="https://exposureninja.com/services/analytics-data-reporting/" TargetMode="External"/><Relationship Id="rId249" Type="http://schemas.openxmlformats.org/officeDocument/2006/relationships/hyperlink" Target="http://marketingltb.com" TargetMode="External"/><Relationship Id="rId248" Type="http://schemas.openxmlformats.org/officeDocument/2006/relationships/hyperlink" Target="https://marketingltb.com/blog/agency/best-display-ads-agencies/" TargetMode="External"/><Relationship Id="rId247" Type="http://schemas.openxmlformats.org/officeDocument/2006/relationships/hyperlink" Target="http://ie.edu" TargetMode="External"/><Relationship Id="rId1070" Type="http://schemas.openxmlformats.org/officeDocument/2006/relationships/hyperlink" Target="https://search.agency/" TargetMode="External"/><Relationship Id="rId1071" Type="http://schemas.openxmlformats.org/officeDocument/2006/relationships/hyperlink" Target="https://segmentstream.com/blog/articles/best-attribution-tools" TargetMode="External"/><Relationship Id="rId1072" Type="http://schemas.openxmlformats.org/officeDocument/2006/relationships/hyperlink" Target="http://segmentstream.com" TargetMode="External"/><Relationship Id="rId242" Type="http://schemas.openxmlformats.org/officeDocument/2006/relationships/hyperlink" Target="https://clutch.co/agencies/creative" TargetMode="External"/><Relationship Id="rId1073" Type="http://schemas.openxmlformats.org/officeDocument/2006/relationships/hyperlink" Target="https://www.semfirms.com/digital-marketing-firms" TargetMode="External"/><Relationship Id="rId241" Type="http://schemas.openxmlformats.org/officeDocument/2006/relationships/hyperlink" Target="http://beomniscient.com" TargetMode="External"/><Relationship Id="rId1074" Type="http://schemas.openxmlformats.org/officeDocument/2006/relationships/hyperlink" Target="http://semfirms.com" TargetMode="External"/><Relationship Id="rId240" Type="http://schemas.openxmlformats.org/officeDocument/2006/relationships/hyperlink" Target="https://beomniscient.com/blog/best-analytics-agency/" TargetMode="External"/><Relationship Id="rId1075" Type="http://schemas.openxmlformats.org/officeDocument/2006/relationships/hyperlink" Target="https://www.seoworks.com/lists/top-b2b-geo-and-aeo-agencies/" TargetMode="External"/><Relationship Id="rId1076" Type="http://schemas.openxmlformats.org/officeDocument/2006/relationships/hyperlink" Target="http://seoworks.com" TargetMode="External"/><Relationship Id="rId246" Type="http://schemas.openxmlformats.org/officeDocument/2006/relationships/hyperlink" Target="https://www.ie.edu/uncover-ie/the-big-six-agencies-marcom-ie-business-school/" TargetMode="External"/><Relationship Id="rId1077" Type="http://schemas.openxmlformats.org/officeDocument/2006/relationships/hyperlink" Target="https://www.silverbackstrategies.com/lists/best-digital-marketing-agencies-in-the-us-rank-reviewed/" TargetMode="External"/><Relationship Id="rId245" Type="http://schemas.openxmlformats.org/officeDocument/2006/relationships/hyperlink" Target="http://effectivesoft.com" TargetMode="External"/><Relationship Id="rId1078" Type="http://schemas.openxmlformats.org/officeDocument/2006/relationships/hyperlink" Target="http://silverbackstrategies.com" TargetMode="External"/><Relationship Id="rId244" Type="http://schemas.openxmlformats.org/officeDocument/2006/relationships/hyperlink" Target="https://www.effectivesoft.com/blog/top-ai-consulting-companies-usa.html" TargetMode="External"/><Relationship Id="rId1079" Type="http://schemas.openxmlformats.org/officeDocument/2006/relationships/hyperlink" Target="https://www.sortlist.com/advertising/united-states-us" TargetMode="External"/><Relationship Id="rId243" Type="http://schemas.openxmlformats.org/officeDocument/2006/relationships/hyperlink" Target="http://clutch.co" TargetMode="External"/><Relationship Id="rId239" Type="http://schemas.openxmlformats.org/officeDocument/2006/relationships/hyperlink" Target="http://webtonic.io" TargetMode="External"/><Relationship Id="rId238" Type="http://schemas.openxmlformats.org/officeDocument/2006/relationships/hyperlink" Target="https://www.webtonic.io/blog/top-display-advertising-agencies" TargetMode="External"/><Relationship Id="rId237" Type="http://schemas.openxmlformats.org/officeDocument/2006/relationships/hyperlink" Target="http://mightyandtrue.com" TargetMode="External"/><Relationship Id="rId236" Type="http://schemas.openxmlformats.org/officeDocument/2006/relationships/hyperlink" Target="https://mightyandtrue.com/insights/blog/best-ai-marketing-agencies/" TargetMode="External"/><Relationship Id="rId2390" Type="http://schemas.openxmlformats.org/officeDocument/2006/relationships/hyperlink" Target="https://www.featuredcustomers.com/software/customer-data-audience-activation" TargetMode="External"/><Relationship Id="rId1060" Type="http://schemas.openxmlformats.org/officeDocument/2006/relationships/hyperlink" Target="https://www.quora.com/What-is-the-best-AEO-agency-in-the-USA-in-2026" TargetMode="External"/><Relationship Id="rId2391" Type="http://schemas.openxmlformats.org/officeDocument/2006/relationships/hyperlink" Target="http://featuredcustomers.com" TargetMode="External"/><Relationship Id="rId1061" Type="http://schemas.openxmlformats.org/officeDocument/2006/relationships/hyperlink" Target="http://quora.com" TargetMode="External"/><Relationship Id="rId2392" Type="http://schemas.openxmlformats.org/officeDocument/2006/relationships/hyperlink" Target="https://www.featuredcustomers.com/software/first-party-data-solutions" TargetMode="External"/><Relationship Id="rId231" Type="http://schemas.openxmlformats.org/officeDocument/2006/relationships/hyperlink" Target="http://goodfirms.co" TargetMode="External"/><Relationship Id="rId1062" Type="http://schemas.openxmlformats.org/officeDocument/2006/relationships/hyperlink" Target="https://www.reddit.com/r/Superframeworks/comments/1twfxf1/10_best_ai_seo_geoaeo_agencies_for_2026_no/" TargetMode="External"/><Relationship Id="rId2393" Type="http://schemas.openxmlformats.org/officeDocument/2006/relationships/hyperlink" Target="http://featuredcustomers.com" TargetMode="External"/><Relationship Id="rId230" Type="http://schemas.openxmlformats.org/officeDocument/2006/relationships/hyperlink" Target="https://www.goodfirms.co/big-data-analytics/marketing-analytics" TargetMode="External"/><Relationship Id="rId1063" Type="http://schemas.openxmlformats.org/officeDocument/2006/relationships/hyperlink" Target="http://reddit.com" TargetMode="External"/><Relationship Id="rId2394" Type="http://schemas.openxmlformats.org/officeDocument/2006/relationships/hyperlink" Target="https://fibr.ai/geo/best-generative-engine-optimization-brands-for-ai" TargetMode="External"/><Relationship Id="rId1064" Type="http://schemas.openxmlformats.org/officeDocument/2006/relationships/hyperlink" Target="https://rtslabs.com/top-ai-consulting-firms/" TargetMode="External"/><Relationship Id="rId2395" Type="http://schemas.openxmlformats.org/officeDocument/2006/relationships/hyperlink" Target="http://fibr.ai" TargetMode="External"/><Relationship Id="rId1065" Type="http://schemas.openxmlformats.org/officeDocument/2006/relationships/hyperlink" Target="http://rtslabs.com" TargetMode="External"/><Relationship Id="rId2396" Type="http://schemas.openxmlformats.org/officeDocument/2006/relationships/hyperlink" Target="https://www.fieldtrip.agency/post/top-enterprise-growth-marketing-agencies" TargetMode="External"/><Relationship Id="rId235" Type="http://schemas.openxmlformats.org/officeDocument/2006/relationships/hyperlink" Target="http://lyfemarketing.com" TargetMode="External"/><Relationship Id="rId1066" Type="http://schemas.openxmlformats.org/officeDocument/2006/relationships/hyperlink" Target="https://s360digital.com/capabilities/tech/google-marketing-platform/" TargetMode="External"/><Relationship Id="rId2397" Type="http://schemas.openxmlformats.org/officeDocument/2006/relationships/hyperlink" Target="https://finalscout.com/company/delve" TargetMode="External"/><Relationship Id="rId234" Type="http://schemas.openxmlformats.org/officeDocument/2006/relationships/hyperlink" Target="https://www.lyfemarketing.com/blog/top-performance-marketing-agencies-us/" TargetMode="External"/><Relationship Id="rId1067" Type="http://schemas.openxmlformats.org/officeDocument/2006/relationships/hyperlink" Target="http://s360digital.com" TargetMode="External"/><Relationship Id="rId2398" Type="http://schemas.openxmlformats.org/officeDocument/2006/relationships/hyperlink" Target="http://finalscout.com" TargetMode="External"/><Relationship Id="rId233" Type="http://schemas.openxmlformats.org/officeDocument/2006/relationships/hyperlink" Target="http://loudface.co" TargetMode="External"/><Relationship Id="rId1068" Type="http://schemas.openxmlformats.org/officeDocument/2006/relationships/hyperlink" Target="https://scopicstudios.com/blog/top-performance-marketing-agencies/" TargetMode="External"/><Relationship Id="rId2399" Type="http://schemas.openxmlformats.org/officeDocument/2006/relationships/hyperlink" Target="https://finance.yahoo.com/news/designrush-recognizes-top-10-digital-114500778.html" TargetMode="External"/><Relationship Id="rId232" Type="http://schemas.openxmlformats.org/officeDocument/2006/relationships/hyperlink" Target="https://www.loudface.co/blog/best-aeo-agencies-2026" TargetMode="External"/><Relationship Id="rId1069" Type="http://schemas.openxmlformats.org/officeDocument/2006/relationships/hyperlink" Target="http://scopicstudios.com" TargetMode="External"/><Relationship Id="rId1015" Type="http://schemas.openxmlformats.org/officeDocument/2006/relationships/hyperlink" Target="https://directiveconsulting.com/blog/20-best-paid-social-agencies-turning-scrolls-into-sales/" TargetMode="External"/><Relationship Id="rId2346" Type="http://schemas.openxmlformats.org/officeDocument/2006/relationships/hyperlink" Target="https://embertribe.com/blog/paid-social-agency" TargetMode="External"/><Relationship Id="rId1016" Type="http://schemas.openxmlformats.org/officeDocument/2006/relationships/hyperlink" Target="http://directiveconsulting.com" TargetMode="External"/><Relationship Id="rId2347" Type="http://schemas.openxmlformats.org/officeDocument/2006/relationships/hyperlink" Target="http://embertribe.com" TargetMode="External"/><Relationship Id="rId1017" Type="http://schemas.openxmlformats.org/officeDocument/2006/relationships/hyperlink" Target="https://directiveconsulting.com/blog/25-best-advertising-agencies-built-for-media-momentum/" TargetMode="External"/><Relationship Id="rId2348" Type="http://schemas.openxmlformats.org/officeDocument/2006/relationships/hyperlink" Target="https://www.empireentertainment.com/" TargetMode="External"/><Relationship Id="rId1018" Type="http://schemas.openxmlformats.org/officeDocument/2006/relationships/hyperlink" Target="http://directiveconsulting.com" TargetMode="External"/><Relationship Id="rId2349" Type="http://schemas.openxmlformats.org/officeDocument/2006/relationships/hyperlink" Target="http://empireentertainment.com" TargetMode="External"/><Relationship Id="rId1019" Type="http://schemas.openxmlformats.org/officeDocument/2006/relationships/hyperlink" Target="https://www.goodfirms.co/artificial-intelligence/ai-consulting" TargetMode="External"/><Relationship Id="rId2340" Type="http://schemas.openxmlformats.org/officeDocument/2006/relationships/hyperlink" Target="https://elementor.com/blog/best-seo-geo-agencies/" TargetMode="External"/><Relationship Id="rId1010" Type="http://schemas.openxmlformats.org/officeDocument/2006/relationships/hyperlink" Target="http://digitalreference.co" TargetMode="External"/><Relationship Id="rId2341" Type="http://schemas.openxmlformats.org/officeDocument/2006/relationships/hyperlink" Target="http://elementor.com" TargetMode="External"/><Relationship Id="rId1011" Type="http://schemas.openxmlformats.org/officeDocument/2006/relationships/hyperlink" Target="https://www.digitalreference.co/insights/marketing-professionals/best-digital-marketing-agencies-companies-in-the-usa" TargetMode="External"/><Relationship Id="rId2342" Type="http://schemas.openxmlformats.org/officeDocument/2006/relationships/hyperlink" Target="https://www.elsner.com/top-answer-engine-optimization-companies/" TargetMode="External"/><Relationship Id="rId1012" Type="http://schemas.openxmlformats.org/officeDocument/2006/relationships/hyperlink" Target="http://digitalreference.co" TargetMode="External"/><Relationship Id="rId2343" Type="http://schemas.openxmlformats.org/officeDocument/2006/relationships/hyperlink" Target="http://elsner.com" TargetMode="External"/><Relationship Id="rId1013" Type="http://schemas.openxmlformats.org/officeDocument/2006/relationships/hyperlink" Target="https://www.digitalsilk.com/digital-trends/top-premium-marketing-agencies/" TargetMode="External"/><Relationship Id="rId2344" Type="http://schemas.openxmlformats.org/officeDocument/2006/relationships/hyperlink" Target="https://www.embarque.io/post/we-found-30-ai-seo-agencies-for-ranking-ai-results-2026" TargetMode="External"/><Relationship Id="rId1014" Type="http://schemas.openxmlformats.org/officeDocument/2006/relationships/hyperlink" Target="http://digitalsilk.com" TargetMode="External"/><Relationship Id="rId2345" Type="http://schemas.openxmlformats.org/officeDocument/2006/relationships/hyperlink" Target="http://embarque.io" TargetMode="External"/><Relationship Id="rId1004" Type="http://schemas.openxmlformats.org/officeDocument/2006/relationships/hyperlink" Target="http://designrush.com" TargetMode="External"/><Relationship Id="rId2335" Type="http://schemas.openxmlformats.org/officeDocument/2006/relationships/hyperlink" Target="http://edelmandxi.com" TargetMode="External"/><Relationship Id="rId1005" Type="http://schemas.openxmlformats.org/officeDocument/2006/relationships/hyperlink" Target="https://www.dexigner.com/directory/cat/Advertising-Design/Agencies/loc/United-States" TargetMode="External"/><Relationship Id="rId2336" Type="http://schemas.openxmlformats.org/officeDocument/2006/relationships/hyperlink" Target="https://www.effy.ai/faq/who-are-the-big-4-ai-agents" TargetMode="External"/><Relationship Id="rId1006" Type="http://schemas.openxmlformats.org/officeDocument/2006/relationships/hyperlink" Target="http://dexigner.com" TargetMode="External"/><Relationship Id="rId2337" Type="http://schemas.openxmlformats.org/officeDocument/2006/relationships/hyperlink" Target="http://effy.ai" TargetMode="External"/><Relationship Id="rId1007" Type="http://schemas.openxmlformats.org/officeDocument/2006/relationships/hyperlink" Target="https://digitalagencynetwork.com/agencies/usa/online-advertising/" TargetMode="External"/><Relationship Id="rId2338" Type="http://schemas.openxmlformats.org/officeDocument/2006/relationships/hyperlink" Target="https://eight26.com/" TargetMode="External"/><Relationship Id="rId1008" Type="http://schemas.openxmlformats.org/officeDocument/2006/relationships/hyperlink" Target="http://digitalagencynetwork.com" TargetMode="External"/><Relationship Id="rId2339" Type="http://schemas.openxmlformats.org/officeDocument/2006/relationships/hyperlink" Target="http://eight26.com" TargetMode="External"/><Relationship Id="rId1009" Type="http://schemas.openxmlformats.org/officeDocument/2006/relationships/hyperlink" Target="https://www.digitalreference.co/design-professionals/best-creative-agencies-in-the-usa" TargetMode="External"/><Relationship Id="rId2330" Type="http://schemas.openxmlformats.org/officeDocument/2006/relationships/hyperlink" Target="https://ecommercefastlane.com/best-amazon-brand-management-agencies/" TargetMode="External"/><Relationship Id="rId1000" Type="http://schemas.openxmlformats.org/officeDocument/2006/relationships/hyperlink" Target="http://designity.com" TargetMode="External"/><Relationship Id="rId2331" Type="http://schemas.openxmlformats.org/officeDocument/2006/relationships/hyperlink" Target="http://ecommercefastlane.com" TargetMode="External"/><Relationship Id="rId1001" Type="http://schemas.openxmlformats.org/officeDocument/2006/relationships/hyperlink" Target="https://www.designity.com/blog/paid-media-agency" TargetMode="External"/><Relationship Id="rId2332" Type="http://schemas.openxmlformats.org/officeDocument/2006/relationships/hyperlink" Target="https://ecosystem.hubspot.com/marketplace/solutions/power-digital-marketing" TargetMode="External"/><Relationship Id="rId1002" Type="http://schemas.openxmlformats.org/officeDocument/2006/relationships/hyperlink" Target="http://designity.com" TargetMode="External"/><Relationship Id="rId2333" Type="http://schemas.openxmlformats.org/officeDocument/2006/relationships/hyperlink" Target="http://hubspot.com" TargetMode="External"/><Relationship Id="rId1003" Type="http://schemas.openxmlformats.org/officeDocument/2006/relationships/hyperlink" Target="https://www.designrush.com/agency/paid-media-pay-per-click/google-adwords" TargetMode="External"/><Relationship Id="rId2334" Type="http://schemas.openxmlformats.org/officeDocument/2006/relationships/hyperlink" Target="https://www.edelmandxi.com/paid-media" TargetMode="External"/><Relationship Id="rId1037" Type="http://schemas.openxmlformats.org/officeDocument/2006/relationships/hyperlink" Target="https://marketingplatform.google.com/about/partners/?authuser=1" TargetMode="External"/><Relationship Id="rId2368" Type="http://schemas.openxmlformats.org/officeDocument/2006/relationships/hyperlink" Target="https://events.bounteous.com/googletrainingprogram" TargetMode="External"/><Relationship Id="rId1038" Type="http://schemas.openxmlformats.org/officeDocument/2006/relationships/hyperlink" Target="http://google.com" TargetMode="External"/><Relationship Id="rId2369" Type="http://schemas.openxmlformats.org/officeDocument/2006/relationships/hyperlink" Target="http://bounteous.com" TargetMode="External"/><Relationship Id="rId1039" Type="http://schemas.openxmlformats.org/officeDocument/2006/relationships/hyperlink" Target="https://www.measured.com/faq/what-is-incrementality-testing/" TargetMode="External"/><Relationship Id="rId206" Type="http://schemas.openxmlformats.org/officeDocument/2006/relationships/hyperlink" Target="https://www.adbeacon.com/7-best-marketing-attribution-tools-compared-2026/" TargetMode="External"/><Relationship Id="rId205" Type="http://schemas.openxmlformats.org/officeDocument/2006/relationships/hyperlink" Target="http://weareqry.com" TargetMode="External"/><Relationship Id="rId204" Type="http://schemas.openxmlformats.org/officeDocument/2006/relationships/hyperlink" Target="https://www.weareqry.com/blog/best-paid-media-agencies" TargetMode="External"/><Relationship Id="rId203" Type="http://schemas.openxmlformats.org/officeDocument/2006/relationships/hyperlink" Target="http://rzlt.io" TargetMode="External"/><Relationship Id="rId209" Type="http://schemas.openxmlformats.org/officeDocument/2006/relationships/hyperlink" Target="http://clutch.co" TargetMode="External"/><Relationship Id="rId208" Type="http://schemas.openxmlformats.org/officeDocument/2006/relationships/hyperlink" Target="https://clutch.co/us/consulting/ai/strategy" TargetMode="External"/><Relationship Id="rId207" Type="http://schemas.openxmlformats.org/officeDocument/2006/relationships/hyperlink" Target="http://adbeacon.com" TargetMode="External"/><Relationship Id="rId2360" Type="http://schemas.openxmlformats.org/officeDocument/2006/relationships/hyperlink" Target="https://ensun.io/search/geospatial-gis/united-states" TargetMode="External"/><Relationship Id="rId1030" Type="http://schemas.openxmlformats.org/officeDocument/2006/relationships/hyperlink" Target="http://inbeat.co" TargetMode="External"/><Relationship Id="rId2361" Type="http://schemas.openxmlformats.org/officeDocument/2006/relationships/hyperlink" Target="http://ensun.io" TargetMode="External"/><Relationship Id="rId1031" Type="http://schemas.openxmlformats.org/officeDocument/2006/relationships/hyperlink" Target="https://indatalabs.com/blog/marketing-analytics-companies" TargetMode="External"/><Relationship Id="rId2362" Type="http://schemas.openxmlformats.org/officeDocument/2006/relationships/hyperlink" Target="https://enterprisemarketingportal.google/find-a-partner/adswerve-us" TargetMode="External"/><Relationship Id="rId1032" Type="http://schemas.openxmlformats.org/officeDocument/2006/relationships/hyperlink" Target="http://indatalabs.com" TargetMode="External"/><Relationship Id="rId2363" Type="http://schemas.openxmlformats.org/officeDocument/2006/relationships/hyperlink" Target="https://www.epicslope.partners/buyers-guide/generative-engine-optimization-agencies" TargetMode="External"/><Relationship Id="rId202" Type="http://schemas.openxmlformats.org/officeDocument/2006/relationships/hyperlink" Target="https://www.rzlt.io/blog/best-ai-marketing-agencies-in-2026-the-definitive-guide-by-specialty" TargetMode="External"/><Relationship Id="rId1033" Type="http://schemas.openxmlformats.org/officeDocument/2006/relationships/hyperlink" Target="https://jake-jorgovan.com/blog/top-ai-marketing-agencies" TargetMode="External"/><Relationship Id="rId2364" Type="http://schemas.openxmlformats.org/officeDocument/2006/relationships/hyperlink" Target="https://epinium.com/en/best-amazon-agencies/" TargetMode="External"/><Relationship Id="rId201" Type="http://schemas.openxmlformats.org/officeDocument/2006/relationships/hyperlink" Target="http://rightsideup.com" TargetMode="External"/><Relationship Id="rId1034" Type="http://schemas.openxmlformats.org/officeDocument/2006/relationships/hyperlink" Target="http://jake-jorgovan.com" TargetMode="External"/><Relationship Id="rId2365" Type="http://schemas.openxmlformats.org/officeDocument/2006/relationships/hyperlink" Target="http://epinium.com" TargetMode="External"/><Relationship Id="rId200" Type="http://schemas.openxmlformats.org/officeDocument/2006/relationships/hyperlink" Target="https://www.rightsideup.com/blog/guide-to-marketing-incrementality-testing" TargetMode="External"/><Relationship Id="rId1035" Type="http://schemas.openxmlformats.org/officeDocument/2006/relationships/hyperlink" Target="https://www.linkedin.com/pulse/top-5-geo-agencies-usa-2026-yash-kumar-m4v6c" TargetMode="External"/><Relationship Id="rId2366" Type="http://schemas.openxmlformats.org/officeDocument/2006/relationships/hyperlink" Target="https://www.evarigisconsulting.com/" TargetMode="External"/><Relationship Id="rId1036" Type="http://schemas.openxmlformats.org/officeDocument/2006/relationships/hyperlink" Target="http://linkedin.com" TargetMode="External"/><Relationship Id="rId2367" Type="http://schemas.openxmlformats.org/officeDocument/2006/relationships/hyperlink" Target="http://evarigisconsulting.com" TargetMode="External"/><Relationship Id="rId1026" Type="http://schemas.openxmlformats.org/officeDocument/2006/relationships/hyperlink" Target="http://hockeystack.com" TargetMode="External"/><Relationship Id="rId2357" Type="http://schemas.openxmlformats.org/officeDocument/2006/relationships/hyperlink" Target="http://wikipedia.org" TargetMode="External"/><Relationship Id="rId1027" Type="http://schemas.openxmlformats.org/officeDocument/2006/relationships/hyperlink" Target="https://www.idimension.com/google-marketing-platform-partner/" TargetMode="External"/><Relationship Id="rId2358" Type="http://schemas.openxmlformats.org/officeDocument/2006/relationships/hyperlink" Target="https://en.wikipedia.org/wiki/The_Interpublic_Group_of_Companies" TargetMode="External"/><Relationship Id="rId1028" Type="http://schemas.openxmlformats.org/officeDocument/2006/relationships/hyperlink" Target="http://idimension.com" TargetMode="External"/><Relationship Id="rId2359" Type="http://schemas.openxmlformats.org/officeDocument/2006/relationships/hyperlink" Target="http://wikipedia.org" TargetMode="External"/><Relationship Id="rId1029" Type="http://schemas.openxmlformats.org/officeDocument/2006/relationships/hyperlink" Target="https://www.inbeat.co/articles/top-performance-marketing-agencies/" TargetMode="External"/><Relationship Id="rId2350" Type="http://schemas.openxmlformats.org/officeDocument/2006/relationships/hyperlink" Target="https://www.emrgmedia.com/best-experiential-marketing-agencies/" TargetMode="External"/><Relationship Id="rId1020" Type="http://schemas.openxmlformats.org/officeDocument/2006/relationships/hyperlink" Target="http://goodfirms.co" TargetMode="External"/><Relationship Id="rId2351" Type="http://schemas.openxmlformats.org/officeDocument/2006/relationships/hyperlink" Target="http://emrgmedia.com" TargetMode="External"/><Relationship Id="rId1021" Type="http://schemas.openxmlformats.org/officeDocument/2006/relationships/hyperlink" Target="https://www.growth-hackers.net/best-paid-social-media-agencies/" TargetMode="External"/><Relationship Id="rId2352" Type="http://schemas.openxmlformats.org/officeDocument/2006/relationships/hyperlink" Target="https://en.wikipedia.org/wiki/Big_Six_advertising_agencies" TargetMode="External"/><Relationship Id="rId1022" Type="http://schemas.openxmlformats.org/officeDocument/2006/relationships/hyperlink" Target="http://growth-hackers.net" TargetMode="External"/><Relationship Id="rId2353" Type="http://schemas.openxmlformats.org/officeDocument/2006/relationships/hyperlink" Target="http://wikipedia.org" TargetMode="External"/><Relationship Id="rId1023" Type="http://schemas.openxmlformats.org/officeDocument/2006/relationships/hyperlink" Target="https://www.growthmarketingpro.com/best-geo-marketing-agencies/" TargetMode="External"/><Relationship Id="rId2354" Type="http://schemas.openxmlformats.org/officeDocument/2006/relationships/hyperlink" Target="https://en.wikipedia.org/wiki/Ogilvy_%28agency%29" TargetMode="External"/><Relationship Id="rId1024" Type="http://schemas.openxmlformats.org/officeDocument/2006/relationships/hyperlink" Target="http://growthmarketingpro.com" TargetMode="External"/><Relationship Id="rId2355" Type="http://schemas.openxmlformats.org/officeDocument/2006/relationships/hyperlink" Target="http://wikipedia.org" TargetMode="External"/><Relationship Id="rId1025" Type="http://schemas.openxmlformats.org/officeDocument/2006/relationships/hyperlink" Target="https://www.hockeystack.com/blog-posts/best-marketing-analytics-platforms" TargetMode="External"/><Relationship Id="rId2356" Type="http://schemas.openxmlformats.org/officeDocument/2006/relationships/hyperlink" Target="https://en.wikipedia.org/wiki/Ogilvy_(agency)" TargetMode="External"/><Relationship Id="rId1910" Type="http://schemas.openxmlformats.org/officeDocument/2006/relationships/hyperlink" Target="http://avenuez.com" TargetMode="External"/><Relationship Id="rId1911" Type="http://schemas.openxmlformats.org/officeDocument/2006/relationships/hyperlink" Target="https://avenuez.com/blog/top-social-media-advertising-agencies-in-the-usa/" TargetMode="External"/><Relationship Id="rId1912" Type="http://schemas.openxmlformats.org/officeDocument/2006/relationships/hyperlink" Target="http://avenuez.com" TargetMode="External"/><Relationship Id="rId1913" Type="http://schemas.openxmlformats.org/officeDocument/2006/relationships/hyperlink" Target="https://avenuez.com/blog/top-wellness-marketing-agencies/" TargetMode="External"/><Relationship Id="rId1914" Type="http://schemas.openxmlformats.org/officeDocument/2006/relationships/hyperlink" Target="http://avenuez.com" TargetMode="External"/><Relationship Id="rId1915" Type="http://schemas.openxmlformats.org/officeDocument/2006/relationships/hyperlink" Target="https://www.awesomic.com/blog/full-service-creative-agencies" TargetMode="External"/><Relationship Id="rId1916" Type="http://schemas.openxmlformats.org/officeDocument/2006/relationships/hyperlink" Target="http://awesomic.com" TargetMode="External"/><Relationship Id="rId1917" Type="http://schemas.openxmlformats.org/officeDocument/2006/relationships/hyperlink" Target="https://awisee.com/ru/blog/paid-social-media-agencies/" TargetMode="External"/><Relationship Id="rId1918" Type="http://schemas.openxmlformats.org/officeDocument/2006/relationships/hyperlink" Target="http://awisee.com" TargetMode="External"/><Relationship Id="rId1919" Type="http://schemas.openxmlformats.org/officeDocument/2006/relationships/hyperlink" Target="https://www.awwwards.com/the-10-best-agencies-in-new-york-city.html" TargetMode="External"/><Relationship Id="rId1900" Type="http://schemas.openxmlformats.org/officeDocument/2006/relationships/hyperlink" Target="http://attributionapp.com" TargetMode="External"/><Relationship Id="rId1901" Type="http://schemas.openxmlformats.org/officeDocument/2006/relationships/hyperlink" Target="https://audigent.com/" TargetMode="External"/><Relationship Id="rId1902" Type="http://schemas.openxmlformats.org/officeDocument/2006/relationships/hyperlink" Target="http://audigent.com" TargetMode="External"/><Relationship Id="rId1903" Type="http://schemas.openxmlformats.org/officeDocument/2006/relationships/hyperlink" Target="https://auradigitalmarketers.com/case-studies" TargetMode="External"/><Relationship Id="rId1904" Type="http://schemas.openxmlformats.org/officeDocument/2006/relationships/hyperlink" Target="http://auradigitalmarketers.com" TargetMode="External"/><Relationship Id="rId1905" Type="http://schemas.openxmlformats.org/officeDocument/2006/relationships/hyperlink" Target="https://www.austley.com/" TargetMode="External"/><Relationship Id="rId1906" Type="http://schemas.openxmlformats.org/officeDocument/2006/relationships/hyperlink" Target="http://austley.com" TargetMode="External"/><Relationship Id="rId1907" Type="http://schemas.openxmlformats.org/officeDocument/2006/relationships/hyperlink" Target="https://www.avaus.com/blog/how-media-agencies-can-utilize-first-party-data-to-drive-better-results/" TargetMode="External"/><Relationship Id="rId1908" Type="http://schemas.openxmlformats.org/officeDocument/2006/relationships/hyperlink" Target="http://avaus.com" TargetMode="External"/><Relationship Id="rId1909" Type="http://schemas.openxmlformats.org/officeDocument/2006/relationships/hyperlink" Target="https://avenuez.com/blog/top-dtc-marketing-agencies-in-the-usa/" TargetMode="External"/><Relationship Id="rId1090" Type="http://schemas.openxmlformats.org/officeDocument/2006/relationships/hyperlink" Target="http://theinklusive.com" TargetMode="External"/><Relationship Id="rId1091" Type="http://schemas.openxmlformats.org/officeDocument/2006/relationships/hyperlink" Target="https://www.thekeenfolks.com/blog-article/best-performance-marketing-agencies" TargetMode="External"/><Relationship Id="rId1092" Type="http://schemas.openxmlformats.org/officeDocument/2006/relationships/hyperlink" Target="http://thekeenfolks.com" TargetMode="External"/><Relationship Id="rId1093" Type="http://schemas.openxmlformats.org/officeDocument/2006/relationships/hyperlink" Target="https://themanifest.com/us/ppc/agencies" TargetMode="External"/><Relationship Id="rId1094" Type="http://schemas.openxmlformats.org/officeDocument/2006/relationships/hyperlink" Target="http://themanifest.com" TargetMode="External"/><Relationship Id="rId1095" Type="http://schemas.openxmlformats.org/officeDocument/2006/relationships/hyperlink" Target="https://www.todaymade.com/blog/top-creative-agencies" TargetMode="External"/><Relationship Id="rId1096" Type="http://schemas.openxmlformats.org/officeDocument/2006/relationships/hyperlink" Target="http://todaymade.com" TargetMode="External"/><Relationship Id="rId1097" Type="http://schemas.openxmlformats.org/officeDocument/2006/relationships/hyperlink" Target="https://transparent.partners/2023/03/15/unlock-revenue-with-incrementality-measurement-and-scale-testing/" TargetMode="External"/><Relationship Id="rId1098" Type="http://schemas.openxmlformats.org/officeDocument/2006/relationships/hyperlink" Target="https://www.uforocks.com/blog/top-ppc-agencies-in-the-u-s/" TargetMode="External"/><Relationship Id="rId1099" Type="http://schemas.openxmlformats.org/officeDocument/2006/relationships/hyperlink" Target="http://uforocks.com" TargetMode="External"/><Relationship Id="rId1080" Type="http://schemas.openxmlformats.org/officeDocument/2006/relationships/hyperlink" Target="http://sortlist.com" TargetMode="External"/><Relationship Id="rId1081" Type="http://schemas.openxmlformats.org/officeDocument/2006/relationships/hyperlink" Target="https://www.strategyeye.com/top-13-performance-marketing-agencies/" TargetMode="External"/><Relationship Id="rId1082" Type="http://schemas.openxmlformats.org/officeDocument/2006/relationships/hyperlink" Target="http://strategyeye.com" TargetMode="External"/><Relationship Id="rId1083" Type="http://schemas.openxmlformats.org/officeDocument/2006/relationships/hyperlink" Target="https://stratevaai.com/" TargetMode="External"/><Relationship Id="rId1084" Type="http://schemas.openxmlformats.org/officeDocument/2006/relationships/hyperlink" Target="http://stratevaai.com" TargetMode="External"/><Relationship Id="rId1085" Type="http://schemas.openxmlformats.org/officeDocument/2006/relationships/hyperlink" Target="https://support.google.com/google-ads/answer/9029203?hl=en" TargetMode="External"/><Relationship Id="rId1086" Type="http://schemas.openxmlformats.org/officeDocument/2006/relationships/hyperlink" Target="http://google.com" TargetMode="External"/><Relationship Id="rId1087" Type="http://schemas.openxmlformats.org/officeDocument/2006/relationships/hyperlink" Target="https://www.thegrowthsyndicate.com/agencies/best-b2b-google-ads-agencies-us" TargetMode="External"/><Relationship Id="rId1088" Type="http://schemas.openxmlformats.org/officeDocument/2006/relationships/hyperlink" Target="http://thegrowthsyndicate.com" TargetMode="External"/><Relationship Id="rId1089" Type="http://schemas.openxmlformats.org/officeDocument/2006/relationships/hyperlink" Target="https://theinklusive.com/blog/best-creative-marketing-agency-partners-for-your-brand/" TargetMode="External"/><Relationship Id="rId1972" Type="http://schemas.openxmlformats.org/officeDocument/2006/relationships/hyperlink" Target="http://brightlinkconsulting.com" TargetMode="External"/><Relationship Id="rId1973" Type="http://schemas.openxmlformats.org/officeDocument/2006/relationships/hyperlink" Target="https://brillmedia.co/" TargetMode="External"/><Relationship Id="rId1974" Type="http://schemas.openxmlformats.org/officeDocument/2006/relationships/hyperlink" Target="http://brillmedia.co" TargetMode="External"/><Relationship Id="rId1975" Type="http://schemas.openxmlformats.org/officeDocument/2006/relationships/hyperlink" Target="https://brillmedia.co/brill-media-advertising-platform/" TargetMode="External"/><Relationship Id="rId1976" Type="http://schemas.openxmlformats.org/officeDocument/2006/relationships/hyperlink" Target="http://brillmedia.co" TargetMode="External"/><Relationship Id="rId1977" Type="http://schemas.openxmlformats.org/officeDocument/2006/relationships/hyperlink" Target="https://brillmedia.co/locations/best-ad-agencies-in-california/" TargetMode="External"/><Relationship Id="rId1978" Type="http://schemas.openxmlformats.org/officeDocument/2006/relationships/hyperlink" Target="http://brillmedia.co" TargetMode="External"/><Relationship Id="rId1979" Type="http://schemas.openxmlformats.org/officeDocument/2006/relationships/hyperlink" Target="https://brillmedia.co/resources/best-bing-ads-agencies/" TargetMode="External"/><Relationship Id="rId1970" Type="http://schemas.openxmlformats.org/officeDocument/2006/relationships/hyperlink" Target="http://breakingb2b.com" TargetMode="External"/><Relationship Id="rId1971" Type="http://schemas.openxmlformats.org/officeDocument/2006/relationships/hyperlink" Target="https://brightlinkconsulting.com/ai-adoption" TargetMode="External"/><Relationship Id="rId1961" Type="http://schemas.openxmlformats.org/officeDocument/2006/relationships/hyperlink" Target="https://www.bounteous.com/partners/google/google-search-ads-360/" TargetMode="External"/><Relationship Id="rId1962" Type="http://schemas.openxmlformats.org/officeDocument/2006/relationships/hyperlink" Target="http://bounteous.com" TargetMode="External"/><Relationship Id="rId1963" Type="http://schemas.openxmlformats.org/officeDocument/2006/relationships/hyperlink" Target="https://www.bounteous.com/partners/google/media-accelerate/" TargetMode="External"/><Relationship Id="rId1964" Type="http://schemas.openxmlformats.org/officeDocument/2006/relationships/hyperlink" Target="http://bounteous.com" TargetMode="External"/><Relationship Id="rId1965" Type="http://schemas.openxmlformats.org/officeDocument/2006/relationships/hyperlink" Target="https://www.brandedagency.com/blog/top-digital-marketing-agencies" TargetMode="External"/><Relationship Id="rId1966" Type="http://schemas.openxmlformats.org/officeDocument/2006/relationships/hyperlink" Target="http://brandedagency.com" TargetMode="External"/><Relationship Id="rId1967" Type="http://schemas.openxmlformats.org/officeDocument/2006/relationships/hyperlink" Target="https://www.braumillerconsulting.com/" TargetMode="External"/><Relationship Id="rId1968" Type="http://schemas.openxmlformats.org/officeDocument/2006/relationships/hyperlink" Target="http://braumillerconsulting.com" TargetMode="External"/><Relationship Id="rId1969" Type="http://schemas.openxmlformats.org/officeDocument/2006/relationships/hyperlink" Target="https://www.breakingb2b.com/blog/best-aeo-agency" TargetMode="External"/><Relationship Id="rId1960" Type="http://schemas.openxmlformats.org/officeDocument/2006/relationships/hyperlink" Target="http://bolderagency.com" TargetMode="External"/><Relationship Id="rId1994" Type="http://schemas.openxmlformats.org/officeDocument/2006/relationships/hyperlink" Target="http://google.com" TargetMode="External"/><Relationship Id="rId1995" Type="http://schemas.openxmlformats.org/officeDocument/2006/relationships/hyperlink" Target="https://business.google.com/us/think/measurement/incrementality-testing/" TargetMode="External"/><Relationship Id="rId1996" Type="http://schemas.openxmlformats.org/officeDocument/2006/relationships/hyperlink" Target="http://google.com" TargetMode="External"/><Relationship Id="rId1997" Type="http://schemas.openxmlformats.org/officeDocument/2006/relationships/hyperlink" Target="https://www.businessinsider.com/how-ai-is-changing-consulting-talent-at-mckinsey-pwc-deloitte-2025-12" TargetMode="External"/><Relationship Id="rId1998" Type="http://schemas.openxmlformats.org/officeDocument/2006/relationships/hyperlink" Target="http://businessinsider.com" TargetMode="External"/><Relationship Id="rId1999" Type="http://schemas.openxmlformats.org/officeDocument/2006/relationships/hyperlink" Target="https://www.businessinsider.com/top-geo-tips-ai-search-google-microsoft-perplexity-2025-12" TargetMode="External"/><Relationship Id="rId1990" Type="http://schemas.openxmlformats.org/officeDocument/2006/relationships/hyperlink" Target="http://adobe.com" TargetMode="External"/><Relationship Id="rId1991" Type="http://schemas.openxmlformats.org/officeDocument/2006/relationships/hyperlink" Target="https://business.google.com/en-all/support/become-a-partner/" TargetMode="External"/><Relationship Id="rId1992" Type="http://schemas.openxmlformats.org/officeDocument/2006/relationships/hyperlink" Target="http://google.com" TargetMode="External"/><Relationship Id="rId1993" Type="http://schemas.openxmlformats.org/officeDocument/2006/relationships/hyperlink" Target="https://business.google.com/en-all/support/work-with-a-partner/" TargetMode="External"/><Relationship Id="rId1983" Type="http://schemas.openxmlformats.org/officeDocument/2006/relationships/hyperlink" Target="https://brillmedia.co/services/media-buying-agency/" TargetMode="External"/><Relationship Id="rId1984" Type="http://schemas.openxmlformats.org/officeDocument/2006/relationships/hyperlink" Target="http://brillmedia.co" TargetMode="External"/><Relationship Id="rId1985" Type="http://schemas.openxmlformats.org/officeDocument/2006/relationships/hyperlink" Target="https://builtin.com/company/tinuiti" TargetMode="External"/><Relationship Id="rId1986" Type="http://schemas.openxmlformats.org/officeDocument/2006/relationships/hyperlink" Target="http://builtin.com" TargetMode="External"/><Relationship Id="rId1987" Type="http://schemas.openxmlformats.org/officeDocument/2006/relationships/hyperlink" Target="https://www.builtincolorado.com/articles/consulting-firms-colorado" TargetMode="External"/><Relationship Id="rId1988" Type="http://schemas.openxmlformats.org/officeDocument/2006/relationships/hyperlink" Target="http://builtincolorado.com" TargetMode="External"/><Relationship Id="rId1989" Type="http://schemas.openxmlformats.org/officeDocument/2006/relationships/hyperlink" Target="https://business.adobe.com/blog/basics/marketing-attribution" TargetMode="External"/><Relationship Id="rId1980" Type="http://schemas.openxmlformats.org/officeDocument/2006/relationships/hyperlink" Target="http://brillmedia.co" TargetMode="External"/><Relationship Id="rId1981" Type="http://schemas.openxmlformats.org/officeDocument/2006/relationships/hyperlink" Target="https://brillmedia.co/resources/display-ads-best-practices/" TargetMode="External"/><Relationship Id="rId1982" Type="http://schemas.openxmlformats.org/officeDocument/2006/relationships/hyperlink" Target="http://brillmedia.co" TargetMode="External"/><Relationship Id="rId1930" Type="http://schemas.openxmlformats.org/officeDocument/2006/relationships/hyperlink" Target="http://barkleyokrp.com" TargetMode="External"/><Relationship Id="rId1931" Type="http://schemas.openxmlformats.org/officeDocument/2006/relationships/hyperlink" Target="https://bbdo.com/" TargetMode="External"/><Relationship Id="rId1932" Type="http://schemas.openxmlformats.org/officeDocument/2006/relationships/hyperlink" Target="http://bbdo.com" TargetMode="External"/><Relationship Id="rId1933" Type="http://schemas.openxmlformats.org/officeDocument/2006/relationships/hyperlink" Target="https://beomniscient.com/blog/marketing-agencies/" TargetMode="External"/><Relationship Id="rId1934" Type="http://schemas.openxmlformats.org/officeDocument/2006/relationships/hyperlink" Target="http://beomniscient.com" TargetMode="External"/><Relationship Id="rId1935" Type="http://schemas.openxmlformats.org/officeDocument/2006/relationships/hyperlink" Target="https://www.best-masters.com/master-marketing-ranking.html" TargetMode="External"/><Relationship Id="rId1936" Type="http://schemas.openxmlformats.org/officeDocument/2006/relationships/hyperlink" Target="http://best-masters.com" TargetMode="External"/><Relationship Id="rId1937" Type="http://schemas.openxmlformats.org/officeDocument/2006/relationships/hyperlink" Target="https://bestaiseoagencies.com/" TargetMode="External"/><Relationship Id="rId1938" Type="http://schemas.openxmlformats.org/officeDocument/2006/relationships/hyperlink" Target="http://bestaiseoagencies.com" TargetMode="External"/><Relationship Id="rId1939" Type="http://schemas.openxmlformats.org/officeDocument/2006/relationships/hyperlink" Target="https://beyondthearc.com/news/recognition" TargetMode="External"/><Relationship Id="rId1920" Type="http://schemas.openxmlformats.org/officeDocument/2006/relationships/hyperlink" Target="http://awwwards.com" TargetMode="External"/><Relationship Id="rId1921" Type="http://schemas.openxmlformats.org/officeDocument/2006/relationships/hyperlink" Target="https://www.backhouse.com/" TargetMode="External"/><Relationship Id="rId1922" Type="http://schemas.openxmlformats.org/officeDocument/2006/relationships/hyperlink" Target="http://backhouse.com" TargetMode="External"/><Relationship Id="rId1923" Type="http://schemas.openxmlformats.org/officeDocument/2006/relationships/hyperlink" Target="https://www.barchart.com/story/news/1281321/10-ai-visibility-optimization-agencies-in-the-united-states-for-2026" TargetMode="External"/><Relationship Id="rId1924" Type="http://schemas.openxmlformats.org/officeDocument/2006/relationships/hyperlink" Target="http://barchart.com" TargetMode="External"/><Relationship Id="rId1925" Type="http://schemas.openxmlformats.org/officeDocument/2006/relationships/hyperlink" Target="https://www.barchart.com/story/news/1344974/designrush-unveils-april-2026-ranking-of-top-10-ppc-companies" TargetMode="External"/><Relationship Id="rId1926" Type="http://schemas.openxmlformats.org/officeDocument/2006/relationships/hyperlink" Target="http://barchart.com" TargetMode="External"/><Relationship Id="rId1927" Type="http://schemas.openxmlformats.org/officeDocument/2006/relationships/hyperlink" Target="https://www.barchart.com/story/news/3274650/simpletiger-wins-a-spring-2026-clutch-global-award-for-seo-mobile-optimization" TargetMode="External"/><Relationship Id="rId1928" Type="http://schemas.openxmlformats.org/officeDocument/2006/relationships/hyperlink" Target="http://barchart.com" TargetMode="External"/><Relationship Id="rId1929" Type="http://schemas.openxmlformats.org/officeDocument/2006/relationships/hyperlink" Target="https://barkleyokrp.com/barkleyokrps-adlucent-are-now-google-marketing-platform-certified-partners/" TargetMode="External"/><Relationship Id="rId1950" Type="http://schemas.openxmlformats.org/officeDocument/2006/relationships/hyperlink" Target="http://blendb2b.com" TargetMode="External"/><Relationship Id="rId1951" Type="http://schemas.openxmlformats.org/officeDocument/2006/relationships/hyperlink" Target="https://blog.brandburp.com/10-best-digital-marketing-agencies-in-new-york/" TargetMode="External"/><Relationship Id="rId1952" Type="http://schemas.openxmlformats.org/officeDocument/2006/relationships/hyperlink" Target="http://brandburp.com" TargetMode="External"/><Relationship Id="rId1953" Type="http://schemas.openxmlformats.org/officeDocument/2006/relationships/hyperlink" Target="https://www.blog.udonis.co/top-agencies/marketing-consulting-firms" TargetMode="External"/><Relationship Id="rId1954" Type="http://schemas.openxmlformats.org/officeDocument/2006/relationships/hyperlink" Target="http://udonis.co" TargetMode="External"/><Relationship Id="rId1955" Type="http://schemas.openxmlformats.org/officeDocument/2006/relationships/hyperlink" Target="https://www.bloggingtips.com/assets/outsourcing/seo" TargetMode="External"/><Relationship Id="rId1956" Type="http://schemas.openxmlformats.org/officeDocument/2006/relationships/hyperlink" Target="http://bloggingtips.com" TargetMode="External"/><Relationship Id="rId1957" Type="http://schemas.openxmlformats.org/officeDocument/2006/relationships/hyperlink" Target="https://www.blueduckagency.com/blog/incrementality" TargetMode="External"/><Relationship Id="rId1958" Type="http://schemas.openxmlformats.org/officeDocument/2006/relationships/hyperlink" Target="http://blueduckagency.com" TargetMode="External"/><Relationship Id="rId1959" Type="http://schemas.openxmlformats.org/officeDocument/2006/relationships/hyperlink" Target="https://www.bolderagency.com/journal/startup-branding-agency-guide-2026-best-us-agencies-for-strategic-brand-building" TargetMode="External"/><Relationship Id="rId1940" Type="http://schemas.openxmlformats.org/officeDocument/2006/relationships/hyperlink" Target="http://beyondthearc.com" TargetMode="External"/><Relationship Id="rId1941" Type="http://schemas.openxmlformats.org/officeDocument/2006/relationships/hyperlink" Target="https://www.bimodal.io/" TargetMode="External"/><Relationship Id="rId1942" Type="http://schemas.openxmlformats.org/officeDocument/2006/relationships/hyperlink" Target="http://bimodal.io" TargetMode="External"/><Relationship Id="rId1943" Type="http://schemas.openxmlformats.org/officeDocument/2006/relationships/hyperlink" Target="https://blackthorn-vision.com/blog/top-10-seo-companies-in-the-usa/" TargetMode="External"/><Relationship Id="rId1944" Type="http://schemas.openxmlformats.org/officeDocument/2006/relationships/hyperlink" Target="http://blackthorn-vision.com" TargetMode="External"/><Relationship Id="rId1945" Type="http://schemas.openxmlformats.org/officeDocument/2006/relationships/hyperlink" Target="https://www.blackwelldigital.com/" TargetMode="External"/><Relationship Id="rId1946" Type="http://schemas.openxmlformats.org/officeDocument/2006/relationships/hyperlink" Target="http://blackwelldigital.com" TargetMode="External"/><Relationship Id="rId1947" Type="http://schemas.openxmlformats.org/officeDocument/2006/relationships/hyperlink" Target="https://blazonagency.com/post/top-ad-agencies" TargetMode="External"/><Relationship Id="rId1948" Type="http://schemas.openxmlformats.org/officeDocument/2006/relationships/hyperlink" Target="http://blazonagency.com" TargetMode="External"/><Relationship Id="rId1949" Type="http://schemas.openxmlformats.org/officeDocument/2006/relationships/hyperlink" Target="https://www.blendb2b.com/resources/best-aeo-agencies-for-logistics-companies?hs_amp=true" TargetMode="External"/><Relationship Id="rId2423" Type="http://schemas.openxmlformats.org/officeDocument/2006/relationships/hyperlink" Target="https://fntmanagement.com/top-marketing-agencies/" TargetMode="External"/><Relationship Id="rId2424" Type="http://schemas.openxmlformats.org/officeDocument/2006/relationships/hyperlink" Target="http://fntmanagement.com" TargetMode="External"/><Relationship Id="rId2425" Type="http://schemas.openxmlformats.org/officeDocument/2006/relationships/hyperlink" Target="https://www.forrester.com/blogs/the-latest-and-greatest-mmo-service-providers/" TargetMode="External"/><Relationship Id="rId2426" Type="http://schemas.openxmlformats.org/officeDocument/2006/relationships/hyperlink" Target="http://forrester.com" TargetMode="External"/><Relationship Id="rId2427" Type="http://schemas.openxmlformats.org/officeDocument/2006/relationships/hyperlink" Target="https://www.fortismedia.com/en/articles/roi-marketing-agency/" TargetMode="External"/><Relationship Id="rId2428" Type="http://schemas.openxmlformats.org/officeDocument/2006/relationships/hyperlink" Target="http://fortismedia.com" TargetMode="External"/><Relationship Id="rId2429" Type="http://schemas.openxmlformats.org/officeDocument/2006/relationships/hyperlink" Target="https://www.found.co.uk/services/seo/ai-seo/aeo/" TargetMode="External"/><Relationship Id="rId509" Type="http://schemas.openxmlformats.org/officeDocument/2006/relationships/hyperlink" Target="http://pedowitzgroup.com" TargetMode="External"/><Relationship Id="rId508" Type="http://schemas.openxmlformats.org/officeDocument/2006/relationships/hyperlink" Target="https://www.pedowitzgroup.com/solutions/ai" TargetMode="External"/><Relationship Id="rId503" Type="http://schemas.openxmlformats.org/officeDocument/2006/relationships/hyperlink" Target="http://influencermarketinghub.com" TargetMode="External"/><Relationship Id="rId502" Type="http://schemas.openxmlformats.org/officeDocument/2006/relationships/hyperlink" Target="https://influencermarketinghub.com/digital-marketing-agency-usa/" TargetMode="External"/><Relationship Id="rId501" Type="http://schemas.openxmlformats.org/officeDocument/2006/relationships/hyperlink" Target="http://hashmeta.ai" TargetMode="External"/><Relationship Id="rId500" Type="http://schemas.openxmlformats.org/officeDocument/2006/relationships/hyperlink" Target="https://www.hashmeta.ai/en/generative-ai/best-ai-marketing-agencies" TargetMode="External"/><Relationship Id="rId507" Type="http://schemas.openxmlformats.org/officeDocument/2006/relationships/hyperlink" Target="http://marketri.com" TargetMode="External"/><Relationship Id="rId506" Type="http://schemas.openxmlformats.org/officeDocument/2006/relationships/hyperlink" Target="https://marketri.com/ai-marketing-consulting/" TargetMode="External"/><Relationship Id="rId505" Type="http://schemas.openxmlformats.org/officeDocument/2006/relationships/hyperlink" Target="http://lyfemarketing.com" TargetMode="External"/><Relationship Id="rId504" Type="http://schemas.openxmlformats.org/officeDocument/2006/relationships/hyperlink" Target="https://www.lyfemarketing.com/blog/top-creative-agencies-us/" TargetMode="External"/><Relationship Id="rId2420" Type="http://schemas.openxmlformats.org/officeDocument/2006/relationships/hyperlink" Target="http://flyingvgroup.com" TargetMode="External"/><Relationship Id="rId2421" Type="http://schemas.openxmlformats.org/officeDocument/2006/relationships/hyperlink" Target="https://flypix.ai/geospatial-intelligence-companies-usa/" TargetMode="External"/><Relationship Id="rId2422" Type="http://schemas.openxmlformats.org/officeDocument/2006/relationships/hyperlink" Target="http://flypix.ai" TargetMode="External"/><Relationship Id="rId2412" Type="http://schemas.openxmlformats.org/officeDocument/2006/relationships/hyperlink" Target="http://firstpagesage.com" TargetMode="External"/><Relationship Id="rId2413" Type="http://schemas.openxmlformats.org/officeDocument/2006/relationships/hyperlink" Target="https://www.firstquery.ai/blog/top-10-ai-search-agencies-to-boost-rankings" TargetMode="External"/><Relationship Id="rId2414" Type="http://schemas.openxmlformats.org/officeDocument/2006/relationships/hyperlink" Target="http://firstquery.ai" TargetMode="External"/><Relationship Id="rId2415" Type="http://schemas.openxmlformats.org/officeDocument/2006/relationships/hyperlink" Target="https://fixnhour.com/blog/top-advertising-agencies-marketing-companies" TargetMode="External"/><Relationship Id="rId2416" Type="http://schemas.openxmlformats.org/officeDocument/2006/relationships/hyperlink" Target="http://fixnhour.com" TargetMode="External"/><Relationship Id="rId2417" Type="http://schemas.openxmlformats.org/officeDocument/2006/relationships/hyperlink" Target="https://www.flyingvgroup.com/ai-marketing-agency/" TargetMode="External"/><Relationship Id="rId2418" Type="http://schemas.openxmlformats.org/officeDocument/2006/relationships/hyperlink" Target="http://flyingvgroup.com" TargetMode="External"/><Relationship Id="rId2419" Type="http://schemas.openxmlformats.org/officeDocument/2006/relationships/hyperlink" Target="https://www.flyingvgroup.com/programmatic-agency/" TargetMode="External"/><Relationship Id="rId2410" Type="http://schemas.openxmlformats.org/officeDocument/2006/relationships/hyperlink" Target="http://firstpagesage.com" TargetMode="External"/><Relationship Id="rId2411" Type="http://schemas.openxmlformats.org/officeDocument/2006/relationships/hyperlink" Target="https://firstpagesage.com/seo-blog/top-b2b-seo-agencies-us/" TargetMode="External"/><Relationship Id="rId1114" Type="http://schemas.openxmlformats.org/officeDocument/2006/relationships/hyperlink" Target="https://www.adogy.com/the-top-generative-engine-optimization-geo-agencies/" TargetMode="External"/><Relationship Id="rId2445" Type="http://schemas.openxmlformats.org/officeDocument/2006/relationships/hyperlink" Target="https://www.g2.com/categories/data-governance-tools" TargetMode="External"/><Relationship Id="rId1115" Type="http://schemas.openxmlformats.org/officeDocument/2006/relationships/hyperlink" Target="http://adogy.com" TargetMode="External"/><Relationship Id="rId2446" Type="http://schemas.openxmlformats.org/officeDocument/2006/relationships/hyperlink" Target="http://g2.com" TargetMode="External"/><Relationship Id="rId1116" Type="http://schemas.openxmlformats.org/officeDocument/2006/relationships/hyperlink" Target="https://agencies.semrush.com/list/analytics-data-science/business-professional-services/united-states/" TargetMode="External"/><Relationship Id="rId2447" Type="http://schemas.openxmlformats.org/officeDocument/2006/relationships/hyperlink" Target="https://www.gallup.com/workplace/650153/ai-adoption.aspx" TargetMode="External"/><Relationship Id="rId1117" Type="http://schemas.openxmlformats.org/officeDocument/2006/relationships/hyperlink" Target="http://semrush.com" TargetMode="External"/><Relationship Id="rId2448" Type="http://schemas.openxmlformats.org/officeDocument/2006/relationships/hyperlink" Target="http://gallup.com" TargetMode="External"/><Relationship Id="rId1118" Type="http://schemas.openxmlformats.org/officeDocument/2006/relationships/hyperlink" Target="https://agencies.semrush.com/list/display-advertising/ecommerce/united-states/" TargetMode="External"/><Relationship Id="rId2449" Type="http://schemas.openxmlformats.org/officeDocument/2006/relationships/hyperlink" Target="https://www.gartner.com/reviews/product/ogilvy-global-digital-marketing-agencies" TargetMode="External"/><Relationship Id="rId1119" Type="http://schemas.openxmlformats.org/officeDocument/2006/relationships/hyperlink" Target="http://semrush.com" TargetMode="External"/><Relationship Id="rId525" Type="http://schemas.openxmlformats.org/officeDocument/2006/relationships/hyperlink" Target="https://zyppy.com/companies/c/marketing-attribution/united-states/" TargetMode="External"/><Relationship Id="rId524" Type="http://schemas.openxmlformats.org/officeDocument/2006/relationships/hyperlink" Target="https://wildnetmarketing.agency/blog/best-web-analytics-agencies-in-usa/" TargetMode="External"/><Relationship Id="rId523" Type="http://schemas.openxmlformats.org/officeDocument/2006/relationships/hyperlink" Target="http://upliftgtm.com" TargetMode="External"/><Relationship Id="rId522" Type="http://schemas.openxmlformats.org/officeDocument/2006/relationships/hyperlink" Target="https://www.upliftgtm.com/blog/best-aeo-agencies" TargetMode="External"/><Relationship Id="rId529" Type="http://schemas.openxmlformats.org/officeDocument/2006/relationships/hyperlink" Target="https://aimadethisbrand.com/" TargetMode="External"/><Relationship Id="rId528" Type="http://schemas.openxmlformats.org/officeDocument/2006/relationships/hyperlink" Target="http://semrush.com" TargetMode="External"/><Relationship Id="rId527" Type="http://schemas.openxmlformats.org/officeDocument/2006/relationships/hyperlink" Target="https://agencies.semrush.com/list/programmatic-advertising/united-states/" TargetMode="External"/><Relationship Id="rId526" Type="http://schemas.openxmlformats.org/officeDocument/2006/relationships/hyperlink" Target="http://zyppy.com" TargetMode="External"/><Relationship Id="rId2440" Type="http://schemas.openxmlformats.org/officeDocument/2006/relationships/hyperlink" Target="http://fueler.io" TargetMode="External"/><Relationship Id="rId521" Type="http://schemas.openxmlformats.org/officeDocument/2006/relationships/hyperlink" Target="http://uforocks.com" TargetMode="External"/><Relationship Id="rId1110" Type="http://schemas.openxmlformats.org/officeDocument/2006/relationships/hyperlink" Target="https://zipdo.co/service/display-advertising/" TargetMode="External"/><Relationship Id="rId2441" Type="http://schemas.openxmlformats.org/officeDocument/2006/relationships/hyperlink" Target="https://fueler.io/blog/top-us-advertising-and-marketing-agencies" TargetMode="External"/><Relationship Id="rId520" Type="http://schemas.openxmlformats.org/officeDocument/2006/relationships/hyperlink" Target="https://www.uforocks.com/blog/top-google-ads-agencies-in-the-u-s/" TargetMode="External"/><Relationship Id="rId1111" Type="http://schemas.openxmlformats.org/officeDocument/2006/relationships/hyperlink" Target="http://zipdo.co" TargetMode="External"/><Relationship Id="rId2442" Type="http://schemas.openxmlformats.org/officeDocument/2006/relationships/hyperlink" Target="http://fueler.io" TargetMode="External"/><Relationship Id="rId1112" Type="http://schemas.openxmlformats.org/officeDocument/2006/relationships/hyperlink" Target="https://www.accuracast.com/articles/multilingual-7471/top-10-international-digital-marketing-agencies-2026/" TargetMode="External"/><Relationship Id="rId2443" Type="http://schemas.openxmlformats.org/officeDocument/2006/relationships/hyperlink" Target="https://www.futuresupply.io/" TargetMode="External"/><Relationship Id="rId1113" Type="http://schemas.openxmlformats.org/officeDocument/2006/relationships/hyperlink" Target="http://accuracast.com" TargetMode="External"/><Relationship Id="rId2444" Type="http://schemas.openxmlformats.org/officeDocument/2006/relationships/hyperlink" Target="http://futuresupply.io" TargetMode="External"/><Relationship Id="rId1103" Type="http://schemas.openxmlformats.org/officeDocument/2006/relationships/hyperlink" Target="http://warc.com" TargetMode="External"/><Relationship Id="rId2434" Type="http://schemas.openxmlformats.org/officeDocument/2006/relationships/hyperlink" Target="http://freshcoast.ai" TargetMode="External"/><Relationship Id="rId1104" Type="http://schemas.openxmlformats.org/officeDocument/2006/relationships/hyperlink" Target="https://www.webtonic.io/blog/top-enterprise-digital-marketing-agencies" TargetMode="External"/><Relationship Id="rId2435" Type="http://schemas.openxmlformats.org/officeDocument/2006/relationships/hyperlink" Target="https://www.frontieraiconsulting.com/" TargetMode="External"/><Relationship Id="rId1105" Type="http://schemas.openxmlformats.org/officeDocument/2006/relationships/hyperlink" Target="http://webtonic.io" TargetMode="External"/><Relationship Id="rId2436" Type="http://schemas.openxmlformats.org/officeDocument/2006/relationships/hyperlink" Target="http://frontieraiconsulting.com" TargetMode="External"/><Relationship Id="rId1106" Type="http://schemas.openxmlformats.org/officeDocument/2006/relationships/hyperlink" Target="https://www.webtonic.io/blog/top-paid-media-agencies" TargetMode="External"/><Relationship Id="rId2437" Type="http://schemas.openxmlformats.org/officeDocument/2006/relationships/hyperlink" Target="https://fueler.io/blog/best-performance-marketing-agencies-in-the-usa" TargetMode="External"/><Relationship Id="rId1107" Type="http://schemas.openxmlformats.org/officeDocument/2006/relationships/hyperlink" Target="http://webtonic.io" TargetMode="External"/><Relationship Id="rId2438" Type="http://schemas.openxmlformats.org/officeDocument/2006/relationships/hyperlink" Target="http://fueler.io" TargetMode="External"/><Relationship Id="rId1108" Type="http://schemas.openxmlformats.org/officeDocument/2006/relationships/hyperlink" Target="https://www.youtube.com/watch?v=Zyd_x8Z9J7I&amp;t=92" TargetMode="External"/><Relationship Id="rId2439" Type="http://schemas.openxmlformats.org/officeDocument/2006/relationships/hyperlink" Target="https://www.fueler.io/blog/performance-marketing-agencies-that-prove-roi-with-real-client-results" TargetMode="External"/><Relationship Id="rId1109" Type="http://schemas.openxmlformats.org/officeDocument/2006/relationships/hyperlink" Target="http://youtube.com" TargetMode="External"/><Relationship Id="rId519" Type="http://schemas.openxmlformats.org/officeDocument/2006/relationships/hyperlink" Target="http://techaheadcorp.com" TargetMode="External"/><Relationship Id="rId514" Type="http://schemas.openxmlformats.org/officeDocument/2006/relationships/hyperlink" Target="https://www.reddit.com/r/TheTopAgencies/comments/1mjdxiv/the_best_generative_engine_optimization_agencies/" TargetMode="External"/><Relationship Id="rId513" Type="http://schemas.openxmlformats.org/officeDocument/2006/relationships/hyperlink" Target="http://reddit.com" TargetMode="External"/><Relationship Id="rId512" Type="http://schemas.openxmlformats.org/officeDocument/2006/relationships/hyperlink" Target="https://www.reddit.com/r/MktgSupermarket/comments/1qom30j/compiled_a_directory_of_25_ai_marketing_agencies/" TargetMode="External"/><Relationship Id="rId511" Type="http://schemas.openxmlformats.org/officeDocument/2006/relationships/hyperlink" Target="http://percepture.com" TargetMode="External"/><Relationship Id="rId518" Type="http://schemas.openxmlformats.org/officeDocument/2006/relationships/hyperlink" Target="https://www.techaheadcorp.com/services/ai-consulting-company/" TargetMode="External"/><Relationship Id="rId517" Type="http://schemas.openxmlformats.org/officeDocument/2006/relationships/hyperlink" Target="http://seoprofy.com" TargetMode="External"/><Relationship Id="rId516" Type="http://schemas.openxmlformats.org/officeDocument/2006/relationships/hyperlink" Target="https://seoprofy.com/blog/generative-engine-optimization-agencies/" TargetMode="External"/><Relationship Id="rId515" Type="http://schemas.openxmlformats.org/officeDocument/2006/relationships/hyperlink" Target="http://reddit.com" TargetMode="External"/><Relationship Id="rId510" Type="http://schemas.openxmlformats.org/officeDocument/2006/relationships/hyperlink" Target="https://percepture.com/geo-insights/best-generative-ai-seo-agencies/" TargetMode="External"/><Relationship Id="rId2430" Type="http://schemas.openxmlformats.org/officeDocument/2006/relationships/hyperlink" Target="http://found.co.uk" TargetMode="External"/><Relationship Id="rId1100" Type="http://schemas.openxmlformats.org/officeDocument/2006/relationships/hyperlink" Target="https://www.warc.com/en/data-benchmarks/rankings-creative-100-overview" TargetMode="External"/><Relationship Id="rId2431" Type="http://schemas.openxmlformats.org/officeDocument/2006/relationships/hyperlink" Target="https://foundersworkshop.com/feeds/service/ai-adoption-readiness-consulting-enterprises" TargetMode="External"/><Relationship Id="rId1101" Type="http://schemas.openxmlformats.org/officeDocument/2006/relationships/hyperlink" Target="http://warc.com" TargetMode="External"/><Relationship Id="rId2432" Type="http://schemas.openxmlformats.org/officeDocument/2006/relationships/hyperlink" Target="http://foundersworkshop.com" TargetMode="External"/><Relationship Id="rId1102" Type="http://schemas.openxmlformats.org/officeDocument/2006/relationships/hyperlink" Target="https://www.warc.com/en/rankings/creative-100" TargetMode="External"/><Relationship Id="rId2433" Type="http://schemas.openxmlformats.org/officeDocument/2006/relationships/hyperlink" Target="https://www.freshcoast.ai/services.html" TargetMode="External"/><Relationship Id="rId2401" Type="http://schemas.openxmlformats.org/officeDocument/2006/relationships/hyperlink" Target="https://firmcraft.ai/" TargetMode="External"/><Relationship Id="rId2402" Type="http://schemas.openxmlformats.org/officeDocument/2006/relationships/hyperlink" Target="http://firmcraft.ai" TargetMode="External"/><Relationship Id="rId2403" Type="http://schemas.openxmlformats.org/officeDocument/2006/relationships/hyperlink" Target="https://firstmovers.ai/ai-marketing-consultant/" TargetMode="External"/><Relationship Id="rId2404" Type="http://schemas.openxmlformats.org/officeDocument/2006/relationships/hyperlink" Target="http://firstmovers.ai" TargetMode="External"/><Relationship Id="rId2405" Type="http://schemas.openxmlformats.org/officeDocument/2006/relationships/hyperlink" Target="https://firstpagesage.com/seo-blog/the-top-ecommerce-agentic-search-optimization-aso-agencies" TargetMode="External"/><Relationship Id="rId2406" Type="http://schemas.openxmlformats.org/officeDocument/2006/relationships/hyperlink" Target="http://firstpagesage.com" TargetMode="External"/><Relationship Id="rId2407" Type="http://schemas.openxmlformats.org/officeDocument/2006/relationships/hyperlink" Target="https://firstpagesage.com/seo-blog/the-top-ecommerce-geo-aeo-agencies/" TargetMode="External"/><Relationship Id="rId2408" Type="http://schemas.openxmlformats.org/officeDocument/2006/relationships/hyperlink" Target="http://firstpagesage.com" TargetMode="External"/><Relationship Id="rId2409" Type="http://schemas.openxmlformats.org/officeDocument/2006/relationships/hyperlink" Target="https://firstpagesage.com/seo-blog/the-top-seo-companies-in-the-us/" TargetMode="External"/><Relationship Id="rId2400" Type="http://schemas.openxmlformats.org/officeDocument/2006/relationships/hyperlink" Target="http://yahoo.com" TargetMode="External"/><Relationship Id="rId590" Type="http://schemas.openxmlformats.org/officeDocument/2006/relationships/hyperlink" Target="http://clutch.co" TargetMode="External"/><Relationship Id="rId589" Type="http://schemas.openxmlformats.org/officeDocument/2006/relationships/hyperlink" Target="https://clutch.co/consulting/ai/strategy" TargetMode="External"/><Relationship Id="rId588" Type="http://schemas.openxmlformats.org/officeDocument/2006/relationships/hyperlink" Target="http://chiefoutsiders.com" TargetMode="External"/><Relationship Id="rId1170" Type="http://schemas.openxmlformats.org/officeDocument/2006/relationships/hyperlink" Target="https://en.wikipedia.org/wiki/Wieden+Kennedy" TargetMode="External"/><Relationship Id="rId1171" Type="http://schemas.openxmlformats.org/officeDocument/2006/relationships/hyperlink" Target="http://wikipedia.org" TargetMode="External"/><Relationship Id="rId583" Type="http://schemas.openxmlformats.org/officeDocument/2006/relationships/hyperlink" Target="https://agencylist.com/services/programmatic-display-and-video/us/" TargetMode="External"/><Relationship Id="rId1172" Type="http://schemas.openxmlformats.org/officeDocument/2006/relationships/hyperlink" Target="https://enterprisemarketingportal.google/work-with-partners" TargetMode="External"/><Relationship Id="rId582" Type="http://schemas.openxmlformats.org/officeDocument/2006/relationships/hyperlink" Target="http://accordtechsolutions.com" TargetMode="External"/><Relationship Id="rId1173" Type="http://schemas.openxmlformats.org/officeDocument/2006/relationships/hyperlink" Target="https://www.equinoxitsol.com/blog/top-10-performance-marketing-agencies-in-the-us/" TargetMode="External"/><Relationship Id="rId581" Type="http://schemas.openxmlformats.org/officeDocument/2006/relationships/hyperlink" Target="https://www.accordtechsolutions.com/blog/top-7-ai-marketing-agency-in-the-usa" TargetMode="External"/><Relationship Id="rId1174" Type="http://schemas.openxmlformats.org/officeDocument/2006/relationships/hyperlink" Target="http://equinoxitsol.com" TargetMode="External"/><Relationship Id="rId580" Type="http://schemas.openxmlformats.org/officeDocument/2006/relationships/hyperlink" Target="http://75way.com" TargetMode="External"/><Relationship Id="rId1175" Type="http://schemas.openxmlformats.org/officeDocument/2006/relationships/hyperlink" Target="https://fusepointinsights.com/service/incrementality-experiments/" TargetMode="External"/><Relationship Id="rId587" Type="http://schemas.openxmlformats.org/officeDocument/2006/relationships/hyperlink" Target="https://www.chiefoutsiders.com/ai" TargetMode="External"/><Relationship Id="rId1176" Type="http://schemas.openxmlformats.org/officeDocument/2006/relationships/hyperlink" Target="http://fusepointinsights.com" TargetMode="External"/><Relationship Id="rId586" Type="http://schemas.openxmlformats.org/officeDocument/2006/relationships/hyperlink" Target="http://brandmentions.com" TargetMode="External"/><Relationship Id="rId1177" Type="http://schemas.openxmlformats.org/officeDocument/2006/relationships/hyperlink" Target="https://www.g2.com/products/measured/reviews" TargetMode="External"/><Relationship Id="rId585" Type="http://schemas.openxmlformats.org/officeDocument/2006/relationships/hyperlink" Target="https://brandmentions.com/wiki/Top_advertising_agencies_in_USA" TargetMode="External"/><Relationship Id="rId1178" Type="http://schemas.openxmlformats.org/officeDocument/2006/relationships/hyperlink" Target="http://g2.com" TargetMode="External"/><Relationship Id="rId584" Type="http://schemas.openxmlformats.org/officeDocument/2006/relationships/hyperlink" Target="http://agencylist.com" TargetMode="External"/><Relationship Id="rId1179" Type="http://schemas.openxmlformats.org/officeDocument/2006/relationships/hyperlink" Target="https://www.goodfirms.co/directory/country/top-digital-marketing-companies/us?sid=3931" TargetMode="External"/><Relationship Id="rId1169" Type="http://schemas.openxmlformats.org/officeDocument/2006/relationships/hyperlink" Target="http://directiveconsulting.com" TargetMode="External"/><Relationship Id="rId579" Type="http://schemas.openxmlformats.org/officeDocument/2006/relationships/hyperlink" Target="https://75way.com/blog/10-top-ai-consulting-companies-usa" TargetMode="External"/><Relationship Id="rId578" Type="http://schemas.openxmlformats.org/officeDocument/2006/relationships/hyperlink" Target="http://xponent21.com" TargetMode="External"/><Relationship Id="rId577" Type="http://schemas.openxmlformats.org/officeDocument/2006/relationships/hyperlink" Target="https://xponent21.com/insights/10-leading-seo-companies-helping-brands-rank-in-ai-search-and-beyond/" TargetMode="External"/><Relationship Id="rId2490" Type="http://schemas.openxmlformats.org/officeDocument/2006/relationships/hyperlink" Target="http://goodfirms.co" TargetMode="External"/><Relationship Id="rId1160" Type="http://schemas.openxmlformats.org/officeDocument/2006/relationships/hyperlink" Target="https://deployflow.co/blog/top-ai-consulting-companies-worldwide/" TargetMode="External"/><Relationship Id="rId2491" Type="http://schemas.openxmlformats.org/officeDocument/2006/relationships/hyperlink" Target="https://www.goodfirms.co/advertising-companies/creative?sort_by=rating" TargetMode="External"/><Relationship Id="rId572" Type="http://schemas.openxmlformats.org/officeDocument/2006/relationships/hyperlink" Target="http://semfirms.com" TargetMode="External"/><Relationship Id="rId1161" Type="http://schemas.openxmlformats.org/officeDocument/2006/relationships/hyperlink" Target="http://deployflow.co" TargetMode="External"/><Relationship Id="rId2492" Type="http://schemas.openxmlformats.org/officeDocument/2006/relationships/hyperlink" Target="http://goodfirms.co" TargetMode="External"/><Relationship Id="rId571" Type="http://schemas.openxmlformats.org/officeDocument/2006/relationships/hyperlink" Target="https://www.semfirms.com/display-advertising-firms" TargetMode="External"/><Relationship Id="rId1162" Type="http://schemas.openxmlformats.org/officeDocument/2006/relationships/hyperlink" Target="https://www.designrush.com/agency/creative-agencies" TargetMode="External"/><Relationship Id="rId2493" Type="http://schemas.openxmlformats.org/officeDocument/2006/relationships/hyperlink" Target="https://www.goodfirms.co/advertising-companies/usa" TargetMode="External"/><Relationship Id="rId570" Type="http://schemas.openxmlformats.org/officeDocument/2006/relationships/hyperlink" Target="http://segmentstream.com" TargetMode="External"/><Relationship Id="rId1163" Type="http://schemas.openxmlformats.org/officeDocument/2006/relationships/hyperlink" Target="http://designrush.com" TargetMode="External"/><Relationship Id="rId2494" Type="http://schemas.openxmlformats.org/officeDocument/2006/relationships/hyperlink" Target="http://goodfirms.co" TargetMode="External"/><Relationship Id="rId1164" Type="http://schemas.openxmlformats.org/officeDocument/2006/relationships/hyperlink" Target="https://digitalstrategyforce.com/top-10-aeo-agencies-2026/" TargetMode="External"/><Relationship Id="rId2495" Type="http://schemas.openxmlformats.org/officeDocument/2006/relationships/hyperlink" Target="https://www.goodfirms.co/directory/country/top-digital-marketing-companies/us?reviews=1&amp;sort_by=rating" TargetMode="External"/><Relationship Id="rId576" Type="http://schemas.openxmlformats.org/officeDocument/2006/relationships/hyperlink" Target="http://sortlist.com" TargetMode="External"/><Relationship Id="rId1165" Type="http://schemas.openxmlformats.org/officeDocument/2006/relationships/hyperlink" Target="http://digitalstrategyforce.com" TargetMode="External"/><Relationship Id="rId2496" Type="http://schemas.openxmlformats.org/officeDocument/2006/relationships/hyperlink" Target="http://goodfirms.co" TargetMode="External"/><Relationship Id="rId575" Type="http://schemas.openxmlformats.org/officeDocument/2006/relationships/hyperlink" Target="https://www.sortlist.com/attribution-marketing" TargetMode="External"/><Relationship Id="rId1166" Type="http://schemas.openxmlformats.org/officeDocument/2006/relationships/hyperlink" Target="https://directiveconsulting.com/blog/best-programmatic-ad-agencies/" TargetMode="External"/><Relationship Id="rId2497" Type="http://schemas.openxmlformats.org/officeDocument/2006/relationships/hyperlink" Target="https://www.goodfirms.co/directory/country/top-digital-marketing-companies/us?sid=3951" TargetMode="External"/><Relationship Id="rId574" Type="http://schemas.openxmlformats.org/officeDocument/2006/relationships/hyperlink" Target="http://singlegrain.com" TargetMode="External"/><Relationship Id="rId1167" Type="http://schemas.openxmlformats.org/officeDocument/2006/relationships/hyperlink" Target="http://directiveconsulting.com" TargetMode="External"/><Relationship Id="rId2498" Type="http://schemas.openxmlformats.org/officeDocument/2006/relationships/hyperlink" Target="http://goodfirms.co" TargetMode="External"/><Relationship Id="rId573" Type="http://schemas.openxmlformats.org/officeDocument/2006/relationships/hyperlink" Target="https://www.singlegrain.com/artificial-intelligence/top-14-ai-marketing-agencies-in-2025/" TargetMode="External"/><Relationship Id="rId1168" Type="http://schemas.openxmlformats.org/officeDocument/2006/relationships/hyperlink" Target="https://directiveconsulting.com/blog/the-best-b2b-marketing-agencies-for-technology-companies-in-2026/" TargetMode="External"/><Relationship Id="rId2499" Type="http://schemas.openxmlformats.org/officeDocument/2006/relationships/hyperlink" Target="https://www.goodfirms.co/directory/country/top-digital-marketing-companies/us?sid=3953" TargetMode="External"/><Relationship Id="rId1190" Type="http://schemas.openxmlformats.org/officeDocument/2006/relationships/hyperlink" Target="http://improvado.io" TargetMode="External"/><Relationship Id="rId1191" Type="http://schemas.openxmlformats.org/officeDocument/2006/relationships/hyperlink" Target="https://inbeat.agency/blog/top-performance-creative-agencies" TargetMode="External"/><Relationship Id="rId1192" Type="http://schemas.openxmlformats.org/officeDocument/2006/relationships/hyperlink" Target="https://www.incremental.com/solutions" TargetMode="External"/><Relationship Id="rId1193" Type="http://schemas.openxmlformats.org/officeDocument/2006/relationships/hyperlink" Target="http://incremental.com" TargetMode="External"/><Relationship Id="rId1194" Type="http://schemas.openxmlformats.org/officeDocument/2006/relationships/hyperlink" Target="https://www.incrmntal.com/solutions/agencies" TargetMode="External"/><Relationship Id="rId1195" Type="http://schemas.openxmlformats.org/officeDocument/2006/relationships/hyperlink" Target="http://incrmntal.com" TargetMode="External"/><Relationship Id="rId1196" Type="http://schemas.openxmlformats.org/officeDocument/2006/relationships/hyperlink" Target="https://indieagency.news/congratulations-to-our-member-adweek-agency-of-the-year-winners/" TargetMode="External"/><Relationship Id="rId1197" Type="http://schemas.openxmlformats.org/officeDocument/2006/relationships/hyperlink" Target="https://isuccessconsulting.com/aireadiness/" TargetMode="External"/><Relationship Id="rId1198" Type="http://schemas.openxmlformats.org/officeDocument/2006/relationships/hyperlink" Target="http://isuccessconsulting.com" TargetMode="External"/><Relationship Id="rId1199" Type="http://schemas.openxmlformats.org/officeDocument/2006/relationships/hyperlink" Target="https://iternal.ai/best-ai-consulting-firms" TargetMode="External"/><Relationship Id="rId599" Type="http://schemas.openxmlformats.org/officeDocument/2006/relationships/hyperlink" Target="http://designrush.com" TargetMode="External"/><Relationship Id="rId1180" Type="http://schemas.openxmlformats.org/officeDocument/2006/relationships/hyperlink" Target="http://goodfirms.co" TargetMode="External"/><Relationship Id="rId1181" Type="http://schemas.openxmlformats.org/officeDocument/2006/relationships/hyperlink" Target="https://www.goodfirms.co/directory/country/top-digital-marketing-companies/us?sid=3943" TargetMode="External"/><Relationship Id="rId1182" Type="http://schemas.openxmlformats.org/officeDocument/2006/relationships/hyperlink" Target="http://goodfirms.co" TargetMode="External"/><Relationship Id="rId594" Type="http://schemas.openxmlformats.org/officeDocument/2006/relationships/hyperlink" Target="http://compass-360.ai" TargetMode="External"/><Relationship Id="rId1183" Type="http://schemas.openxmlformats.org/officeDocument/2006/relationships/hyperlink" Target="https://www.growthspreeofficial.com/blogs/top-5-agencies-best-for-large-scale-b2b-demand-generation" TargetMode="External"/><Relationship Id="rId593" Type="http://schemas.openxmlformats.org/officeDocument/2006/relationships/hyperlink" Target="https://compass-360.ai/" TargetMode="External"/><Relationship Id="rId1184" Type="http://schemas.openxmlformats.org/officeDocument/2006/relationships/hyperlink" Target="http://growthspreeofficial.com" TargetMode="External"/><Relationship Id="rId592" Type="http://schemas.openxmlformats.org/officeDocument/2006/relationships/hyperlink" Target="http://clutch.co" TargetMode="External"/><Relationship Id="rId1185" Type="http://schemas.openxmlformats.org/officeDocument/2006/relationships/hyperlink" Target="https://growwithvysta.com/blog/best-youtube-ads-agencies-in-the-us-2026/" TargetMode="External"/><Relationship Id="rId591" Type="http://schemas.openxmlformats.org/officeDocument/2006/relationships/hyperlink" Target="https://clutch.co/seo-firms/generative-engine-optimization" TargetMode="External"/><Relationship Id="rId1186" Type="http://schemas.openxmlformats.org/officeDocument/2006/relationships/hyperlink" Target="http://growwithvysta.com" TargetMode="External"/><Relationship Id="rId598" Type="http://schemas.openxmlformats.org/officeDocument/2006/relationships/hyperlink" Target="https://www.designrush.com/agency/paid-media-pay-per-click/google-adwords/us" TargetMode="External"/><Relationship Id="rId1187" Type="http://schemas.openxmlformats.org/officeDocument/2006/relationships/hyperlink" Target="https://hashmeta.com/blog/10-best-aeo-geo-agencies-for-ai-search-optimization/" TargetMode="External"/><Relationship Id="rId597" Type="http://schemas.openxmlformats.org/officeDocument/2006/relationships/hyperlink" Target="https://derivatex.agency/blog/best-aeo-agencies-usa/" TargetMode="External"/><Relationship Id="rId1188" Type="http://schemas.openxmlformats.org/officeDocument/2006/relationships/hyperlink" Target="http://hashmeta.com" TargetMode="External"/><Relationship Id="rId596" Type="http://schemas.openxmlformats.org/officeDocument/2006/relationships/hyperlink" Target="http://coolnerdsmarketing.com" TargetMode="External"/><Relationship Id="rId1189" Type="http://schemas.openxmlformats.org/officeDocument/2006/relationships/hyperlink" Target="https://improvado.io/blog/marketing-mix-modeling-providers" TargetMode="External"/><Relationship Id="rId595" Type="http://schemas.openxmlformats.org/officeDocument/2006/relationships/hyperlink" Target="https://coolnerdsmarketing.com/top-digital-marketing-agencies-us/" TargetMode="External"/><Relationship Id="rId1136" Type="http://schemas.openxmlformats.org/officeDocument/2006/relationships/hyperlink" Target="https://business.google.com/us/support/become-a-partner/" TargetMode="External"/><Relationship Id="rId2467" Type="http://schemas.openxmlformats.org/officeDocument/2006/relationships/hyperlink" Target="https://getfishslapped.com/programmatic-display/" TargetMode="External"/><Relationship Id="rId1137" Type="http://schemas.openxmlformats.org/officeDocument/2006/relationships/hyperlink" Target="http://google.com" TargetMode="External"/><Relationship Id="rId2468" Type="http://schemas.openxmlformats.org/officeDocument/2006/relationships/hyperlink" Target="http://getfishslapped.com" TargetMode="External"/><Relationship Id="rId1138" Type="http://schemas.openxmlformats.org/officeDocument/2006/relationships/hyperlink" Target="https://www.cleverly.co/blog/best-marketing-attribution-software" TargetMode="External"/><Relationship Id="rId2469" Type="http://schemas.openxmlformats.org/officeDocument/2006/relationships/hyperlink" Target="https://getrecast.com/geolift-by-recast/" TargetMode="External"/><Relationship Id="rId1139" Type="http://schemas.openxmlformats.org/officeDocument/2006/relationships/hyperlink" Target="http://cleverly.co" TargetMode="External"/><Relationship Id="rId547" Type="http://schemas.openxmlformats.org/officeDocument/2006/relationships/hyperlink" Target="https://directiveconsulting.com/uk/blog/best-geo-agencies/" TargetMode="External"/><Relationship Id="rId546" Type="http://schemas.openxmlformats.org/officeDocument/2006/relationships/hyperlink" Target="http://directiveconsulting.com" TargetMode="External"/><Relationship Id="rId545" Type="http://schemas.openxmlformats.org/officeDocument/2006/relationships/hyperlink" Target="https://directiveconsulting.com/blog/best-geo-agencies/" TargetMode="External"/><Relationship Id="rId544" Type="http://schemas.openxmlformats.org/officeDocument/2006/relationships/hyperlink" Target="http://digitalmarketingsupermarket.com" TargetMode="External"/><Relationship Id="rId549" Type="http://schemas.openxmlformats.org/officeDocument/2006/relationships/hyperlink" Target="https://firstpagesage.com/seo-blog/the-top-answer-engine-optimization-aeo-companies/" TargetMode="External"/><Relationship Id="rId548" Type="http://schemas.openxmlformats.org/officeDocument/2006/relationships/hyperlink" Target="http://directiveconsulting.com" TargetMode="External"/><Relationship Id="rId2460" Type="http://schemas.openxmlformats.org/officeDocument/2006/relationships/hyperlink" Target="http://genevate.co" TargetMode="External"/><Relationship Id="rId1130" Type="http://schemas.openxmlformats.org/officeDocument/2006/relationships/hyperlink" Target="https://avenuez.com/blog/top-paid-ads-agencies-in-the-u-s/" TargetMode="External"/><Relationship Id="rId2461" Type="http://schemas.openxmlformats.org/officeDocument/2006/relationships/hyperlink" Target="https://www.geoagency.net/" TargetMode="External"/><Relationship Id="rId1131" Type="http://schemas.openxmlformats.org/officeDocument/2006/relationships/hyperlink" Target="http://avenuez.com" TargetMode="External"/><Relationship Id="rId2462" Type="http://schemas.openxmlformats.org/officeDocument/2006/relationships/hyperlink" Target="http://geoagency.net" TargetMode="External"/><Relationship Id="rId543" Type="http://schemas.openxmlformats.org/officeDocument/2006/relationships/hyperlink" Target="https://digitalmarketingsupermarket.com/blog/best-ai-marketing-agencies/" TargetMode="External"/><Relationship Id="rId1132" Type="http://schemas.openxmlformats.org/officeDocument/2006/relationships/hyperlink" Target="https://www.baselinemix.com/" TargetMode="External"/><Relationship Id="rId2463" Type="http://schemas.openxmlformats.org/officeDocument/2006/relationships/hyperlink" Target="https://getcredo.com/roi-for-marketing/" TargetMode="External"/><Relationship Id="rId542" Type="http://schemas.openxmlformats.org/officeDocument/2006/relationships/hyperlink" Target="http://deviatelabs.com" TargetMode="External"/><Relationship Id="rId1133" Type="http://schemas.openxmlformats.org/officeDocument/2006/relationships/hyperlink" Target="http://baselinemix.com" TargetMode="External"/><Relationship Id="rId2464" Type="http://schemas.openxmlformats.org/officeDocument/2006/relationships/hyperlink" Target="http://getcredo.com" TargetMode="External"/><Relationship Id="rId541" Type="http://schemas.openxmlformats.org/officeDocument/2006/relationships/hyperlink" Target="https://deviatelabs.com/resources/7-best-ai-marketing-agencies-to-revolutionize-your-growth-in-2025/" TargetMode="External"/><Relationship Id="rId1134" Type="http://schemas.openxmlformats.org/officeDocument/2006/relationships/hyperlink" Target="https://builtin.com/articles/agencies-for-ai-search-visibility" TargetMode="External"/><Relationship Id="rId2465" Type="http://schemas.openxmlformats.org/officeDocument/2006/relationships/hyperlink" Target="https://www.getcrux.ai/discover/marketing-attribution-tools" TargetMode="External"/><Relationship Id="rId540" Type="http://schemas.openxmlformats.org/officeDocument/2006/relationships/hyperlink" Target="http://growthmarshal.io" TargetMode="External"/><Relationship Id="rId1135" Type="http://schemas.openxmlformats.org/officeDocument/2006/relationships/hyperlink" Target="http://builtin.com" TargetMode="External"/><Relationship Id="rId2466" Type="http://schemas.openxmlformats.org/officeDocument/2006/relationships/hyperlink" Target="http://getcrux.ai" TargetMode="External"/><Relationship Id="rId1125" Type="http://schemas.openxmlformats.org/officeDocument/2006/relationships/hyperlink" Target="http://amplitude.com" TargetMode="External"/><Relationship Id="rId2456" Type="http://schemas.openxmlformats.org/officeDocument/2006/relationships/hyperlink" Target="http://gen-optima.com" TargetMode="External"/><Relationship Id="rId1126" Type="http://schemas.openxmlformats.org/officeDocument/2006/relationships/hyperlink" Target="https://atelligen.com/" TargetMode="External"/><Relationship Id="rId2457" Type="http://schemas.openxmlformats.org/officeDocument/2006/relationships/hyperlink" Target="https://generatemore.ai/blog/top-generative-engine-optimization-agencies" TargetMode="External"/><Relationship Id="rId1127" Type="http://schemas.openxmlformats.org/officeDocument/2006/relationships/hyperlink" Target="http://atelligen.com" TargetMode="External"/><Relationship Id="rId2458" Type="http://schemas.openxmlformats.org/officeDocument/2006/relationships/hyperlink" Target="http://generatemore.ai" TargetMode="External"/><Relationship Id="rId1128" Type="http://schemas.openxmlformats.org/officeDocument/2006/relationships/hyperlink" Target="https://avenuez.com/blog/top-answer-engine-optimization-aeo-agencies/" TargetMode="External"/><Relationship Id="rId2459" Type="http://schemas.openxmlformats.org/officeDocument/2006/relationships/hyperlink" Target="https://www.genevate.co/best-aso-agencies-2026/" TargetMode="External"/><Relationship Id="rId1129" Type="http://schemas.openxmlformats.org/officeDocument/2006/relationships/hyperlink" Target="http://avenuez.com" TargetMode="External"/><Relationship Id="rId536" Type="http://schemas.openxmlformats.org/officeDocument/2006/relationships/hyperlink" Target="http://beomniscient.com" TargetMode="External"/><Relationship Id="rId535" Type="http://schemas.openxmlformats.org/officeDocument/2006/relationships/hyperlink" Target="https://beomniscient.com/blog/geo-agencies/" TargetMode="External"/><Relationship Id="rId534" Type="http://schemas.openxmlformats.org/officeDocument/2006/relationships/hyperlink" Target="http://beomniscient.com" TargetMode="External"/><Relationship Id="rId533" Type="http://schemas.openxmlformats.org/officeDocument/2006/relationships/hyperlink" Target="https://beomniscient.com/blog/aeo-agency/" TargetMode="External"/><Relationship Id="rId539" Type="http://schemas.openxmlformats.org/officeDocument/2006/relationships/hyperlink" Target="https://compare.growthmarshal.io/best-geo-agencies-2026/" TargetMode="External"/><Relationship Id="rId538" Type="http://schemas.openxmlformats.org/officeDocument/2006/relationships/hyperlink" Target="http://cbinsights.com" TargetMode="External"/><Relationship Id="rId537" Type="http://schemas.openxmlformats.org/officeDocument/2006/relationships/hyperlink" Target="https://www.cbinsights.com/esp/enterprise-tech/marketing-&amp;-ad-tech/marketing-attribution" TargetMode="External"/><Relationship Id="rId2450" Type="http://schemas.openxmlformats.org/officeDocument/2006/relationships/hyperlink" Target="http://gartner.com" TargetMode="External"/><Relationship Id="rId1120" Type="http://schemas.openxmlformats.org/officeDocument/2006/relationships/hyperlink" Target="https://aiinsiderdaily.com/ai-tools-reviews/ai-agency-guide-2025/" TargetMode="External"/><Relationship Id="rId2451" Type="http://schemas.openxmlformats.org/officeDocument/2006/relationships/hyperlink" Target="https://www.geekwire.com/2018/adswerve-acquires-seattle-based-analytics-pros-24m-creating-google-marketing-powerhouse/" TargetMode="External"/><Relationship Id="rId532" Type="http://schemas.openxmlformats.org/officeDocument/2006/relationships/hyperlink" Target="http://appsflyer.com" TargetMode="External"/><Relationship Id="rId1121" Type="http://schemas.openxmlformats.org/officeDocument/2006/relationships/hyperlink" Target="http://aiinsiderdaily.com" TargetMode="External"/><Relationship Id="rId2452" Type="http://schemas.openxmlformats.org/officeDocument/2006/relationships/hyperlink" Target="http://geekwire.com" TargetMode="External"/><Relationship Id="rId531" Type="http://schemas.openxmlformats.org/officeDocument/2006/relationships/hyperlink" Target="https://www.appsflyer.com/blog/tips-strategy/incrementality-testing-for-marketers/" TargetMode="External"/><Relationship Id="rId1122" Type="http://schemas.openxmlformats.org/officeDocument/2006/relationships/hyperlink" Target="https://www.aimediagroup.com/" TargetMode="External"/><Relationship Id="rId2453" Type="http://schemas.openxmlformats.org/officeDocument/2006/relationships/hyperlink" Target="https://www.gen-optima.com/geo/top-7-generative-engine-optimization-service-providers-ranked/" TargetMode="External"/><Relationship Id="rId530" Type="http://schemas.openxmlformats.org/officeDocument/2006/relationships/hyperlink" Target="http://aimadethisbrand.com" TargetMode="External"/><Relationship Id="rId1123" Type="http://schemas.openxmlformats.org/officeDocument/2006/relationships/hyperlink" Target="http://aimediagroup.com" TargetMode="External"/><Relationship Id="rId2454" Type="http://schemas.openxmlformats.org/officeDocument/2006/relationships/hyperlink" Target="http://gen-optima.com" TargetMode="External"/><Relationship Id="rId1124" Type="http://schemas.openxmlformats.org/officeDocument/2006/relationships/hyperlink" Target="https://amplitude.com/explore/experiment/incrementality-testing" TargetMode="External"/><Relationship Id="rId2455" Type="http://schemas.openxmlformats.org/officeDocument/2006/relationships/hyperlink" Target="https://www.gen-optima.com/geo/top-generative-ai-search-engine-optimization-agencies-2026/" TargetMode="External"/><Relationship Id="rId1158" Type="http://schemas.openxmlformats.org/officeDocument/2006/relationships/hyperlink" Target="https://www.cracklepr.com/best-geo-agencies-2026" TargetMode="External"/><Relationship Id="rId2489" Type="http://schemas.openxmlformats.org/officeDocument/2006/relationships/hyperlink" Target="https://www.goodfirms.co/advertising-companies/creative/usa?page=6" TargetMode="External"/><Relationship Id="rId1159" Type="http://schemas.openxmlformats.org/officeDocument/2006/relationships/hyperlink" Target="http://cracklepr.com" TargetMode="External"/><Relationship Id="rId569" Type="http://schemas.openxmlformats.org/officeDocument/2006/relationships/hyperlink" Target="https://segmentstream.com/blog/articles/top-enterprise-marketing-analytics-and-attribution-platforms" TargetMode="External"/><Relationship Id="rId568" Type="http://schemas.openxmlformats.org/officeDocument/2006/relationships/hyperlink" Target="http://reddit.com" TargetMode="External"/><Relationship Id="rId567" Type="http://schemas.openxmlformats.org/officeDocument/2006/relationships/hyperlink" Target="https://www.reddit.com/r/ecommerce/comments/1qusfa4/looking_for_best_incrementality_testing_tools/" TargetMode="External"/><Relationship Id="rId566" Type="http://schemas.openxmlformats.org/officeDocument/2006/relationships/hyperlink" Target="http://reddit.com" TargetMode="External"/><Relationship Id="rId2480" Type="http://schemas.openxmlformats.org/officeDocument/2006/relationships/hyperlink" Target="http://gofishdigital.com" TargetMode="External"/><Relationship Id="rId561" Type="http://schemas.openxmlformats.org/officeDocument/2006/relationships/hyperlink" Target="http://onely.com" TargetMode="External"/><Relationship Id="rId1150" Type="http://schemas.openxmlformats.org/officeDocument/2006/relationships/hyperlink" Target="https://www.cometly.com/post/attribution-tools-for-digital-marketing-agencies" TargetMode="External"/><Relationship Id="rId2481" Type="http://schemas.openxmlformats.org/officeDocument/2006/relationships/hyperlink" Target="https://gogloby.com/insights/best-ai-consulting-companies/" TargetMode="External"/><Relationship Id="rId560" Type="http://schemas.openxmlformats.org/officeDocument/2006/relationships/hyperlink" Target="https://www.onely.com/blog/best-geo-agencies/" TargetMode="External"/><Relationship Id="rId1151" Type="http://schemas.openxmlformats.org/officeDocument/2006/relationships/hyperlink" Target="http://cometly.com" TargetMode="External"/><Relationship Id="rId2482" Type="http://schemas.openxmlformats.org/officeDocument/2006/relationships/hyperlink" Target="http://gogloby.com" TargetMode="External"/><Relationship Id="rId1152" Type="http://schemas.openxmlformats.org/officeDocument/2006/relationships/hyperlink" Target="https://www.cometly.com/post/marketing-attribution-platform-for-agencies" TargetMode="External"/><Relationship Id="rId2483" Type="http://schemas.openxmlformats.org/officeDocument/2006/relationships/hyperlink" Target="https://gogloby.com/insights/best-ai-recruiting-companies/" TargetMode="External"/><Relationship Id="rId1153" Type="http://schemas.openxmlformats.org/officeDocument/2006/relationships/hyperlink" Target="http://cometly.com" TargetMode="External"/><Relationship Id="rId2484" Type="http://schemas.openxmlformats.org/officeDocument/2006/relationships/hyperlink" Target="http://gogloby.com" TargetMode="External"/><Relationship Id="rId565" Type="http://schemas.openxmlformats.org/officeDocument/2006/relationships/hyperlink" Target="https://www.reddit.com/r/SaaS/comments/1scwc2o/who_is_the_best_answer_engine_optimization_aeo/" TargetMode="External"/><Relationship Id="rId1154" Type="http://schemas.openxmlformats.org/officeDocument/2006/relationships/hyperlink" Target="https://www.commercepundit.com/blog/top-10-ai-consulting-companies-in-2026/" TargetMode="External"/><Relationship Id="rId2485" Type="http://schemas.openxmlformats.org/officeDocument/2006/relationships/hyperlink" Target="https://www.gomega.ai/blog/ai-marketing-agency/" TargetMode="External"/><Relationship Id="rId564" Type="http://schemas.openxmlformats.org/officeDocument/2006/relationships/hyperlink" Target="http://rankarise.com" TargetMode="External"/><Relationship Id="rId1155" Type="http://schemas.openxmlformats.org/officeDocument/2006/relationships/hyperlink" Target="http://commercepundit.com" TargetMode="External"/><Relationship Id="rId2486" Type="http://schemas.openxmlformats.org/officeDocument/2006/relationships/hyperlink" Target="http://gomega.ai" TargetMode="External"/><Relationship Id="rId563" Type="http://schemas.openxmlformats.org/officeDocument/2006/relationships/hyperlink" Target="https://www.rankarise.com/blog/best-aeo-agencies-in-usa-listing-and-reviews/" TargetMode="External"/><Relationship Id="rId1156" Type="http://schemas.openxmlformats.org/officeDocument/2006/relationships/hyperlink" Target="https://coolnerdsmarketing.com/best-creative-marketing-agencies-2025/" TargetMode="External"/><Relationship Id="rId2487" Type="http://schemas.openxmlformats.org/officeDocument/2006/relationships/hyperlink" Target="https://www.goodfirms.co/advertising-companies/creative/usa?page=12" TargetMode="External"/><Relationship Id="rId562" Type="http://schemas.openxmlformats.org/officeDocument/2006/relationships/hyperlink" Target="https://piperocket.digital/list/best-aeo-agency/" TargetMode="External"/><Relationship Id="rId1157" Type="http://schemas.openxmlformats.org/officeDocument/2006/relationships/hyperlink" Target="http://coolnerdsmarketing.com" TargetMode="External"/><Relationship Id="rId2488" Type="http://schemas.openxmlformats.org/officeDocument/2006/relationships/hyperlink" Target="http://goodfirms.co" TargetMode="External"/><Relationship Id="rId1147" Type="http://schemas.openxmlformats.org/officeDocument/2006/relationships/hyperlink" Target="http://clutch.co" TargetMode="External"/><Relationship Id="rId2478" Type="http://schemas.openxmlformats.org/officeDocument/2006/relationships/hyperlink" Target="http://gitnux.org" TargetMode="External"/><Relationship Id="rId1148" Type="http://schemas.openxmlformats.org/officeDocument/2006/relationships/hyperlink" Target="https://clutch.co/us/agencies/ppc/display?page=6" TargetMode="External"/><Relationship Id="rId2479" Type="http://schemas.openxmlformats.org/officeDocument/2006/relationships/hyperlink" Target="https://gofishdigital.com/blog/generative-engine-optimization-agencies/" TargetMode="External"/><Relationship Id="rId1149" Type="http://schemas.openxmlformats.org/officeDocument/2006/relationships/hyperlink" Target="http://clutch.co" TargetMode="External"/><Relationship Id="rId558" Type="http://schemas.openxmlformats.org/officeDocument/2006/relationships/hyperlink" Target="https://www.onely.com/blog/best-ai-seo-agencies/" TargetMode="External"/><Relationship Id="rId557" Type="http://schemas.openxmlformats.org/officeDocument/2006/relationships/hyperlink" Target="http://omnieclipse.ai" TargetMode="External"/><Relationship Id="rId556" Type="http://schemas.openxmlformats.org/officeDocument/2006/relationships/hyperlink" Target="https://omnieclipse.ai/blog/best-aeo-agencies-united-states-2026" TargetMode="External"/><Relationship Id="rId555" Type="http://schemas.openxmlformats.org/officeDocument/2006/relationships/hyperlink" Target="http://loudface.co" TargetMode="External"/><Relationship Id="rId559" Type="http://schemas.openxmlformats.org/officeDocument/2006/relationships/hyperlink" Target="http://onely.com" TargetMode="External"/><Relationship Id="rId550" Type="http://schemas.openxmlformats.org/officeDocument/2006/relationships/hyperlink" Target="http://firstpagesage.com" TargetMode="External"/><Relationship Id="rId2470" Type="http://schemas.openxmlformats.org/officeDocument/2006/relationships/hyperlink" Target="http://getrecast.com" TargetMode="External"/><Relationship Id="rId1140" Type="http://schemas.openxmlformats.org/officeDocument/2006/relationships/hyperlink" Target="https://clickz.com/faq/mmm-vs-mta-vs-incrementality-measurement-stack/" TargetMode="External"/><Relationship Id="rId2471" Type="http://schemas.openxmlformats.org/officeDocument/2006/relationships/hyperlink" Target="https://gigawattgroup.com/insights/best-geo-agencies-in-2026-who-actually-drives-ai-visibility-and-citations/" TargetMode="External"/><Relationship Id="rId1141" Type="http://schemas.openxmlformats.org/officeDocument/2006/relationships/hyperlink" Target="http://clickz.com" TargetMode="External"/><Relationship Id="rId2472" Type="http://schemas.openxmlformats.org/officeDocument/2006/relationships/hyperlink" Target="http://gigawattgroup.com" TargetMode="External"/><Relationship Id="rId1142" Type="http://schemas.openxmlformats.org/officeDocument/2006/relationships/hyperlink" Target="https://clutch.co/agencies/ppc/display/indiana" TargetMode="External"/><Relationship Id="rId2473" Type="http://schemas.openxmlformats.org/officeDocument/2006/relationships/hyperlink" Target="https://www.girikon.com/blog/top-15-salesforce-revenue-cloud-cpq-billing-consultants-in-united-states/" TargetMode="External"/><Relationship Id="rId554" Type="http://schemas.openxmlformats.org/officeDocument/2006/relationships/hyperlink" Target="https://www.loudface.co/blog/best-aeo-agencies-b2b-saas-2026" TargetMode="External"/><Relationship Id="rId1143" Type="http://schemas.openxmlformats.org/officeDocument/2006/relationships/hyperlink" Target="http://clutch.co" TargetMode="External"/><Relationship Id="rId2474" Type="http://schemas.openxmlformats.org/officeDocument/2006/relationships/hyperlink" Target="http://girikon.com" TargetMode="External"/><Relationship Id="rId553" Type="http://schemas.openxmlformats.org/officeDocument/2006/relationships/hyperlink" Target="https://inbeat.agency/blog/top-creative-agencies" TargetMode="External"/><Relationship Id="rId1144" Type="http://schemas.openxmlformats.org/officeDocument/2006/relationships/hyperlink" Target="https://clutch.co/agencies/ppc?geona_id=47171&amp;page=1" TargetMode="External"/><Relationship Id="rId2475" Type="http://schemas.openxmlformats.org/officeDocument/2006/relationships/hyperlink" Target="https://gitnux.org/service/ai-adoption/" TargetMode="External"/><Relationship Id="rId552" Type="http://schemas.openxmlformats.org/officeDocument/2006/relationships/hyperlink" Target="http://gestisoft.com" TargetMode="External"/><Relationship Id="rId1145" Type="http://schemas.openxmlformats.org/officeDocument/2006/relationships/hyperlink" Target="http://clutch.co" TargetMode="External"/><Relationship Id="rId2476" Type="http://schemas.openxmlformats.org/officeDocument/2006/relationships/hyperlink" Target="http://gitnux.org" TargetMode="External"/><Relationship Id="rId551" Type="http://schemas.openxmlformats.org/officeDocument/2006/relationships/hyperlink" Target="https://www.gestisoft.com/en/blog/top-ai-consulting-firms" TargetMode="External"/><Relationship Id="rId1146" Type="http://schemas.openxmlformats.org/officeDocument/2006/relationships/hyperlink" Target="https://clutch.co/us/agencies/branding/corporate" TargetMode="External"/><Relationship Id="rId2477" Type="http://schemas.openxmlformats.org/officeDocument/2006/relationships/hyperlink" Target="https://gitnux.org/service/automotive-data-marketing/" TargetMode="External"/><Relationship Id="rId495" Type="http://schemas.openxmlformats.org/officeDocument/2006/relationships/hyperlink" Target="http://entermind.com" TargetMode="External"/><Relationship Id="rId494" Type="http://schemas.openxmlformats.org/officeDocument/2006/relationships/hyperlink" Target="https://entermind.com/media/blog/top-ai-consulting-firms-us" TargetMode="External"/><Relationship Id="rId493" Type="http://schemas.openxmlformats.org/officeDocument/2006/relationships/hyperlink" Target="http://designrush.com" TargetMode="External"/><Relationship Id="rId492" Type="http://schemas.openxmlformats.org/officeDocument/2006/relationships/hyperlink" Target="https://www.designrush.com/agency/digital-marketing/analytics/us?page=24" TargetMode="External"/><Relationship Id="rId499" Type="http://schemas.openxmlformats.org/officeDocument/2006/relationships/hyperlink" Target="http://google.com" TargetMode="External"/><Relationship Id="rId498" Type="http://schemas.openxmlformats.org/officeDocument/2006/relationships/hyperlink" Target="https://www.google.com/partners/" TargetMode="External"/><Relationship Id="rId497" Type="http://schemas.openxmlformats.org/officeDocument/2006/relationships/hyperlink" Target="http://gartner.com" TargetMode="External"/><Relationship Id="rId496" Type="http://schemas.openxmlformats.org/officeDocument/2006/relationships/hyperlink" Target="https://www.gartner.com/reviews/product/measured-89579724?marketSeoName=marketing-mix-modeling-solutions" TargetMode="External"/><Relationship Id="rId1213" Type="http://schemas.openxmlformats.org/officeDocument/2006/relationships/hyperlink" Target="http://marketerhire.com" TargetMode="External"/><Relationship Id="rId2544" Type="http://schemas.openxmlformats.org/officeDocument/2006/relationships/hyperlink" Target="http://growth.cx" TargetMode="External"/><Relationship Id="rId1214" Type="http://schemas.openxmlformats.org/officeDocument/2006/relationships/hyperlink" Target="https://www.marketingdive.com/news/barkley-okrp-merger-big-indie-independent-agency-trend/709869/" TargetMode="External"/><Relationship Id="rId2545" Type="http://schemas.openxmlformats.org/officeDocument/2006/relationships/hyperlink" Target="https://growthlane.marketing/blog/top-b2b-performance-marketing-firms-in-2025-the-ultimate-list-for-revenue-growth" TargetMode="External"/><Relationship Id="rId1215" Type="http://schemas.openxmlformats.org/officeDocument/2006/relationships/hyperlink" Target="http://marketingdive.com" TargetMode="External"/><Relationship Id="rId2546" Type="http://schemas.openxmlformats.org/officeDocument/2006/relationships/hyperlink" Target="https://growthmarketingconsultancy.com/services/paid-social" TargetMode="External"/><Relationship Id="rId1216" Type="http://schemas.openxmlformats.org/officeDocument/2006/relationships/hyperlink" Target="https://maxconnect.com/services/digital/display-advertising" TargetMode="External"/><Relationship Id="rId2547" Type="http://schemas.openxmlformats.org/officeDocument/2006/relationships/hyperlink" Target="http://growthmarketingconsultancy.com" TargetMode="External"/><Relationship Id="rId1217" Type="http://schemas.openxmlformats.org/officeDocument/2006/relationships/hyperlink" Target="http://maxconnect.com" TargetMode="External"/><Relationship Id="rId2548" Type="http://schemas.openxmlformats.org/officeDocument/2006/relationships/hyperlink" Target="https://www.growthmarketingpro.com/generative-engine-optimization-agency/" TargetMode="External"/><Relationship Id="rId1218" Type="http://schemas.openxmlformats.org/officeDocument/2006/relationships/hyperlink" Target="https://www.measured.com/incremental-lift-tests/" TargetMode="External"/><Relationship Id="rId2549" Type="http://schemas.openxmlformats.org/officeDocument/2006/relationships/hyperlink" Target="http://growthmarketingpro.com" TargetMode="External"/><Relationship Id="rId1219" Type="http://schemas.openxmlformats.org/officeDocument/2006/relationships/hyperlink" Target="http://measured.com" TargetMode="External"/><Relationship Id="rId2540" Type="http://schemas.openxmlformats.org/officeDocument/2006/relationships/hyperlink" Target="http://growtal.com" TargetMode="External"/><Relationship Id="rId1210" Type="http://schemas.openxmlformats.org/officeDocument/2006/relationships/hyperlink" Target="https://www.magier.com/blog/best-creative-agency" TargetMode="External"/><Relationship Id="rId2541" Type="http://schemas.openxmlformats.org/officeDocument/2006/relationships/hyperlink" Target="https://www.growth-rocket.com/blog/what-high-performing-agencies-do-differently-with-first-party-data-strategy/" TargetMode="External"/><Relationship Id="rId1211" Type="http://schemas.openxmlformats.org/officeDocument/2006/relationships/hyperlink" Target="http://magier.com" TargetMode="External"/><Relationship Id="rId2542" Type="http://schemas.openxmlformats.org/officeDocument/2006/relationships/hyperlink" Target="http://growth-rocket.com" TargetMode="External"/><Relationship Id="rId1212" Type="http://schemas.openxmlformats.org/officeDocument/2006/relationships/hyperlink" Target="https://marketerhire.com/blog/ai-marketing-agencies" TargetMode="External"/><Relationship Id="rId2543" Type="http://schemas.openxmlformats.org/officeDocument/2006/relationships/hyperlink" Target="https://growth.cx/blog/best-performance-marketing-agencies/" TargetMode="External"/><Relationship Id="rId1202" Type="http://schemas.openxmlformats.org/officeDocument/2006/relationships/hyperlink" Target="http://itpro.com" TargetMode="External"/><Relationship Id="rId2533" Type="http://schemas.openxmlformats.org/officeDocument/2006/relationships/hyperlink" Target="https://gripped.io/b2b-marketing/top-marketing-agencies-uk/" TargetMode="External"/><Relationship Id="rId1203" Type="http://schemas.openxmlformats.org/officeDocument/2006/relationships/hyperlink" Target="https://liftlab.com/platform/unified-marketing-measurement/" TargetMode="External"/><Relationship Id="rId2534" Type="http://schemas.openxmlformats.org/officeDocument/2006/relationships/hyperlink" Target="http://gripped.io" TargetMode="External"/><Relationship Id="rId1204" Type="http://schemas.openxmlformats.org/officeDocument/2006/relationships/hyperlink" Target="http://liftlab.com" TargetMode="External"/><Relationship Id="rId2535" Type="http://schemas.openxmlformats.org/officeDocument/2006/relationships/hyperlink" Target="https://gripped.io/digital-marketing-strategy/b2b-performance-marketing-agency/" TargetMode="External"/><Relationship Id="rId1205" Type="http://schemas.openxmlformats.org/officeDocument/2006/relationships/hyperlink" Target="https://www.lyfemarketing.com/blog/top-advertising-agencies-us/" TargetMode="External"/><Relationship Id="rId2536" Type="http://schemas.openxmlformats.org/officeDocument/2006/relationships/hyperlink" Target="http://gripped.io" TargetMode="External"/><Relationship Id="rId1206" Type="http://schemas.openxmlformats.org/officeDocument/2006/relationships/hyperlink" Target="http://lyfemarketing.com" TargetMode="External"/><Relationship Id="rId2537" Type="http://schemas.openxmlformats.org/officeDocument/2006/relationships/hyperlink" Target="https://www.groas.com/post/klientboost-pricing-review-2026-what-they-charge-groas-alternative" TargetMode="External"/><Relationship Id="rId1207" Type="http://schemas.openxmlformats.org/officeDocument/2006/relationships/hyperlink" Target="https://www.lyfemarketing.com/blog/top-google-ads-agencies-us/" TargetMode="External"/><Relationship Id="rId2538" Type="http://schemas.openxmlformats.org/officeDocument/2006/relationships/hyperlink" Target="http://groas.com" TargetMode="External"/><Relationship Id="rId1208" Type="http://schemas.openxmlformats.org/officeDocument/2006/relationships/hyperlink" Target="http://lyfemarketing.com" TargetMode="External"/><Relationship Id="rId2539" Type="http://schemas.openxmlformats.org/officeDocument/2006/relationships/hyperlink" Target="https://www.growtal.com/8-best-fractional-cmos-for-fast-growing-e-commerce-companies/" TargetMode="External"/><Relationship Id="rId1209" Type="http://schemas.openxmlformats.org/officeDocument/2006/relationships/hyperlink" Target="https://www.madx.digital/learn/geo-aeo-agencies" TargetMode="External"/><Relationship Id="rId2530" Type="http://schemas.openxmlformats.org/officeDocument/2006/relationships/hyperlink" Target="http://greenbananaseo.com" TargetMode="External"/><Relationship Id="rId1200" Type="http://schemas.openxmlformats.org/officeDocument/2006/relationships/hyperlink" Target="http://iternal.ai" TargetMode="External"/><Relationship Id="rId2531" Type="http://schemas.openxmlformats.org/officeDocument/2006/relationships/hyperlink" Target="https://www.greenbook.org/market-research-firms/tracking" TargetMode="External"/><Relationship Id="rId1201" Type="http://schemas.openxmlformats.org/officeDocument/2006/relationships/hyperlink" Target="https://www.itpro.com/business/business-strategy/ai-projects-are-stalling-at-mid-market-firms-google-cloud-and-accenture-want-to-solve-that" TargetMode="External"/><Relationship Id="rId2532" Type="http://schemas.openxmlformats.org/officeDocument/2006/relationships/hyperlink" Target="http://greenbook.org" TargetMode="External"/><Relationship Id="rId1235" Type="http://schemas.openxmlformats.org/officeDocument/2006/relationships/hyperlink" Target="http://outrightcrm.com" TargetMode="External"/><Relationship Id="rId2566" Type="http://schemas.openxmlformats.org/officeDocument/2006/relationships/hyperlink" Target="https://www.harleyoliver.com/blog/top-12-companies-design-trends-to-watch-in-2025" TargetMode="External"/><Relationship Id="rId1236" Type="http://schemas.openxmlformats.org/officeDocument/2006/relationships/hyperlink" Target="https://oxdpr.com/creative-strategy-agencies/" TargetMode="External"/><Relationship Id="rId2567" Type="http://schemas.openxmlformats.org/officeDocument/2006/relationships/hyperlink" Target="http://harleyoliver.com" TargetMode="External"/><Relationship Id="rId1237" Type="http://schemas.openxmlformats.org/officeDocument/2006/relationships/hyperlink" Target="http://oxdpr.com" TargetMode="External"/><Relationship Id="rId2568" Type="http://schemas.openxmlformats.org/officeDocument/2006/relationships/hyperlink" Target="https://hashmeta.com/blog/top-15-ai-pr-agencies-for-ai-startups-tech-brands/" TargetMode="External"/><Relationship Id="rId1238" Type="http://schemas.openxmlformats.org/officeDocument/2006/relationships/hyperlink" Target="https://parallel365.com/best-ai-search-optimization-agencies-for-b2b-companies/" TargetMode="External"/><Relationship Id="rId2569" Type="http://schemas.openxmlformats.org/officeDocument/2006/relationships/hyperlink" Target="http://hashmeta.com" TargetMode="External"/><Relationship Id="rId1239" Type="http://schemas.openxmlformats.org/officeDocument/2006/relationships/hyperlink" Target="http://parallel365.com" TargetMode="External"/><Relationship Id="rId409" Type="http://schemas.openxmlformats.org/officeDocument/2006/relationships/hyperlink" Target="https://www.agencycluster.com/top-25/ppc-performance-marketing-agencies" TargetMode="External"/><Relationship Id="rId404" Type="http://schemas.openxmlformats.org/officeDocument/2006/relationships/hyperlink" Target="http://aeoagency.org" TargetMode="External"/><Relationship Id="rId403" Type="http://schemas.openxmlformats.org/officeDocument/2006/relationships/hyperlink" Target="https://aeoagency.org/best-aeo-agencies/" TargetMode="External"/><Relationship Id="rId402" Type="http://schemas.openxmlformats.org/officeDocument/2006/relationships/hyperlink" Target="http://topseobrands.com" TargetMode="External"/><Relationship Id="rId401" Type="http://schemas.openxmlformats.org/officeDocument/2006/relationships/hyperlink" Target="https://www.topseobrands.com/best-display-advertising-firms-in-usa" TargetMode="External"/><Relationship Id="rId408" Type="http://schemas.openxmlformats.org/officeDocument/2006/relationships/hyperlink" Target="http://agencycluster.com" TargetMode="External"/><Relationship Id="rId407" Type="http://schemas.openxmlformats.org/officeDocument/2006/relationships/hyperlink" Target="https://www.agencycluster.com/top-10/ppc-performance-marketing-agencies" TargetMode="External"/><Relationship Id="rId406" Type="http://schemas.openxmlformats.org/officeDocument/2006/relationships/hyperlink" Target="http://semrush.com" TargetMode="External"/><Relationship Id="rId405" Type="http://schemas.openxmlformats.org/officeDocument/2006/relationships/hyperlink" Target="https://agencies.semrush.com/list/display-advertising/united-states/mid-business/" TargetMode="External"/><Relationship Id="rId2560" Type="http://schemas.openxmlformats.org/officeDocument/2006/relationships/hyperlink" Target="https://www.gsdcouncil.org/blogs/what-is-generative-engine-optimization-geo-and-seo" TargetMode="External"/><Relationship Id="rId1230" Type="http://schemas.openxmlformats.org/officeDocument/2006/relationships/hyperlink" Target="https://www.nine.am/insights/best-performance-marketing-agencies-nyc" TargetMode="External"/><Relationship Id="rId2561" Type="http://schemas.openxmlformats.org/officeDocument/2006/relationships/hyperlink" Target="http://gsdcouncil.org" TargetMode="External"/><Relationship Id="rId400" Type="http://schemas.openxmlformats.org/officeDocument/2006/relationships/hyperlink" Target="http://thebrandsbureau.com" TargetMode="External"/><Relationship Id="rId1231" Type="http://schemas.openxmlformats.org/officeDocument/2006/relationships/hyperlink" Target="http://nine.am" TargetMode="External"/><Relationship Id="rId2562" Type="http://schemas.openxmlformats.org/officeDocument/2006/relationships/hyperlink" Target="https://gumgum.com/" TargetMode="External"/><Relationship Id="rId1232" Type="http://schemas.openxmlformats.org/officeDocument/2006/relationships/hyperlink" Target="https://www.objectiveplatform.com/blog/marketing-mix-modelling-solutions-compared" TargetMode="External"/><Relationship Id="rId2563" Type="http://schemas.openxmlformats.org/officeDocument/2006/relationships/hyperlink" Target="http://gumgum.com" TargetMode="External"/><Relationship Id="rId1233" Type="http://schemas.openxmlformats.org/officeDocument/2006/relationships/hyperlink" Target="http://objectiveplatform.com" TargetMode="External"/><Relationship Id="rId2564" Type="http://schemas.openxmlformats.org/officeDocument/2006/relationships/hyperlink" Target="https://www.hamstergarage.com/article/best-partner-marketing-agency-guide" TargetMode="External"/><Relationship Id="rId1234" Type="http://schemas.openxmlformats.org/officeDocument/2006/relationships/hyperlink" Target="https://www.outrightcrm.com/blog/roi-focused-digital-marketing-agencies/" TargetMode="External"/><Relationship Id="rId2565" Type="http://schemas.openxmlformats.org/officeDocument/2006/relationships/hyperlink" Target="http://hamstergarage.com" TargetMode="External"/><Relationship Id="rId1224" Type="http://schemas.openxmlformats.org/officeDocument/2006/relationships/hyperlink" Target="http://mma.com" TargetMode="External"/><Relationship Id="rId2555" Type="http://schemas.openxmlformats.org/officeDocument/2006/relationships/hyperlink" Target="http://growthspreeofficial.com" TargetMode="External"/><Relationship Id="rId1225" Type="http://schemas.openxmlformats.org/officeDocument/2006/relationships/hyperlink" Target="https://www.munro.agency/marketing-agencies-in-the-usa/" TargetMode="External"/><Relationship Id="rId2556" Type="http://schemas.openxmlformats.org/officeDocument/2006/relationships/hyperlink" Target="https://growthsprints.co/best-saas-aeo-consultants/" TargetMode="External"/><Relationship Id="rId1226" Type="http://schemas.openxmlformats.org/officeDocument/2006/relationships/hyperlink" Target="https://nationalmarketingawards.com/agency/" TargetMode="External"/><Relationship Id="rId2557" Type="http://schemas.openxmlformats.org/officeDocument/2006/relationships/hyperlink" Target="http://growthsprints.co" TargetMode="External"/><Relationship Id="rId1227" Type="http://schemas.openxmlformats.org/officeDocument/2006/relationships/hyperlink" Target="http://nationalmarketingawards.com" TargetMode="External"/><Relationship Id="rId2558" Type="http://schemas.openxmlformats.org/officeDocument/2006/relationships/hyperlink" Target="https://growwithvysta.com/blog/best-google-ads-agencies-for-ecommerce-brands-in-the-us/" TargetMode="External"/><Relationship Id="rId1228" Type="http://schemas.openxmlformats.org/officeDocument/2006/relationships/hyperlink" Target="https://www.nexusaiconsulting.com/" TargetMode="External"/><Relationship Id="rId2559" Type="http://schemas.openxmlformats.org/officeDocument/2006/relationships/hyperlink" Target="http://growwithvysta.com" TargetMode="External"/><Relationship Id="rId1229" Type="http://schemas.openxmlformats.org/officeDocument/2006/relationships/hyperlink" Target="http://nexusaiconsulting.com" TargetMode="External"/><Relationship Id="rId2550" Type="http://schemas.openxmlformats.org/officeDocument/2006/relationships/hyperlink" Target="https://growthmethod.com/growth-marketing-agency/" TargetMode="External"/><Relationship Id="rId1220" Type="http://schemas.openxmlformats.org/officeDocument/2006/relationships/hyperlink" Target="https://metaflow.life/blog/best-paid-media-agencies-2026" TargetMode="External"/><Relationship Id="rId2551" Type="http://schemas.openxmlformats.org/officeDocument/2006/relationships/hyperlink" Target="http://growthmethod.com" TargetMode="External"/><Relationship Id="rId1221" Type="http://schemas.openxmlformats.org/officeDocument/2006/relationships/hyperlink" Target="https://www.miniloop.ai/blog/best-geo-agencies" TargetMode="External"/><Relationship Id="rId2552" Type="http://schemas.openxmlformats.org/officeDocument/2006/relationships/hyperlink" Target="https://growthrocks.com/blog/performance-marketing-agencies/" TargetMode="External"/><Relationship Id="rId1222" Type="http://schemas.openxmlformats.org/officeDocument/2006/relationships/hyperlink" Target="http://miniloop.ai" TargetMode="External"/><Relationship Id="rId2553" Type="http://schemas.openxmlformats.org/officeDocument/2006/relationships/hyperlink" Target="http://growthrocks.com" TargetMode="External"/><Relationship Id="rId1223" Type="http://schemas.openxmlformats.org/officeDocument/2006/relationships/hyperlink" Target="https://mma.com/solutions/lp-transform-your-marketing-measurement/" TargetMode="External"/><Relationship Id="rId2554" Type="http://schemas.openxmlformats.org/officeDocument/2006/relationships/hyperlink" Target="https://www.growthspreeofficial.com/blogs/best-b2b-marketing-agencies-proprietary-ai-tools-2026" TargetMode="External"/><Relationship Id="rId2500" Type="http://schemas.openxmlformats.org/officeDocument/2006/relationships/hyperlink" Target="http://goodfirms.co" TargetMode="External"/><Relationship Id="rId2501" Type="http://schemas.openxmlformats.org/officeDocument/2006/relationships/hyperlink" Target="https://www.goodfirms.co/directory/country/top-digital-marketing-companies/us?sid=3975" TargetMode="External"/><Relationship Id="rId2502" Type="http://schemas.openxmlformats.org/officeDocument/2006/relationships/hyperlink" Target="http://goodfirms.co" TargetMode="External"/><Relationship Id="rId2503" Type="http://schemas.openxmlformats.org/officeDocument/2006/relationships/hyperlink" Target="https://www.goodfirms.co/directory/marketing-services/top-digital-marketing-companies" TargetMode="External"/><Relationship Id="rId2504" Type="http://schemas.openxmlformats.org/officeDocument/2006/relationships/hyperlink" Target="http://goodfirms.co" TargetMode="External"/><Relationship Id="rId2505" Type="http://schemas.openxmlformats.org/officeDocument/2006/relationships/hyperlink" Target="https://www.goodfirms.co/directory/marketing-services/top-digital-marketing-companies/generative-engine-optimization" TargetMode="External"/><Relationship Id="rId2506" Type="http://schemas.openxmlformats.org/officeDocument/2006/relationships/hyperlink" Target="http://goodfirms.co" TargetMode="External"/><Relationship Id="rId2507" Type="http://schemas.openxmlformats.org/officeDocument/2006/relationships/hyperlink" Target="https://www.google.com/ads/publisher/partners/work-with-a-partner/" TargetMode="External"/><Relationship Id="rId2508" Type="http://schemas.openxmlformats.org/officeDocument/2006/relationships/hyperlink" Target="http://google.com" TargetMode="External"/><Relationship Id="rId2509" Type="http://schemas.openxmlformats.org/officeDocument/2006/relationships/hyperlink" Target="https://www.google.com/searchviewer/10?svid=CAwSGxIZCgNwdnESEkNnc3ZaeTh4ZEhKd2NuQjRhZxgK" TargetMode="External"/><Relationship Id="rId2522" Type="http://schemas.openxmlformats.org/officeDocument/2006/relationships/hyperlink" Target="http://google.com" TargetMode="External"/><Relationship Id="rId2523" Type="http://schemas.openxmlformats.org/officeDocument/2006/relationships/hyperlink" Target="https://www.google.com/searchviewer/10?svid=CAwSHRIbCgNwdnESFENnMHZaeTh4TVhZNWFqZHVOR3htGAo" TargetMode="External"/><Relationship Id="rId2524" Type="http://schemas.openxmlformats.org/officeDocument/2006/relationships/hyperlink" Target="http://google.com" TargetMode="External"/><Relationship Id="rId2525" Type="http://schemas.openxmlformats.org/officeDocument/2006/relationships/hyperlink" Target="https://www.goupward.com/" TargetMode="External"/><Relationship Id="rId2526" Type="http://schemas.openxmlformats.org/officeDocument/2006/relationships/hyperlink" Target="http://goupward.com" TargetMode="External"/><Relationship Id="rId2527" Type="http://schemas.openxmlformats.org/officeDocument/2006/relationships/hyperlink" Target="https://www.grazitti.com/services/digital-marketing/services/programatic-ads-agency/" TargetMode="External"/><Relationship Id="rId2528" Type="http://schemas.openxmlformats.org/officeDocument/2006/relationships/hyperlink" Target="http://grazitti.com" TargetMode="External"/><Relationship Id="rId2529" Type="http://schemas.openxmlformats.org/officeDocument/2006/relationships/hyperlink" Target="https://greenbananaseo.com/services/generative-engine-optimization-agency/" TargetMode="External"/><Relationship Id="rId2520" Type="http://schemas.openxmlformats.org/officeDocument/2006/relationships/hyperlink" Target="http://google.com" TargetMode="External"/><Relationship Id="rId2521" Type="http://schemas.openxmlformats.org/officeDocument/2006/relationships/hyperlink" Target="https://www.google.com/searchviewer/10?svid=CAwSHRIbCgNwdnESFENnMHZaeTh4TVdnMWJXNHhhREJtGAo" TargetMode="External"/><Relationship Id="rId2511" Type="http://schemas.openxmlformats.org/officeDocument/2006/relationships/hyperlink" Target="https://www.google.com/searchviewer/10?svid=CAwSGxIZCgNwdnESEkNnc3ZaeTh4ZEhaMFkyTXliZxgK" TargetMode="External"/><Relationship Id="rId2512" Type="http://schemas.openxmlformats.org/officeDocument/2006/relationships/hyperlink" Target="http://google.com" TargetMode="External"/><Relationship Id="rId2513" Type="http://schemas.openxmlformats.org/officeDocument/2006/relationships/hyperlink" Target="https://www.google.com/searchviewer/10?svid=CAwSGxIZCgNwdnESEkNnc3ZaeTh4ZUc1ZmNEVjVhQRgK" TargetMode="External"/><Relationship Id="rId2514" Type="http://schemas.openxmlformats.org/officeDocument/2006/relationships/hyperlink" Target="http://google.com" TargetMode="External"/><Relationship Id="rId2515" Type="http://schemas.openxmlformats.org/officeDocument/2006/relationships/hyperlink" Target="https://www.google.com/searchviewer/10?svid=CAwSHBIaCgNwdnESE0Nnd3ZaeTh4TW1oNGJESTFkSGsYCg" TargetMode="External"/><Relationship Id="rId2516" Type="http://schemas.openxmlformats.org/officeDocument/2006/relationships/hyperlink" Target="http://google.com" TargetMode="External"/><Relationship Id="rId2517" Type="http://schemas.openxmlformats.org/officeDocument/2006/relationships/hyperlink" Target="https://www.google.com/searchviewer/10?svid=CAwSHRIbCgNwdnESFENnMHZaeTh4TVcwMWFqbDNjbk4yGAo" TargetMode="External"/><Relationship Id="rId2518" Type="http://schemas.openxmlformats.org/officeDocument/2006/relationships/hyperlink" Target="http://google.com" TargetMode="External"/><Relationship Id="rId2519" Type="http://schemas.openxmlformats.org/officeDocument/2006/relationships/hyperlink" Target="https://www.google.com/searchviewer/10?svid=CAwSHRIbCgNwdnESFENnMHZaeTh4TVdJMk9ESjBjWFpzGAo" TargetMode="External"/><Relationship Id="rId2510" Type="http://schemas.openxmlformats.org/officeDocument/2006/relationships/hyperlink" Target="http://google.com" TargetMode="External"/><Relationship Id="rId469" Type="http://schemas.openxmlformats.org/officeDocument/2006/relationships/hyperlink" Target="http://wearetenet.com" TargetMode="External"/><Relationship Id="rId468" Type="http://schemas.openxmlformats.org/officeDocument/2006/relationships/hyperlink" Target="https://www.wearetenet.com/blog/best-ai-seo-agencies" TargetMode="External"/><Relationship Id="rId467" Type="http://schemas.openxmlformats.org/officeDocument/2006/relationships/hyperlink" Target="http://themanifest.com" TargetMode="External"/><Relationship Id="rId1290" Type="http://schemas.openxmlformats.org/officeDocument/2006/relationships/hyperlink" Target="http://webtonic.io" TargetMode="External"/><Relationship Id="rId1291" Type="http://schemas.openxmlformats.org/officeDocument/2006/relationships/hyperlink" Target="https://www.webtonic.io/blog/top-advertising-agencies-us" TargetMode="External"/><Relationship Id="rId1292" Type="http://schemas.openxmlformats.org/officeDocument/2006/relationships/hyperlink" Target="http://webtonic.io" TargetMode="External"/><Relationship Id="rId462" Type="http://schemas.openxmlformats.org/officeDocument/2006/relationships/hyperlink" Target="https://www.techradar.com/pro/aeo-vs-seo-whats-the-difference-and-do-you-need-both" TargetMode="External"/><Relationship Id="rId1293" Type="http://schemas.openxmlformats.org/officeDocument/2006/relationships/hyperlink" Target="https://whyflagshalfmasttoday.com/best-u-s-aeo-agencies-for-answer-engine-optimization-2026/" TargetMode="External"/><Relationship Id="rId461" Type="http://schemas.openxmlformats.org/officeDocument/2006/relationships/hyperlink" Target="http://stellaheystella.com" TargetMode="External"/><Relationship Id="rId1294" Type="http://schemas.openxmlformats.org/officeDocument/2006/relationships/hyperlink" Target="http://whyflagshalfmasttoday.com" TargetMode="External"/><Relationship Id="rId460" Type="http://schemas.openxmlformats.org/officeDocument/2006/relationships/hyperlink" Target="https://www.stellaheystella.com/blog/incrementality-testing-platforms-the-complete-guide-to-measuring-true-marketing-impact-2025" TargetMode="External"/><Relationship Id="rId1295" Type="http://schemas.openxmlformats.org/officeDocument/2006/relationships/hyperlink" Target="https://wifitalents.com/service/display-advertising/" TargetMode="External"/><Relationship Id="rId1296" Type="http://schemas.openxmlformats.org/officeDocument/2006/relationships/hyperlink" Target="http://wifitalents.com" TargetMode="External"/><Relationship Id="rId466" Type="http://schemas.openxmlformats.org/officeDocument/2006/relationships/hyperlink" Target="https://themanifest.com/us/media-buying/agencies" TargetMode="External"/><Relationship Id="rId1297" Type="http://schemas.openxmlformats.org/officeDocument/2006/relationships/hyperlink" Target="https://www.wsj.com/business/earnings/publicis-raises-guidance-citing-new-business-wins-ad4f0d98" TargetMode="External"/><Relationship Id="rId465" Type="http://schemas.openxmlformats.org/officeDocument/2006/relationships/hyperlink" Target="http://techstepsolutions.com" TargetMode="External"/><Relationship Id="rId1298" Type="http://schemas.openxmlformats.org/officeDocument/2006/relationships/hyperlink" Target="http://wsj.com" TargetMode="External"/><Relationship Id="rId464" Type="http://schemas.openxmlformats.org/officeDocument/2006/relationships/hyperlink" Target="https://www.techstepsolutions.com/digital-marketing-agencies-usa-2026/" TargetMode="External"/><Relationship Id="rId1299" Type="http://schemas.openxmlformats.org/officeDocument/2006/relationships/hyperlink" Target="https://www.yall.co/post/top-dtc-performance-creative-agencies-in-2026" TargetMode="External"/><Relationship Id="rId463" Type="http://schemas.openxmlformats.org/officeDocument/2006/relationships/hyperlink" Target="http://techradar.com" TargetMode="External"/><Relationship Id="rId459" Type="http://schemas.openxmlformats.org/officeDocument/2006/relationships/hyperlink" Target="http://silverbackstrategies.com" TargetMode="External"/><Relationship Id="rId458" Type="http://schemas.openxmlformats.org/officeDocument/2006/relationships/hyperlink" Target="https://www.silverbackstrategies.com/lists/best-google-ads-agencies-in-the-us-ranked-reviewed/" TargetMode="External"/><Relationship Id="rId457" Type="http://schemas.openxmlformats.org/officeDocument/2006/relationships/hyperlink" Target="http://scopicstudios.com" TargetMode="External"/><Relationship Id="rId456" Type="http://schemas.openxmlformats.org/officeDocument/2006/relationships/hyperlink" Target="https://scopicstudios.com/blog/best-incrementality-testing-tools-2026/" TargetMode="External"/><Relationship Id="rId1280" Type="http://schemas.openxmlformats.org/officeDocument/2006/relationships/hyperlink" Target="http://tenten.co" TargetMode="External"/><Relationship Id="rId1281" Type="http://schemas.openxmlformats.org/officeDocument/2006/relationships/hyperlink" Target="https://www.velocitybyca.com/enterprise-ai-consulting" TargetMode="External"/><Relationship Id="rId451" Type="http://schemas.openxmlformats.org/officeDocument/2006/relationships/hyperlink" Target="http://perceptive-analytics.com" TargetMode="External"/><Relationship Id="rId1282" Type="http://schemas.openxmlformats.org/officeDocument/2006/relationships/hyperlink" Target="http://velocitybyca.com" TargetMode="External"/><Relationship Id="rId450" Type="http://schemas.openxmlformats.org/officeDocument/2006/relationships/hyperlink" Target="https://www.perceptive-analytics.com/top-10-best-ai-consulting-firms-for-mid-market-companies-in-the-us-2026-guide/" TargetMode="External"/><Relationship Id="rId1283" Type="http://schemas.openxmlformats.org/officeDocument/2006/relationships/hyperlink" Target="https://wamdigital.com/blog/top-5-creative-and-web-development-agencies-for-scalable-production-in-2026" TargetMode="External"/><Relationship Id="rId1284" Type="http://schemas.openxmlformats.org/officeDocument/2006/relationships/hyperlink" Target="http://wamdigital.com" TargetMode="External"/><Relationship Id="rId1285" Type="http://schemas.openxmlformats.org/officeDocument/2006/relationships/hyperlink" Target="https://www.webtonic.io/blog/best-ai-marketing-agencies" TargetMode="External"/><Relationship Id="rId455" Type="http://schemas.openxmlformats.org/officeDocument/2006/relationships/hyperlink" Target="http://rightleftagency.com" TargetMode="External"/><Relationship Id="rId1286" Type="http://schemas.openxmlformats.org/officeDocument/2006/relationships/hyperlink" Target="http://webtonic.io" TargetMode="External"/><Relationship Id="rId454" Type="http://schemas.openxmlformats.org/officeDocument/2006/relationships/hyperlink" Target="https://rightleftagency.com/blog/best-paid-search-marketing-agencies-in-usa/" TargetMode="External"/><Relationship Id="rId1287" Type="http://schemas.openxmlformats.org/officeDocument/2006/relationships/hyperlink" Target="https://www.webtonic.io/blog/best-data-driven-marketing-agencies" TargetMode="External"/><Relationship Id="rId453" Type="http://schemas.openxmlformats.org/officeDocument/2006/relationships/hyperlink" Target="http://quoleady.com" TargetMode="External"/><Relationship Id="rId1288" Type="http://schemas.openxmlformats.org/officeDocument/2006/relationships/hyperlink" Target="http://webtonic.io" TargetMode="External"/><Relationship Id="rId452" Type="http://schemas.openxmlformats.org/officeDocument/2006/relationships/hyperlink" Target="https://www.quoleady.com/ai-marketing-agencies/" TargetMode="External"/><Relationship Id="rId1289" Type="http://schemas.openxmlformats.org/officeDocument/2006/relationships/hyperlink" Target="https://www.webtonic.io/blog/best-google-ads-agencies-us" TargetMode="External"/><Relationship Id="rId3018" Type="http://schemas.openxmlformats.org/officeDocument/2006/relationships/hyperlink" Target="https://www.performics.com/" TargetMode="External"/><Relationship Id="rId3017" Type="http://schemas.openxmlformats.org/officeDocument/2006/relationships/hyperlink" Target="http://perceptive-analytics.com" TargetMode="External"/><Relationship Id="rId3019" Type="http://schemas.openxmlformats.org/officeDocument/2006/relationships/hyperlink" Target="http://performics.com" TargetMode="External"/><Relationship Id="rId491" Type="http://schemas.openxmlformats.org/officeDocument/2006/relationships/hyperlink" Target="http://designrush.com" TargetMode="External"/><Relationship Id="rId490" Type="http://schemas.openxmlformats.org/officeDocument/2006/relationships/hyperlink" Target="https://www.designrush.com/agency/digital-marketing/analytics/us?page=23" TargetMode="External"/><Relationship Id="rId489" Type="http://schemas.openxmlformats.org/officeDocument/2006/relationships/hyperlink" Target="https://www.csp.agency/blog/top-8-geo-agencies-for-2026-ranked-by-data/" TargetMode="External"/><Relationship Id="rId484" Type="http://schemas.openxmlformats.org/officeDocument/2006/relationships/hyperlink" Target="http://blueprintdemand.com" TargetMode="External"/><Relationship Id="rId3010" Type="http://schemas.openxmlformats.org/officeDocument/2006/relationships/hyperlink" Target="https://www.patientprism.com/blog/best-marketing-attribution-tools-healthcare/" TargetMode="External"/><Relationship Id="rId483" Type="http://schemas.openxmlformats.org/officeDocument/2006/relationships/hyperlink" Target="https://blueprintdemand.com/top-10-display-advertising-agency-partners-for-2026/" TargetMode="External"/><Relationship Id="rId482" Type="http://schemas.openxmlformats.org/officeDocument/2006/relationships/hyperlink" Target="http://bconic.com" TargetMode="External"/><Relationship Id="rId3012" Type="http://schemas.openxmlformats.org/officeDocument/2006/relationships/hyperlink" Target="https://pearllemonleads.com/top-10-lead-generation-companies/" TargetMode="External"/><Relationship Id="rId481" Type="http://schemas.openxmlformats.org/officeDocument/2006/relationships/hyperlink" Target="https://www.bconic.com/" TargetMode="External"/><Relationship Id="rId3011" Type="http://schemas.openxmlformats.org/officeDocument/2006/relationships/hyperlink" Target="http://patientprism.com" TargetMode="External"/><Relationship Id="rId488" Type="http://schemas.openxmlformats.org/officeDocument/2006/relationships/hyperlink" Target="http://copilot-experts.com" TargetMode="External"/><Relationship Id="rId3014" Type="http://schemas.openxmlformats.org/officeDocument/2006/relationships/hyperlink" Target="https://www.pedowitzgroup.com/blog/best-revenue-marketing-consulting-firms-for-fortune-1000-enterprises?hs_amp=true" TargetMode="External"/><Relationship Id="rId487" Type="http://schemas.openxmlformats.org/officeDocument/2006/relationships/hyperlink" Target="https://copilot-experts.com/top-ai-consulting-firm/" TargetMode="External"/><Relationship Id="rId3013" Type="http://schemas.openxmlformats.org/officeDocument/2006/relationships/hyperlink" Target="http://pearllemonleads.com" TargetMode="External"/><Relationship Id="rId486" Type="http://schemas.openxmlformats.org/officeDocument/2006/relationships/hyperlink" Target="http://coolnerdsmarketing.com" TargetMode="External"/><Relationship Id="rId3016" Type="http://schemas.openxmlformats.org/officeDocument/2006/relationships/hyperlink" Target="https://www.perceptive-analytics.com/marketing-analytics-companies/" TargetMode="External"/><Relationship Id="rId485" Type="http://schemas.openxmlformats.org/officeDocument/2006/relationships/hyperlink" Target="https://coolnerdsmarketing.com/top-creative-agencies-us/" TargetMode="External"/><Relationship Id="rId3015" Type="http://schemas.openxmlformats.org/officeDocument/2006/relationships/hyperlink" Target="http://pedowitzgroup.com" TargetMode="External"/><Relationship Id="rId3007" Type="http://schemas.openxmlformats.org/officeDocument/2006/relationships/hyperlink" Target="http://withgoogle.com" TargetMode="External"/><Relationship Id="rId3006" Type="http://schemas.openxmlformats.org/officeDocument/2006/relationships/hyperlink" Target="https://partnersdirectory.withgoogle.com/intl/en-GB/" TargetMode="External"/><Relationship Id="rId3009" Type="http://schemas.openxmlformats.org/officeDocument/2006/relationships/hyperlink" Target="http://withgoogle.com" TargetMode="External"/><Relationship Id="rId3008"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480" Type="http://schemas.openxmlformats.org/officeDocument/2006/relationships/hyperlink" Target="http://askattest.com" TargetMode="External"/><Relationship Id="rId479" Type="http://schemas.openxmlformats.org/officeDocument/2006/relationships/hyperlink" Target="https://www.askattest.com/blog/articles/market-research-companies-in-the-us" TargetMode="External"/><Relationship Id="rId478" Type="http://schemas.openxmlformats.org/officeDocument/2006/relationships/hyperlink" Target="http://amworldgroup.com" TargetMode="External"/><Relationship Id="rId473" Type="http://schemas.openxmlformats.org/officeDocument/2006/relationships/hyperlink" Target="https://www.50pros.com/hire/advertising/attribution-and-measurement" TargetMode="External"/><Relationship Id="rId472" Type="http://schemas.openxmlformats.org/officeDocument/2006/relationships/hyperlink" Target="https://wildnetmarketing.agency/blog/best-ai-marketing-agencies-in-usa/" TargetMode="External"/><Relationship Id="rId471" Type="http://schemas.openxmlformats.org/officeDocument/2006/relationships/hyperlink" Target="http://webtonic.io" TargetMode="External"/><Relationship Id="rId3001" Type="http://schemas.openxmlformats.org/officeDocument/2006/relationships/hyperlink" Target="http://panorama-consulting.com" TargetMode="External"/><Relationship Id="rId470" Type="http://schemas.openxmlformats.org/officeDocument/2006/relationships/hyperlink" Target="https://www.webtonic.io/blog/best-performance-marketing-agencies-2026" TargetMode="External"/><Relationship Id="rId3000" Type="http://schemas.openxmlformats.org/officeDocument/2006/relationships/hyperlink" Target="https://www.panorama-consulting.com/services/ai-readiness-and-enablement-service-offering/" TargetMode="External"/><Relationship Id="rId477" Type="http://schemas.openxmlformats.org/officeDocument/2006/relationships/hyperlink" Target="https://amworldgroup.com/best/digital-marketing-agency-usa" TargetMode="External"/><Relationship Id="rId3003" Type="http://schemas.openxmlformats.org/officeDocument/2006/relationships/hyperlink" Target="http://paramark.com" TargetMode="External"/><Relationship Id="rId476" Type="http://schemas.openxmlformats.org/officeDocument/2006/relationships/hyperlink" Target="http://50pros.com" TargetMode="External"/><Relationship Id="rId3002" Type="http://schemas.openxmlformats.org/officeDocument/2006/relationships/hyperlink" Target="https://paramark.com/" TargetMode="External"/><Relationship Id="rId475" Type="http://schemas.openxmlformats.org/officeDocument/2006/relationships/hyperlink" Target="https://www.50pros.com/hire/digital-marketing/marketing-attribution" TargetMode="External"/><Relationship Id="rId3005" Type="http://schemas.openxmlformats.org/officeDocument/2006/relationships/hyperlink" Target="http://adobe.com" TargetMode="External"/><Relationship Id="rId474" Type="http://schemas.openxmlformats.org/officeDocument/2006/relationships/hyperlink" Target="http://50pros.com" TargetMode="External"/><Relationship Id="rId3004" Type="http://schemas.openxmlformats.org/officeDocument/2006/relationships/hyperlink" Target="https://partners.adobe.com/s/directory/solution/merkle" TargetMode="External"/><Relationship Id="rId1257" Type="http://schemas.openxmlformats.org/officeDocument/2006/relationships/hyperlink" Target="https://www.sortlist.com/display-advertising" TargetMode="External"/><Relationship Id="rId2588" Type="http://schemas.openxmlformats.org/officeDocument/2006/relationships/hyperlink" Target="https://www.helloroketto.com/articles/marketing-consultant" TargetMode="External"/><Relationship Id="rId1258" Type="http://schemas.openxmlformats.org/officeDocument/2006/relationships/hyperlink" Target="http://sortlist.com" TargetMode="External"/><Relationship Id="rId2589" Type="http://schemas.openxmlformats.org/officeDocument/2006/relationships/hyperlink" Target="http://helloroketto.com" TargetMode="External"/><Relationship Id="rId1259" Type="http://schemas.openxmlformats.org/officeDocument/2006/relationships/hyperlink" Target="https://www.sortlist.com/marketing-analytics" TargetMode="External"/><Relationship Id="rId426" Type="http://schemas.openxmlformats.org/officeDocument/2006/relationships/hyperlink" Target="http://gartner.com" TargetMode="External"/><Relationship Id="rId425" Type="http://schemas.openxmlformats.org/officeDocument/2006/relationships/hyperlink" Target="https://www.gartner.com/reviews/market/incrementality-measurement-platforms" TargetMode="External"/><Relationship Id="rId424" Type="http://schemas.openxmlformats.org/officeDocument/2006/relationships/hyperlink" Target="http://firstpagesage.com" TargetMode="External"/><Relationship Id="rId423" Type="http://schemas.openxmlformats.org/officeDocument/2006/relationships/hyperlink" Target="https://firstpagesage.com/seo-blog/the-top-growth-marketing-agencies/" TargetMode="External"/><Relationship Id="rId429" Type="http://schemas.openxmlformats.org/officeDocument/2006/relationships/hyperlink" Target="https://growthmanager.ai/best-geo-agency" TargetMode="External"/><Relationship Id="rId428" Type="http://schemas.openxmlformats.org/officeDocument/2006/relationships/hyperlink" Target="http://google.com" TargetMode="External"/><Relationship Id="rId427" Type="http://schemas.openxmlformats.org/officeDocument/2006/relationships/hyperlink" Target="https://www.google.com/ads/publisher/partners/find-a-partner/" TargetMode="External"/><Relationship Id="rId2580" Type="http://schemas.openxmlformats.org/officeDocument/2006/relationships/hyperlink" Target="https://hawksem.com/blog/performance-marketing-agency-list/" TargetMode="External"/><Relationship Id="rId1250" Type="http://schemas.openxmlformats.org/officeDocument/2006/relationships/hyperlink" Target="http://seerinteractive.com" TargetMode="External"/><Relationship Id="rId2581" Type="http://schemas.openxmlformats.org/officeDocument/2006/relationships/hyperlink" Target="http://hawksem.com" TargetMode="External"/><Relationship Id="rId1251" Type="http://schemas.openxmlformats.org/officeDocument/2006/relationships/hyperlink" Target="https://www.semfirms.com/display-advertising-firms?page=1" TargetMode="External"/><Relationship Id="rId2582" Type="http://schemas.openxmlformats.org/officeDocument/2006/relationships/hyperlink" Target="https://hawksem.com/blog/top-sem-agencies/" TargetMode="External"/><Relationship Id="rId1252" Type="http://schemas.openxmlformats.org/officeDocument/2006/relationships/hyperlink" Target="http://semfirms.com" TargetMode="External"/><Relationship Id="rId2583" Type="http://schemas.openxmlformats.org/officeDocument/2006/relationships/hyperlink" Target="http://hawksem.com" TargetMode="External"/><Relationship Id="rId422" Type="http://schemas.openxmlformats.org/officeDocument/2006/relationships/hyperlink" Target="http://enzuzo.com" TargetMode="External"/><Relationship Id="rId1253" Type="http://schemas.openxmlformats.org/officeDocument/2006/relationships/hyperlink" Target="https://www.slalom.com/us/en" TargetMode="External"/><Relationship Id="rId2584" Type="http://schemas.openxmlformats.org/officeDocument/2006/relationships/hyperlink" Target="https://www.hellobigidea.com/" TargetMode="External"/><Relationship Id="rId421" Type="http://schemas.openxmlformats.org/officeDocument/2006/relationships/hyperlink" Target="https://www.enzuzo.com/blog/best-google-ads-agencies" TargetMode="External"/><Relationship Id="rId1254" Type="http://schemas.openxmlformats.org/officeDocument/2006/relationships/hyperlink" Target="http://slalom.com" TargetMode="External"/><Relationship Id="rId2585" Type="http://schemas.openxmlformats.org/officeDocument/2006/relationships/hyperlink" Target="http://hellobigidea.com" TargetMode="External"/><Relationship Id="rId420" Type="http://schemas.openxmlformats.org/officeDocument/2006/relationships/hyperlink" Target="http://deducive.com" TargetMode="External"/><Relationship Id="rId1255" Type="http://schemas.openxmlformats.org/officeDocument/2006/relationships/hyperlink" Target="https://sociallyin.com/resources/top-performance-marketing-agencies-us/" TargetMode="External"/><Relationship Id="rId2586" Type="http://schemas.openxmlformats.org/officeDocument/2006/relationships/hyperlink" Target="https://www.helloroketto.com/articles/ai-agency" TargetMode="External"/><Relationship Id="rId1256" Type="http://schemas.openxmlformats.org/officeDocument/2006/relationships/hyperlink" Target="http://sociallyin.com" TargetMode="External"/><Relationship Id="rId2587" Type="http://schemas.openxmlformats.org/officeDocument/2006/relationships/hyperlink" Target="http://helloroketto.com" TargetMode="External"/><Relationship Id="rId1246" Type="http://schemas.openxmlformats.org/officeDocument/2006/relationships/hyperlink" Target="http://ritzherald.com" TargetMode="External"/><Relationship Id="rId2577" Type="http://schemas.openxmlformats.org/officeDocument/2006/relationships/hyperlink" Target="http://havstrategy.com" TargetMode="External"/><Relationship Id="rId1247" Type="http://schemas.openxmlformats.org/officeDocument/2006/relationships/hyperlink" Target="https://rtslabs.com/ai-consulting-company-in-usa" TargetMode="External"/><Relationship Id="rId2578" Type="http://schemas.openxmlformats.org/officeDocument/2006/relationships/hyperlink" Target="https://hawksem.com/blog/digital-marketing-agencies/" TargetMode="External"/><Relationship Id="rId1248" Type="http://schemas.openxmlformats.org/officeDocument/2006/relationships/hyperlink" Target="http://rtslabs.com" TargetMode="External"/><Relationship Id="rId2579" Type="http://schemas.openxmlformats.org/officeDocument/2006/relationships/hyperlink" Target="http://hawksem.com" TargetMode="External"/><Relationship Id="rId1249" Type="http://schemas.openxmlformats.org/officeDocument/2006/relationships/hyperlink" Target="https://www.seerinteractive.com/ai-consulting" TargetMode="External"/><Relationship Id="rId415" Type="http://schemas.openxmlformats.org/officeDocument/2006/relationships/hyperlink" Target="https://clutch.co/us/agencies/programmatic" TargetMode="External"/><Relationship Id="rId414" Type="http://schemas.openxmlformats.org/officeDocument/2006/relationships/hyperlink" Target="http://centricconsulting.com" TargetMode="External"/><Relationship Id="rId413" Type="http://schemas.openxmlformats.org/officeDocument/2006/relationships/hyperlink" Target="https://centricconsulting.com/technology-solutions/artificial-intelligence-consulting/" TargetMode="External"/><Relationship Id="rId412" Type="http://schemas.openxmlformats.org/officeDocument/2006/relationships/hyperlink" Target="http://beomniscient.com" TargetMode="External"/><Relationship Id="rId419" Type="http://schemas.openxmlformats.org/officeDocument/2006/relationships/hyperlink" Target="https://www.deducive.com/" TargetMode="External"/><Relationship Id="rId418" Type="http://schemas.openxmlformats.org/officeDocument/2006/relationships/hyperlink" Target="http://dataally.ai" TargetMode="External"/><Relationship Id="rId417" Type="http://schemas.openxmlformats.org/officeDocument/2006/relationships/hyperlink" Target="https://www.dataally.ai/blog/best-paid-ads-agency" TargetMode="External"/><Relationship Id="rId416" Type="http://schemas.openxmlformats.org/officeDocument/2006/relationships/hyperlink" Target="http://clutch.co" TargetMode="External"/><Relationship Id="rId2570" Type="http://schemas.openxmlformats.org/officeDocument/2006/relationships/hyperlink" Target="https://www.haus.io/" TargetMode="External"/><Relationship Id="rId1240" Type="http://schemas.openxmlformats.org/officeDocument/2006/relationships/hyperlink" Target="https://piperocket.digital/list/best-paid-social-agencies/" TargetMode="External"/><Relationship Id="rId2571" Type="http://schemas.openxmlformats.org/officeDocument/2006/relationships/hyperlink" Target="http://haus.io" TargetMode="External"/><Relationship Id="rId1241" Type="http://schemas.openxmlformats.org/officeDocument/2006/relationships/hyperlink" Target="https://www.pixelmojo.io/best-ai-visibility-agencies" TargetMode="External"/><Relationship Id="rId2572" Type="http://schemas.openxmlformats.org/officeDocument/2006/relationships/hyperlink" Target="https://www.haus.io/blog/incrementality-fundamentals" TargetMode="External"/><Relationship Id="rId411" Type="http://schemas.openxmlformats.org/officeDocument/2006/relationships/hyperlink" Target="https://beomniscient.com/blog/growth-marketing-agency/" TargetMode="External"/><Relationship Id="rId1242" Type="http://schemas.openxmlformats.org/officeDocument/2006/relationships/hyperlink" Target="http://pixelmojo.io" TargetMode="External"/><Relationship Id="rId2573" Type="http://schemas.openxmlformats.org/officeDocument/2006/relationships/hyperlink" Target="http://haus.io" TargetMode="External"/><Relationship Id="rId410" Type="http://schemas.openxmlformats.org/officeDocument/2006/relationships/hyperlink" Target="http://agencycluster.com" TargetMode="External"/><Relationship Id="rId1243" Type="http://schemas.openxmlformats.org/officeDocument/2006/relationships/hyperlink" Target="https://www.redseo.io/compare/best-ai-seo-agency" TargetMode="External"/><Relationship Id="rId2574" Type="http://schemas.openxmlformats.org/officeDocument/2006/relationships/hyperlink" Target="https://www.haus.io/customer/tally" TargetMode="External"/><Relationship Id="rId1244" Type="http://schemas.openxmlformats.org/officeDocument/2006/relationships/hyperlink" Target="http://redseo.io" TargetMode="External"/><Relationship Id="rId2575" Type="http://schemas.openxmlformats.org/officeDocument/2006/relationships/hyperlink" Target="http://haus.io" TargetMode="External"/><Relationship Id="rId1245" Type="http://schemas.openxmlformats.org/officeDocument/2006/relationships/hyperlink" Target="https://ritzherald.com/best-marketing-agencies-ai-search-optimization/" TargetMode="External"/><Relationship Id="rId2576" Type="http://schemas.openxmlformats.org/officeDocument/2006/relationships/hyperlink" Target="https://www.havstrategy.com/best-performance-marketing-agency-in-us/" TargetMode="External"/><Relationship Id="rId1279" Type="http://schemas.openxmlformats.org/officeDocument/2006/relationships/hyperlink" Target="https://university.tenten.co/t/top-30-ai-powered-marketing-agencies/2295" TargetMode="External"/><Relationship Id="rId448" Type="http://schemas.openxmlformats.org/officeDocument/2006/relationships/hyperlink" Target="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 TargetMode="External"/><Relationship Id="rId447" Type="http://schemas.openxmlformats.org/officeDocument/2006/relationships/hyperlink" Target="http://onelittleweb.com" TargetMode="External"/><Relationship Id="rId446" Type="http://schemas.openxmlformats.org/officeDocument/2006/relationships/hyperlink" Target="https://onelittleweb.com/top-agencies/top-google-ads-agencies/" TargetMode="External"/><Relationship Id="rId445" Type="http://schemas.openxmlformats.org/officeDocument/2006/relationships/hyperlink" Target="http://ninjapromo.io" TargetMode="External"/><Relationship Id="rId449" Type="http://schemas.openxmlformats.org/officeDocument/2006/relationships/hyperlink" Target="http://withgoogle.com" TargetMode="External"/><Relationship Id="rId1270" Type="http://schemas.openxmlformats.org/officeDocument/2006/relationships/hyperlink" Target="http://thatware.co" TargetMode="External"/><Relationship Id="rId440" Type="http://schemas.openxmlformats.org/officeDocument/2006/relationships/hyperlink" Target="https://www.measured.com/faq/top-10-best-media-mix-modeling-companies-software-for-2026/" TargetMode="External"/><Relationship Id="rId1271" Type="http://schemas.openxmlformats.org/officeDocument/2006/relationships/hyperlink" Target="https://thatware.co/best-ai-search-optimization-services-usa/" TargetMode="External"/><Relationship Id="rId1272" Type="http://schemas.openxmlformats.org/officeDocument/2006/relationships/hyperlink" Target="http://thatware.co" TargetMode="External"/><Relationship Id="rId1273" Type="http://schemas.openxmlformats.org/officeDocument/2006/relationships/hyperlink" Target="https://www.thedrum.com/news/how-agencies-are-finding-power-the-middle-independent-networks-reshape-the-market" TargetMode="External"/><Relationship Id="rId1274" Type="http://schemas.openxmlformats.org/officeDocument/2006/relationships/hyperlink" Target="http://thedrum.com" TargetMode="External"/><Relationship Id="rId444" Type="http://schemas.openxmlformats.org/officeDocument/2006/relationships/hyperlink" Target="https://ninjapromo.io/best-ai-marketing-agencies" TargetMode="External"/><Relationship Id="rId1275" Type="http://schemas.openxmlformats.org/officeDocument/2006/relationships/hyperlink" Target="https://themanifest.com/us/media-buying/agencies?page=1" TargetMode="External"/><Relationship Id="rId443" Type="http://schemas.openxmlformats.org/officeDocument/2006/relationships/hyperlink" Target="http://nealschaffer.com" TargetMode="External"/><Relationship Id="rId1276" Type="http://schemas.openxmlformats.org/officeDocument/2006/relationships/hyperlink" Target="http://themanifest.com" TargetMode="External"/><Relationship Id="rId442" Type="http://schemas.openxmlformats.org/officeDocument/2006/relationships/hyperlink" Target="https://nealschaffer.com/ai-marketing-agency/" TargetMode="External"/><Relationship Id="rId1277" Type="http://schemas.openxmlformats.org/officeDocument/2006/relationships/hyperlink" Target="https://themarketingagency.ca/blog/performance-marketing-agencies/" TargetMode="External"/><Relationship Id="rId441" Type="http://schemas.openxmlformats.org/officeDocument/2006/relationships/hyperlink" Target="http://measured.com" TargetMode="External"/><Relationship Id="rId1278" Type="http://schemas.openxmlformats.org/officeDocument/2006/relationships/hyperlink" Target="http://themarketingagency.ca" TargetMode="External"/><Relationship Id="rId1268" Type="http://schemas.openxmlformats.org/officeDocument/2006/relationships/hyperlink" Target="http://teamai.com" TargetMode="External"/><Relationship Id="rId2599" Type="http://schemas.openxmlformats.org/officeDocument/2006/relationships/hyperlink" Target="http://houseofmvps.com" TargetMode="External"/><Relationship Id="rId1269" Type="http://schemas.openxmlformats.org/officeDocument/2006/relationships/hyperlink" Target="https://thatware.co/10-best-geo-companies-in-usa/" TargetMode="External"/><Relationship Id="rId437" Type="http://schemas.openxmlformats.org/officeDocument/2006/relationships/hyperlink" Target="http://intellectyx.com" TargetMode="External"/><Relationship Id="rId436" Type="http://schemas.openxmlformats.org/officeDocument/2006/relationships/hyperlink" Target="https://www.intellectyx.com/list-of-20-leading-ai-consulting-firms-providing-comprehensive-services/" TargetMode="External"/><Relationship Id="rId435" Type="http://schemas.openxmlformats.org/officeDocument/2006/relationships/hyperlink" Target="http://incremental.com" TargetMode="External"/><Relationship Id="rId434" Type="http://schemas.openxmlformats.org/officeDocument/2006/relationships/hyperlink" Target="https://www.incremental.com/" TargetMode="External"/><Relationship Id="rId439" Type="http://schemas.openxmlformats.org/officeDocument/2006/relationships/hyperlink" Target="http://joseangelostudios.com" TargetMode="External"/><Relationship Id="rId438" Type="http://schemas.openxmlformats.org/officeDocument/2006/relationships/hyperlink" Target="https://joseangelostudios.com/paid-social-agency/" TargetMode="External"/><Relationship Id="rId2590" Type="http://schemas.openxmlformats.org/officeDocument/2006/relationships/hyperlink" Target="https://www.heydigital.co/blog/saas-marketing-agencies" TargetMode="External"/><Relationship Id="rId1260" Type="http://schemas.openxmlformats.org/officeDocument/2006/relationships/hyperlink" Target="http://sortlist.com" TargetMode="External"/><Relationship Id="rId2591" Type="http://schemas.openxmlformats.org/officeDocument/2006/relationships/hyperlink" Target="http://heydigital.co" TargetMode="External"/><Relationship Id="rId1261" Type="http://schemas.openxmlformats.org/officeDocument/2006/relationships/hyperlink" Target="https://www.sortlist.com/s/data-driven-marketing/united-states-us" TargetMode="External"/><Relationship Id="rId2592" Type="http://schemas.openxmlformats.org/officeDocument/2006/relationships/hyperlink" Target="https://hikemytraffic.com/ai-powered-digital-marketing-agency/" TargetMode="External"/><Relationship Id="rId1262" Type="http://schemas.openxmlformats.org/officeDocument/2006/relationships/hyperlink" Target="http://sortlist.com" TargetMode="External"/><Relationship Id="rId2593" Type="http://schemas.openxmlformats.org/officeDocument/2006/relationships/hyperlink" Target="http://hikemytraffic.com" TargetMode="External"/><Relationship Id="rId1263" Type="http://schemas.openxmlformats.org/officeDocument/2006/relationships/hyperlink" Target="https://www.superside.com/blog/creative-agencies-new-york" TargetMode="External"/><Relationship Id="rId2594" Type="http://schemas.openxmlformats.org/officeDocument/2006/relationships/hyperlink" Target="https://hikemytraffic.com/ai-seo-companies-to-dominate-search/" TargetMode="External"/><Relationship Id="rId433" Type="http://schemas.openxmlformats.org/officeDocument/2006/relationships/hyperlink" Target="https://inbeat.agency/blog/incrementality-testing" TargetMode="External"/><Relationship Id="rId1264" Type="http://schemas.openxmlformats.org/officeDocument/2006/relationships/hyperlink" Target="http://superside.com" TargetMode="External"/><Relationship Id="rId2595" Type="http://schemas.openxmlformats.org/officeDocument/2006/relationships/hyperlink" Target="http://hikemytraffic.com" TargetMode="External"/><Relationship Id="rId432" Type="http://schemas.openxmlformats.org/officeDocument/2006/relationships/hyperlink" Target="http://gtm8020.com" TargetMode="External"/><Relationship Id="rId1265" Type="http://schemas.openxmlformats.org/officeDocument/2006/relationships/hyperlink" Target="https://sweatpantsagency.com/best-meta-ad-agencies" TargetMode="External"/><Relationship Id="rId2596" Type="http://schemas.openxmlformats.org/officeDocument/2006/relationships/hyperlink" Target="https://www.hotsourcecreative.com/ai-consultants-bristol/" TargetMode="External"/><Relationship Id="rId431" Type="http://schemas.openxmlformats.org/officeDocument/2006/relationships/hyperlink" Target="https://www.gtm8020.com/blog/best-aeo-agencies" TargetMode="External"/><Relationship Id="rId1266" Type="http://schemas.openxmlformats.org/officeDocument/2006/relationships/hyperlink" Target="http://sweatpantsagency.com" TargetMode="External"/><Relationship Id="rId2597" Type="http://schemas.openxmlformats.org/officeDocument/2006/relationships/hyperlink" Target="http://hotsourcecreative.com" TargetMode="External"/><Relationship Id="rId430" Type="http://schemas.openxmlformats.org/officeDocument/2006/relationships/hyperlink" Target="http://growthmanager.ai" TargetMode="External"/><Relationship Id="rId1267" Type="http://schemas.openxmlformats.org/officeDocument/2006/relationships/hyperlink" Target="https://teamai.com/blog/generative-ai-and-business/top-geo-agencies-for-ai-visibility/" TargetMode="External"/><Relationship Id="rId2598" Type="http://schemas.openxmlformats.org/officeDocument/2006/relationships/hyperlink" Target="https://houseofmvps.com/best-aeo-agencies-for-local-business" TargetMode="External"/><Relationship Id="rId3070" Type="http://schemas.openxmlformats.org/officeDocument/2006/relationships/hyperlink" Target="http://puremarketing.ai" TargetMode="External"/><Relationship Id="rId3072" Type="http://schemas.openxmlformats.org/officeDocument/2006/relationships/hyperlink" Target="http://purplez.com" TargetMode="External"/><Relationship Id="rId3071" Type="http://schemas.openxmlformats.org/officeDocument/2006/relationships/hyperlink" Target="https://purplez.com/digital-marketing-services/display-advertising-services/" TargetMode="External"/><Relationship Id="rId3074" Type="http://schemas.openxmlformats.org/officeDocument/2006/relationships/hyperlink" Target="http://pwskills.com" TargetMode="External"/><Relationship Id="rId3073" Type="http://schemas.openxmlformats.org/officeDocument/2006/relationships/hyperlink" Target="https://pwskills.com/blog/digital-marketing/performance-marketing-agencies" TargetMode="External"/><Relationship Id="rId3076" Type="http://schemas.openxmlformats.org/officeDocument/2006/relationships/hyperlink" Target="http://q3tech.com" TargetMode="External"/><Relationship Id="rId3075" Type="http://schemas.openxmlformats.org/officeDocument/2006/relationships/hyperlink" Target="https://www.q3tech.com/blogs/ai-agent-development-companies-in-usa/" TargetMode="External"/><Relationship Id="rId3078" Type="http://schemas.openxmlformats.org/officeDocument/2006/relationships/hyperlink" Target="https://www.quoleady.com/aeo-agencies/" TargetMode="External"/><Relationship Id="rId3077" Type="http://schemas.openxmlformats.org/officeDocument/2006/relationships/hyperlink" Target="https://qs.digital/" TargetMode="External"/><Relationship Id="rId3079" Type="http://schemas.openxmlformats.org/officeDocument/2006/relationships/hyperlink" Target="http://quoleady.com" TargetMode="External"/><Relationship Id="rId3061" Type="http://schemas.openxmlformats.org/officeDocument/2006/relationships/hyperlink" Target="https://www.provokemedia.com/ranking-and-data/global-pr-agency-rankings/2025-pr-agency-rankings/top-250" TargetMode="External"/><Relationship Id="rId3060" Type="http://schemas.openxmlformats.org/officeDocument/2006/relationships/hyperlink" Target="http://propellic.com" TargetMode="External"/><Relationship Id="rId3063" Type="http://schemas.openxmlformats.org/officeDocument/2006/relationships/hyperlink" Target="https://www.prweek.com/article/1908852/prweek-us-awards-2025-outstanding-large-agency" TargetMode="External"/><Relationship Id="rId3062" Type="http://schemas.openxmlformats.org/officeDocument/2006/relationships/hyperlink" Target="http://provokemedia.com" TargetMode="External"/><Relationship Id="rId3065" Type="http://schemas.openxmlformats.org/officeDocument/2006/relationships/hyperlink" Target="https://punchcut.com/perspectives/best-ai-design-agencies/" TargetMode="External"/><Relationship Id="rId3064" Type="http://schemas.openxmlformats.org/officeDocument/2006/relationships/hyperlink" Target="http://prweek.com" TargetMode="External"/><Relationship Id="rId3067" Type="http://schemas.openxmlformats.org/officeDocument/2006/relationships/hyperlink" Target="https://purealanalytics.co.uk/" TargetMode="External"/><Relationship Id="rId3066" Type="http://schemas.openxmlformats.org/officeDocument/2006/relationships/hyperlink" Target="http://punchcut.com" TargetMode="External"/><Relationship Id="rId3069" Type="http://schemas.openxmlformats.org/officeDocument/2006/relationships/hyperlink" Target="https://puremarketing.ai/aeo-agency-montclair/" TargetMode="External"/><Relationship Id="rId3068" Type="http://schemas.openxmlformats.org/officeDocument/2006/relationships/hyperlink" Target="http://purealanalytics.co.uk" TargetMode="External"/><Relationship Id="rId3090" Type="http://schemas.openxmlformats.org/officeDocument/2006/relationships/hyperlink" Target="https://www.rankshift.ai/blog/generative-engine-optimization-tools/" TargetMode="External"/><Relationship Id="rId3092" Type="http://schemas.openxmlformats.org/officeDocument/2006/relationships/hyperlink" Target="https://ranktix.co.uk/best-answer-engine-optimization-tools/" TargetMode="External"/><Relationship Id="rId3091" Type="http://schemas.openxmlformats.org/officeDocument/2006/relationships/hyperlink" Target="http://rankshift.ai" TargetMode="External"/><Relationship Id="rId3094" Type="http://schemas.openxmlformats.org/officeDocument/2006/relationships/hyperlink" Target="https://www.ranktracker.com/blog/best-aiseo-agencies/" TargetMode="External"/><Relationship Id="rId3093" Type="http://schemas.openxmlformats.org/officeDocument/2006/relationships/hyperlink" Target="http://ranktix.co.uk" TargetMode="External"/><Relationship Id="rId3096" Type="http://schemas.openxmlformats.org/officeDocument/2006/relationships/hyperlink" Target="https://www.ranktracker.com/blog/generative-engine-optimization-agencies/" TargetMode="External"/><Relationship Id="rId3095" Type="http://schemas.openxmlformats.org/officeDocument/2006/relationships/hyperlink" Target="http://ranktracker.com" TargetMode="External"/><Relationship Id="rId3098" Type="http://schemas.openxmlformats.org/officeDocument/2006/relationships/hyperlink" Target="https://rankz.co/blog/best-agencies-for-ai-search-optimization/" TargetMode="External"/><Relationship Id="rId3097" Type="http://schemas.openxmlformats.org/officeDocument/2006/relationships/hyperlink" Target="http://ranktracker.com" TargetMode="External"/><Relationship Id="rId3099" Type="http://schemas.openxmlformats.org/officeDocument/2006/relationships/hyperlink" Target="http://rankz.co" TargetMode="External"/><Relationship Id="rId3081" Type="http://schemas.openxmlformats.org/officeDocument/2006/relationships/hyperlink" Target="http://quora.com" TargetMode="External"/><Relationship Id="rId3080" Type="http://schemas.openxmlformats.org/officeDocument/2006/relationships/hyperlink" Target="https://www.quora.com/What-are-some-AI-SEO-agencies" TargetMode="External"/><Relationship Id="rId3083" Type="http://schemas.openxmlformats.org/officeDocument/2006/relationships/hyperlink" Target="http://quora.com" TargetMode="External"/><Relationship Id="rId3082" Type="http://schemas.openxmlformats.org/officeDocument/2006/relationships/hyperlink" Target="https://www.quora.com/Which-are-the-best-social-media-marketing-agencies-in-USA" TargetMode="External"/><Relationship Id="rId3085" Type="http://schemas.openxmlformats.org/officeDocument/2006/relationships/hyperlink" Target="http://ramotion.com" TargetMode="External"/><Relationship Id="rId3084" Type="http://schemas.openxmlformats.org/officeDocument/2006/relationships/hyperlink" Target="https://www.ramotion.com/blog/top-branding-agencies/" TargetMode="External"/><Relationship Id="rId3087" Type="http://schemas.openxmlformats.org/officeDocument/2006/relationships/hyperlink" Target="http://rankai.ai" TargetMode="External"/><Relationship Id="rId3086" Type="http://schemas.openxmlformats.org/officeDocument/2006/relationships/hyperlink" Target="https://rankai.ai/articles/best-geo-agencies" TargetMode="External"/><Relationship Id="rId3089" Type="http://schemas.openxmlformats.org/officeDocument/2006/relationships/hyperlink" Target="http://rankmybusiness.com.au" TargetMode="External"/><Relationship Id="rId3088" Type="http://schemas.openxmlformats.org/officeDocument/2006/relationships/hyperlink" Target="https://rankmybusiness.com.au/ai-seo-marketing-agency/" TargetMode="External"/><Relationship Id="rId3039" Type="http://schemas.openxmlformats.org/officeDocument/2006/relationships/hyperlink" Target="http://portagelabs.io" TargetMode="External"/><Relationship Id="rId1" Type="http://schemas.openxmlformats.org/officeDocument/2006/relationships/hyperlink" Target="https://clutch.co/us/agencies" TargetMode="External"/><Relationship Id="rId2" Type="http://schemas.openxmlformats.org/officeDocument/2006/relationships/hyperlink" Target="http://clutch.co" TargetMode="External"/><Relationship Id="rId3" Type="http://schemas.openxmlformats.org/officeDocument/2006/relationships/hyperlink" Target="https://clutch.co/us/agencies/digital-marketing" TargetMode="External"/><Relationship Id="rId4" Type="http://schemas.openxmlformats.org/officeDocument/2006/relationships/hyperlink" Target="http://clutch.co" TargetMode="External"/><Relationship Id="rId3030" Type="http://schemas.openxmlformats.org/officeDocument/2006/relationships/hyperlink" Target="https://www.pleiadesconsultancy.com/blog/best-ai-search-agencies-2026" TargetMode="External"/><Relationship Id="rId9" Type="http://schemas.openxmlformats.org/officeDocument/2006/relationships/hyperlink" Target="https://www.dataally.ai/blog/top-paid-media-agencies" TargetMode="External"/><Relationship Id="rId3032" Type="http://schemas.openxmlformats.org/officeDocument/2006/relationships/hyperlink" Target="https://www.plerdy.com/blog/performance-marketing/" TargetMode="External"/><Relationship Id="rId3031" Type="http://schemas.openxmlformats.org/officeDocument/2006/relationships/hyperlink" Target="http://pleiadesconsultancy.com" TargetMode="External"/><Relationship Id="rId3034" Type="http://schemas.openxmlformats.org/officeDocument/2006/relationships/hyperlink" Target="https://www.plerdy.com/blog/social-media-marketing-agencies/" TargetMode="External"/><Relationship Id="rId3033" Type="http://schemas.openxmlformats.org/officeDocument/2006/relationships/hyperlink" Target="http://plerdy.com" TargetMode="External"/><Relationship Id="rId5" Type="http://schemas.openxmlformats.org/officeDocument/2006/relationships/hyperlink" Target="https://www.influencer-hero.com/blogs/top-paid-media-agencies-in-the-us" TargetMode="External"/><Relationship Id="rId3036" Type="http://schemas.openxmlformats.org/officeDocument/2006/relationships/hyperlink" Target="https://pointsourcemarketing.com/performance-marketing/analytics/ga-consulting/" TargetMode="External"/><Relationship Id="rId6" Type="http://schemas.openxmlformats.org/officeDocument/2006/relationships/hyperlink" Target="http://influencer-hero.com" TargetMode="External"/><Relationship Id="rId3035" Type="http://schemas.openxmlformats.org/officeDocument/2006/relationships/hyperlink" Target="http://plerdy.com" TargetMode="External"/><Relationship Id="rId7" Type="http://schemas.openxmlformats.org/officeDocument/2006/relationships/hyperlink" Target="https://www.webtonic.io/blog/best-paid-media-agencies-us" TargetMode="External"/><Relationship Id="rId3038" Type="http://schemas.openxmlformats.org/officeDocument/2006/relationships/hyperlink" Target="https://www.portagelabs.io/services/ai-enablement" TargetMode="External"/><Relationship Id="rId8" Type="http://schemas.openxmlformats.org/officeDocument/2006/relationships/hyperlink" Target="http://webtonic.io" TargetMode="External"/><Relationship Id="rId3037" Type="http://schemas.openxmlformats.org/officeDocument/2006/relationships/hyperlink" Target="http://pointsourcemarketing.com" TargetMode="External"/><Relationship Id="rId3029" Type="http://schemas.openxmlformats.org/officeDocument/2006/relationships/hyperlink" Target="http://pixelprodigies.com" TargetMode="External"/><Relationship Id="rId3028" Type="http://schemas.openxmlformats.org/officeDocument/2006/relationships/hyperlink" Target="https://pixelprodigies.com/case-studies/" TargetMode="External"/><Relationship Id="rId3021" Type="http://schemas.openxmlformats.org/officeDocument/2006/relationships/hyperlink" Target="http://phable.io" TargetMode="External"/><Relationship Id="rId3020" Type="http://schemas.openxmlformats.org/officeDocument/2006/relationships/hyperlink" Target="https://www.phable.io/top-creative-agencies/leading-creative-agencies-in-new-york-masters-of-branding-content-creation-and-digital-innovation" TargetMode="External"/><Relationship Id="rId3023" Type="http://schemas.openxmlformats.org/officeDocument/2006/relationships/hyperlink" Target="http://phueled.com" TargetMode="External"/><Relationship Id="rId3022" Type="http://schemas.openxmlformats.org/officeDocument/2006/relationships/hyperlink" Target="https://phueled.com/marketing-science" TargetMode="External"/><Relationship Id="rId3025" Type="http://schemas.openxmlformats.org/officeDocument/2006/relationships/hyperlink" Target="http://zoominfo.com" TargetMode="External"/><Relationship Id="rId3024" Type="http://schemas.openxmlformats.org/officeDocument/2006/relationships/hyperlink" Target="https://pipeline.zoominfo.com/marketing/digital-marketing-tools" TargetMode="External"/><Relationship Id="rId3027" Type="http://schemas.openxmlformats.org/officeDocument/2006/relationships/hyperlink" Target="http://pitchkitchen.com" TargetMode="External"/><Relationship Id="rId3026" Type="http://schemas.openxmlformats.org/officeDocument/2006/relationships/hyperlink" Target="https://www.pitchkitchen.com/best-ai-sales-marketing-agencies" TargetMode="External"/><Relationship Id="rId3050" Type="http://schemas.openxmlformats.org/officeDocument/2006/relationships/hyperlink" Target="https://primetrics.cpa/what-we-do/it-services/ai-readiness-adoption/" TargetMode="External"/><Relationship Id="rId3052" Type="http://schemas.openxmlformats.org/officeDocument/2006/relationships/hyperlink" Target="http://prnewswire.com" TargetMode="External"/><Relationship Id="rId3051" Type="http://schemas.openxmlformats.org/officeDocument/2006/relationships/hyperlink" Target="https://www.prnewswire.com/news-releases/measured-announces-2-million-finance-facility-from-timia-capital-corporation-301036413.html" TargetMode="External"/><Relationship Id="rId3054" Type="http://schemas.openxmlformats.org/officeDocument/2006/relationships/hyperlink" Target="http://projectmanagers.net" TargetMode="External"/><Relationship Id="rId3053" Type="http://schemas.openxmlformats.org/officeDocument/2006/relationships/hyperlink" Target="https://projectmanagers.net/top-a-b-testing-agencies-delivering-proven-results/" TargetMode="External"/><Relationship Id="rId3056" Type="http://schemas.openxmlformats.org/officeDocument/2006/relationships/hyperlink" Target="http://promodo.com" TargetMode="External"/><Relationship Id="rId3055" Type="http://schemas.openxmlformats.org/officeDocument/2006/relationships/hyperlink" Target="https://www.promodo.com/blog/best-geo-agencies" TargetMode="External"/><Relationship Id="rId3058" Type="http://schemas.openxmlformats.org/officeDocument/2006/relationships/hyperlink" Target="http://promoguy.nl" TargetMode="External"/><Relationship Id="rId3057" Type="http://schemas.openxmlformats.org/officeDocument/2006/relationships/hyperlink" Target="https://promoguy.nl/blog/2026/02/12/incrementality-testing-for-marketing-promotion/" TargetMode="External"/><Relationship Id="rId3059" Type="http://schemas.openxmlformats.org/officeDocument/2006/relationships/hyperlink" Target="https://www.propellic.com/" TargetMode="External"/><Relationship Id="rId3041" Type="http://schemas.openxmlformats.org/officeDocument/2006/relationships/hyperlink" Target="https://powerdigitalmarketing.com/atlanta/seo/" TargetMode="External"/><Relationship Id="rId3040" Type="http://schemas.openxmlformats.org/officeDocument/2006/relationships/hyperlink" Target="https://www.portofino.marketing/client-portfolio.html" TargetMode="External"/><Relationship Id="rId3043" Type="http://schemas.openxmlformats.org/officeDocument/2006/relationships/hyperlink" Target="https://powerdigitalmarketing.com/blog/best-digital-marketing-agency/" TargetMode="External"/><Relationship Id="rId3042" Type="http://schemas.openxmlformats.org/officeDocument/2006/relationships/hyperlink" Target="http://powerdigitalmarketing.com" TargetMode="External"/><Relationship Id="rId3045" Type="http://schemas.openxmlformats.org/officeDocument/2006/relationships/hyperlink" Target="https://www.pravaahconsulting.com/post/agentic-ai-development-companies" TargetMode="External"/><Relationship Id="rId3044" Type="http://schemas.openxmlformats.org/officeDocument/2006/relationships/hyperlink" Target="http://powerdigitalmarketing.com" TargetMode="External"/><Relationship Id="rId3047" Type="http://schemas.openxmlformats.org/officeDocument/2006/relationships/hyperlink" Target="https://prerender.io/blog/best-technical-geo-and-ai-se-tools/" TargetMode="External"/><Relationship Id="rId3046" Type="http://schemas.openxmlformats.org/officeDocument/2006/relationships/hyperlink" Target="http://pravaahconsulting.com" TargetMode="External"/><Relationship Id="rId3049" Type="http://schemas.openxmlformats.org/officeDocument/2006/relationships/hyperlink" Target="https://www.primeone.global/case-study/" TargetMode="External"/><Relationship Id="rId3048" Type="http://schemas.openxmlformats.org/officeDocument/2006/relationships/hyperlink" Target="http://prerender.io" TargetMode="External"/><Relationship Id="rId2600" Type="http://schemas.openxmlformats.org/officeDocument/2006/relationships/hyperlink" Target="https://www.housesofgrowth.com/post/ai-digital-marketing-agencies" TargetMode="External"/><Relationship Id="rId2601" Type="http://schemas.openxmlformats.org/officeDocument/2006/relationships/hyperlink" Target="http://housesofgrowth.com" TargetMode="External"/><Relationship Id="rId2602" Type="http://schemas.openxmlformats.org/officeDocument/2006/relationships/hyperlink" Target="https://humanise.world/blog/first-party-data-activation" TargetMode="External"/><Relationship Id="rId2603" Type="http://schemas.openxmlformats.org/officeDocument/2006/relationships/hyperlink" Target="https://www.humanr.ai/intelligence/ai-readiness-assessment-25-person-marketing-agency" TargetMode="External"/><Relationship Id="rId2604" Type="http://schemas.openxmlformats.org/officeDocument/2006/relationships/hyperlink" Target="http://humanr.ai" TargetMode="External"/><Relationship Id="rId2605" Type="http://schemas.openxmlformats.org/officeDocument/2006/relationships/hyperlink" Target="https://humanshiftready.com/" TargetMode="External"/><Relationship Id="rId2606" Type="http://schemas.openxmlformats.org/officeDocument/2006/relationships/hyperlink" Target="http://humanshiftready.com" TargetMode="External"/><Relationship Id="rId808" Type="http://schemas.openxmlformats.org/officeDocument/2006/relationships/hyperlink" Target="http://marketerhire.com" TargetMode="External"/><Relationship Id="rId2607" Type="http://schemas.openxmlformats.org/officeDocument/2006/relationships/hyperlink" Target="https://hunterdigitalmarketing.com/blog/2026-leading-paid-search-agencies/" TargetMode="External"/><Relationship Id="rId807" Type="http://schemas.openxmlformats.org/officeDocument/2006/relationships/hyperlink" Target="https://marketerhire.com/blog/performance-marketing-agency" TargetMode="External"/><Relationship Id="rId2608" Type="http://schemas.openxmlformats.org/officeDocument/2006/relationships/hyperlink" Target="http://hunterdigitalmarketing.com" TargetMode="External"/><Relationship Id="rId806" Type="http://schemas.openxmlformats.org/officeDocument/2006/relationships/hyperlink" Target="http://lyfemarketing.com" TargetMode="External"/><Relationship Id="rId2609" Type="http://schemas.openxmlformats.org/officeDocument/2006/relationships/hyperlink" Target="https://www.iacaward.org/iac/winner/18188/delve-wins-2021-iac-award-for-delve-applies-data-science-to-deliver-200-roas-for-unicef-usa.html" TargetMode="External"/><Relationship Id="rId805" Type="http://schemas.openxmlformats.org/officeDocument/2006/relationships/hyperlink" Target="https://www.lyfemarketing.com/blog/top-digital-marketing-agencies-us/" TargetMode="External"/><Relationship Id="rId809" Type="http://schemas.openxmlformats.org/officeDocument/2006/relationships/hyperlink" Target="https://metaflow.life/blog/best-aeo-agencies-2026" TargetMode="External"/><Relationship Id="rId800" Type="http://schemas.openxmlformats.org/officeDocument/2006/relationships/hyperlink" Target="http://icreativez.com" TargetMode="External"/><Relationship Id="rId804" Type="http://schemas.openxmlformats.org/officeDocument/2006/relationships/hyperlink" Target="http://lifesight.io" TargetMode="External"/><Relationship Id="rId803" Type="http://schemas.openxmlformats.org/officeDocument/2006/relationships/hyperlink" Target="https://lifesight.io/" TargetMode="External"/><Relationship Id="rId802" Type="http://schemas.openxmlformats.org/officeDocument/2006/relationships/hyperlink" Target="http://measured.com" TargetMode="External"/><Relationship Id="rId801" Type="http://schemas.openxmlformats.org/officeDocument/2006/relationships/hyperlink" Target="https://info.measured.com/media-mix-modeling-demo" TargetMode="External"/><Relationship Id="rId1334" Type="http://schemas.openxmlformats.org/officeDocument/2006/relationships/hyperlink" Target="https://aimsetwin.com/blog/biggest-digital-marketing-agencies/" TargetMode="External"/><Relationship Id="rId2665" Type="http://schemas.openxmlformats.org/officeDocument/2006/relationships/hyperlink" Target="https://innovationegg.com/top-digital-marketing-agency-in-the-usa/" TargetMode="External"/><Relationship Id="rId1335" Type="http://schemas.openxmlformats.org/officeDocument/2006/relationships/hyperlink" Target="http://aimsetwin.com" TargetMode="External"/><Relationship Id="rId2666" Type="http://schemas.openxmlformats.org/officeDocument/2006/relationships/hyperlink" Target="http://innovationegg.com" TargetMode="External"/><Relationship Id="rId1336" Type="http://schemas.openxmlformats.org/officeDocument/2006/relationships/hyperlink" Target="https://www.andersoncollaborative.com/digital-marketing-agencies-in-the-united-states-driving-growth-with-data-driven-campaigns/" TargetMode="External"/><Relationship Id="rId2667" Type="http://schemas.openxmlformats.org/officeDocument/2006/relationships/hyperlink" Target="https://www.instagram.com/reel/DR4csQmDPbW/?hl=en" TargetMode="External"/><Relationship Id="rId1337" Type="http://schemas.openxmlformats.org/officeDocument/2006/relationships/hyperlink" Target="http://andersoncollaborative.com" TargetMode="External"/><Relationship Id="rId2668" Type="http://schemas.openxmlformats.org/officeDocument/2006/relationships/hyperlink" Target="http://instagram.com" TargetMode="External"/><Relationship Id="rId1338" Type="http://schemas.openxmlformats.org/officeDocument/2006/relationships/hyperlink" Target="https://www.animalz.co/blog/best-aeo-agencies" TargetMode="External"/><Relationship Id="rId2669" Type="http://schemas.openxmlformats.org/officeDocument/2006/relationships/hyperlink" Target="https://www.intellectyx.com/ai-agent-development-companies-in-usa/" TargetMode="External"/><Relationship Id="rId1339" Type="http://schemas.openxmlformats.org/officeDocument/2006/relationships/hyperlink" Target="http://animalz.co" TargetMode="External"/><Relationship Id="rId745" Type="http://schemas.openxmlformats.org/officeDocument/2006/relationships/hyperlink" Target="https://techradiant.co/agencies/generative-engine-optimization/" TargetMode="External"/><Relationship Id="rId744" Type="http://schemas.openxmlformats.org/officeDocument/2006/relationships/hyperlink" Target="http://strategylinc.com" TargetMode="External"/><Relationship Id="rId743" Type="http://schemas.openxmlformats.org/officeDocument/2006/relationships/hyperlink" Target="https://strategylinc.com/" TargetMode="External"/><Relationship Id="rId742" Type="http://schemas.openxmlformats.org/officeDocument/2006/relationships/hyperlink" Target="http://sortlist.com" TargetMode="External"/><Relationship Id="rId749" Type="http://schemas.openxmlformats.org/officeDocument/2006/relationships/hyperlink" Target="https://themanifest.com/programmatic/agencies" TargetMode="External"/><Relationship Id="rId748" Type="http://schemas.openxmlformats.org/officeDocument/2006/relationships/hyperlink" Target="http://thekeenfolks.com" TargetMode="External"/><Relationship Id="rId747" Type="http://schemas.openxmlformats.org/officeDocument/2006/relationships/hyperlink" Target="https://www.thekeenfolks.com/" TargetMode="External"/><Relationship Id="rId746" Type="http://schemas.openxmlformats.org/officeDocument/2006/relationships/hyperlink" Target="http://techradiant.co" TargetMode="External"/><Relationship Id="rId2660" Type="http://schemas.openxmlformats.org/officeDocument/2006/relationships/hyperlink" Target="http://influencermarketinghub.com" TargetMode="External"/><Relationship Id="rId741" Type="http://schemas.openxmlformats.org/officeDocument/2006/relationships/hyperlink" Target="https://www.sortlist.com/s/programmatic-advertising/united-states-us" TargetMode="External"/><Relationship Id="rId1330" Type="http://schemas.openxmlformats.org/officeDocument/2006/relationships/hyperlink" Target="https://agencies.semrush.com/list/programmatic-advertising/information-technology/united-states/" TargetMode="External"/><Relationship Id="rId2661" Type="http://schemas.openxmlformats.org/officeDocument/2006/relationships/hyperlink" Target="https://infotrust.com/articles/category/marketing/google-marketing-platform-gmp/" TargetMode="External"/><Relationship Id="rId740" Type="http://schemas.openxmlformats.org/officeDocument/2006/relationships/hyperlink" Target="http://segmentstream.com" TargetMode="External"/><Relationship Id="rId1331" Type="http://schemas.openxmlformats.org/officeDocument/2006/relationships/hyperlink" Target="http://semrush.com" TargetMode="External"/><Relationship Id="rId2662" Type="http://schemas.openxmlformats.org/officeDocument/2006/relationships/hyperlink" Target="http://infotrust.com" TargetMode="External"/><Relationship Id="rId1332" Type="http://schemas.openxmlformats.org/officeDocument/2006/relationships/hyperlink" Target="https://agencymb.com/david-vs-goliath-independent-agencies-over-holding-company-giants/" TargetMode="External"/><Relationship Id="rId2663" Type="http://schemas.openxmlformats.org/officeDocument/2006/relationships/hyperlink" Target="https://infotrust.com/resource/get-to-know-all-products-available-in-the-google-marketing-platform/" TargetMode="External"/><Relationship Id="rId1333" Type="http://schemas.openxmlformats.org/officeDocument/2006/relationships/hyperlink" Target="http://agencymb.com" TargetMode="External"/><Relationship Id="rId2664" Type="http://schemas.openxmlformats.org/officeDocument/2006/relationships/hyperlink" Target="http://infotrust.com" TargetMode="External"/><Relationship Id="rId1323" Type="http://schemas.openxmlformats.org/officeDocument/2006/relationships/hyperlink" Target="http://addepto.com" TargetMode="External"/><Relationship Id="rId2654" Type="http://schemas.openxmlformats.org/officeDocument/2006/relationships/hyperlink" Target="http://indiehackers.com" TargetMode="External"/><Relationship Id="rId1324" Type="http://schemas.openxmlformats.org/officeDocument/2006/relationships/hyperlink" Target="https://adswerve.com/partners/google" TargetMode="External"/><Relationship Id="rId2655" Type="http://schemas.openxmlformats.org/officeDocument/2006/relationships/hyperlink" Target="https://www.influencer-hero.com/fr/blogs/top-paid-media-agencies-in-the-us" TargetMode="External"/><Relationship Id="rId1325" Type="http://schemas.openxmlformats.org/officeDocument/2006/relationships/hyperlink" Target="http://adswerve.com" TargetMode="External"/><Relationship Id="rId2656" Type="http://schemas.openxmlformats.org/officeDocument/2006/relationships/hyperlink" Target="http://influencer-hero.com" TargetMode="External"/><Relationship Id="rId1326" Type="http://schemas.openxmlformats.org/officeDocument/2006/relationships/hyperlink" Target="https://agencies.semrush.com/list/display-advertising/new-york/" TargetMode="External"/><Relationship Id="rId2657" Type="http://schemas.openxmlformats.org/officeDocument/2006/relationships/hyperlink" Target="https://influencermarketinghub.com/creative-agency/" TargetMode="External"/><Relationship Id="rId1327" Type="http://schemas.openxmlformats.org/officeDocument/2006/relationships/hyperlink" Target="http://semrush.com" TargetMode="External"/><Relationship Id="rId2658" Type="http://schemas.openxmlformats.org/officeDocument/2006/relationships/hyperlink" Target="http://influencermarketinghub.com" TargetMode="External"/><Relationship Id="rId1328" Type="http://schemas.openxmlformats.org/officeDocument/2006/relationships/hyperlink" Target="https://agencies.semrush.com/list/display-advertising/united-states/small-business/" TargetMode="External"/><Relationship Id="rId2659" Type="http://schemas.openxmlformats.org/officeDocument/2006/relationships/hyperlink" Target="https://influencermarketinghub.com/geo-agencies/" TargetMode="External"/><Relationship Id="rId1329" Type="http://schemas.openxmlformats.org/officeDocument/2006/relationships/hyperlink" Target="http://semrush.com" TargetMode="External"/><Relationship Id="rId739" Type="http://schemas.openxmlformats.org/officeDocument/2006/relationships/hyperlink" Target="https://segmentstream.com/blog/articles/measured-com-alternatives" TargetMode="External"/><Relationship Id="rId734" Type="http://schemas.openxmlformats.org/officeDocument/2006/relationships/hyperlink" Target="http://reddit.com" TargetMode="External"/><Relationship Id="rId733" Type="http://schemas.openxmlformats.org/officeDocument/2006/relationships/hyperlink" Target="https://www.reddit.com/r/TheTopAgencies/comments/1me9pid/the_best_digital_marketing_agencies_in_the_united/" TargetMode="External"/><Relationship Id="rId732" Type="http://schemas.openxmlformats.org/officeDocument/2006/relationships/hyperlink" Target="https://rampiq.agency/blog/best-ai-search-b2b-marketing-agencies/" TargetMode="External"/><Relationship Id="rId731" Type="http://schemas.openxmlformats.org/officeDocument/2006/relationships/hyperlink" Target="http://presenc.ai" TargetMode="External"/><Relationship Id="rId738" Type="http://schemas.openxmlformats.org/officeDocument/2006/relationships/hyperlink" Target="http://reddit.com" TargetMode="External"/><Relationship Id="rId737" Type="http://schemas.openxmlformats.org/officeDocument/2006/relationships/hyperlink" Target="https://www.reddit.com/r/b2bmarketing/comments/1rl47cr/the_10_best_visibility_companies_and_agencies_for/" TargetMode="External"/><Relationship Id="rId736" Type="http://schemas.openxmlformats.org/officeDocument/2006/relationships/hyperlink" Target="http://reddit.com" TargetMode="External"/><Relationship Id="rId735" Type="http://schemas.openxmlformats.org/officeDocument/2006/relationships/hyperlink" Target="https://www.reddit.com/r/agency/comments/1ok212i/performance_marketing_incrementality/" TargetMode="External"/><Relationship Id="rId730" Type="http://schemas.openxmlformats.org/officeDocument/2006/relationships/hyperlink" Target="https://presenc.ai/compare/measured-vs-haus-vs-statsig" TargetMode="External"/><Relationship Id="rId2650" Type="http://schemas.openxmlformats.org/officeDocument/2006/relationships/hyperlink" Target="http://indeed.com" TargetMode="External"/><Relationship Id="rId1320" Type="http://schemas.openxmlformats.org/officeDocument/2006/relationships/hyperlink" Target="https://www.50pros.com/hire/digital-marketing/marketing-analytics" TargetMode="External"/><Relationship Id="rId2651" Type="http://schemas.openxmlformats.org/officeDocument/2006/relationships/hyperlink" Target="https://indiantelevision.com/mam/the-best-aeo-agencies-in-the-usa-for-2026/" TargetMode="External"/><Relationship Id="rId1321" Type="http://schemas.openxmlformats.org/officeDocument/2006/relationships/hyperlink" Target="http://50pros.com" TargetMode="External"/><Relationship Id="rId2652" Type="http://schemas.openxmlformats.org/officeDocument/2006/relationships/hyperlink" Target="http://indiantelevision.com" TargetMode="External"/><Relationship Id="rId1322" Type="http://schemas.openxmlformats.org/officeDocument/2006/relationships/hyperlink" Target="https://addepto.com/blog/top-16-ai-consulting-companies/" TargetMode="External"/><Relationship Id="rId2653" Type="http://schemas.openxmlformats.org/officeDocument/2006/relationships/hyperlink" Target="https://www.indiehackers.com/post/best-performance-marketing-agency-in-the-usa-paid-ads-or-seo-cLPWTCgkteymkhS5pJS5" TargetMode="External"/><Relationship Id="rId1356" Type="http://schemas.openxmlformats.org/officeDocument/2006/relationships/hyperlink" Target="https://bigspy.com/blog/Top-10-Paid-Social-Agencies" TargetMode="External"/><Relationship Id="rId2687" Type="http://schemas.openxmlformats.org/officeDocument/2006/relationships/hyperlink" Target="https://www.itsoftexpert.com/usa/blog/itsoftexpert-client-success-stories-revenue-growth" TargetMode="External"/><Relationship Id="rId1357" Type="http://schemas.openxmlformats.org/officeDocument/2006/relationships/hyperlink" Target="http://bigspy.com" TargetMode="External"/><Relationship Id="rId2688" Type="http://schemas.openxmlformats.org/officeDocument/2006/relationships/hyperlink" Target="http://itsoftexpert.com" TargetMode="External"/><Relationship Id="rId1358" Type="http://schemas.openxmlformats.org/officeDocument/2006/relationships/hyperlink" Target="https://blog.google/products/marketingplatform/360/introducing-google-marketing-platform-partners/" TargetMode="External"/><Relationship Id="rId2689" Type="http://schemas.openxmlformats.org/officeDocument/2006/relationships/hyperlink" Target="https://www.j29creative.com/" TargetMode="External"/><Relationship Id="rId1359" Type="http://schemas.openxmlformats.org/officeDocument/2006/relationships/hyperlink" Target="https://blog.viewed.video/top-10-ai-consulting-firms-boosting-tech-marketing" TargetMode="External"/><Relationship Id="rId767" Type="http://schemas.openxmlformats.org/officeDocument/2006/relationships/hyperlink" Target="https://www.aikenhouse.com/post/best-ai-consulting-firms-that-go-beyond-strategy-decks" TargetMode="External"/><Relationship Id="rId766" Type="http://schemas.openxmlformats.org/officeDocument/2006/relationships/hyperlink" Target="http://semrush.com" TargetMode="External"/><Relationship Id="rId765" Type="http://schemas.openxmlformats.org/officeDocument/2006/relationships/hyperlink" Target="https://agencies.semrush.com/list/ppc/united-states/" TargetMode="External"/><Relationship Id="rId764" Type="http://schemas.openxmlformats.org/officeDocument/2006/relationships/hyperlink" Target="http://semrush.com" TargetMode="External"/><Relationship Id="rId769" Type="http://schemas.openxmlformats.org/officeDocument/2006/relationships/hyperlink" Target="https://www.airconsulting.ai/" TargetMode="External"/><Relationship Id="rId768" Type="http://schemas.openxmlformats.org/officeDocument/2006/relationships/hyperlink" Target="http://aikenhouse.com" TargetMode="External"/><Relationship Id="rId2680" Type="http://schemas.openxmlformats.org/officeDocument/2006/relationships/hyperlink" Target="http://choicehotels.com" TargetMode="External"/><Relationship Id="rId1350" Type="http://schemas.openxmlformats.org/officeDocument/2006/relationships/hyperlink" Target="https://auditynow.com/blog/best-ai-readiness-assessment-tools" TargetMode="External"/><Relationship Id="rId2681" Type="http://schemas.openxmlformats.org/officeDocument/2006/relationships/hyperlink" Target="https://www.ipsos.com/en-us/leader-mmos-q1-2026-forrester-wave-announcement" TargetMode="External"/><Relationship Id="rId1351" Type="http://schemas.openxmlformats.org/officeDocument/2006/relationships/hyperlink" Target="http://auditynow.com" TargetMode="External"/><Relationship Id="rId2682" Type="http://schemas.openxmlformats.org/officeDocument/2006/relationships/hyperlink" Target="http://ipsos.com" TargetMode="External"/><Relationship Id="rId763" Type="http://schemas.openxmlformats.org/officeDocument/2006/relationships/hyperlink" Target="https://agencies.semrush.com/list/analytics-data-science/united-states/" TargetMode="External"/><Relationship Id="rId1352" Type="http://schemas.openxmlformats.org/officeDocument/2006/relationships/hyperlink" Target="https://awisee.com/blog/ai-seo-agencies-usa/" TargetMode="External"/><Relationship Id="rId2683" Type="http://schemas.openxmlformats.org/officeDocument/2006/relationships/hyperlink" Target="https://itprofiles.com/services/media-planning-and-buying/united-states" TargetMode="External"/><Relationship Id="rId762" Type="http://schemas.openxmlformats.org/officeDocument/2006/relationships/hyperlink" Target="http://aeo-collective.com" TargetMode="External"/><Relationship Id="rId1353" Type="http://schemas.openxmlformats.org/officeDocument/2006/relationships/hyperlink" Target="http://awisee.com" TargetMode="External"/><Relationship Id="rId2684" Type="http://schemas.openxmlformats.org/officeDocument/2006/relationships/hyperlink" Target="http://itprofiles.com" TargetMode="External"/><Relationship Id="rId761" Type="http://schemas.openxmlformats.org/officeDocument/2006/relationships/hyperlink" Target="https://aeo-collective.com/blog/top-10-aeo-geo-aio-marketing-agencies-in-april-2026/" TargetMode="External"/><Relationship Id="rId1354" Type="http://schemas.openxmlformats.org/officeDocument/2006/relationships/hyperlink" Target="https://benly.ai/learn/ai-marketing/best-attribution-tools-2026" TargetMode="External"/><Relationship Id="rId2685" Type="http://schemas.openxmlformats.org/officeDocument/2006/relationships/hyperlink" Target="https://itprofiles.com/services/ppc/united-states" TargetMode="External"/><Relationship Id="rId760" Type="http://schemas.openxmlformats.org/officeDocument/2006/relationships/hyperlink" Target="http://20northmarketing.com" TargetMode="External"/><Relationship Id="rId1355" Type="http://schemas.openxmlformats.org/officeDocument/2006/relationships/hyperlink" Target="http://benly.ai" TargetMode="External"/><Relationship Id="rId2686" Type="http://schemas.openxmlformats.org/officeDocument/2006/relationships/hyperlink" Target="http://itprofiles.com" TargetMode="External"/><Relationship Id="rId1345" Type="http://schemas.openxmlformats.org/officeDocument/2006/relationships/hyperlink" Target="http://arxiv.org" TargetMode="External"/><Relationship Id="rId2676" Type="http://schemas.openxmlformats.org/officeDocument/2006/relationships/hyperlink" Target="http://interodigital.com" TargetMode="External"/><Relationship Id="rId1346" Type="http://schemas.openxmlformats.org/officeDocument/2006/relationships/hyperlink" Target="https://arxiv.org/abs/2604.16369" TargetMode="External"/><Relationship Id="rId2677" Type="http://schemas.openxmlformats.org/officeDocument/2006/relationships/hyperlink" Target="https://invademarketing.com/best-performance-marketing-agencies-2025/" TargetMode="External"/><Relationship Id="rId1347" Type="http://schemas.openxmlformats.org/officeDocument/2006/relationships/hyperlink" Target="http://arxiv.org" TargetMode="External"/><Relationship Id="rId2678" Type="http://schemas.openxmlformats.org/officeDocument/2006/relationships/hyperlink" Target="http://invademarketing.com" TargetMode="External"/><Relationship Id="rId1348" Type="http://schemas.openxmlformats.org/officeDocument/2006/relationships/hyperlink" Target="https://www.askneedle.com/blog/best-instagram-ad-agencies" TargetMode="External"/><Relationship Id="rId2679" Type="http://schemas.openxmlformats.org/officeDocument/2006/relationships/hyperlink" Target="https://investor.choicehotels.com/news/news-details/2024/Choice-Hotels-International-Engages-Top-Tier-Agencies-72andSunny-New-York-for-Creative-and-dentsu-X-for-Digital-Media-to-Continue-Taking-Its-Consumer-Marketing-to-the-Next-Level/default.aspx" TargetMode="External"/><Relationship Id="rId1349" Type="http://schemas.openxmlformats.org/officeDocument/2006/relationships/hyperlink" Target="http://askneedle.com" TargetMode="External"/><Relationship Id="rId756" Type="http://schemas.openxmlformats.org/officeDocument/2006/relationships/hyperlink" Target="http://wsiworld.com" TargetMode="External"/><Relationship Id="rId755" Type="http://schemas.openxmlformats.org/officeDocument/2006/relationships/hyperlink" Target="https://www.wsiworld.com/our-services/ai-consulting" TargetMode="External"/><Relationship Id="rId754" Type="http://schemas.openxmlformats.org/officeDocument/2006/relationships/hyperlink" Target="http://triplewhale.com" TargetMode="External"/><Relationship Id="rId753" Type="http://schemas.openxmlformats.org/officeDocument/2006/relationships/hyperlink" Target="https://www.triplewhale.com/blog/incrementality-testing-methods" TargetMode="External"/><Relationship Id="rId759" Type="http://schemas.openxmlformats.org/officeDocument/2006/relationships/hyperlink" Target="https://www.20northmarketing.com/blog/top-ai-seo-experts" TargetMode="External"/><Relationship Id="rId758" Type="http://schemas.openxmlformats.org/officeDocument/2006/relationships/hyperlink" Target="http://zipdo.co" TargetMode="External"/><Relationship Id="rId757" Type="http://schemas.openxmlformats.org/officeDocument/2006/relationships/hyperlink" Target="https://zipdo.co/service/marketing-analytics/" TargetMode="External"/><Relationship Id="rId2670" Type="http://schemas.openxmlformats.org/officeDocument/2006/relationships/hyperlink" Target="http://intellectyx.com" TargetMode="External"/><Relationship Id="rId1340" Type="http://schemas.openxmlformats.org/officeDocument/2006/relationships/hyperlink" Target="https://appkod.com/blogs/paid-social-agencies-us/" TargetMode="External"/><Relationship Id="rId2671" Type="http://schemas.openxmlformats.org/officeDocument/2006/relationships/hyperlink" Target="https://www.intellectyx.com/best-ai-consulting-firms/" TargetMode="External"/><Relationship Id="rId752" Type="http://schemas.openxmlformats.org/officeDocument/2006/relationships/hyperlink" Target="http://theverge.com" TargetMode="External"/><Relationship Id="rId1341" Type="http://schemas.openxmlformats.org/officeDocument/2006/relationships/hyperlink" Target="http://appkod.com" TargetMode="External"/><Relationship Id="rId2672" Type="http://schemas.openxmlformats.org/officeDocument/2006/relationships/hyperlink" Target="http://intellectyx.com" TargetMode="External"/><Relationship Id="rId751" Type="http://schemas.openxmlformats.org/officeDocument/2006/relationships/hyperlink" Target="https://www.theverge.com/tech/900302/ai-seo-industry-google-search-chatgpt-gemini-marketing" TargetMode="External"/><Relationship Id="rId1342" Type="http://schemas.openxmlformats.org/officeDocument/2006/relationships/hyperlink" Target="https://www.arcintermedia.com/services/consulting-technical/marketing-ai-consulting/" TargetMode="External"/><Relationship Id="rId2673" Type="http://schemas.openxmlformats.org/officeDocument/2006/relationships/hyperlink" Target="https://www.intellibright.com/all-case-studies/" TargetMode="External"/><Relationship Id="rId750" Type="http://schemas.openxmlformats.org/officeDocument/2006/relationships/hyperlink" Target="http://themanifest.com" TargetMode="External"/><Relationship Id="rId1343" Type="http://schemas.openxmlformats.org/officeDocument/2006/relationships/hyperlink" Target="http://arcintermedia.com" TargetMode="External"/><Relationship Id="rId2674" Type="http://schemas.openxmlformats.org/officeDocument/2006/relationships/hyperlink" Target="http://intellibright.com" TargetMode="External"/><Relationship Id="rId1344" Type="http://schemas.openxmlformats.org/officeDocument/2006/relationships/hyperlink" Target="https://arxiv.org/abs/2403.14674" TargetMode="External"/><Relationship Id="rId2675" Type="http://schemas.openxmlformats.org/officeDocument/2006/relationships/hyperlink" Target="https://www.interodigital.com/case-studies/" TargetMode="External"/><Relationship Id="rId2621" Type="http://schemas.openxmlformats.org/officeDocument/2006/relationships/hyperlink" Target="https://impact.com/agency-partner-program/directory" TargetMode="External"/><Relationship Id="rId2622" Type="http://schemas.openxmlformats.org/officeDocument/2006/relationships/hyperlink" Target="http://impact.com" TargetMode="External"/><Relationship Id="rId2623" Type="http://schemas.openxmlformats.org/officeDocument/2006/relationships/hyperlink" Target="https://www.impressiondigital.com/blog/incrementality-testing/" TargetMode="External"/><Relationship Id="rId2624" Type="http://schemas.openxmlformats.org/officeDocument/2006/relationships/hyperlink" Target="http://impressiondigital.com" TargetMode="External"/><Relationship Id="rId2625" Type="http://schemas.openxmlformats.org/officeDocument/2006/relationships/hyperlink" Target="https://improvado.io/blog/best-marketing-agencies-new-york" TargetMode="External"/><Relationship Id="rId2626" Type="http://schemas.openxmlformats.org/officeDocument/2006/relationships/hyperlink" Target="http://improvado.io" TargetMode="External"/><Relationship Id="rId2627" Type="http://schemas.openxmlformats.org/officeDocument/2006/relationships/hyperlink" Target="https://improvado.io/blog/top-programmatic-platforms" TargetMode="External"/><Relationship Id="rId2628" Type="http://schemas.openxmlformats.org/officeDocument/2006/relationships/hyperlink" Target="http://improvado.io" TargetMode="External"/><Relationship Id="rId709" Type="http://schemas.openxmlformats.org/officeDocument/2006/relationships/hyperlink" Target="https://gaper.io/best-aeo-agencies" TargetMode="External"/><Relationship Id="rId2629" Type="http://schemas.openxmlformats.org/officeDocument/2006/relationships/hyperlink" Target="https://inbeat.agency/blog/top-ai-marketing-agencies" TargetMode="External"/><Relationship Id="rId708" Type="http://schemas.openxmlformats.org/officeDocument/2006/relationships/hyperlink" Target="http://einpresswire.com" TargetMode="External"/><Relationship Id="rId707" Type="http://schemas.openxmlformats.org/officeDocument/2006/relationships/hyperlink" Target="https://www.einpresswire.com/article/845296836/digital-agency-network-s-comprehensive-ai-agency-directory-to-spotlight-the-future-of-marketing-in-the-usa" TargetMode="External"/><Relationship Id="rId706" Type="http://schemas.openxmlformats.org/officeDocument/2006/relationships/hyperlink" Target="http://designrush.com" TargetMode="External"/><Relationship Id="rId701" Type="http://schemas.openxmlformats.org/officeDocument/2006/relationships/hyperlink" Target="https://clutch.co/us/seo-firms/generative-engine-optimization%3Fpage%3D2" TargetMode="External"/><Relationship Id="rId700" Type="http://schemas.openxmlformats.org/officeDocument/2006/relationships/hyperlink" Target="http://charleagency.com" TargetMode="External"/><Relationship Id="rId705" Type="http://schemas.openxmlformats.org/officeDocument/2006/relationships/hyperlink" Target="https://www.designrush.com/agency/digital-marketing/trends/incrementality-testing" TargetMode="External"/><Relationship Id="rId704" Type="http://schemas.openxmlformats.org/officeDocument/2006/relationships/hyperlink" Target="http://clutch.co" TargetMode="External"/><Relationship Id="rId703" Type="http://schemas.openxmlformats.org/officeDocument/2006/relationships/hyperlink" Target="https://clutch.co/us/seo-firms/generative-engine-optimization%3Fpage%3D4" TargetMode="External"/><Relationship Id="rId702" Type="http://schemas.openxmlformats.org/officeDocument/2006/relationships/hyperlink" Target="http://clutch.co" TargetMode="External"/><Relationship Id="rId2620" Type="http://schemas.openxmlformats.org/officeDocument/2006/relationships/hyperlink" Target="http://ie.edu" TargetMode="External"/><Relationship Id="rId2610" Type="http://schemas.openxmlformats.org/officeDocument/2006/relationships/hyperlink" Target="http://iacaward.org" TargetMode="External"/><Relationship Id="rId2611" Type="http://schemas.openxmlformats.org/officeDocument/2006/relationships/hyperlink" Target="https://www.ibm.com/consulting/marketing" TargetMode="External"/><Relationship Id="rId2612" Type="http://schemas.openxmlformats.org/officeDocument/2006/relationships/hyperlink" Target="http://ibm.com" TargetMode="External"/><Relationship Id="rId2613" Type="http://schemas.openxmlformats.org/officeDocument/2006/relationships/hyperlink" Target="https://icoda.io/ai/best-ai-digital-marketing-agencies/" TargetMode="External"/><Relationship Id="rId2614" Type="http://schemas.openxmlformats.org/officeDocument/2006/relationships/hyperlink" Target="http://icoda.io" TargetMode="External"/><Relationship Id="rId2615" Type="http://schemas.openxmlformats.org/officeDocument/2006/relationships/hyperlink" Target="https://www.iconagility.com/services/ai" TargetMode="External"/><Relationship Id="rId2616" Type="http://schemas.openxmlformats.org/officeDocument/2006/relationships/hyperlink" Target="http://iconagility.com" TargetMode="External"/><Relationship Id="rId2617" Type="http://schemas.openxmlformats.org/officeDocument/2006/relationships/hyperlink" Target="https://www.icreativez.com/categories/online-marketing/10-best-paid-social-media-services-companies-consultants-2026.html" TargetMode="External"/><Relationship Id="rId2618" Type="http://schemas.openxmlformats.org/officeDocument/2006/relationships/hyperlink" Target="http://icreativez.com" TargetMode="External"/><Relationship Id="rId2619" Type="http://schemas.openxmlformats.org/officeDocument/2006/relationships/hyperlink" Target="https://www.ie.edu/uncover-ie/top-data-analytics-companies-who-shapes-business-data-in-2026/" TargetMode="External"/><Relationship Id="rId1312" Type="http://schemas.openxmlformats.org/officeDocument/2006/relationships/hyperlink" Target="https://zyppy.com/companies/c/generative-ai-seo/united-states/" TargetMode="External"/><Relationship Id="rId2643" Type="http://schemas.openxmlformats.org/officeDocument/2006/relationships/hyperlink" Target="https://www.incrmntal.com/platform" TargetMode="External"/><Relationship Id="rId1313" Type="http://schemas.openxmlformats.org/officeDocument/2006/relationships/hyperlink" Target="http://zyppy.com" TargetMode="External"/><Relationship Id="rId2644" Type="http://schemas.openxmlformats.org/officeDocument/2006/relationships/hyperlink" Target="http://incrmntal.com" TargetMode="External"/><Relationship Id="rId1314" Type="http://schemas.openxmlformats.org/officeDocument/2006/relationships/hyperlink" Target="https://zyppy.com/companies/c/marketing-attribution/" TargetMode="External"/><Relationship Id="rId2645" Type="http://schemas.openxmlformats.org/officeDocument/2006/relationships/hyperlink" Target="https://www.incrmntal.com/resources/how-to-validate-incrmntal" TargetMode="External"/><Relationship Id="rId1315" Type="http://schemas.openxmlformats.org/officeDocument/2006/relationships/hyperlink" Target="http://zyppy.com" TargetMode="External"/><Relationship Id="rId2646" Type="http://schemas.openxmlformats.org/officeDocument/2006/relationships/hyperlink" Target="http://incrmntal.com" TargetMode="External"/><Relationship Id="rId1316" Type="http://schemas.openxmlformats.org/officeDocument/2006/relationships/hyperlink" Target="https://www.310creative.com/blog/top-abm-agencies" TargetMode="External"/><Relationship Id="rId2647" Type="http://schemas.openxmlformats.org/officeDocument/2006/relationships/hyperlink" Target="https://www.incrmntal.com/solutions/marketing-analysts" TargetMode="External"/><Relationship Id="rId1317" Type="http://schemas.openxmlformats.org/officeDocument/2006/relationships/hyperlink" Target="http://310creative.com" TargetMode="External"/><Relationship Id="rId2648" Type="http://schemas.openxmlformats.org/officeDocument/2006/relationships/hyperlink" Target="http://incrmntal.com" TargetMode="External"/><Relationship Id="rId1318" Type="http://schemas.openxmlformats.org/officeDocument/2006/relationships/hyperlink" Target="https://42dm.net/10-best-generative-engine-optimization-agencies-globally/" TargetMode="External"/><Relationship Id="rId2649" Type="http://schemas.openxmlformats.org/officeDocument/2006/relationships/hyperlink" Target="https://www.indeed.com/q-media-&amp;-lawyer-l-washington,-dc-jobs.html" TargetMode="External"/><Relationship Id="rId1319" Type="http://schemas.openxmlformats.org/officeDocument/2006/relationships/hyperlink" Target="http://42dm.net" TargetMode="External"/><Relationship Id="rId729" Type="http://schemas.openxmlformats.org/officeDocument/2006/relationships/hyperlink" Target="http://ninjapromo.io" TargetMode="External"/><Relationship Id="rId728" Type="http://schemas.openxmlformats.org/officeDocument/2006/relationships/hyperlink" Target="https://ninjapromo.io/top-display-advertising-agencies" TargetMode="External"/><Relationship Id="rId723" Type="http://schemas.openxmlformats.org/officeDocument/2006/relationships/hyperlink" Target="http://minuttia.com" TargetMode="External"/><Relationship Id="rId722" Type="http://schemas.openxmlformats.org/officeDocument/2006/relationships/hyperlink" Target="https://minuttia.com/best-geo-agencies/" TargetMode="External"/><Relationship Id="rId721" Type="http://schemas.openxmlformats.org/officeDocument/2006/relationships/hyperlink" Target="http://liftlab.com" TargetMode="External"/><Relationship Id="rId720" Type="http://schemas.openxmlformats.org/officeDocument/2006/relationships/hyperlink" Target="https://liftlab.com/solutions/incrementality-testing/" TargetMode="External"/><Relationship Id="rId727" Type="http://schemas.openxmlformats.org/officeDocument/2006/relationships/hyperlink" Target="http://newform.com" TargetMode="External"/><Relationship Id="rId726" Type="http://schemas.openxmlformats.org/officeDocument/2006/relationships/hyperlink" Target="https://www.newform.com/guides/best-paid-social-performance-creative-agencies-2026" TargetMode="External"/><Relationship Id="rId725" Type="http://schemas.openxmlformats.org/officeDocument/2006/relationships/hyperlink" Target="https://www.munro.agency/top-performance-marketing-agencies/" TargetMode="External"/><Relationship Id="rId724" Type="http://schemas.openxmlformats.org/officeDocument/2006/relationships/hyperlink" Target="https://www.munro.agency/top-geo-agencies/" TargetMode="External"/><Relationship Id="rId2640" Type="http://schemas.openxmlformats.org/officeDocument/2006/relationships/hyperlink" Target="http://incrmntal.com" TargetMode="External"/><Relationship Id="rId1310" Type="http://schemas.openxmlformats.org/officeDocument/2006/relationships/hyperlink" Target="http://zipdo.co" TargetMode="External"/><Relationship Id="rId2641" Type="http://schemas.openxmlformats.org/officeDocument/2006/relationships/hyperlink" Target="https://www.incrmntal.com/marketing-measurement" TargetMode="External"/><Relationship Id="rId1311" Type="http://schemas.openxmlformats.org/officeDocument/2006/relationships/hyperlink" Target="https://ziptie.dev/blog/best-ai-seo-agency/" TargetMode="External"/><Relationship Id="rId2642" Type="http://schemas.openxmlformats.org/officeDocument/2006/relationships/hyperlink" Target="http://incrmntal.com" TargetMode="External"/><Relationship Id="rId1301" Type="http://schemas.openxmlformats.org/officeDocument/2006/relationships/hyperlink" Target="https://www.youtube.com/watch?v=YFmHk-nNoNg&amp;t=46" TargetMode="External"/><Relationship Id="rId2632" Type="http://schemas.openxmlformats.org/officeDocument/2006/relationships/hyperlink" Target="https://inbeat.agency/blog/top-media-buying-agencies" TargetMode="External"/><Relationship Id="rId1302" Type="http://schemas.openxmlformats.org/officeDocument/2006/relationships/hyperlink" Target="http://youtube.com" TargetMode="External"/><Relationship Id="rId2633" Type="http://schemas.openxmlformats.org/officeDocument/2006/relationships/hyperlink" Target="https://www.inbeat.co/articles/best-ai-digital-marketing-agencies/" TargetMode="External"/><Relationship Id="rId1303" Type="http://schemas.openxmlformats.org/officeDocument/2006/relationships/hyperlink" Target="https://www.youtube.com/watch?v=fdPFLXFJlwo&amp;t=30" TargetMode="External"/><Relationship Id="rId2634" Type="http://schemas.openxmlformats.org/officeDocument/2006/relationships/hyperlink" Target="http://inbeat.co" TargetMode="External"/><Relationship Id="rId1304" Type="http://schemas.openxmlformats.org/officeDocument/2006/relationships/hyperlink" Target="http://youtube.com" TargetMode="External"/><Relationship Id="rId2635" Type="http://schemas.openxmlformats.org/officeDocument/2006/relationships/hyperlink" Target="https://www.inbeat.co/articles/top-creative-agencies/" TargetMode="External"/><Relationship Id="rId1305" Type="http://schemas.openxmlformats.org/officeDocument/2006/relationships/hyperlink" Target="https://www.youtube.com/watch?v=jA6Bn5bI298&amp;t=242" TargetMode="External"/><Relationship Id="rId2636" Type="http://schemas.openxmlformats.org/officeDocument/2006/relationships/hyperlink" Target="http://inbeat.co" TargetMode="External"/><Relationship Id="rId1306" Type="http://schemas.openxmlformats.org/officeDocument/2006/relationships/hyperlink" Target="http://youtube.com" TargetMode="External"/><Relationship Id="rId2637" Type="http://schemas.openxmlformats.org/officeDocument/2006/relationships/hyperlink" Target="https://www.incremental.com/how-it-works" TargetMode="External"/><Relationship Id="rId1307" Type="http://schemas.openxmlformats.org/officeDocument/2006/relationships/hyperlink" Target="https://zipdo.co/service/global-digital-marketing/" TargetMode="External"/><Relationship Id="rId2638" Type="http://schemas.openxmlformats.org/officeDocument/2006/relationships/hyperlink" Target="http://incremental.com" TargetMode="External"/><Relationship Id="rId1308" Type="http://schemas.openxmlformats.org/officeDocument/2006/relationships/hyperlink" Target="http://zipdo.co" TargetMode="External"/><Relationship Id="rId2639" Type="http://schemas.openxmlformats.org/officeDocument/2006/relationships/hyperlink" Target="https://www.incrmntal.com/autonomous" TargetMode="External"/><Relationship Id="rId1309" Type="http://schemas.openxmlformats.org/officeDocument/2006/relationships/hyperlink" Target="https://zipdo.co/service/marketing-data-analytics/" TargetMode="External"/><Relationship Id="rId719" Type="http://schemas.openxmlformats.org/officeDocument/2006/relationships/hyperlink" Target="http://liftlab.com" TargetMode="External"/><Relationship Id="rId718" Type="http://schemas.openxmlformats.org/officeDocument/2006/relationships/hyperlink" Target="https://liftlab.com/platform/incrementality-testing-engine/" TargetMode="External"/><Relationship Id="rId717" Type="http://schemas.openxmlformats.org/officeDocument/2006/relationships/hyperlink" Target="https://inbeat.agency/blog/top-social-media-agencies-in-the-us" TargetMode="External"/><Relationship Id="rId712" Type="http://schemas.openxmlformats.org/officeDocument/2006/relationships/hyperlink" Target="http://gemfind.com" TargetMode="External"/><Relationship Id="rId711" Type="http://schemas.openxmlformats.org/officeDocument/2006/relationships/hyperlink" Target="https://gemfind.com/blogs/digital-marketing/google-marketing-partner" TargetMode="External"/><Relationship Id="rId710" Type="http://schemas.openxmlformats.org/officeDocument/2006/relationships/hyperlink" Target="http://gaper.io" TargetMode="External"/><Relationship Id="rId716" Type="http://schemas.openxmlformats.org/officeDocument/2006/relationships/hyperlink" Target="http://improvado.io" TargetMode="External"/><Relationship Id="rId715" Type="http://schemas.openxmlformats.org/officeDocument/2006/relationships/hyperlink" Target="https://improvado.io/blog/multi-touch-attribution-solutions" TargetMode="External"/><Relationship Id="rId714" Type="http://schemas.openxmlformats.org/officeDocument/2006/relationships/hyperlink" Target="http://getrecast.com" TargetMode="External"/><Relationship Id="rId713" Type="http://schemas.openxmlformats.org/officeDocument/2006/relationships/hyperlink" Target="https://getrecast.com/experimentation/" TargetMode="External"/><Relationship Id="rId2630" Type="http://schemas.openxmlformats.org/officeDocument/2006/relationships/hyperlink" Target="https://inbeat.agency/blog/top-creative-strategy-agencies" TargetMode="External"/><Relationship Id="rId1300" Type="http://schemas.openxmlformats.org/officeDocument/2006/relationships/hyperlink" Target="http://yall.co" TargetMode="External"/><Relationship Id="rId2631" Type="http://schemas.openxmlformats.org/officeDocument/2006/relationships/hyperlink" Target="https://inbeat.agency/blog/top-growth-marketing-agencies-in-nyc" TargetMode="External"/><Relationship Id="rId3117" Type="http://schemas.openxmlformats.org/officeDocument/2006/relationships/hyperlink" Target="https://www.reddit.com/r/AskMarketing/comments/1jwyn6z/a_client_is_looking_for_a_cheaper_incrementality/" TargetMode="External"/><Relationship Id="rId3116" Type="http://schemas.openxmlformats.org/officeDocument/2006/relationships/hyperlink" Target="http://reddit.com" TargetMode="External"/><Relationship Id="rId3119" Type="http://schemas.openxmlformats.org/officeDocument/2006/relationships/hyperlink" Target="https://www.reddit.com/r/DigitalMarketing/comments/1rwxybs/which_agencies_are_actually_wellknown_worldwide/" TargetMode="External"/><Relationship Id="rId3118" Type="http://schemas.openxmlformats.org/officeDocument/2006/relationships/hyperlink" Target="http://reddit.com" TargetMode="External"/><Relationship Id="rId3111" Type="http://schemas.openxmlformats.org/officeDocument/2006/relationships/hyperlink" Target="https://red-engage.com/blog/best-ai-seo-agencies" TargetMode="External"/><Relationship Id="rId3110" Type="http://schemas.openxmlformats.org/officeDocument/2006/relationships/hyperlink" Target="http://rebootonline.com" TargetMode="External"/><Relationship Id="rId3113" Type="http://schemas.openxmlformats.org/officeDocument/2006/relationships/hyperlink" Target="https://www.redcubedigital.com/blog/what-makes-a-good-digital-marketing-agency-stand-out-from-the-rest/?srsltid=AfmBOopgDFexWeUnEVvdyjTw74fggMn1x6hFr0gGxI7ClMpnUl40GA8K" TargetMode="External"/><Relationship Id="rId3112" Type="http://schemas.openxmlformats.org/officeDocument/2006/relationships/hyperlink" Target="http://red-engage.com" TargetMode="External"/><Relationship Id="rId3115" Type="http://schemas.openxmlformats.org/officeDocument/2006/relationships/hyperlink" Target="https://www.reddit.com/r/Agentic_Marketing/comments/1ue8msc/top_ai_consulting_firms_in_the_usa_driving/" TargetMode="External"/><Relationship Id="rId3114" Type="http://schemas.openxmlformats.org/officeDocument/2006/relationships/hyperlink" Target="http://redcubedigital.com" TargetMode="External"/><Relationship Id="rId3106" Type="http://schemas.openxmlformats.org/officeDocument/2006/relationships/hyperlink" Target="http://realtimeagency.com" TargetMode="External"/><Relationship Id="rId3105" Type="http://schemas.openxmlformats.org/officeDocument/2006/relationships/hyperlink" Target="https://realtimeagency.com/blog/how-to-choose-a-media-mix-modelling-partner-in-2023/" TargetMode="External"/><Relationship Id="rId3108" Type="http://schemas.openxmlformats.org/officeDocument/2006/relationships/hyperlink" Target="http://rebootonline.com" TargetMode="External"/><Relationship Id="rId3107" Type="http://schemas.openxmlformats.org/officeDocument/2006/relationships/hyperlink" Target="https://www.rebootonline.com/data-marketing/best-data-marketing-agencies/" TargetMode="External"/><Relationship Id="rId3109" Type="http://schemas.openxmlformats.org/officeDocument/2006/relationships/hyperlink" Target="https://www.rebootonline.com/seo/best-seo-agencies/" TargetMode="External"/><Relationship Id="rId3100" Type="http://schemas.openxmlformats.org/officeDocument/2006/relationships/hyperlink" Target="https://rankz.co/blog/best-ai-marketing-agencies/" TargetMode="External"/><Relationship Id="rId3102" Type="http://schemas.openxmlformats.org/officeDocument/2006/relationships/hyperlink" Target="https://rankz.co/blog/top-ai-marketing-agencies/" TargetMode="External"/><Relationship Id="rId3101" Type="http://schemas.openxmlformats.org/officeDocument/2006/relationships/hyperlink" Target="http://rankz.co" TargetMode="External"/><Relationship Id="rId3104" Type="http://schemas.openxmlformats.org/officeDocument/2006/relationships/hyperlink" Target="https://rational.partners/us/services/ai-enablement" TargetMode="External"/><Relationship Id="rId3103" Type="http://schemas.openxmlformats.org/officeDocument/2006/relationships/hyperlink" Target="http://rankz.co" TargetMode="External"/><Relationship Id="rId3139" Type="http://schemas.openxmlformats.org/officeDocument/2006/relationships/hyperlink" Target="https://www.reddit.com/r/u_ThoughtMetric/comments/1tdbr6w/top_hyros_alternatives_updated_may_2026/" TargetMode="External"/><Relationship Id="rId3138" Type="http://schemas.openxmlformats.org/officeDocument/2006/relationships/hyperlink" Target="http://reddit.com" TargetMode="External"/><Relationship Id="rId3131" Type="http://schemas.openxmlformats.org/officeDocument/2006/relationships/hyperlink" Target="https://www.reddit.com/r/SaaS/comments/1rd9bem/whats_the_best_marketing_agency_youve_worked_with/" TargetMode="External"/><Relationship Id="rId3130" Type="http://schemas.openxmlformats.org/officeDocument/2006/relationships/hyperlink" Target="http://reddit.com" TargetMode="External"/><Relationship Id="rId3133" Type="http://schemas.openxmlformats.org/officeDocument/2006/relationships/hyperlink" Target="https://www.reddit.com/r/TheTopAgencies/comments/1m6imy5/the_best_digital_marketing_agencies_in_seattle/" TargetMode="External"/><Relationship Id="rId3132" Type="http://schemas.openxmlformats.org/officeDocument/2006/relationships/hyperlink" Target="http://reddit.com" TargetMode="External"/><Relationship Id="rId3135" Type="http://schemas.openxmlformats.org/officeDocument/2006/relationships/hyperlink" Target="https://www.reddit.com/r/digital_marketing/comments/1rpmtmy/what_are_the_top_5_ai_visibility_agencies_in_2026/" TargetMode="External"/><Relationship Id="rId3134" Type="http://schemas.openxmlformats.org/officeDocument/2006/relationships/hyperlink" Target="http://reddit.com" TargetMode="External"/><Relationship Id="rId3137" Type="http://schemas.openxmlformats.org/officeDocument/2006/relationships/hyperlink" Target="https://www.reddit.com/r/u_ThoughtMetric/comments/1t4mvsi/we_put_together_a_comparison_of_the_top_shopify/" TargetMode="External"/><Relationship Id="rId3136" Type="http://schemas.openxmlformats.org/officeDocument/2006/relationships/hyperlink" Target="http://reddit.com" TargetMode="External"/><Relationship Id="rId3128" Type="http://schemas.openxmlformats.org/officeDocument/2006/relationships/hyperlink" Target="http://reddit.com" TargetMode="External"/><Relationship Id="rId3127" Type="http://schemas.openxmlformats.org/officeDocument/2006/relationships/hyperlink" Target="https://www.reddit.com/r/GenEngineOptimization/comments/1qab4rt/what_are_the_top_geo_agencies_and_what_softwares/" TargetMode="External"/><Relationship Id="rId3129" Type="http://schemas.openxmlformats.org/officeDocument/2006/relationships/hyperlink" Target="https://www.reddit.com/r/GrowthHacking/comments/1rri9ch/searching_for_10_ai_visibility_agency_brands_are/" TargetMode="External"/><Relationship Id="rId3120" Type="http://schemas.openxmlformats.org/officeDocument/2006/relationships/hyperlink" Target="http://reddit.com" TargetMode="External"/><Relationship Id="rId3122" Type="http://schemas.openxmlformats.org/officeDocument/2006/relationships/hyperlink" Target="http://reddit.com" TargetMode="External"/><Relationship Id="rId3121" Type="http://schemas.openxmlformats.org/officeDocument/2006/relationships/hyperlink" Target="https://www.reddit.com/r/DigitalMarketing/comments/1tdfcjb/every_seo_agency_now_lists_ai_search_optimization/" TargetMode="External"/><Relationship Id="rId3124" Type="http://schemas.openxmlformats.org/officeDocument/2006/relationships/hyperlink" Target="http://reddit.com" TargetMode="External"/><Relationship Id="rId3123" Type="http://schemas.openxmlformats.org/officeDocument/2006/relationships/hyperlink" Target="https://www.reddit.com/r/DigitalMarketing/comments/1tpb0sw/mmm_tools_for_50k200kmo_ad_spend_brands_recast_vs/" TargetMode="External"/><Relationship Id="rId3126" Type="http://schemas.openxmlformats.org/officeDocument/2006/relationships/hyperlink" Target="http://reddit.com" TargetMode="External"/><Relationship Id="rId3125" Type="http://schemas.openxmlformats.org/officeDocument/2006/relationships/hyperlink" Target="https://www.reddit.com/r/FacebookAds/comments/1nhohty/meta_insights_based_on_640_incrementality_tests/" TargetMode="External"/><Relationship Id="rId1378" Type="http://schemas.openxmlformats.org/officeDocument/2006/relationships/hyperlink" Target="https://www.campaignlive.com/article/empower-assembly-barkleyokrp-climb-june-us-media-agency-rankings/1923811" TargetMode="External"/><Relationship Id="rId1379" Type="http://schemas.openxmlformats.org/officeDocument/2006/relationships/hyperlink" Target="http://campaignlive.com" TargetMode="External"/><Relationship Id="rId789" Type="http://schemas.openxmlformats.org/officeDocument/2006/relationships/hyperlink" Target="https://www.embarque.io/post/we-found-20-ai-seo-agencies-helping-businesses-rank-in-llm-results" TargetMode="External"/><Relationship Id="rId788" Type="http://schemas.openxmlformats.org/officeDocument/2006/relationships/hyperlink" Target="http://emarketer.com" TargetMode="External"/><Relationship Id="rId787" Type="http://schemas.openxmlformats.org/officeDocument/2006/relationships/hyperlink" Target="https://www.emarketer.com/content/faq-on-incrementality-how-prove-your-ads-actually-work-2026" TargetMode="External"/><Relationship Id="rId786" Type="http://schemas.openxmlformats.org/officeDocument/2006/relationships/hyperlink" Target="http://designrush.com" TargetMode="External"/><Relationship Id="rId781" Type="http://schemas.openxmlformats.org/officeDocument/2006/relationships/hyperlink" Target="https://coolnerdsmarketing.com/best-ad-agencies-2025/" TargetMode="External"/><Relationship Id="rId1370" Type="http://schemas.openxmlformats.org/officeDocument/2006/relationships/hyperlink" Target="https://www.businesswire.com/news/home/20240307034583/en/Barkley-and-OKRP-to-Merge" TargetMode="External"/><Relationship Id="rId780" Type="http://schemas.openxmlformats.org/officeDocument/2006/relationships/hyperlink" Target="http://clutch.co" TargetMode="External"/><Relationship Id="rId1371" Type="http://schemas.openxmlformats.org/officeDocument/2006/relationships/hyperlink" Target="http://businesswire.com" TargetMode="External"/><Relationship Id="rId1372" Type="http://schemas.openxmlformats.org/officeDocument/2006/relationships/hyperlink" Target="https://cairrot.com/blog/best-aeo-agencies/" TargetMode="External"/><Relationship Id="rId1373" Type="http://schemas.openxmlformats.org/officeDocument/2006/relationships/hyperlink" Target="http://cairrot.com" TargetMode="External"/><Relationship Id="rId785" Type="http://schemas.openxmlformats.org/officeDocument/2006/relationships/hyperlink" Target="https://www.designrush.com/agency/digital-marketing" TargetMode="External"/><Relationship Id="rId1374" Type="http://schemas.openxmlformats.org/officeDocument/2006/relationships/hyperlink" Target="https://www.campaignlive.com/article/agency-performance-review-2025-accenture-song/1913469" TargetMode="External"/><Relationship Id="rId784" Type="http://schemas.openxmlformats.org/officeDocument/2006/relationships/hyperlink" Target="http://deloitte.com" TargetMode="External"/><Relationship Id="rId1375" Type="http://schemas.openxmlformats.org/officeDocument/2006/relationships/hyperlink" Target="http://campaignlive.com" TargetMode="External"/><Relationship Id="rId783" Type="http://schemas.openxmlformats.org/officeDocument/2006/relationships/hyperlink" Target="https://www.deloitte.com/us/en/services/consulting/services/generative-ai-readiness-and-adoption.html" TargetMode="External"/><Relationship Id="rId1376" Type="http://schemas.openxmlformats.org/officeDocument/2006/relationships/hyperlink" Target="https://www.campaignlive.com/article/digitas-phd-climb-us-agency-rankings-publicis-groupe-extends-holding-company-lead/1929569" TargetMode="External"/><Relationship Id="rId782" Type="http://schemas.openxmlformats.org/officeDocument/2006/relationships/hyperlink" Target="http://coolnerdsmarketing.com" TargetMode="External"/><Relationship Id="rId1377" Type="http://schemas.openxmlformats.org/officeDocument/2006/relationships/hyperlink" Target="http://campaignlive.com" TargetMode="External"/><Relationship Id="rId1367" Type="http://schemas.openxmlformats.org/officeDocument/2006/relationships/hyperlink" Target="http://brillmedia.co" TargetMode="External"/><Relationship Id="rId2698" Type="http://schemas.openxmlformats.org/officeDocument/2006/relationships/hyperlink" Target="http://kanerika.com" TargetMode="External"/><Relationship Id="rId1368" Type="http://schemas.openxmlformats.org/officeDocument/2006/relationships/hyperlink" Target="https://businessgoalmag.com/10-enterprise-creative-agency-partners-that-can-handle-scale/" TargetMode="External"/><Relationship Id="rId2699" Type="http://schemas.openxmlformats.org/officeDocument/2006/relationships/hyperlink" Target="https://keends.com/blog/top-marketing-mix-modeling-companies/" TargetMode="External"/><Relationship Id="rId1369" Type="http://schemas.openxmlformats.org/officeDocument/2006/relationships/hyperlink" Target="http://businessgoalmag.com" TargetMode="External"/><Relationship Id="rId778" Type="http://schemas.openxmlformats.org/officeDocument/2006/relationships/hyperlink" Target="http://businessofapps.com" TargetMode="External"/><Relationship Id="rId777" Type="http://schemas.openxmlformats.org/officeDocument/2006/relationships/hyperlink" Target="https://www.businessofapps.com/marketplace/performance-marketing/" TargetMode="External"/><Relationship Id="rId776" Type="http://schemas.openxmlformats.org/officeDocument/2006/relationships/hyperlink" Target="http://barchart.com" TargetMode="External"/><Relationship Id="rId775" Type="http://schemas.openxmlformats.org/officeDocument/2006/relationships/hyperlink" Target="https://www.barchart.com/story/news/1302801/11-best-ai-search-marketing-agencies-ranked-for-2026" TargetMode="External"/><Relationship Id="rId779" Type="http://schemas.openxmlformats.org/officeDocument/2006/relationships/hyperlink" Target="https://clutch.co/us/agencies/ppc/display%3Fpage%3D2" TargetMode="External"/><Relationship Id="rId770" Type="http://schemas.openxmlformats.org/officeDocument/2006/relationships/hyperlink" Target="http://airconsulting.ai" TargetMode="External"/><Relationship Id="rId2690" Type="http://schemas.openxmlformats.org/officeDocument/2006/relationships/hyperlink" Target="http://j29creative.com" TargetMode="External"/><Relationship Id="rId1360" Type="http://schemas.openxmlformats.org/officeDocument/2006/relationships/hyperlink" Target="https://www.bounteous.com/partners/google/" TargetMode="External"/><Relationship Id="rId2691" Type="http://schemas.openxmlformats.org/officeDocument/2006/relationships/hyperlink" Target="https://www.jellyfishtechnologies.com/top-digital-transformation-companies/" TargetMode="External"/><Relationship Id="rId1361" Type="http://schemas.openxmlformats.org/officeDocument/2006/relationships/hyperlink" Target="http://bounteous.com" TargetMode="External"/><Relationship Id="rId2692" Type="http://schemas.openxmlformats.org/officeDocument/2006/relationships/hyperlink" Target="http://jellyfishtechnologies.com" TargetMode="External"/><Relationship Id="rId1362" Type="http://schemas.openxmlformats.org/officeDocument/2006/relationships/hyperlink" Target="https://www.bounteous.com/partners/google/google-marketing-platform/" TargetMode="External"/><Relationship Id="rId2693" Type="http://schemas.openxmlformats.org/officeDocument/2006/relationships/hyperlink" Target="https://www.justuno.com/case-studies/mutesix-powers-full-funnel-marketing/" TargetMode="External"/><Relationship Id="rId774" Type="http://schemas.openxmlformats.org/officeDocument/2006/relationships/hyperlink" Target="http://arxiv.org" TargetMode="External"/><Relationship Id="rId1363" Type="http://schemas.openxmlformats.org/officeDocument/2006/relationships/hyperlink" Target="http://bounteous.com" TargetMode="External"/><Relationship Id="rId2694" Type="http://schemas.openxmlformats.org/officeDocument/2006/relationships/hyperlink" Target="http://justuno.com" TargetMode="External"/><Relationship Id="rId773" Type="http://schemas.openxmlformats.org/officeDocument/2006/relationships/hyperlink" Target="https://arxiv.org/abs/2606.16878" TargetMode="External"/><Relationship Id="rId1364" Type="http://schemas.openxmlformats.org/officeDocument/2006/relationships/hyperlink" Target="https://www.brafton.com/blog/paid-search-blog/programmatic-ad-mediation/" TargetMode="External"/><Relationship Id="rId2695" Type="http://schemas.openxmlformats.org/officeDocument/2006/relationships/hyperlink" Target="https://www.kailos.ai/ai-marketing-consulting-and-integration" TargetMode="External"/><Relationship Id="rId772" Type="http://schemas.openxmlformats.org/officeDocument/2006/relationships/hyperlink" Target="http://amos-os.com" TargetMode="External"/><Relationship Id="rId1365" Type="http://schemas.openxmlformats.org/officeDocument/2006/relationships/hyperlink" Target="http://brafton.com" TargetMode="External"/><Relationship Id="rId2696" Type="http://schemas.openxmlformats.org/officeDocument/2006/relationships/hyperlink" Target="http://kailos.ai" TargetMode="External"/><Relationship Id="rId771" Type="http://schemas.openxmlformats.org/officeDocument/2006/relationships/hyperlink" Target="https://www.amos-os.com/" TargetMode="External"/><Relationship Id="rId1366" Type="http://schemas.openxmlformats.org/officeDocument/2006/relationships/hyperlink" Target="https://brillmedia.co/resources/best-connected-tv-advertising-companies/" TargetMode="External"/><Relationship Id="rId2697" Type="http://schemas.openxmlformats.org/officeDocument/2006/relationships/hyperlink" Target="https://kanerika.com/blogs/ai-marketing-automation-tools/" TargetMode="External"/><Relationship Id="rId1390" Type="http://schemas.openxmlformats.org/officeDocument/2006/relationships/hyperlink" Target="https://clutch.co/us/agencies/digital" TargetMode="External"/><Relationship Id="rId1391" Type="http://schemas.openxmlformats.org/officeDocument/2006/relationships/hyperlink" Target="http://clutch.co" TargetMode="External"/><Relationship Id="rId1392" Type="http://schemas.openxmlformats.org/officeDocument/2006/relationships/hyperlink" Target="https://clutch.co/us/agencies/digital-marketing%3Fpage%3D2" TargetMode="External"/><Relationship Id="rId1393" Type="http://schemas.openxmlformats.org/officeDocument/2006/relationships/hyperlink" Target="http://clutch.co" TargetMode="External"/><Relationship Id="rId1394" Type="http://schemas.openxmlformats.org/officeDocument/2006/relationships/hyperlink" Target="https://clutch.co/us/agencies/ecommerce-marketing" TargetMode="External"/><Relationship Id="rId1395" Type="http://schemas.openxmlformats.org/officeDocument/2006/relationships/hyperlink" Target="http://clutch.co" TargetMode="External"/><Relationship Id="rId1396" Type="http://schemas.openxmlformats.org/officeDocument/2006/relationships/hyperlink" Target="https://clutch.co/us/agencies/ppc%3Fpage%3D2" TargetMode="External"/><Relationship Id="rId1397" Type="http://schemas.openxmlformats.org/officeDocument/2006/relationships/hyperlink" Target="http://clutch.co" TargetMode="External"/><Relationship Id="rId1398" Type="http://schemas.openxmlformats.org/officeDocument/2006/relationships/hyperlink" Target="https://clutch.co/us/agencies/ppc/display%3Fpage%3D5" TargetMode="External"/><Relationship Id="rId1399" Type="http://schemas.openxmlformats.org/officeDocument/2006/relationships/hyperlink" Target="http://clutch.co" TargetMode="External"/><Relationship Id="rId1389" Type="http://schemas.openxmlformats.org/officeDocument/2006/relationships/hyperlink" Target="http://clutch.co" TargetMode="External"/><Relationship Id="rId799" Type="http://schemas.openxmlformats.org/officeDocument/2006/relationships/hyperlink" Target="https://www.icreativez.com/categories/online-marketing/10-best-display-advertising-services-companies-consultants-2026.html" TargetMode="External"/><Relationship Id="rId798" Type="http://schemas.openxmlformats.org/officeDocument/2006/relationships/hyperlink" Target="http://growandconvert.com" TargetMode="External"/><Relationship Id="rId797" Type="http://schemas.openxmlformats.org/officeDocument/2006/relationships/hyperlink" Target="https://www.growandconvert.com/seo/best-ai-seo-agencies/" TargetMode="External"/><Relationship Id="rId1380" Type="http://schemas.openxmlformats.org/officeDocument/2006/relationships/hyperlink" Target="https://www.campaignlive.com/article/initiative-claims-no-1-spot-preliminary-2025-us-media-rankings/1948015" TargetMode="External"/><Relationship Id="rId792" Type="http://schemas.openxmlformats.org/officeDocument/2006/relationships/hyperlink" Target="http://eseospace.com" TargetMode="External"/><Relationship Id="rId1381" Type="http://schemas.openxmlformats.org/officeDocument/2006/relationships/hyperlink" Target="http://campaignlive.com" TargetMode="External"/><Relationship Id="rId791" Type="http://schemas.openxmlformats.org/officeDocument/2006/relationships/hyperlink" Target="https://eseospace.com/blog/top-aeo-agencies-2026/" TargetMode="External"/><Relationship Id="rId1382" Type="http://schemas.openxmlformats.org/officeDocument/2006/relationships/hyperlink" Target="https://clicksgeek.com/best-roi-focused-marketing-agencies/" TargetMode="External"/><Relationship Id="rId790" Type="http://schemas.openxmlformats.org/officeDocument/2006/relationships/hyperlink" Target="http://embarque.io" TargetMode="External"/><Relationship Id="rId1383" Type="http://schemas.openxmlformats.org/officeDocument/2006/relationships/hyperlink" Target="http://clicksgeek.com" TargetMode="External"/><Relationship Id="rId1384" Type="http://schemas.openxmlformats.org/officeDocument/2006/relationships/hyperlink" Target="https://clutch.co/agencies/performance-marketing%3Fpage%3D0" TargetMode="External"/><Relationship Id="rId796" Type="http://schemas.openxmlformats.org/officeDocument/2006/relationships/hyperlink" Target="http://foundgrove.com" TargetMode="External"/><Relationship Id="rId1385" Type="http://schemas.openxmlformats.org/officeDocument/2006/relationships/hyperlink" Target="http://clutch.co" TargetMode="External"/><Relationship Id="rId795" Type="http://schemas.openxmlformats.org/officeDocument/2006/relationships/hyperlink" Target="https://foundgrove.com/blog/top-generative-engine-optimization-agencies-2026" TargetMode="External"/><Relationship Id="rId1386" Type="http://schemas.openxmlformats.org/officeDocument/2006/relationships/hyperlink" Target="https://clutch.co/agencies/sem?geona_id=25338&amp;page=1" TargetMode="External"/><Relationship Id="rId794" Type="http://schemas.openxmlformats.org/officeDocument/2006/relationships/hyperlink" Target="http://forbes.com" TargetMode="External"/><Relationship Id="rId1387" Type="http://schemas.openxmlformats.org/officeDocument/2006/relationships/hyperlink" Target="http://clutch.co" TargetMode="External"/><Relationship Id="rId793" Type="http://schemas.openxmlformats.org/officeDocument/2006/relationships/hyperlink" Target="https://www.forbes.com/lists/ai50/" TargetMode="External"/><Relationship Id="rId1388" Type="http://schemas.openxmlformats.org/officeDocument/2006/relationships/hyperlink" Target="https://clutch.co/press-releases/Best-of-Clutch-winners-2025" TargetMode="External"/><Relationship Id="rId3191" Type="http://schemas.openxmlformats.org/officeDocument/2006/relationships/hyperlink" Target="https://scrap.io/marketing-agency-email-list-guide" TargetMode="External"/><Relationship Id="rId3190" Type="http://schemas.openxmlformats.org/officeDocument/2006/relationships/hyperlink" Target="http://scopicstudios.com" TargetMode="External"/><Relationship Id="rId3193" Type="http://schemas.openxmlformats.org/officeDocument/2006/relationships/hyperlink" Target="https://www.sdim.nl/en/certifications-and-partners/google-premier-partner/" TargetMode="External"/><Relationship Id="rId3192" Type="http://schemas.openxmlformats.org/officeDocument/2006/relationships/hyperlink" Target="http://scrap.io" TargetMode="External"/><Relationship Id="rId3195" Type="http://schemas.openxmlformats.org/officeDocument/2006/relationships/hyperlink" Target="https://www.sealglobalholdings.com/blog/best-ai-search-optimization-agencies-2026" TargetMode="External"/><Relationship Id="rId3194" Type="http://schemas.openxmlformats.org/officeDocument/2006/relationships/hyperlink" Target="http://sdim.nl" TargetMode="External"/><Relationship Id="rId3197" Type="http://schemas.openxmlformats.org/officeDocument/2006/relationships/hyperlink" Target="https://searchconversions.com/the-10-best-answer-engine-optimization-aeo-agencies/" TargetMode="External"/><Relationship Id="rId3196" Type="http://schemas.openxmlformats.org/officeDocument/2006/relationships/hyperlink" Target="http://sealglobalholdings.com" TargetMode="External"/><Relationship Id="rId3199" Type="http://schemas.openxmlformats.org/officeDocument/2006/relationships/hyperlink" Target="https://seedcreativestudio.com/" TargetMode="External"/><Relationship Id="rId3198" Type="http://schemas.openxmlformats.org/officeDocument/2006/relationships/hyperlink" Target="http://searchconversions.com" TargetMode="External"/><Relationship Id="rId3180" Type="http://schemas.openxmlformats.org/officeDocument/2006/relationships/hyperlink" Target="http://s3da-design.com" TargetMode="External"/><Relationship Id="rId3182" Type="http://schemas.openxmlformats.org/officeDocument/2006/relationships/hyperlink" Target="http://salesduo.com" TargetMode="External"/><Relationship Id="rId3181" Type="http://schemas.openxmlformats.org/officeDocument/2006/relationships/hyperlink" Target="https://salesduo.com/blog/amazon-product-ads-management-agencies-comparison/" TargetMode="External"/><Relationship Id="rId3184" Type="http://schemas.openxmlformats.org/officeDocument/2006/relationships/hyperlink" Target="http://scaleandcompany.com" TargetMode="External"/><Relationship Id="rId3183" Type="http://schemas.openxmlformats.org/officeDocument/2006/relationships/hyperlink" Target="https://www.scaleandcompany.com/" TargetMode="External"/><Relationship Id="rId3186" Type="http://schemas.openxmlformats.org/officeDocument/2006/relationships/hyperlink" Target="http://scopicstudios.com" TargetMode="External"/><Relationship Id="rId3185" Type="http://schemas.openxmlformats.org/officeDocument/2006/relationships/hyperlink" Target="https://scopicstudios.com/blog/best-geo-agencies-ai-search-visibility-2026/" TargetMode="External"/><Relationship Id="rId3188" Type="http://schemas.openxmlformats.org/officeDocument/2006/relationships/hyperlink" Target="http://scopicstudios.com" TargetMode="External"/><Relationship Id="rId3187" Type="http://schemas.openxmlformats.org/officeDocument/2006/relationships/hyperlink" Target="https://scopicstudios.com/blog/first-party-data-adoption-statistics-every-marketer-must-know/" TargetMode="External"/><Relationship Id="rId3189" Type="http://schemas.openxmlformats.org/officeDocument/2006/relationships/hyperlink" Target="https://scopicstudios.com/blog/top-ai-marketing-agencies/" TargetMode="External"/><Relationship Id="rId3151" Type="http://schemas.openxmlformats.org/officeDocument/2006/relationships/hyperlink" Target="https://www.revvgrowth.com/geo/enterprise-geo-agency" TargetMode="External"/><Relationship Id="rId3150" Type="http://schemas.openxmlformats.org/officeDocument/2006/relationships/hyperlink" Target="http://revealmobile.com" TargetMode="External"/><Relationship Id="rId3153" Type="http://schemas.openxmlformats.org/officeDocument/2006/relationships/hyperlink" Target="https://www.rightsideup.com/blog/top-fractional-marketing-agencies" TargetMode="External"/><Relationship Id="rId3152" Type="http://schemas.openxmlformats.org/officeDocument/2006/relationships/hyperlink" Target="http://revvgrowth.com" TargetMode="External"/><Relationship Id="rId3155" Type="http://schemas.openxmlformats.org/officeDocument/2006/relationships/hyperlink" Target="https://riverjournalonline.com/news/best-amazon-ppc-agencies-to-lower-acos-in-2026/300535/" TargetMode="External"/><Relationship Id="rId3154" Type="http://schemas.openxmlformats.org/officeDocument/2006/relationships/hyperlink" Target="http://rightsideup.com" TargetMode="External"/><Relationship Id="rId3157" Type="http://schemas.openxmlformats.org/officeDocument/2006/relationships/hyperlink" Target="https://www.rockerbox.com/blog/everything-you-need-to-know-about-incrementality-testing-with-rockerbox" TargetMode="External"/><Relationship Id="rId3156" Type="http://schemas.openxmlformats.org/officeDocument/2006/relationships/hyperlink" Target="http://riverjournalonline.com" TargetMode="External"/><Relationship Id="rId3159" Type="http://schemas.openxmlformats.org/officeDocument/2006/relationships/hyperlink" Target="https://www.rockerbox.com/faq/what-is-incrementality-analysis" TargetMode="External"/><Relationship Id="rId3158" Type="http://schemas.openxmlformats.org/officeDocument/2006/relationships/hyperlink" Target="http://rockerbox.com" TargetMode="External"/><Relationship Id="rId3149" Type="http://schemas.openxmlformats.org/officeDocument/2006/relationships/hyperlink" Target="https://revealmobile.com/blog/measuring-ooh-sales-lift-how-to-choose-the-right-partner" TargetMode="External"/><Relationship Id="rId3140" Type="http://schemas.openxmlformats.org/officeDocument/2006/relationships/hyperlink" Target="http://reddit.com" TargetMode="External"/><Relationship Id="rId3142" Type="http://schemas.openxmlformats.org/officeDocument/2006/relationships/hyperlink" Target="http://responsify.com" TargetMode="External"/><Relationship Id="rId3141" Type="http://schemas.openxmlformats.org/officeDocument/2006/relationships/hyperlink" Target="https://www.responsify.com/b2b-content-marketing-agencies" TargetMode="External"/><Relationship Id="rId3144" Type="http://schemas.openxmlformats.org/officeDocument/2006/relationships/hyperlink" Target="http://resultfirst.com" TargetMode="External"/><Relationship Id="rId3143" Type="http://schemas.openxmlformats.org/officeDocument/2006/relationships/hyperlink" Target="https://www.resultfirst.com/blog/ecommerce-seo/top-ecommerce-seo-agencies/" TargetMode="External"/><Relationship Id="rId3146" Type="http://schemas.openxmlformats.org/officeDocument/2006/relationships/hyperlink" Target="http://reuters.com" TargetMode="External"/><Relationship Id="rId3145" Type="http://schemas.openxmlformats.org/officeDocument/2006/relationships/hyperlink" Target="https://www.reuters.com/business/openai-deepens-partnerships-with-consulting-giants-push-enterprise-ai-beyond-2026-02-23/" TargetMode="External"/><Relationship Id="rId3148" Type="http://schemas.openxmlformats.org/officeDocument/2006/relationships/hyperlink" Target="http://revclickmarketing.com" TargetMode="External"/><Relationship Id="rId3147" Type="http://schemas.openxmlformats.org/officeDocument/2006/relationships/hyperlink" Target="https://revclickmarketing.com/services/incrementality-testing-mmm/" TargetMode="External"/><Relationship Id="rId3171" Type="http://schemas.openxmlformats.org/officeDocument/2006/relationships/hyperlink" Target="https://rsmus.com/services/digital-transformation/artificial-intelligence.html" TargetMode="External"/><Relationship Id="rId3170" Type="http://schemas.openxmlformats.org/officeDocument/2006/relationships/hyperlink" Target="http://rsmus.com" TargetMode="External"/><Relationship Id="rId3173" Type="http://schemas.openxmlformats.org/officeDocument/2006/relationships/hyperlink" Target="https://www.ruleranalytics.com/blog/ppc/first-party-data-activation/" TargetMode="External"/><Relationship Id="rId3172" Type="http://schemas.openxmlformats.org/officeDocument/2006/relationships/hyperlink" Target="http://rsmus.com" TargetMode="External"/><Relationship Id="rId3175" Type="http://schemas.openxmlformats.org/officeDocument/2006/relationships/hyperlink" Target="https://www.rzlt.io/blog/10-best-growth-marketing-agencies-for-startups-in-2026" TargetMode="External"/><Relationship Id="rId3174" Type="http://schemas.openxmlformats.org/officeDocument/2006/relationships/hyperlink" Target="http://ruleranalytics.com" TargetMode="External"/><Relationship Id="rId3177" Type="http://schemas.openxmlformats.org/officeDocument/2006/relationships/hyperlink" Target="https://s360digital.com/capabilities/data/incrementality-testing/" TargetMode="External"/><Relationship Id="rId3176" Type="http://schemas.openxmlformats.org/officeDocument/2006/relationships/hyperlink" Target="http://rzlt.io" TargetMode="External"/><Relationship Id="rId3179" Type="http://schemas.openxmlformats.org/officeDocument/2006/relationships/hyperlink" Target="https://s3da-design.com/guest-contribution/best-remodeling-digital-marketing-agencies-in-2025/" TargetMode="External"/><Relationship Id="rId3178" Type="http://schemas.openxmlformats.org/officeDocument/2006/relationships/hyperlink" Target="http://s360digital.com" TargetMode="External"/><Relationship Id="rId3160" Type="http://schemas.openxmlformats.org/officeDocument/2006/relationships/hyperlink" Target="http://rockerbox.com" TargetMode="External"/><Relationship Id="rId3162" Type="http://schemas.openxmlformats.org/officeDocument/2006/relationships/hyperlink" Target="http://roirevolution.com" TargetMode="External"/><Relationship Id="rId3161" Type="http://schemas.openxmlformats.org/officeDocument/2006/relationships/hyperlink" Target="https://roirevolution.com/" TargetMode="External"/><Relationship Id="rId3164" Type="http://schemas.openxmlformats.org/officeDocument/2006/relationships/hyperlink" Target="http://rokointernational.com" TargetMode="External"/><Relationship Id="rId3163" Type="http://schemas.openxmlformats.org/officeDocument/2006/relationships/hyperlink" Target="https://rokointernational.com/" TargetMode="External"/><Relationship Id="rId3166" Type="http://schemas.openxmlformats.org/officeDocument/2006/relationships/hyperlink" Target="http://rokt.com" TargetMode="External"/><Relationship Id="rId3165" Type="http://schemas.openxmlformats.org/officeDocument/2006/relationships/hyperlink" Target="https://www.rokt.com/blog/incrementality-performance-standard-rokt-haus-transaction-moment" TargetMode="External"/><Relationship Id="rId3168" Type="http://schemas.openxmlformats.org/officeDocument/2006/relationships/hyperlink" Target="http://royaldigitalagency.com" TargetMode="External"/><Relationship Id="rId3167" Type="http://schemas.openxmlformats.org/officeDocument/2006/relationships/hyperlink" Target="https://royaldigitalagency.com/blogs/ai-vs-search-engine/" TargetMode="External"/><Relationship Id="rId3169" Type="http://schemas.openxmlformats.org/officeDocument/2006/relationships/hyperlink" Target="https://rsmus.com/services/digital-transformation/ai-readiness-assessment.html" TargetMode="External"/><Relationship Id="rId2700" Type="http://schemas.openxmlformats.org/officeDocument/2006/relationships/hyperlink" Target="http://keends.com" TargetMode="External"/><Relationship Id="rId2701" Type="http://schemas.openxmlformats.org/officeDocument/2006/relationships/hyperlink" Target="https://www.kiwop.com/en/marketing-attribution" TargetMode="External"/><Relationship Id="rId2702" Type="http://schemas.openxmlformats.org/officeDocument/2006/relationships/hyperlink" Target="http://kiwop.com" TargetMode="External"/><Relationship Id="rId2703" Type="http://schemas.openxmlformats.org/officeDocument/2006/relationships/hyperlink" Target="https://www.klientboost.com/" TargetMode="External"/><Relationship Id="rId2704" Type="http://schemas.openxmlformats.org/officeDocument/2006/relationships/hyperlink" Target="http://klientboost.com" TargetMode="External"/><Relationship Id="rId2705" Type="http://schemas.openxmlformats.org/officeDocument/2006/relationships/hyperlink" Target="https://www.klientboost.com/services/" TargetMode="External"/><Relationship Id="rId2706" Type="http://schemas.openxmlformats.org/officeDocument/2006/relationships/hyperlink" Target="http://klientboost.com" TargetMode="External"/><Relationship Id="rId2707" Type="http://schemas.openxmlformats.org/officeDocument/2006/relationships/hyperlink" Target="https://www.klientboost.com/services/google-ads-agency/" TargetMode="External"/><Relationship Id="rId2708" Type="http://schemas.openxmlformats.org/officeDocument/2006/relationships/hyperlink" Target="http://klientboost.com" TargetMode="External"/><Relationship Id="rId2709" Type="http://schemas.openxmlformats.org/officeDocument/2006/relationships/hyperlink" Target="https://www.konstructdigital.com/seo/best-geo-companies/" TargetMode="External"/><Relationship Id="rId2720" Type="http://schemas.openxmlformats.org/officeDocument/2006/relationships/hyperlink" Target="http://latimes.com" TargetMode="External"/><Relationship Id="rId2721" Type="http://schemas.openxmlformats.org/officeDocument/2006/relationships/hyperlink" Target="https://lawrencebros.com/top-7-marketing-attribution-software-platforms-for-2026/" TargetMode="External"/><Relationship Id="rId2722" Type="http://schemas.openxmlformats.org/officeDocument/2006/relationships/hyperlink" Target="http://lawrencebros.com" TargetMode="External"/><Relationship Id="rId2723" Type="http://schemas.openxmlformats.org/officeDocument/2006/relationships/hyperlink" Target="https://www.lazarev.agency/services/ui-ux-consulting" TargetMode="External"/><Relationship Id="rId2724" Type="http://schemas.openxmlformats.org/officeDocument/2006/relationships/hyperlink" Target="https://www.leadgem.nl/resources/best-growth-marketing-agencies" TargetMode="External"/><Relationship Id="rId2725" Type="http://schemas.openxmlformats.org/officeDocument/2006/relationships/hyperlink" Target="http://leadgem.nl" TargetMode="External"/><Relationship Id="rId2726" Type="http://schemas.openxmlformats.org/officeDocument/2006/relationships/hyperlink" Target="https://leadiq.com/c/adaction/5a1d9d4223000053008d1c3e" TargetMode="External"/><Relationship Id="rId2727" Type="http://schemas.openxmlformats.org/officeDocument/2006/relationships/hyperlink" Target="http://leadiq.com" TargetMode="External"/><Relationship Id="rId2728" Type="http://schemas.openxmlformats.org/officeDocument/2006/relationships/hyperlink" Target="https://learn.g2.com/best-ppc-agencies" TargetMode="External"/><Relationship Id="rId2729" Type="http://schemas.openxmlformats.org/officeDocument/2006/relationships/hyperlink" Target="http://g2.com" TargetMode="External"/><Relationship Id="rId2710" Type="http://schemas.openxmlformats.org/officeDocument/2006/relationships/hyperlink" Target="http://konstructdigital.com" TargetMode="External"/><Relationship Id="rId2711" Type="http://schemas.openxmlformats.org/officeDocument/2006/relationships/hyperlink" Target="https://www.kovlystudio.com/blog/boutique-digital-marketing-firm" TargetMode="External"/><Relationship Id="rId2712" Type="http://schemas.openxmlformats.org/officeDocument/2006/relationships/hyperlink" Target="http://kovlystudio.com" TargetMode="External"/><Relationship Id="rId2713" Type="http://schemas.openxmlformats.org/officeDocument/2006/relationships/hyperlink" Target="https://www.kuehne-nagel.com/us/services/customs-clearance" TargetMode="External"/><Relationship Id="rId2714" Type="http://schemas.openxmlformats.org/officeDocument/2006/relationships/hyperlink" Target="http://kuehne-nagel.com" TargetMode="External"/><Relationship Id="rId2715" Type="http://schemas.openxmlformats.org/officeDocument/2006/relationships/hyperlink" Target="https://www.kuehne-nagel.com/us/services/customs-clearance/customs-and-trade-consultancy" TargetMode="External"/><Relationship Id="rId2716" Type="http://schemas.openxmlformats.org/officeDocument/2006/relationships/hyperlink" Target="http://kuehne-nagel.com" TargetMode="External"/><Relationship Id="rId2717" Type="http://schemas.openxmlformats.org/officeDocument/2006/relationships/hyperlink" Target="https://lasersightdigital.com/blog/best-amazon-agency-top-picks" TargetMode="External"/><Relationship Id="rId2718" Type="http://schemas.openxmlformats.org/officeDocument/2006/relationships/hyperlink" Target="http://lasersightdigital.com" TargetMode="External"/><Relationship Id="rId2719" Type="http://schemas.openxmlformats.org/officeDocument/2006/relationships/hyperlink" Target="https://www.latimes.com/b2b/industry-lists/top-ad-agencies/tbwa-chiat-day-los-angeles" TargetMode="External"/><Relationship Id="rId1455" Type="http://schemas.openxmlformats.org/officeDocument/2006/relationships/hyperlink" Target="http://yahoo.com" TargetMode="External"/><Relationship Id="rId2786" Type="http://schemas.openxmlformats.org/officeDocument/2006/relationships/hyperlink" Target="https://madgicx.com/blog/ai-marketing-analytics-dashboard-platforms" TargetMode="External"/><Relationship Id="rId1456" Type="http://schemas.openxmlformats.org/officeDocument/2006/relationships/hyperlink" Target="https://firstpagesage.com/seo-blog/the-top-seo-agencies-for-ai-companies/" TargetMode="External"/><Relationship Id="rId2787" Type="http://schemas.openxmlformats.org/officeDocument/2006/relationships/hyperlink" Target="http://madgicx.com" TargetMode="External"/><Relationship Id="rId1457" Type="http://schemas.openxmlformats.org/officeDocument/2006/relationships/hyperlink" Target="http://firstpagesage.com" TargetMode="External"/><Relationship Id="rId2788" Type="http://schemas.openxmlformats.org/officeDocument/2006/relationships/hyperlink" Target="https://www.makingscience.com/blog/making-science-expands-us-service-offerings-with-new-google-marketing-platform-sales-partner-certification/" TargetMode="External"/><Relationship Id="rId1458" Type="http://schemas.openxmlformats.org/officeDocument/2006/relationships/hyperlink" Target="https://flypix.ai/geospatial-companies-in-the-usa/" TargetMode="External"/><Relationship Id="rId2789" Type="http://schemas.openxmlformats.org/officeDocument/2006/relationships/hyperlink" Target="http://makingscience.com" TargetMode="External"/><Relationship Id="rId1459" Type="http://schemas.openxmlformats.org/officeDocument/2006/relationships/hyperlink" Target="http://flypix.ai" TargetMode="External"/><Relationship Id="rId629" Type="http://schemas.openxmlformats.org/officeDocument/2006/relationships/hyperlink" Target="http://sortlist.com" TargetMode="External"/><Relationship Id="rId624" Type="http://schemas.openxmlformats.org/officeDocument/2006/relationships/hyperlink" Target="https://www.saffronedge.com/blog/top-aeo-agency/" TargetMode="External"/><Relationship Id="rId623" Type="http://schemas.openxmlformats.org/officeDocument/2006/relationships/hyperlink" Target="http://withgoogle.com" TargetMode="External"/><Relationship Id="rId622" Type="http://schemas.openxmlformats.org/officeDocument/2006/relationships/hyperlink" Target="http://mordorintelligence.com" TargetMode="External"/><Relationship Id="rId621" Type="http://schemas.openxmlformats.org/officeDocument/2006/relationships/hyperlink" Target="https://www.mordorintelligence.com/industry-reports/united-states-marketing-analytics-market/companies" TargetMode="External"/><Relationship Id="rId628" Type="http://schemas.openxmlformats.org/officeDocument/2006/relationships/hyperlink" Target="https://www.sortlist.com/s/ai-marketing/united-states-us" TargetMode="External"/><Relationship Id="rId627" Type="http://schemas.openxmlformats.org/officeDocument/2006/relationships/hyperlink" Target="http://smacient.com" TargetMode="External"/><Relationship Id="rId626" Type="http://schemas.openxmlformats.org/officeDocument/2006/relationships/hyperlink" Target="https://smacient.com/top-geo-agencies-in-the-usa/" TargetMode="External"/><Relationship Id="rId625" Type="http://schemas.openxmlformats.org/officeDocument/2006/relationships/hyperlink" Target="http://saffronedge.com" TargetMode="External"/><Relationship Id="rId2780" Type="http://schemas.openxmlformats.org/officeDocument/2006/relationships/hyperlink" Target="https://m.economictimes.com/industry/services/advertising/bcg-sees-wider-ai-execution-gap-in-india-as-marketers-prepare-for-agentic-ai/articleshow/132398248.cms" TargetMode="External"/><Relationship Id="rId1450" Type="http://schemas.openxmlformats.org/officeDocument/2006/relationships/hyperlink" Target="https://www.fieldtrip.agency/post/best-creative-agencies-for-global-brands" TargetMode="External"/><Relationship Id="rId2781" Type="http://schemas.openxmlformats.org/officeDocument/2006/relationships/hyperlink" Target="http://economictimes.com" TargetMode="External"/><Relationship Id="rId620" Type="http://schemas.openxmlformats.org/officeDocument/2006/relationships/hyperlink" Target="http://moburst.com" TargetMode="External"/><Relationship Id="rId1451" Type="http://schemas.openxmlformats.org/officeDocument/2006/relationships/hyperlink" Target="https://www.fieldtrip.agency/post/top-geo-agencies" TargetMode="External"/><Relationship Id="rId2782" Type="http://schemas.openxmlformats.org/officeDocument/2006/relationships/hyperlink" Target="https://m.economictimes.com/small-biz/security-tech/technology/beyond-seo-the-new-rules-of-brand-discoverability-in-the-ai-era/articleshow/132474370.cms" TargetMode="External"/><Relationship Id="rId1452" Type="http://schemas.openxmlformats.org/officeDocument/2006/relationships/hyperlink" Target="https://finance.yahoo.com/sectors/technology/articles/adswerve-named-north-american-partner-150000804.html" TargetMode="External"/><Relationship Id="rId2783" Type="http://schemas.openxmlformats.org/officeDocument/2006/relationships/hyperlink" Target="http://economictimes.com" TargetMode="External"/><Relationship Id="rId1453" Type="http://schemas.openxmlformats.org/officeDocument/2006/relationships/hyperlink" Target="http://yahoo.com" TargetMode="External"/><Relationship Id="rId2784" Type="http://schemas.openxmlformats.org/officeDocument/2006/relationships/hyperlink" Target="https://mackmediagroup.com/5-ways-a-marketing-agency-can-help-your-small-business/" TargetMode="External"/><Relationship Id="rId1454" Type="http://schemas.openxmlformats.org/officeDocument/2006/relationships/hyperlink" Target="https://finance.yahoo.com/sectors/technology/articles/top-10-branding-agencies-u-125000853.html" TargetMode="External"/><Relationship Id="rId2785" Type="http://schemas.openxmlformats.org/officeDocument/2006/relationships/hyperlink" Target="http://mackmediagroup.com" TargetMode="External"/><Relationship Id="rId1444" Type="http://schemas.openxmlformats.org/officeDocument/2006/relationships/hyperlink" Target="https://www.enzuzo.com/blog/best-performance-marketing-agencies" TargetMode="External"/><Relationship Id="rId2775" Type="http://schemas.openxmlformats.org/officeDocument/2006/relationships/hyperlink" Target="http://lunarailab.com" TargetMode="External"/><Relationship Id="rId1445" Type="http://schemas.openxmlformats.org/officeDocument/2006/relationships/hyperlink" Target="http://enzuzo.com" TargetMode="External"/><Relationship Id="rId2776" Type="http://schemas.openxmlformats.org/officeDocument/2006/relationships/hyperlink" Target="https://www.lyfemarketing.com/blog/top-travel-tourism-marketing-agencies-us/" TargetMode="External"/><Relationship Id="rId1446" Type="http://schemas.openxmlformats.org/officeDocument/2006/relationships/hyperlink" Target="https://evolveamz.com/ai-search/best-ai-search-optimization-agencies-ecommerce-2026/" TargetMode="External"/><Relationship Id="rId2777" Type="http://schemas.openxmlformats.org/officeDocument/2006/relationships/hyperlink" Target="http://lyfemarketing.com" TargetMode="External"/><Relationship Id="rId1447" Type="http://schemas.openxmlformats.org/officeDocument/2006/relationships/hyperlink" Target="http://evolveamz.com" TargetMode="External"/><Relationship Id="rId2778" Type="http://schemas.openxmlformats.org/officeDocument/2006/relationships/hyperlink" Target="https://lymlyt.pro/blog/best-ai-marketing-agencies/" TargetMode="External"/><Relationship Id="rId1448" Type="http://schemas.openxmlformats.org/officeDocument/2006/relationships/hyperlink" Target="https://exacti.us/growth-library/incrementality-testing" TargetMode="External"/><Relationship Id="rId2779" Type="http://schemas.openxmlformats.org/officeDocument/2006/relationships/hyperlink" Target="http://lymlyt.pro" TargetMode="External"/><Relationship Id="rId1449" Type="http://schemas.openxmlformats.org/officeDocument/2006/relationships/hyperlink" Target="http://exacti.us" TargetMode="External"/><Relationship Id="rId619" Type="http://schemas.openxmlformats.org/officeDocument/2006/relationships/hyperlink" Target="https://www.moburst.com/blog/best-web-marketing-agencies-usa/" TargetMode="External"/><Relationship Id="rId618" Type="http://schemas.openxmlformats.org/officeDocument/2006/relationships/hyperlink" Target="http://mma.com" TargetMode="External"/><Relationship Id="rId613" Type="http://schemas.openxmlformats.org/officeDocument/2006/relationships/hyperlink" Target="https://leadsrx.com/resource/35-marketing-attribution-software-companies/" TargetMode="External"/><Relationship Id="rId612" Type="http://schemas.openxmlformats.org/officeDocument/2006/relationships/hyperlink" Target="http://krowdbase.com" TargetMode="External"/><Relationship Id="rId611" Type="http://schemas.openxmlformats.org/officeDocument/2006/relationships/hyperlink" Target="https://www.krowdbase.com/top-marketing-analytics-companies" TargetMode="External"/><Relationship Id="rId610" Type="http://schemas.openxmlformats.org/officeDocument/2006/relationships/hyperlink" Target="https://inbeat.agency/blog/top-digital-marketing-agencies-in-the-us" TargetMode="External"/><Relationship Id="rId617" Type="http://schemas.openxmlformats.org/officeDocument/2006/relationships/hyperlink" Target="https://mma.com/solutions/unified-marketing-measurement/" TargetMode="External"/><Relationship Id="rId616" Type="http://schemas.openxmlformats.org/officeDocument/2006/relationships/hyperlink" Target="http://lengreo.com" TargetMode="External"/><Relationship Id="rId615" Type="http://schemas.openxmlformats.org/officeDocument/2006/relationships/hyperlink" Target="https://lengreo.com/ai-search-marketing-agencies/" TargetMode="External"/><Relationship Id="rId614" Type="http://schemas.openxmlformats.org/officeDocument/2006/relationships/hyperlink" Target="http://leadsrx.com" TargetMode="External"/><Relationship Id="rId2770" Type="http://schemas.openxmlformats.org/officeDocument/2006/relationships/hyperlink" Target="https://luckie.com/about-us/" TargetMode="External"/><Relationship Id="rId1440" Type="http://schemas.openxmlformats.org/officeDocument/2006/relationships/hyperlink" Target="http://embarque.io" TargetMode="External"/><Relationship Id="rId2771" Type="http://schemas.openxmlformats.org/officeDocument/2006/relationships/hyperlink" Target="http://luckie.com" TargetMode="External"/><Relationship Id="rId1441" Type="http://schemas.openxmlformats.org/officeDocument/2006/relationships/hyperlink" Target="https://en.wikipedia.org/wiki/Advertising_agency" TargetMode="External"/><Relationship Id="rId2772" Type="http://schemas.openxmlformats.org/officeDocument/2006/relationships/hyperlink" Target="https://www.lumenlimitless.com/services/ai-consulting" TargetMode="External"/><Relationship Id="rId1442" Type="http://schemas.openxmlformats.org/officeDocument/2006/relationships/hyperlink" Target="http://wikipedia.org" TargetMode="External"/><Relationship Id="rId2773" Type="http://schemas.openxmlformats.org/officeDocument/2006/relationships/hyperlink" Target="http://lumenlimitless.com" TargetMode="External"/><Relationship Id="rId1443" Type="http://schemas.openxmlformats.org/officeDocument/2006/relationships/hyperlink" Target="https://enterprisemarketingportal.google/find-a-partner/adswerve-us?certificationsFilters=Tag%20Manager" TargetMode="External"/><Relationship Id="rId2774" Type="http://schemas.openxmlformats.org/officeDocument/2006/relationships/hyperlink" Target="https://lunarailab.com/blog/2026/03/04/top-5-ai-agent-adoption-agencies-in-2026/" TargetMode="External"/><Relationship Id="rId1477" Type="http://schemas.openxmlformats.org/officeDocument/2006/relationships/hyperlink" Target="https://gracker.ai/news/top-10-ai-seo-agencies-digital-marketing-firms-for-2026" TargetMode="External"/><Relationship Id="rId1478" Type="http://schemas.openxmlformats.org/officeDocument/2006/relationships/hyperlink" Target="http://gracker.ai" TargetMode="External"/><Relationship Id="rId1479" Type="http://schemas.openxmlformats.org/officeDocument/2006/relationships/hyperlink" Target="https://www.heydigital.co/blog/best-saas-paid-social-agencies" TargetMode="External"/><Relationship Id="rId646" Type="http://schemas.openxmlformats.org/officeDocument/2006/relationships/hyperlink" Target="http://clutch.co" TargetMode="External"/><Relationship Id="rId645" Type="http://schemas.openxmlformats.org/officeDocument/2006/relationships/hyperlink" Target="https://clutch.co/agencies/ppc/display%3Fpage%3D0" TargetMode="External"/><Relationship Id="rId644" Type="http://schemas.openxmlformats.org/officeDocument/2006/relationships/hyperlink" Target="http://brillmedia.co" TargetMode="External"/><Relationship Id="rId643" Type="http://schemas.openxmlformats.org/officeDocument/2006/relationships/hyperlink" Target="https://brillmedia.co/resources/best-display-advertising-agencies/" TargetMode="External"/><Relationship Id="rId649" Type="http://schemas.openxmlformats.org/officeDocument/2006/relationships/hyperlink" Target="https://www.cometly.com/post/incrementality-testing-software" TargetMode="External"/><Relationship Id="rId648" Type="http://schemas.openxmlformats.org/officeDocument/2006/relationships/hyperlink" Target="http://clutch.co" TargetMode="External"/><Relationship Id="rId647" Type="http://schemas.openxmlformats.org/officeDocument/2006/relationships/hyperlink" Target="https://clutch.co/us/agencies/digital-marketing/enterprise" TargetMode="External"/><Relationship Id="rId1470" Type="http://schemas.openxmlformats.org/officeDocument/2006/relationships/hyperlink" Target="http://geovate.com" TargetMode="External"/><Relationship Id="rId1471" Type="http://schemas.openxmlformats.org/officeDocument/2006/relationships/hyperlink" Target="https://getadlib.com/blog/best-display-advertising-platforms/" TargetMode="External"/><Relationship Id="rId1472" Type="http://schemas.openxmlformats.org/officeDocument/2006/relationships/hyperlink" Target="http://getadlib.com" TargetMode="External"/><Relationship Id="rId642" Type="http://schemas.openxmlformats.org/officeDocument/2006/relationships/hyperlink" Target="http://avidtrak.com" TargetMode="External"/><Relationship Id="rId1473" Type="http://schemas.openxmlformats.org/officeDocument/2006/relationships/hyperlink" Target="https://www.goodfirms.co/advertising-companies/programmatic?locations=us&amp;sort_by=rating" TargetMode="External"/><Relationship Id="rId641" Type="http://schemas.openxmlformats.org/officeDocument/2006/relationships/hyperlink" Target="https://avidtrak.com/resource/best-market-attribution-software" TargetMode="External"/><Relationship Id="rId1474" Type="http://schemas.openxmlformats.org/officeDocument/2006/relationships/hyperlink" Target="http://goodfirms.co" TargetMode="External"/><Relationship Id="rId640" Type="http://schemas.openxmlformats.org/officeDocument/2006/relationships/hyperlink" Target="http://architecturaldigest.com" TargetMode="External"/><Relationship Id="rId1475" Type="http://schemas.openxmlformats.org/officeDocument/2006/relationships/hyperlink" Target="https://www.goodfirms.co/directory/country/top-digital-marketing-companies/us?reviews=1" TargetMode="External"/><Relationship Id="rId1476" Type="http://schemas.openxmlformats.org/officeDocument/2006/relationships/hyperlink" Target="http://goodfirms.co" TargetMode="External"/><Relationship Id="rId1466" Type="http://schemas.openxmlformats.org/officeDocument/2006/relationships/hyperlink" Target="https://www.g-co.agency/insights/top-enterprise-digital-marketing-agencies-to-work-with" TargetMode="External"/><Relationship Id="rId2797" Type="http://schemas.openxmlformats.org/officeDocument/2006/relationships/hyperlink" Target="http://marketbridge.com" TargetMode="External"/><Relationship Id="rId1467" Type="http://schemas.openxmlformats.org/officeDocument/2006/relationships/hyperlink" Target="https://www.geovate.com/blog/generative-engine-optimization-geo-agencies" TargetMode="External"/><Relationship Id="rId2798" Type="http://schemas.openxmlformats.org/officeDocument/2006/relationships/hyperlink" Target="https://marketerhire.com/blog/aeo-agency" TargetMode="External"/><Relationship Id="rId1468" Type="http://schemas.openxmlformats.org/officeDocument/2006/relationships/hyperlink" Target="http://geovate.com" TargetMode="External"/><Relationship Id="rId2799" Type="http://schemas.openxmlformats.org/officeDocument/2006/relationships/hyperlink" Target="http://marketerhire.com" TargetMode="External"/><Relationship Id="rId1469" Type="http://schemas.openxmlformats.org/officeDocument/2006/relationships/hyperlink" Target="https://www.geovate.com/blog/top-answer-engine-optimization-aeo-agencies" TargetMode="External"/><Relationship Id="rId635" Type="http://schemas.openxmlformats.org/officeDocument/2006/relationships/hyperlink" Target="https://ads.google.com/intl/us-EN/home/partners/work-with-a-partner/" TargetMode="External"/><Relationship Id="rId634" Type="http://schemas.openxmlformats.org/officeDocument/2006/relationships/hyperlink" Target="https://wildnetmarketing.agency/blog/best-performance-marketing-agencies-in-usa/" TargetMode="External"/><Relationship Id="rId633" Type="http://schemas.openxmlformats.org/officeDocument/2006/relationships/hyperlink" Target="http://thedigitalelevator.com" TargetMode="External"/><Relationship Id="rId632" Type="http://schemas.openxmlformats.org/officeDocument/2006/relationships/hyperlink" Target="https://thedigitalelevator.com/blog/best-ai-seo-agencies/" TargetMode="External"/><Relationship Id="rId639" Type="http://schemas.openxmlformats.org/officeDocument/2006/relationships/hyperlink" Target="https://www.architecturaldigest.com/story/is-your-business-ready-for-the-ai-overview-era" TargetMode="External"/><Relationship Id="rId638" Type="http://schemas.openxmlformats.org/officeDocument/2006/relationships/hyperlink" Target="http://amworldgroup.com" TargetMode="External"/><Relationship Id="rId637" Type="http://schemas.openxmlformats.org/officeDocument/2006/relationships/hyperlink" Target="https://amworldgroup.com/best/digital-marketing-agency-worldwide" TargetMode="External"/><Relationship Id="rId636" Type="http://schemas.openxmlformats.org/officeDocument/2006/relationships/hyperlink" Target="http://google.com" TargetMode="External"/><Relationship Id="rId2790" Type="http://schemas.openxmlformats.org/officeDocument/2006/relationships/hyperlink" Target="https://www.manilatimes.net/2026/07/15/tmt-newswire/globenewswire/avalon-globocare-expands-ai-product-portfolio-with-planned-launch-of-beacon-an-agentic-generative-engine-optimization-platform-for-small-businesses/2385137" TargetMode="External"/><Relationship Id="rId1460" Type="http://schemas.openxmlformats.org/officeDocument/2006/relationships/hyperlink" Target="https://www.forrester.com/blogs/picking-an-agency-to-maximize-the-value-of-your-first-party-data/" TargetMode="External"/><Relationship Id="rId2791" Type="http://schemas.openxmlformats.org/officeDocument/2006/relationships/hyperlink" Target="http://manilatimes.net" TargetMode="External"/><Relationship Id="rId1461" Type="http://schemas.openxmlformats.org/officeDocument/2006/relationships/hyperlink" Target="http://forrester.com" TargetMode="External"/><Relationship Id="rId2792" Type="http://schemas.openxmlformats.org/officeDocument/2006/relationships/hyperlink" Target="https://www.manning.com/books/first-party-data-activation" TargetMode="External"/><Relationship Id="rId631" Type="http://schemas.openxmlformats.org/officeDocument/2006/relationships/hyperlink" Target="http://sourceloop.ai" TargetMode="External"/><Relationship Id="rId1462" Type="http://schemas.openxmlformats.org/officeDocument/2006/relationships/hyperlink" Target="https://fuelonline.com/best-agencies/best-new-york-digital-marketing-agencies/" TargetMode="External"/><Relationship Id="rId2793" Type="http://schemas.openxmlformats.org/officeDocument/2006/relationships/hyperlink" Target="http://manning.com" TargetMode="External"/><Relationship Id="rId630" Type="http://schemas.openxmlformats.org/officeDocument/2006/relationships/hyperlink" Target="https://sourceloop.ai/blog/best-marketing-measurement-tools/" TargetMode="External"/><Relationship Id="rId1463" Type="http://schemas.openxmlformats.org/officeDocument/2006/relationships/hyperlink" Target="http://fuelonline.com" TargetMode="External"/><Relationship Id="rId2794" Type="http://schemas.openxmlformats.org/officeDocument/2006/relationships/hyperlink" Target="https://www.marceldigital.com/services/answer-engine-optimization" TargetMode="External"/><Relationship Id="rId1464" Type="http://schemas.openxmlformats.org/officeDocument/2006/relationships/hyperlink" Target="https://fuelonline.com/best-agencies/top-20-ppc-agencies-in-the-united-states-ranked-for-2026/" TargetMode="External"/><Relationship Id="rId2795" Type="http://schemas.openxmlformats.org/officeDocument/2006/relationships/hyperlink" Target="http://marceldigital.com" TargetMode="External"/><Relationship Id="rId1465" Type="http://schemas.openxmlformats.org/officeDocument/2006/relationships/hyperlink" Target="http://fuelonline.com" TargetMode="External"/><Relationship Id="rId2796" Type="http://schemas.openxmlformats.org/officeDocument/2006/relationships/hyperlink" Target="https://marketbridge.com/services/marketing-analytics-data/test-learn/" TargetMode="External"/><Relationship Id="rId1411" Type="http://schemas.openxmlformats.org/officeDocument/2006/relationships/hyperlink" Target="http://cygnal.co" TargetMode="External"/><Relationship Id="rId2742" Type="http://schemas.openxmlformats.org/officeDocument/2006/relationships/hyperlink" Target="https://www.linkedin.com/company/artefact-global" TargetMode="External"/><Relationship Id="rId1412" Type="http://schemas.openxmlformats.org/officeDocument/2006/relationships/hyperlink" Target="https://www.darkroomagency.com/observatory/top-ai-marketing-agencies-for-growth-in-2025-a-shortlist-that-actually-helps-you-choose" TargetMode="External"/><Relationship Id="rId2743" Type="http://schemas.openxmlformats.org/officeDocument/2006/relationships/hyperlink" Target="http://linkedin.com" TargetMode="External"/><Relationship Id="rId1413" Type="http://schemas.openxmlformats.org/officeDocument/2006/relationships/hyperlink" Target="http://darkroomagency.com" TargetMode="External"/><Relationship Id="rId2744" Type="http://schemas.openxmlformats.org/officeDocument/2006/relationships/hyperlink" Target="https://www.linkedin.com/company/the-social-shepherd" TargetMode="External"/><Relationship Id="rId1414" Type="http://schemas.openxmlformats.org/officeDocument/2006/relationships/hyperlink" Target="https://dawnmarketing.com/" TargetMode="External"/><Relationship Id="rId2745" Type="http://schemas.openxmlformats.org/officeDocument/2006/relationships/hyperlink" Target="http://linkedin.com" TargetMode="External"/><Relationship Id="rId1415" Type="http://schemas.openxmlformats.org/officeDocument/2006/relationships/hyperlink" Target="http://dawnmarketing.com" TargetMode="External"/><Relationship Id="rId2746" Type="http://schemas.openxmlformats.org/officeDocument/2006/relationships/hyperlink" Target="https://www.linkedin.com/company/vaynermedia" TargetMode="External"/><Relationship Id="rId1416" Type="http://schemas.openxmlformats.org/officeDocument/2006/relationships/hyperlink" Target="https://delivix.digital/seo/marketing-agencies/" TargetMode="External"/><Relationship Id="rId2747" Type="http://schemas.openxmlformats.org/officeDocument/2006/relationships/hyperlink" Target="http://linkedin.com" TargetMode="External"/><Relationship Id="rId1417" Type="http://schemas.openxmlformats.org/officeDocument/2006/relationships/hyperlink" Target="https://www.designrush.com/agency/digital-marketing/analytics/us?page=2" TargetMode="External"/><Relationship Id="rId2748" Type="http://schemas.openxmlformats.org/officeDocument/2006/relationships/hyperlink" Target="https://www.linkedin.com/posts/clutch-co_bestofclutch-digitalmarketing-webdevelopment-activity-7323717286719090688-G6i3" TargetMode="External"/><Relationship Id="rId1418" Type="http://schemas.openxmlformats.org/officeDocument/2006/relationships/hyperlink" Target="http://designrush.com" TargetMode="External"/><Relationship Id="rId2749" Type="http://schemas.openxmlformats.org/officeDocument/2006/relationships/hyperlink" Target="http://linkedin.com" TargetMode="External"/><Relationship Id="rId1419" Type="http://schemas.openxmlformats.org/officeDocument/2006/relationships/hyperlink" Target="https://www.designrush.com/agency/digital-marketing/analytics?page=2" TargetMode="External"/><Relationship Id="rId2740" Type="http://schemas.openxmlformats.org/officeDocument/2006/relationships/hyperlink" Target="https://www.linkedin.com/company/analytics-pros" TargetMode="External"/><Relationship Id="rId1410" Type="http://schemas.openxmlformats.org/officeDocument/2006/relationships/hyperlink" Target="https://cygnal.co/" TargetMode="External"/><Relationship Id="rId2741" Type="http://schemas.openxmlformats.org/officeDocument/2006/relationships/hyperlink" Target="http://linkedin.com" TargetMode="External"/><Relationship Id="rId1400" Type="http://schemas.openxmlformats.org/officeDocument/2006/relationships/hyperlink" Target="https://collegian.com/sponsored/2025/09/top-10-geo-marketing-agencies-for-improving-ai-search-2025/" TargetMode="External"/><Relationship Id="rId2731" Type="http://schemas.openxmlformats.org/officeDocument/2006/relationships/hyperlink" Target="http://lengreo.com" TargetMode="External"/><Relationship Id="rId1401" Type="http://schemas.openxmlformats.org/officeDocument/2006/relationships/hyperlink" Target="http://collegian.com" TargetMode="External"/><Relationship Id="rId2732" Type="http://schemas.openxmlformats.org/officeDocument/2006/relationships/hyperlink" Target="https://lengreo.com/top-15-aeo-agencies-for-u-s-companies-in-2025/" TargetMode="External"/><Relationship Id="rId1402" Type="http://schemas.openxmlformats.org/officeDocument/2006/relationships/hyperlink" Target="https://www.cometly.com/post/marketing-attribution-companies" TargetMode="External"/><Relationship Id="rId2733" Type="http://schemas.openxmlformats.org/officeDocument/2006/relationships/hyperlink" Target="http://lengreo.com" TargetMode="External"/><Relationship Id="rId1403" Type="http://schemas.openxmlformats.org/officeDocument/2006/relationships/hyperlink" Target="http://cometly.com" TargetMode="External"/><Relationship Id="rId2734" Type="http://schemas.openxmlformats.org/officeDocument/2006/relationships/hyperlink" Target="https://lifesight.io/?trk=public_post_main-feed-card-text" TargetMode="External"/><Relationship Id="rId1404" Type="http://schemas.openxmlformats.org/officeDocument/2006/relationships/hyperlink" Target="https://commonthreadco.com/pages/incrementality" TargetMode="External"/><Relationship Id="rId2735" Type="http://schemas.openxmlformats.org/officeDocument/2006/relationships/hyperlink" Target="http://lifesight.io" TargetMode="External"/><Relationship Id="rId1405" Type="http://schemas.openxmlformats.org/officeDocument/2006/relationships/hyperlink" Target="http://commonthreadco.com" TargetMode="External"/><Relationship Id="rId2736" Type="http://schemas.openxmlformats.org/officeDocument/2006/relationships/hyperlink" Target="https://linea-analytics.com/" TargetMode="External"/><Relationship Id="rId1406" Type="http://schemas.openxmlformats.org/officeDocument/2006/relationships/hyperlink" Target="https://coolnerdsmarketing.com/top-ppc-agencies-us/" TargetMode="External"/><Relationship Id="rId2737" Type="http://schemas.openxmlformats.org/officeDocument/2006/relationships/hyperlink" Target="http://linea-analytics.com" TargetMode="External"/><Relationship Id="rId1407" Type="http://schemas.openxmlformats.org/officeDocument/2006/relationships/hyperlink" Target="http://coolnerdsmarketing.com" TargetMode="External"/><Relationship Id="rId2738" Type="http://schemas.openxmlformats.org/officeDocument/2006/relationships/hyperlink" Target="https://lineardesign.com/blog/pay-per-click-advertising-company/" TargetMode="External"/><Relationship Id="rId1408" Type="http://schemas.openxmlformats.org/officeDocument/2006/relationships/hyperlink" Target="https://cornerstonecontent.com/best-answer-engine-optimization-aeo-agencies/" TargetMode="External"/><Relationship Id="rId2739" Type="http://schemas.openxmlformats.org/officeDocument/2006/relationships/hyperlink" Target="http://lineardesign.com" TargetMode="External"/><Relationship Id="rId1409" Type="http://schemas.openxmlformats.org/officeDocument/2006/relationships/hyperlink" Target="http://cornerstonecontent.com" TargetMode="External"/><Relationship Id="rId2730" Type="http://schemas.openxmlformats.org/officeDocument/2006/relationships/hyperlink" Target="https://lengreo.com/ai-marketing-consulting-companies/" TargetMode="External"/><Relationship Id="rId1433" Type="http://schemas.openxmlformats.org/officeDocument/2006/relationships/hyperlink" Target="https://directiveconsulting.com/uk/blog/25-best-paid-media-agencies-that-turn-ad-spend-into-revenue/" TargetMode="External"/><Relationship Id="rId2764" Type="http://schemas.openxmlformats.org/officeDocument/2006/relationships/hyperlink" Target="https://www.lotame.com/resources/agency-data-strategist-guide/" TargetMode="External"/><Relationship Id="rId1434" Type="http://schemas.openxmlformats.org/officeDocument/2006/relationships/hyperlink" Target="http://directiveconsulting.com" TargetMode="External"/><Relationship Id="rId2765" Type="http://schemas.openxmlformats.org/officeDocument/2006/relationships/hyperlink" Target="http://lotame.com" TargetMode="External"/><Relationship Id="rId1435" Type="http://schemas.openxmlformats.org/officeDocument/2006/relationships/hyperlink" Target="https://dmcinsider.com/dmcompanies/best-marketing-analytics-companies-in-the-usa/" TargetMode="External"/><Relationship Id="rId2766" Type="http://schemas.openxmlformats.org/officeDocument/2006/relationships/hyperlink" Target="https://lotusbrainsstudio.com/ai-automation-agency-london/" TargetMode="External"/><Relationship Id="rId1436" Type="http://schemas.openxmlformats.org/officeDocument/2006/relationships/hyperlink" Target="http://dmcinsider.com" TargetMode="External"/><Relationship Id="rId2767" Type="http://schemas.openxmlformats.org/officeDocument/2006/relationships/hyperlink" Target="http://lotusbrainsstudio.com" TargetMode="External"/><Relationship Id="rId1437" Type="http://schemas.openxmlformats.org/officeDocument/2006/relationships/hyperlink" Target="https://www.dontpaniclondon.com/blog/what-is-a-creative-agency/" TargetMode="External"/><Relationship Id="rId2768" Type="http://schemas.openxmlformats.org/officeDocument/2006/relationships/hyperlink" Target="https://lseo.com/blog/generative-engine-optimization/the-best-generative-engine-optimization-geo-agencies-of-2026/" TargetMode="External"/><Relationship Id="rId1438" Type="http://schemas.openxmlformats.org/officeDocument/2006/relationships/hyperlink" Target="http://dontpaniclondon.com" TargetMode="External"/><Relationship Id="rId2769" Type="http://schemas.openxmlformats.org/officeDocument/2006/relationships/hyperlink" Target="http://lseo.com" TargetMode="External"/><Relationship Id="rId1439" Type="http://schemas.openxmlformats.org/officeDocument/2006/relationships/hyperlink" Target="https://www.embarque.io/post/generative-engine-optimization-agency" TargetMode="External"/><Relationship Id="rId609" Type="http://schemas.openxmlformats.org/officeDocument/2006/relationships/hyperlink" Target="http://goodfirms.co" TargetMode="External"/><Relationship Id="rId608" Type="http://schemas.openxmlformats.org/officeDocument/2006/relationships/hyperlink" Target="https://www.goodfirms.co/advertising-companies/creative/usa" TargetMode="External"/><Relationship Id="rId607" Type="http://schemas.openxmlformats.org/officeDocument/2006/relationships/hyperlink" Target="http://gartner.com" TargetMode="External"/><Relationship Id="rId602" Type="http://schemas.openxmlformats.org/officeDocument/2006/relationships/hyperlink" Target="https://firstpagesage.com/seo-blog/top-digital-marketing-agencies/" TargetMode="External"/><Relationship Id="rId601" Type="http://schemas.openxmlformats.org/officeDocument/2006/relationships/hyperlink" Target="http://firstpagesage.com" TargetMode="External"/><Relationship Id="rId600" Type="http://schemas.openxmlformats.org/officeDocument/2006/relationships/hyperlink" Target="https://firstpagesage.com/seo-blog/the-top-generative-engine-optimization-geo-agencies/" TargetMode="External"/><Relationship Id="rId606" Type="http://schemas.openxmlformats.org/officeDocument/2006/relationships/hyperlink" Target="https://www.gartner.com/reviews/market/b2b-multitouch-attribution-tools" TargetMode="External"/><Relationship Id="rId605" Type="http://schemas.openxmlformats.org/officeDocument/2006/relationships/hyperlink" Target="http://forrester.com" TargetMode="External"/><Relationship Id="rId604" Type="http://schemas.openxmlformats.org/officeDocument/2006/relationships/hyperlink" Target="https://www.forrester.com/press-newsroom/forrester-nine-in-10-us-marketing-agencies-use-ai-to-cut-costs-at-the-expense-of-creativity/" TargetMode="External"/><Relationship Id="rId603" Type="http://schemas.openxmlformats.org/officeDocument/2006/relationships/hyperlink" Target="http://firstpagesage.com" TargetMode="External"/><Relationship Id="rId2760" Type="http://schemas.openxmlformats.org/officeDocument/2006/relationships/hyperlink" Target="https://linkupst.com/design/blog-design/new-york-design-agencies" TargetMode="External"/><Relationship Id="rId1430" Type="http://schemas.openxmlformats.org/officeDocument/2006/relationships/hyperlink" Target="http://directiveconsulting.com" TargetMode="External"/><Relationship Id="rId2761" Type="http://schemas.openxmlformats.org/officeDocument/2006/relationships/hyperlink" Target="http://linkupst.com" TargetMode="External"/><Relationship Id="rId1431" Type="http://schemas.openxmlformats.org/officeDocument/2006/relationships/hyperlink" Target="https://directiveconsulting.com/blog/top-25-b2b-enterprise-marketing-agencies/" TargetMode="External"/><Relationship Id="rId2762" Type="http://schemas.openxmlformats.org/officeDocument/2006/relationships/hyperlink" Target="https://www.loopexdigital.com/blog/best-seo-companies-for-phoenix-market" TargetMode="External"/><Relationship Id="rId1432" Type="http://schemas.openxmlformats.org/officeDocument/2006/relationships/hyperlink" Target="http://directiveconsulting.com" TargetMode="External"/><Relationship Id="rId2763" Type="http://schemas.openxmlformats.org/officeDocument/2006/relationships/hyperlink" Target="http://loopexdigital.com" TargetMode="External"/><Relationship Id="rId1422" Type="http://schemas.openxmlformats.org/officeDocument/2006/relationships/hyperlink" Target="http://digipims.com" TargetMode="External"/><Relationship Id="rId2753" Type="http://schemas.openxmlformats.org/officeDocument/2006/relationships/hyperlink" Target="http://linkedin.com" TargetMode="External"/><Relationship Id="rId1423" Type="http://schemas.openxmlformats.org/officeDocument/2006/relationships/hyperlink" Target="https://digitalagencynetwork.com/agencies/" TargetMode="External"/><Relationship Id="rId2754" Type="http://schemas.openxmlformats.org/officeDocument/2006/relationships/hyperlink" Target="https://www.linkedin.com/pulse/30-leading-graphic-design-companies-making-global-impact-lti6f" TargetMode="External"/><Relationship Id="rId1424" Type="http://schemas.openxmlformats.org/officeDocument/2006/relationships/hyperlink" Target="http://digitalagencynetwork.com" TargetMode="External"/><Relationship Id="rId2755" Type="http://schemas.openxmlformats.org/officeDocument/2006/relationships/hyperlink" Target="http://linkedin.com" TargetMode="External"/><Relationship Id="rId1425" Type="http://schemas.openxmlformats.org/officeDocument/2006/relationships/hyperlink" Target="https://digitalagencynetwork.com/best-ai-agents-for-digital-marketing/" TargetMode="External"/><Relationship Id="rId2756" Type="http://schemas.openxmlformats.org/officeDocument/2006/relationships/hyperlink" Target="https://www.linkedin.com/pulse/ai-seo-agencies-softtrix-web-solutions-zaxtc" TargetMode="External"/><Relationship Id="rId1426" Type="http://schemas.openxmlformats.org/officeDocument/2006/relationships/hyperlink" Target="http://digitalagencynetwork.com" TargetMode="External"/><Relationship Id="rId2757" Type="http://schemas.openxmlformats.org/officeDocument/2006/relationships/hyperlink" Target="http://linkedin.com" TargetMode="External"/><Relationship Id="rId1427" Type="http://schemas.openxmlformats.org/officeDocument/2006/relationships/hyperlink" Target="https://www.digitalrhinos.com/saas-marketing-agency/" TargetMode="External"/><Relationship Id="rId2758" Type="http://schemas.openxmlformats.org/officeDocument/2006/relationships/hyperlink" Target="https://www.linkedin.com/pulse/deconstructing-common-solutions-first-party-data-pierre-cholet-booce" TargetMode="External"/><Relationship Id="rId1428" Type="http://schemas.openxmlformats.org/officeDocument/2006/relationships/hyperlink" Target="http://digitalrhinos.com" TargetMode="External"/><Relationship Id="rId2759" Type="http://schemas.openxmlformats.org/officeDocument/2006/relationships/hyperlink" Target="http://linkedin.com" TargetMode="External"/><Relationship Id="rId1429" Type="http://schemas.openxmlformats.org/officeDocument/2006/relationships/hyperlink" Target="https://directiveconsulting.com/blog/10-ai-marketing-agencies-outperforming-the-market/" TargetMode="External"/><Relationship Id="rId2750" Type="http://schemas.openxmlformats.org/officeDocument/2006/relationships/hyperlink" Target="https://www.linkedin.com/posts/clutch-co_top-15-ppc-agencies-clutch-global-fall-2025-activity-7421548745084932096-DYA_" TargetMode="External"/><Relationship Id="rId1420" Type="http://schemas.openxmlformats.org/officeDocument/2006/relationships/hyperlink" Target="http://designrush.com" TargetMode="External"/><Relationship Id="rId2751" Type="http://schemas.openxmlformats.org/officeDocument/2006/relationships/hyperlink" Target="http://linkedin.com" TargetMode="External"/><Relationship Id="rId1421" Type="http://schemas.openxmlformats.org/officeDocument/2006/relationships/hyperlink" Target="https://www.digipims.com/social-media-marketing-agencies-in-usa/" TargetMode="External"/><Relationship Id="rId2752" Type="http://schemas.openxmlformats.org/officeDocument/2006/relationships/hyperlink" Target="https://www.linkedin.com/pulse/10-best-answer-engine-optimization-aeo-agencies-2026-nick-malekos-tkzqf" TargetMode="External"/><Relationship Id="rId3238" Type="http://schemas.openxmlformats.org/officeDocument/2006/relationships/hyperlink" Target="http://signitysolutions.com" TargetMode="External"/><Relationship Id="rId3237" Type="http://schemas.openxmlformats.org/officeDocument/2006/relationships/hyperlink" Target="https://www.signitysolutions.com/blog/top-ai-consulting-firms" TargetMode="External"/><Relationship Id="rId3239" Type="http://schemas.openxmlformats.org/officeDocument/2006/relationships/hyperlink" Target="https://www.silverbackstrategies.com/lists/best-ecommerce-agencies-in-the-us-ranked-reviewed/" TargetMode="External"/><Relationship Id="rId3230" Type="http://schemas.openxmlformats.org/officeDocument/2006/relationships/hyperlink" Target="http://shipmercury.com" TargetMode="External"/><Relationship Id="rId3232" Type="http://schemas.openxmlformats.org/officeDocument/2006/relationships/hyperlink" Target="http://sianamarketing.com" TargetMode="External"/><Relationship Id="rId3231" Type="http://schemas.openxmlformats.org/officeDocument/2006/relationships/hyperlink" Target="https://www.sianamarketing.com/resources/the-top-geo-agencies-2026" TargetMode="External"/><Relationship Id="rId3234" Type="http://schemas.openxmlformats.org/officeDocument/2006/relationships/hyperlink" Target="http://siegemedia.com" TargetMode="External"/><Relationship Id="rId3233" Type="http://schemas.openxmlformats.org/officeDocument/2006/relationships/hyperlink" Target="https://www.siegemedia.com/strategy/best-link-building-services" TargetMode="External"/><Relationship Id="rId3236" Type="http://schemas.openxmlformats.org/officeDocument/2006/relationships/hyperlink" Target="http://siegemedia.com" TargetMode="External"/><Relationship Id="rId3235" Type="http://schemas.openxmlformats.org/officeDocument/2006/relationships/hyperlink" Target="https://www.siegemedia.com/strategy/content-strategy-agency" TargetMode="External"/><Relationship Id="rId3227" Type="http://schemas.openxmlformats.org/officeDocument/2006/relationships/hyperlink" Target="https://shifu-marketing.com/ai-consulting-services/ai-strategy-consulting/" TargetMode="External"/><Relationship Id="rId3226" Type="http://schemas.openxmlformats.org/officeDocument/2006/relationships/hyperlink" Target="http://setupad.com" TargetMode="External"/><Relationship Id="rId3229" Type="http://schemas.openxmlformats.org/officeDocument/2006/relationships/hyperlink" Target="https://www.shipmercury.com/shipping-service/ctpat-consulting" TargetMode="External"/><Relationship Id="rId3228" Type="http://schemas.openxmlformats.org/officeDocument/2006/relationships/hyperlink" Target="http://shifu-marketing.com" TargetMode="External"/><Relationship Id="rId699" Type="http://schemas.openxmlformats.org/officeDocument/2006/relationships/hyperlink" Target="https://www.charleagency.com/articles/top-social-media-marketing-agencies/" TargetMode="External"/><Relationship Id="rId698" Type="http://schemas.openxmlformats.org/officeDocument/2006/relationships/hyperlink" Target="http://aimadethisbrand.com" TargetMode="External"/><Relationship Id="rId693" Type="http://schemas.openxmlformats.org/officeDocument/2006/relationships/hyperlink" Target="https://www.superside.com/blog/ai-design-agencies" TargetMode="External"/><Relationship Id="rId692" Type="http://schemas.openxmlformats.org/officeDocument/2006/relationships/hyperlink" Target="http://superside.com" TargetMode="External"/><Relationship Id="rId691" Type="http://schemas.openxmlformats.org/officeDocument/2006/relationships/hyperlink" Target="https://www.superside.com/blog/ad-creative-agencies" TargetMode="External"/><Relationship Id="rId3221" Type="http://schemas.openxmlformats.org/officeDocument/2006/relationships/hyperlink" Target="https://seostrategylab.com/blog/best-llm-seo-agencies-usa/" TargetMode="External"/><Relationship Id="rId690" Type="http://schemas.openxmlformats.org/officeDocument/2006/relationships/hyperlink" Target="http://starfishco.com" TargetMode="External"/><Relationship Id="rId3220" Type="http://schemas.openxmlformats.org/officeDocument/2006/relationships/hyperlink" Target="http://seobrand.com" TargetMode="External"/><Relationship Id="rId697" Type="http://schemas.openxmlformats.org/officeDocument/2006/relationships/hyperlink" Target="https://aimadethisbrand.com/government-ai-consulting/" TargetMode="External"/><Relationship Id="rId3223" Type="http://schemas.openxmlformats.org/officeDocument/2006/relationships/hyperlink" Target="https://seostrategylab.com/blog/best-technical-seo-agencies-usa/" TargetMode="External"/><Relationship Id="rId696" Type="http://schemas.openxmlformats.org/officeDocument/2006/relationships/hyperlink" Target="http://agencyanalytics.com" TargetMode="External"/><Relationship Id="rId3222" Type="http://schemas.openxmlformats.org/officeDocument/2006/relationships/hyperlink" Target="http://seostrategylab.com" TargetMode="External"/><Relationship Id="rId695" Type="http://schemas.openxmlformats.org/officeDocument/2006/relationships/hyperlink" Target="https://agencyanalytics.com/blog/best-marketing-analytics-tools" TargetMode="External"/><Relationship Id="rId3225" Type="http://schemas.openxmlformats.org/officeDocument/2006/relationships/hyperlink" Target="https://setupad.com/blog/display-advertising-guide/" TargetMode="External"/><Relationship Id="rId694" Type="http://schemas.openxmlformats.org/officeDocument/2006/relationships/hyperlink" Target="http://superside.com" TargetMode="External"/><Relationship Id="rId3224" Type="http://schemas.openxmlformats.org/officeDocument/2006/relationships/hyperlink" Target="http://seostrategylab.com" TargetMode="External"/><Relationship Id="rId3259" Type="http://schemas.openxmlformats.org/officeDocument/2006/relationships/hyperlink" Target="https://slashdot.org/software/incrementality-testing/" TargetMode="External"/><Relationship Id="rId3250" Type="http://schemas.openxmlformats.org/officeDocument/2006/relationships/hyperlink" Target="http://singlegrain.com" TargetMode="External"/><Relationship Id="rId3252" Type="http://schemas.openxmlformats.org/officeDocument/2006/relationships/hyperlink" Target="http://singlegrain.com" TargetMode="External"/><Relationship Id="rId3251" Type="http://schemas.openxmlformats.org/officeDocument/2006/relationships/hyperlink" Target="https://www.singlegrain.com/?p=69273" TargetMode="External"/><Relationship Id="rId3254" Type="http://schemas.openxmlformats.org/officeDocument/2006/relationships/hyperlink" Target="http://singlestoneconsulting.com" TargetMode="External"/><Relationship Id="rId3253" Type="http://schemas.openxmlformats.org/officeDocument/2006/relationships/hyperlink" Target="https://www.singlestoneconsulting.com/blog/best-data-modernization-services" TargetMode="External"/><Relationship Id="rId3256" Type="http://schemas.openxmlformats.org/officeDocument/2006/relationships/hyperlink" Target="http://skai.io" TargetMode="External"/><Relationship Id="rId3255" Type="http://schemas.openxmlformats.org/officeDocument/2006/relationships/hyperlink" Target="https://skai.io/blog/a-dozen-examples-of-incrementality-tests/" TargetMode="External"/><Relationship Id="rId3258" Type="http://schemas.openxmlformats.org/officeDocument/2006/relationships/hyperlink" Target="http://skipthenoisemedia.com" TargetMode="External"/><Relationship Id="rId3257" Type="http://schemas.openxmlformats.org/officeDocument/2006/relationships/hyperlink" Target="https://skipthenoisemedia.com/" TargetMode="External"/><Relationship Id="rId3249" Type="http://schemas.openxmlformats.org/officeDocument/2006/relationships/hyperlink" Target="https://www.singlegrain.com/?p=69243" TargetMode="External"/><Relationship Id="rId3248" Type="http://schemas.openxmlformats.org/officeDocument/2006/relationships/hyperlink" Target="http://singlegrain.com" TargetMode="External"/><Relationship Id="rId3241" Type="http://schemas.openxmlformats.org/officeDocument/2006/relationships/hyperlink" Target="https://www.silverbackstrategies.com/services/measurement/incrementality-testing/" TargetMode="External"/><Relationship Id="rId3240" Type="http://schemas.openxmlformats.org/officeDocument/2006/relationships/hyperlink" Target="http://silverbackstrategies.com" TargetMode="External"/><Relationship Id="rId3243" Type="http://schemas.openxmlformats.org/officeDocument/2006/relationships/hyperlink" Target="https://simplythebestdigital.com/best-digital-marketing-agencies-usa/" TargetMode="External"/><Relationship Id="rId3242" Type="http://schemas.openxmlformats.org/officeDocument/2006/relationships/hyperlink" Target="http://silverbackstrategies.com" TargetMode="External"/><Relationship Id="rId3245" Type="http://schemas.openxmlformats.org/officeDocument/2006/relationships/hyperlink" Target="https://sinfa.com/" TargetMode="External"/><Relationship Id="rId3244" Type="http://schemas.openxmlformats.org/officeDocument/2006/relationships/hyperlink" Target="http://simplythebestdigital.com" TargetMode="External"/><Relationship Id="rId3247" Type="http://schemas.openxmlformats.org/officeDocument/2006/relationships/hyperlink" Target="https://www.singlegrain.com/" TargetMode="External"/><Relationship Id="rId3246" Type="http://schemas.openxmlformats.org/officeDocument/2006/relationships/hyperlink" Target="http://sinfa.com" TargetMode="External"/><Relationship Id="rId1499" Type="http://schemas.openxmlformats.org/officeDocument/2006/relationships/hyperlink" Target="http://intuz.com" TargetMode="External"/><Relationship Id="rId668" Type="http://schemas.openxmlformats.org/officeDocument/2006/relationships/hyperlink" Target="https://museaward.com/top-agencies.php" TargetMode="External"/><Relationship Id="rId667" Type="http://schemas.openxmlformats.org/officeDocument/2006/relationships/hyperlink" Target="http://measured.com" TargetMode="External"/><Relationship Id="rId666" Type="http://schemas.openxmlformats.org/officeDocument/2006/relationships/hyperlink" Target="https://www.measured.com/faq/top-10-best-media-mix-modeling-companies-software-for-2025/" TargetMode="External"/><Relationship Id="rId665" Type="http://schemas.openxmlformats.org/officeDocument/2006/relationships/hyperlink" Target="http://liftlab.com" TargetMode="External"/><Relationship Id="rId669" Type="http://schemas.openxmlformats.org/officeDocument/2006/relationships/hyperlink" Target="http://museaward.com" TargetMode="External"/><Relationship Id="rId1490" Type="http://schemas.openxmlformats.org/officeDocument/2006/relationships/hyperlink" Target="https://www.incrmntal.com/faq/what-is-incrementality-testing" TargetMode="External"/><Relationship Id="rId660" Type="http://schemas.openxmlformats.org/officeDocument/2006/relationships/hyperlink" Target="https://www.gtm8020.com/blog/marketing-analytics-agencies-b2b" TargetMode="External"/><Relationship Id="rId1491" Type="http://schemas.openxmlformats.org/officeDocument/2006/relationships/hyperlink" Target="http://incrmntal.com" TargetMode="External"/><Relationship Id="rId1492" Type="http://schemas.openxmlformats.org/officeDocument/2006/relationships/hyperlink" Target="https://indatalabs.com/blog/ai-consulting-companies-in-usa" TargetMode="External"/><Relationship Id="rId1493" Type="http://schemas.openxmlformats.org/officeDocument/2006/relationships/hyperlink" Target="http://indatalabs.com" TargetMode="External"/><Relationship Id="rId1494" Type="http://schemas.openxmlformats.org/officeDocument/2006/relationships/hyperlink" Target="https://indatalabs.com/blog/data-analytics-companies-in-usa" TargetMode="External"/><Relationship Id="rId664" Type="http://schemas.openxmlformats.org/officeDocument/2006/relationships/hyperlink" Target="https://liftlab.com/blog/best-mmm-platforms-2026/" TargetMode="External"/><Relationship Id="rId1495" Type="http://schemas.openxmlformats.org/officeDocument/2006/relationships/hyperlink" Target="http://indatalabs.com" TargetMode="External"/><Relationship Id="rId663" Type="http://schemas.openxmlformats.org/officeDocument/2006/relationships/hyperlink" Target="http://intlda.com" TargetMode="External"/><Relationship Id="rId1496" Type="http://schemas.openxmlformats.org/officeDocument/2006/relationships/hyperlink" Target="https://ingestlabs.com/top-digital-ad-agencies/" TargetMode="External"/><Relationship Id="rId662" Type="http://schemas.openxmlformats.org/officeDocument/2006/relationships/hyperlink" Target="https://www.intlda.com/" TargetMode="External"/><Relationship Id="rId1497" Type="http://schemas.openxmlformats.org/officeDocument/2006/relationships/hyperlink" Target="http://ingestlabs.com" TargetMode="External"/><Relationship Id="rId661" Type="http://schemas.openxmlformats.org/officeDocument/2006/relationships/hyperlink" Target="http://gtm8020.com" TargetMode="External"/><Relationship Id="rId1498" Type="http://schemas.openxmlformats.org/officeDocument/2006/relationships/hyperlink" Target="https://www.intuz.com/blog/top-ai-consulting-companies-in-usa" TargetMode="External"/><Relationship Id="rId1488" Type="http://schemas.openxmlformats.org/officeDocument/2006/relationships/hyperlink" Target="https://www.incrmntal.com/" TargetMode="External"/><Relationship Id="rId1489" Type="http://schemas.openxmlformats.org/officeDocument/2006/relationships/hyperlink" Target="http://incrmntal.com" TargetMode="External"/><Relationship Id="rId657" Type="http://schemas.openxmlformats.org/officeDocument/2006/relationships/hyperlink" Target="http://goodfirms.co" TargetMode="External"/><Relationship Id="rId656" Type="http://schemas.openxmlformats.org/officeDocument/2006/relationships/hyperlink" Target="https://www.goodfirms.co/directory/country/top-digital-marketing-companies/media-planning-buying/usa" TargetMode="External"/><Relationship Id="rId655" Type="http://schemas.openxmlformats.org/officeDocument/2006/relationships/hyperlink" Target="http://goodfirms.co" TargetMode="External"/><Relationship Id="rId654" Type="http://schemas.openxmlformats.org/officeDocument/2006/relationships/hyperlink" Target="https://www.goodfirms.co/directory/country/top-digital-marketing-companies/advertising-ppc/usa" TargetMode="External"/><Relationship Id="rId659" Type="http://schemas.openxmlformats.org/officeDocument/2006/relationships/hyperlink" Target="http://grizzle.io" TargetMode="External"/><Relationship Id="rId658" Type="http://schemas.openxmlformats.org/officeDocument/2006/relationships/hyperlink" Target="https://grizzle.io/blog/best-generative-engine-optimization-agencies-for-b2b" TargetMode="External"/><Relationship Id="rId1480" Type="http://schemas.openxmlformats.org/officeDocument/2006/relationships/hyperlink" Target="http://heydigital.co" TargetMode="External"/><Relationship Id="rId1481" Type="http://schemas.openxmlformats.org/officeDocument/2006/relationships/hyperlink" Target="https://hivergentai.com/" TargetMode="External"/><Relationship Id="rId1482" Type="http://schemas.openxmlformats.org/officeDocument/2006/relationships/hyperlink" Target="http://hivergentai.com" TargetMode="External"/><Relationship Id="rId1483" Type="http://schemas.openxmlformats.org/officeDocument/2006/relationships/hyperlink" Target="https://www.iab.com/wp-content/uploads/2026/01/IAB_StateofDataReport_February_2026pdf.pdf" TargetMode="External"/><Relationship Id="rId653" Type="http://schemas.openxmlformats.org/officeDocument/2006/relationships/hyperlink" Target="http://goodfirms.co" TargetMode="External"/><Relationship Id="rId1484" Type="http://schemas.openxmlformats.org/officeDocument/2006/relationships/hyperlink" Target="http://iab.com" TargetMode="External"/><Relationship Id="rId652" Type="http://schemas.openxmlformats.org/officeDocument/2006/relationships/hyperlink" Target="https://www.goodfirms.co/advertising-companies/programmatic" TargetMode="External"/><Relationship Id="rId1485" Type="http://schemas.openxmlformats.org/officeDocument/2006/relationships/hyperlink" Target="https://icoda.io/ai/best-ai-marketing-agencies-in-the-usa/" TargetMode="External"/><Relationship Id="rId651" Type="http://schemas.openxmlformats.org/officeDocument/2006/relationships/hyperlink" Target="https://www.fieldtrip.agency/post/best-ai-marketing-agencies" TargetMode="External"/><Relationship Id="rId1486" Type="http://schemas.openxmlformats.org/officeDocument/2006/relationships/hyperlink" Target="http://icoda.io" TargetMode="External"/><Relationship Id="rId650" Type="http://schemas.openxmlformats.org/officeDocument/2006/relationships/hyperlink" Target="http://cometly.com" TargetMode="External"/><Relationship Id="rId1487" Type="http://schemas.openxmlformats.org/officeDocument/2006/relationships/hyperlink" Target="https://inbeat.agency/blog/top-paid-media-agencies-in-nyc" TargetMode="External"/><Relationship Id="rId3216" Type="http://schemas.openxmlformats.org/officeDocument/2006/relationships/hyperlink" Target="http://semrush.com" TargetMode="External"/><Relationship Id="rId3215" Type="http://schemas.openxmlformats.org/officeDocument/2006/relationships/hyperlink" Target="https://www.semrush.com/agencies/list/display-advertising/information-technology/united-states/" TargetMode="External"/><Relationship Id="rId3218" Type="http://schemas.openxmlformats.org/officeDocument/2006/relationships/hyperlink" Target="http://seo.com" TargetMode="External"/><Relationship Id="rId3217" Type="http://schemas.openxmlformats.org/officeDocument/2006/relationships/hyperlink" Target="https://www.seo.com/ai/services/" TargetMode="External"/><Relationship Id="rId3219" Type="http://schemas.openxmlformats.org/officeDocument/2006/relationships/hyperlink" Target="https://www.seobrand.com/ai-seo-services/" TargetMode="External"/><Relationship Id="rId689" Type="http://schemas.openxmlformats.org/officeDocument/2006/relationships/hyperlink" Target="https://www.starfishco.com/branding/10-must%E2%80%91know-branding-agencies-in-2026-for-creative-campaigns/" TargetMode="External"/><Relationship Id="rId688" Type="http://schemas.openxmlformats.org/officeDocument/2006/relationships/hyperlink" Target="http://sortlist.com" TargetMode="External"/><Relationship Id="rId687" Type="http://schemas.openxmlformats.org/officeDocument/2006/relationships/hyperlink" Target="https://www.sortlist.com/s/international-marketing/united-states-us" TargetMode="External"/><Relationship Id="rId682" Type="http://schemas.openxmlformats.org/officeDocument/2006/relationships/hyperlink" Target="http://reddit.com" TargetMode="External"/><Relationship Id="rId681" Type="http://schemas.openxmlformats.org/officeDocument/2006/relationships/hyperlink" Target="https://www.reddit.com/r/u_Large_Let1715/comments/1tdt8px/best_marketing_analytics_firms_a_complete/" TargetMode="External"/><Relationship Id="rId680" Type="http://schemas.openxmlformats.org/officeDocument/2006/relationships/hyperlink" Target="http://ragan.com" TargetMode="External"/><Relationship Id="rId3210" Type="http://schemas.openxmlformats.org/officeDocument/2006/relationships/hyperlink" Target="http://selectedfirms.co" TargetMode="External"/><Relationship Id="rId686" Type="http://schemas.openxmlformats.org/officeDocument/2006/relationships/hyperlink" Target="http://singlegrain.com" TargetMode="External"/><Relationship Id="rId3212" Type="http://schemas.openxmlformats.org/officeDocument/2006/relationships/hyperlink" Target="http://selectedfirms.co" TargetMode="External"/><Relationship Id="rId685" Type="http://schemas.openxmlformats.org/officeDocument/2006/relationships/hyperlink" Target="https://www.singlegrain.com/aeo/top-14-aeo-agencies-in-2025/" TargetMode="External"/><Relationship Id="rId3211" Type="http://schemas.openxmlformats.org/officeDocument/2006/relationships/hyperlink" Target="https://selectedfirms.co/companies/digital-marketing-agencies/usa" TargetMode="External"/><Relationship Id="rId684" Type="http://schemas.openxmlformats.org/officeDocument/2006/relationships/hyperlink" Target="http://respona.com" TargetMode="External"/><Relationship Id="rId3214" Type="http://schemas.openxmlformats.org/officeDocument/2006/relationships/hyperlink" Target="http://semnexus.com" TargetMode="External"/><Relationship Id="rId683" Type="http://schemas.openxmlformats.org/officeDocument/2006/relationships/hyperlink" Target="https://respona.com/blog/answer-engine-optimization-agencies/" TargetMode="External"/><Relationship Id="rId3213" Type="http://schemas.openxmlformats.org/officeDocument/2006/relationships/hyperlink" Target="https://semnexus.com/top-ai-powered-marketing-agencies-in-2026-ranked-by-innovation-performance/" TargetMode="External"/><Relationship Id="rId3205" Type="http://schemas.openxmlformats.org/officeDocument/2006/relationships/hyperlink" Target="https://segmetrics.io/articles/the-best-marketing-attribution-tools-for-2026-and-how-to-choose-the-right-one/" TargetMode="External"/><Relationship Id="rId3204" Type="http://schemas.openxmlformats.org/officeDocument/2006/relationships/hyperlink" Target="http://segmentstream.com" TargetMode="External"/><Relationship Id="rId3207" Type="http://schemas.openxmlformats.org/officeDocument/2006/relationships/hyperlink" Target="https://www.sei.com/our-services/ai-readiness-assessments/" TargetMode="External"/><Relationship Id="rId3206" Type="http://schemas.openxmlformats.org/officeDocument/2006/relationships/hyperlink" Target="http://segmetrics.io" TargetMode="External"/><Relationship Id="rId3209" Type="http://schemas.openxmlformats.org/officeDocument/2006/relationships/hyperlink" Target="https://selectedfirms.co/companies/aeo-companies" TargetMode="External"/><Relationship Id="rId3208" Type="http://schemas.openxmlformats.org/officeDocument/2006/relationships/hyperlink" Target="http://sei.com" TargetMode="External"/><Relationship Id="rId679" Type="http://schemas.openxmlformats.org/officeDocument/2006/relationships/hyperlink" Target="https://www.ragan.com/press-releases/ragans-center-for-ai-strategy-launches-ai-team-readiness-assessment/" TargetMode="External"/><Relationship Id="rId678" Type="http://schemas.openxmlformats.org/officeDocument/2006/relationships/hyperlink" Target="http://plerdy.com" TargetMode="External"/><Relationship Id="rId677" Type="http://schemas.openxmlformats.org/officeDocument/2006/relationships/hyperlink" Target="https://www.plerdy.com/blog/digital-marketing-agencies-in-the-united-states/" TargetMode="External"/><Relationship Id="rId676" Type="http://schemas.openxmlformats.org/officeDocument/2006/relationships/hyperlink" Target="https://piperocket.digital/list/best-geo-agencies/" TargetMode="External"/><Relationship Id="rId671" Type="http://schemas.openxmlformats.org/officeDocument/2006/relationships/hyperlink" Target="http://neurons-lab.com" TargetMode="External"/><Relationship Id="rId670" Type="http://schemas.openxmlformats.org/officeDocument/2006/relationships/hyperlink" Target="https://neurons-lab.com/articles/top-ai-consulting-firms/" TargetMode="External"/><Relationship Id="rId675" Type="http://schemas.openxmlformats.org/officeDocument/2006/relationships/hyperlink" Target="http://pikaseo.com" TargetMode="External"/><Relationship Id="rId3201" Type="http://schemas.openxmlformats.org/officeDocument/2006/relationships/hyperlink" Target="https://www.seerinteractive.com/news/seer-interactive-named-a-2026-google-premier-partner" TargetMode="External"/><Relationship Id="rId674" Type="http://schemas.openxmlformats.org/officeDocument/2006/relationships/hyperlink" Target="https://pikaseo.com/articles/best-ai-seo-agencies" TargetMode="External"/><Relationship Id="rId3200" Type="http://schemas.openxmlformats.org/officeDocument/2006/relationships/hyperlink" Target="http://seedcreativestudio.com" TargetMode="External"/><Relationship Id="rId673" Type="http://schemas.openxmlformats.org/officeDocument/2006/relationships/hyperlink" Target="http://outreachz.com" TargetMode="External"/><Relationship Id="rId3203" Type="http://schemas.openxmlformats.org/officeDocument/2006/relationships/hyperlink" Target="https://segmentstream.com/blog/articles/best-marketing-intelligence-tools" TargetMode="External"/><Relationship Id="rId672" Type="http://schemas.openxmlformats.org/officeDocument/2006/relationships/hyperlink" Target="https://outreachz.com/blog/best-ai-marketing-agencies-2026/" TargetMode="External"/><Relationship Id="rId3202" Type="http://schemas.openxmlformats.org/officeDocument/2006/relationships/hyperlink" Target="http://seerinteractive.com" TargetMode="External"/><Relationship Id="rId190" Type="http://schemas.openxmlformats.org/officeDocument/2006/relationships/hyperlink" Target="https://agencies.semrush.com/list/ai-optimization/united-states/" TargetMode="External"/><Relationship Id="rId194" Type="http://schemas.openxmlformats.org/officeDocument/2006/relationships/hyperlink" Target="https://www.designrush.com/agency/digital-marketing/performance-marketing-agencies" TargetMode="External"/><Relationship Id="rId193" Type="http://schemas.openxmlformats.org/officeDocument/2006/relationships/hyperlink" Target="http://clicksgeek.com" TargetMode="External"/><Relationship Id="rId192" Type="http://schemas.openxmlformats.org/officeDocument/2006/relationships/hyperlink" Target="https://clicksgeek.com/marketing-attribution-tracking-services/" TargetMode="External"/><Relationship Id="rId191" Type="http://schemas.openxmlformats.org/officeDocument/2006/relationships/hyperlink" Target="http://semrush.com" TargetMode="External"/><Relationship Id="rId187" Type="http://schemas.openxmlformats.org/officeDocument/2006/relationships/hyperlink" Target="http://segmentstream.com" TargetMode="External"/><Relationship Id="rId186" Type="http://schemas.openxmlformats.org/officeDocument/2006/relationships/hyperlink" Target="https://segmentstream.com/blog/articles/top-10-incrementality-testing-tools" TargetMode="External"/><Relationship Id="rId185" Type="http://schemas.openxmlformats.org/officeDocument/2006/relationships/hyperlink" Target="http://searchbloom.com" TargetMode="External"/><Relationship Id="rId184" Type="http://schemas.openxmlformats.org/officeDocument/2006/relationships/hyperlink" Target="https://www.searchbloom.com/strategy/5-top-rated-google-ads-agencies/" TargetMode="External"/><Relationship Id="rId189" Type="http://schemas.openxmlformats.org/officeDocument/2006/relationships/hyperlink" Target="http://adbeacon.com" TargetMode="External"/><Relationship Id="rId188" Type="http://schemas.openxmlformats.org/officeDocument/2006/relationships/hyperlink" Target="https://www.adbeacon.com/19-best-marketing-attribution-software-solutions-in-2026/" TargetMode="External"/><Relationship Id="rId183" Type="http://schemas.openxmlformats.org/officeDocument/2006/relationships/hyperlink" Target="http://ritnerdigital.com" TargetMode="External"/><Relationship Id="rId182" Type="http://schemas.openxmlformats.org/officeDocument/2006/relationships/hyperlink" Target="https://www.ritnerdigital.com/blog/best-ai-search-agencies-in-the-us" TargetMode="External"/><Relationship Id="rId181" Type="http://schemas.openxmlformats.org/officeDocument/2006/relationships/hyperlink" Target="http://qoulomb.com" TargetMode="External"/><Relationship Id="rId180" Type="http://schemas.openxmlformats.org/officeDocument/2006/relationships/hyperlink" Target="https://qoulomb.com/best-geo-agencies-in-the-usa/" TargetMode="External"/><Relationship Id="rId176" Type="http://schemas.openxmlformats.org/officeDocument/2006/relationships/hyperlink" Target="https://www.dataally.ai/blog/best-performance-marketing-agencies" TargetMode="External"/><Relationship Id="rId175" Type="http://schemas.openxmlformats.org/officeDocument/2006/relationships/hyperlink" Target="http://semrush.com" TargetMode="External"/><Relationship Id="rId174" Type="http://schemas.openxmlformats.org/officeDocument/2006/relationships/hyperlink" Target="https://agencies.semrush.com/list/smm/united-states/" TargetMode="External"/><Relationship Id="rId173" Type="http://schemas.openxmlformats.org/officeDocument/2006/relationships/hyperlink" Target="http://thesocialshepherd.com" TargetMode="External"/><Relationship Id="rId179" Type="http://schemas.openxmlformats.org/officeDocument/2006/relationships/hyperlink" Target="http://primeavenuegroup.com" TargetMode="External"/><Relationship Id="rId178" Type="http://schemas.openxmlformats.org/officeDocument/2006/relationships/hyperlink" Target="https://primeavenuegroup.com/best-aeo-agencies/" TargetMode="External"/><Relationship Id="rId177" Type="http://schemas.openxmlformats.org/officeDocument/2006/relationships/hyperlink" Target="http://dataally.ai" TargetMode="External"/><Relationship Id="rId198" Type="http://schemas.openxmlformats.org/officeDocument/2006/relationships/hyperlink" Target="https://partnersdirectory.withgoogle.com/" TargetMode="External"/><Relationship Id="rId197" Type="http://schemas.openxmlformats.org/officeDocument/2006/relationships/hyperlink" Target="http://gartner.com" TargetMode="External"/><Relationship Id="rId196" Type="http://schemas.openxmlformats.org/officeDocument/2006/relationships/hyperlink" Target="https://www.gartner.com/reviews/market/advanced-analytics-service-providers-for-marketing" TargetMode="External"/><Relationship Id="rId195" Type="http://schemas.openxmlformats.org/officeDocument/2006/relationships/hyperlink" Target="http://designrush.com" TargetMode="External"/><Relationship Id="rId199" Type="http://schemas.openxmlformats.org/officeDocument/2006/relationships/hyperlink" Target="http://withgoogle.com" TargetMode="External"/><Relationship Id="rId150" Type="http://schemas.openxmlformats.org/officeDocument/2006/relationships/hyperlink" Target="https://www.haus.io/blog/choosing-the-best-incrementality-testing-tool" TargetMode="External"/><Relationship Id="rId149" Type="http://schemas.openxmlformats.org/officeDocument/2006/relationships/hyperlink" Target="http://designrush.com" TargetMode="External"/><Relationship Id="rId148" Type="http://schemas.openxmlformats.org/officeDocument/2006/relationships/hyperlink" Target="https://www.designrush.com/agency/digital-marketing/analytics" TargetMode="External"/><Relationship Id="rId3270" Type="http://schemas.openxmlformats.org/officeDocument/2006/relationships/hyperlink" Target="http://smartsites.com" TargetMode="External"/><Relationship Id="rId3272" Type="http://schemas.openxmlformats.org/officeDocument/2006/relationships/hyperlink" Target="http://snov.io" TargetMode="External"/><Relationship Id="rId3271" Type="http://schemas.openxmlformats.org/officeDocument/2006/relationships/hyperlink" Target="https://snov.io/blog/best-digital-marketing-platforms/" TargetMode="External"/><Relationship Id="rId143" Type="http://schemas.openxmlformats.org/officeDocument/2006/relationships/hyperlink" Target="http://solved6.com" TargetMode="External"/><Relationship Id="rId3274" Type="http://schemas.openxmlformats.org/officeDocument/2006/relationships/hyperlink" Target="http://socialander.com" TargetMode="External"/><Relationship Id="rId142" Type="http://schemas.openxmlformats.org/officeDocument/2006/relationships/hyperlink" Target="https://www.solved6.com/blogs/best-digital-marketing-agencies-usa-2026_report" TargetMode="External"/><Relationship Id="rId3273" Type="http://schemas.openxmlformats.org/officeDocument/2006/relationships/hyperlink" Target="https://socialander.com/top-digital-marketing-companies-in-usa/" TargetMode="External"/><Relationship Id="rId141" Type="http://schemas.openxmlformats.org/officeDocument/2006/relationships/hyperlink" Target="http://sociallyin.com" TargetMode="External"/><Relationship Id="rId3276" Type="http://schemas.openxmlformats.org/officeDocument/2006/relationships/hyperlink" Target="http://sociallyin.com" TargetMode="External"/><Relationship Id="rId140" Type="http://schemas.openxmlformats.org/officeDocument/2006/relationships/hyperlink" Target="https://sociallyin.com/resources/top-google-ads-agencies-us/" TargetMode="External"/><Relationship Id="rId3275" Type="http://schemas.openxmlformats.org/officeDocument/2006/relationships/hyperlink" Target="https://sociallyin.com/resources/top-creative-strategy-agencies-us/" TargetMode="External"/><Relationship Id="rId147" Type="http://schemas.openxmlformats.org/officeDocument/2006/relationships/hyperlink" Target="http://aeovision.ai" TargetMode="External"/><Relationship Id="rId3278" Type="http://schemas.openxmlformats.org/officeDocument/2006/relationships/hyperlink" Target="http://sociallyin.com" TargetMode="External"/><Relationship Id="rId146" Type="http://schemas.openxmlformats.org/officeDocument/2006/relationships/hyperlink" Target="https://aeovision.ai/articles/best-aeo-geo-agencies-2026/" TargetMode="External"/><Relationship Id="rId3277" Type="http://schemas.openxmlformats.org/officeDocument/2006/relationships/hyperlink" Target="https://sociallyin.com/resources/top-social-media-agencies-in-us/" TargetMode="External"/><Relationship Id="rId145" Type="http://schemas.openxmlformats.org/officeDocument/2006/relationships/hyperlink" Target="http://uforocks.com" TargetMode="External"/><Relationship Id="rId144" Type="http://schemas.openxmlformats.org/officeDocument/2006/relationships/hyperlink" Target="https://www.uforocks.com/blog/top-ai-marketing-agencies-in-the-u-s/" TargetMode="External"/><Relationship Id="rId3279" Type="http://schemas.openxmlformats.org/officeDocument/2006/relationships/hyperlink" Target="https://sociallypowerful.com/post/top-international-marketing-agencies" TargetMode="External"/><Relationship Id="rId139" Type="http://schemas.openxmlformats.org/officeDocument/2006/relationships/hyperlink" Target="http://revvgrowth.com" TargetMode="External"/><Relationship Id="rId138" Type="http://schemas.openxmlformats.org/officeDocument/2006/relationships/hyperlink" Target="https://www.revvgrowth.com/aeo/aeo-agency-in-usa" TargetMode="External"/><Relationship Id="rId137" Type="http://schemas.openxmlformats.org/officeDocument/2006/relationships/hyperlink" Target="http://nogood.io" TargetMode="External"/><Relationship Id="rId3261" Type="http://schemas.openxmlformats.org/officeDocument/2006/relationships/hyperlink" Target="https://slashdot.org/software/incrementality-testing/in-usa/" TargetMode="External"/><Relationship Id="rId3260" Type="http://schemas.openxmlformats.org/officeDocument/2006/relationships/hyperlink" Target="http://slashdot.org" TargetMode="External"/><Relationship Id="rId132" Type="http://schemas.openxmlformats.org/officeDocument/2006/relationships/hyperlink" Target="https://www.alphaapexgroup.com/blog/top-ai-consulting-firms" TargetMode="External"/><Relationship Id="rId3263" Type="http://schemas.openxmlformats.org/officeDocument/2006/relationships/hyperlink" Target="https://www.smartosc.com/10-best-ai-services-in-japan/" TargetMode="External"/><Relationship Id="rId131" Type="http://schemas.openxmlformats.org/officeDocument/2006/relationships/hyperlink" Target="http://agencycluster.com" TargetMode="External"/><Relationship Id="rId3262" Type="http://schemas.openxmlformats.org/officeDocument/2006/relationships/hyperlink" Target="http://slashdot.org" TargetMode="External"/><Relationship Id="rId130" Type="http://schemas.openxmlformats.org/officeDocument/2006/relationships/hyperlink" Target="https://www.agencycluster.com/top-25/branding-creative-agencies" TargetMode="External"/><Relationship Id="rId3265" Type="http://schemas.openxmlformats.org/officeDocument/2006/relationships/hyperlink" Target="https://www.smartsites.com/blog/the-different-types-of-ppc-ads/" TargetMode="External"/><Relationship Id="rId3264" Type="http://schemas.openxmlformats.org/officeDocument/2006/relationships/hyperlink" Target="http://smartosc.com" TargetMode="External"/><Relationship Id="rId136" Type="http://schemas.openxmlformats.org/officeDocument/2006/relationships/hyperlink" Target="https://nogood.io/blog/marketing-agencies-usa/" TargetMode="External"/><Relationship Id="rId3267" Type="http://schemas.openxmlformats.org/officeDocument/2006/relationships/hyperlink" Target="https://www.smartsites.com/ppc-marketing/display-advertising/" TargetMode="External"/><Relationship Id="rId135" Type="http://schemas.openxmlformats.org/officeDocument/2006/relationships/hyperlink" Target="http://clutch.co" TargetMode="External"/><Relationship Id="rId3266" Type="http://schemas.openxmlformats.org/officeDocument/2006/relationships/hyperlink" Target="http://smartsites.com" TargetMode="External"/><Relationship Id="rId134" Type="http://schemas.openxmlformats.org/officeDocument/2006/relationships/hyperlink" Target="https://clutch.co/agencies/performance-marketing" TargetMode="External"/><Relationship Id="rId3269" Type="http://schemas.openxmlformats.org/officeDocument/2006/relationships/hyperlink" Target="https://www.smartsites.com/web-design/graphics-digital/web-display-banners/" TargetMode="External"/><Relationship Id="rId133" Type="http://schemas.openxmlformats.org/officeDocument/2006/relationships/hyperlink" Target="http://alphaapexgroup.com" TargetMode="External"/><Relationship Id="rId3268" Type="http://schemas.openxmlformats.org/officeDocument/2006/relationships/hyperlink" Target="http://smartsites.com" TargetMode="External"/><Relationship Id="rId172" Type="http://schemas.openxmlformats.org/officeDocument/2006/relationships/hyperlink" Target="https://thesocialshepherd.com/blog/top-creative-agencies-us" TargetMode="External"/><Relationship Id="rId171" Type="http://schemas.openxmlformats.org/officeDocument/2006/relationships/hyperlink" Target="http://lyfemarketing.com" TargetMode="External"/><Relationship Id="rId170" Type="http://schemas.openxmlformats.org/officeDocument/2006/relationships/hyperlink" Target="https://www.lyfemarketing.com/blog/top-paid-media-agencies-us/" TargetMode="External"/><Relationship Id="rId3290" Type="http://schemas.openxmlformats.org/officeDocument/2006/relationships/hyperlink" Target="http://sortlist.com" TargetMode="External"/><Relationship Id="rId3292" Type="http://schemas.openxmlformats.org/officeDocument/2006/relationships/hyperlink" Target="http://sortlist.com" TargetMode="External"/><Relationship Id="rId3291" Type="http://schemas.openxmlformats.org/officeDocument/2006/relationships/hyperlink" Target="https://www.sortlist.com/paid-media" TargetMode="External"/><Relationship Id="rId3294" Type="http://schemas.openxmlformats.org/officeDocument/2006/relationships/hyperlink" Target="http://sortlist.com" TargetMode="External"/><Relationship Id="rId3293" Type="http://schemas.openxmlformats.org/officeDocument/2006/relationships/hyperlink" Target="https://www.sortlist.com/performance-marketing" TargetMode="External"/><Relationship Id="rId165" Type="http://schemas.openxmlformats.org/officeDocument/2006/relationships/hyperlink" Target="http://g2.com" TargetMode="External"/><Relationship Id="rId3296" Type="http://schemas.openxmlformats.org/officeDocument/2006/relationships/hyperlink" Target="http://sortlist.com" TargetMode="External"/><Relationship Id="rId164" Type="http://schemas.openxmlformats.org/officeDocument/2006/relationships/hyperlink" Target="https://www.g2.com/categories/marketing-analytics-services" TargetMode="External"/><Relationship Id="rId3295" Type="http://schemas.openxmlformats.org/officeDocument/2006/relationships/hyperlink" Target="https://www.sortlist.com/s/artificial-intelligence/united-states-us" TargetMode="External"/><Relationship Id="rId163" Type="http://schemas.openxmlformats.org/officeDocument/2006/relationships/hyperlink" Target="http://clutch.co" TargetMode="External"/><Relationship Id="rId3298" Type="http://schemas.openxmlformats.org/officeDocument/2006/relationships/hyperlink" Target="http://sortlist.com" TargetMode="External"/><Relationship Id="rId162" Type="http://schemas.openxmlformats.org/officeDocument/2006/relationships/hyperlink" Target="https://clutch.co/us/seo-firms/generative-engine-optimization" TargetMode="External"/><Relationship Id="rId3297" Type="http://schemas.openxmlformats.org/officeDocument/2006/relationships/hyperlink" Target="https://www.sortlist.com/s/display-advertising/los-angeles-ca-us" TargetMode="External"/><Relationship Id="rId169" Type="http://schemas.openxmlformats.org/officeDocument/2006/relationships/hyperlink" Target="http://lifesight.io" TargetMode="External"/><Relationship Id="rId168" Type="http://schemas.openxmlformats.org/officeDocument/2006/relationships/hyperlink" Target="https://lifesight.io/blog/best-incrementality-testing-tools/" TargetMode="External"/><Relationship Id="rId3299" Type="http://schemas.openxmlformats.org/officeDocument/2006/relationships/hyperlink" Target="https://www.sortlist.com/s/display-advertising/nashville-tn-us" TargetMode="External"/><Relationship Id="rId167" Type="http://schemas.openxmlformats.org/officeDocument/2006/relationships/hyperlink" Target="http://growthspreeofficial.com" TargetMode="External"/><Relationship Id="rId166" Type="http://schemas.openxmlformats.org/officeDocument/2006/relationships/hyperlink" Target="https://www.growthspreeofficial.com/blogs/top-6-ai-powered-b2b-saas-marketing-agencies-in-the-united-states-2026" TargetMode="External"/><Relationship Id="rId161" Type="http://schemas.openxmlformats.org/officeDocument/2006/relationships/hyperlink" Target="http://yesoptimist.com" TargetMode="External"/><Relationship Id="rId160" Type="http://schemas.openxmlformats.org/officeDocument/2006/relationships/hyperlink" Target="https://www.yesoptimist.com/best-ai-seo-agencies/" TargetMode="External"/><Relationship Id="rId159" Type="http://schemas.openxmlformats.org/officeDocument/2006/relationships/hyperlink" Target="http://thriveagency.com" TargetMode="External"/><Relationship Id="rId3281" Type="http://schemas.openxmlformats.org/officeDocument/2006/relationships/hyperlink" Target="https://sociallypowerful.com/post/top-retail-marketing-agencies" TargetMode="External"/><Relationship Id="rId3280" Type="http://schemas.openxmlformats.org/officeDocument/2006/relationships/hyperlink" Target="http://sociallypowerful.com" TargetMode="External"/><Relationship Id="rId3283" Type="http://schemas.openxmlformats.org/officeDocument/2006/relationships/hyperlink" Target="https://sociolabs.in/top-indian-generative-engine-optimization-companies/" TargetMode="External"/><Relationship Id="rId3282" Type="http://schemas.openxmlformats.org/officeDocument/2006/relationships/hyperlink" Target="http://sociallypowerful.com" TargetMode="External"/><Relationship Id="rId154" Type="http://schemas.openxmlformats.org/officeDocument/2006/relationships/hyperlink" Target="https://www.silverbackstrategies.com/lists/best-ai-search-agencies-in-2026-ranked-reviewed/" TargetMode="External"/><Relationship Id="rId3285" Type="http://schemas.openxmlformats.org/officeDocument/2006/relationships/hyperlink" Target="https://soft-industry.com/data-analytics-services/" TargetMode="External"/><Relationship Id="rId153" Type="http://schemas.openxmlformats.org/officeDocument/2006/relationships/hyperlink" Target="http://rankshift.ai" TargetMode="External"/><Relationship Id="rId3284" Type="http://schemas.openxmlformats.org/officeDocument/2006/relationships/hyperlink" Target="http://sociolabs.in" TargetMode="External"/><Relationship Id="rId152" Type="http://schemas.openxmlformats.org/officeDocument/2006/relationships/hyperlink" Target="https://www.rankshift.ai/blog/best-geo-agencies/" TargetMode="External"/><Relationship Id="rId3287" Type="http://schemas.openxmlformats.org/officeDocument/2006/relationships/hyperlink" Target="https://www.sona.com/blog/vendors-supporting-first-party-intent-data-targeting-for-b2b-sales-prospecting-a-comprehensive-activation-guide" TargetMode="External"/><Relationship Id="rId151" Type="http://schemas.openxmlformats.org/officeDocument/2006/relationships/hyperlink" Target="http://haus.io" TargetMode="External"/><Relationship Id="rId3286" Type="http://schemas.openxmlformats.org/officeDocument/2006/relationships/hyperlink" Target="http://soft-industry.com" TargetMode="External"/><Relationship Id="rId158" Type="http://schemas.openxmlformats.org/officeDocument/2006/relationships/hyperlink" Target="https://thriveagency.com/news/top-generative-engine-optimization-geo-agencies/" TargetMode="External"/><Relationship Id="rId3289" Type="http://schemas.openxmlformats.org/officeDocument/2006/relationships/hyperlink" Target="https://www.sortlist.com/digital-marketing/doha-qa" TargetMode="External"/><Relationship Id="rId157" Type="http://schemas.openxmlformats.org/officeDocument/2006/relationships/hyperlink" Target="http://sortlist.com" TargetMode="External"/><Relationship Id="rId3288" Type="http://schemas.openxmlformats.org/officeDocument/2006/relationships/hyperlink" Target="http://sona.com" TargetMode="External"/><Relationship Id="rId156" Type="http://schemas.openxmlformats.org/officeDocument/2006/relationships/hyperlink" Target="https://www.sortlist.com/s/performance-marketing/united-states-us" TargetMode="External"/><Relationship Id="rId155" Type="http://schemas.openxmlformats.org/officeDocument/2006/relationships/hyperlink" Target="http://silverbackstrategies.com" TargetMode="External"/><Relationship Id="rId2820" Type="http://schemas.openxmlformats.org/officeDocument/2006/relationships/hyperlink" Target="https://marketingplatform.google.com/about/partners/find-a-partner" TargetMode="External"/><Relationship Id="rId2821" Type="http://schemas.openxmlformats.org/officeDocument/2006/relationships/hyperlink" Target="http://google.com" TargetMode="External"/><Relationship Id="rId2822" Type="http://schemas.openxmlformats.org/officeDocument/2006/relationships/hyperlink" Target="https://marketingplatform.google.com/about/partners/find-a-partner?category=206" TargetMode="External"/><Relationship Id="rId2823" Type="http://schemas.openxmlformats.org/officeDocument/2006/relationships/hyperlink" Target="http://google.com" TargetMode="External"/><Relationship Id="rId2824" Type="http://schemas.openxmlformats.org/officeDocument/2006/relationships/hyperlink" Target="https://marketplace.shopperapproved.com/" TargetMode="External"/><Relationship Id="rId2825" Type="http://schemas.openxmlformats.org/officeDocument/2006/relationships/hyperlink" Target="http://shopperapproved.com" TargetMode="External"/><Relationship Id="rId2826" Type="http://schemas.openxmlformats.org/officeDocument/2006/relationships/hyperlink" Target="https://markovate.com/top-ai-development-companies/" TargetMode="External"/><Relationship Id="rId2827" Type="http://schemas.openxmlformats.org/officeDocument/2006/relationships/hyperlink" Target="http://markovate.com" TargetMode="External"/><Relationship Id="rId2828" Type="http://schemas.openxmlformats.org/officeDocument/2006/relationships/hyperlink" Target="https://marrinadecisions.com/mmm-vs-attribution-in-2026-which-one-drives-revenue-when-you-need-both/" TargetMode="External"/><Relationship Id="rId2829" Type="http://schemas.openxmlformats.org/officeDocument/2006/relationships/hyperlink" Target="http://marrinadecisions.com" TargetMode="External"/><Relationship Id="rId2810" Type="http://schemas.openxmlformats.org/officeDocument/2006/relationships/hyperlink" Target="https://marketingltb.com/blog/agency/best-email-marketing-agencies/" TargetMode="External"/><Relationship Id="rId2811" Type="http://schemas.openxmlformats.org/officeDocument/2006/relationships/hyperlink" Target="http://marketingltb.com" TargetMode="External"/><Relationship Id="rId2812" Type="http://schemas.openxmlformats.org/officeDocument/2006/relationships/hyperlink" Target="https://marketingltb.com/blog/agency/best-google-ads-agencies/" TargetMode="External"/><Relationship Id="rId2813" Type="http://schemas.openxmlformats.org/officeDocument/2006/relationships/hyperlink" Target="http://marketingltb.com" TargetMode="External"/><Relationship Id="rId2814" Type="http://schemas.openxmlformats.org/officeDocument/2006/relationships/hyperlink" Target="https://marketingltb.com/blog/agency/best-tourism-digital-marketing-agencies/" TargetMode="External"/><Relationship Id="rId2815" Type="http://schemas.openxmlformats.org/officeDocument/2006/relationships/hyperlink" Target="http://marketingltb.com" TargetMode="External"/><Relationship Id="rId2816" Type="http://schemas.openxmlformats.org/officeDocument/2006/relationships/hyperlink" Target="https://www.marketingmonk.so/agency-directory/country/united%20states/service/conversion-optimization?page=2" TargetMode="External"/><Relationship Id="rId2817" Type="http://schemas.openxmlformats.org/officeDocument/2006/relationships/hyperlink" Target="http://marketingmonk.so" TargetMode="External"/><Relationship Id="rId2818" Type="http://schemas.openxmlformats.org/officeDocument/2006/relationships/hyperlink" Target="https://marketingplatform.google.com/about/enterprise/" TargetMode="External"/><Relationship Id="rId2819" Type="http://schemas.openxmlformats.org/officeDocument/2006/relationships/hyperlink" Target="http://google.com" TargetMode="External"/><Relationship Id="rId1510" Type="http://schemas.openxmlformats.org/officeDocument/2006/relationships/hyperlink" Target="https://liftlab.com/blog/marketing-mix-modeling-platforms/" TargetMode="External"/><Relationship Id="rId2841" Type="http://schemas.openxmlformats.org/officeDocument/2006/relationships/hyperlink" Target="http://mcsaatchiperformance.com" TargetMode="External"/><Relationship Id="rId1511" Type="http://schemas.openxmlformats.org/officeDocument/2006/relationships/hyperlink" Target="http://liftlab.com" TargetMode="External"/><Relationship Id="rId2842" Type="http://schemas.openxmlformats.org/officeDocument/2006/relationships/hyperlink" Target="https://measpublishing.co.uk/top-geo-agencies-in-the-uk-for-ai-search-performance-marketing" TargetMode="External"/><Relationship Id="rId1512" Type="http://schemas.openxmlformats.org/officeDocument/2006/relationships/hyperlink" Target="https://www.linkedin.com/company/mutesix" TargetMode="External"/><Relationship Id="rId2843" Type="http://schemas.openxmlformats.org/officeDocument/2006/relationships/hyperlink" Target="http://measpublishing.co.uk" TargetMode="External"/><Relationship Id="rId1513" Type="http://schemas.openxmlformats.org/officeDocument/2006/relationships/hyperlink" Target="http://linkedin.com" TargetMode="External"/><Relationship Id="rId2844" Type="http://schemas.openxmlformats.org/officeDocument/2006/relationships/hyperlink" Target="https://www.measured.com/blog/%F0%9F%9A%80-unleashing-the-power-of-incrementality-the-all-new-measured-platform/" TargetMode="External"/><Relationship Id="rId1514" Type="http://schemas.openxmlformats.org/officeDocument/2006/relationships/hyperlink" Target="https://www.m8l.com/blog/top-10-answer-engine-optimization-aeo-agencies" TargetMode="External"/><Relationship Id="rId2845" Type="http://schemas.openxmlformats.org/officeDocument/2006/relationships/hyperlink" Target="http://measured.com" TargetMode="External"/><Relationship Id="rId1515" Type="http://schemas.openxmlformats.org/officeDocument/2006/relationships/hyperlink" Target="http://m8l.com" TargetMode="External"/><Relationship Id="rId2846" Type="http://schemas.openxmlformats.org/officeDocument/2006/relationships/hyperlink" Target="https://www.measured.com/faq/ad-measurement-the-complete-2026-guide-to-accurate-actionable-marketing-analytics/" TargetMode="External"/><Relationship Id="rId1516" Type="http://schemas.openxmlformats.org/officeDocument/2006/relationships/hyperlink" Target="https://marketerhire.com/blog/display-advertising-agency" TargetMode="External"/><Relationship Id="rId2847" Type="http://schemas.openxmlformats.org/officeDocument/2006/relationships/hyperlink" Target="http://measured.com" TargetMode="External"/><Relationship Id="rId1517" Type="http://schemas.openxmlformats.org/officeDocument/2006/relationships/hyperlink" Target="http://marketerhire.com" TargetMode="External"/><Relationship Id="rId2848" Type="http://schemas.openxmlformats.org/officeDocument/2006/relationships/hyperlink" Target="https://www.measured.com/incrementality-platform-overview/" TargetMode="External"/><Relationship Id="rId1518" Type="http://schemas.openxmlformats.org/officeDocument/2006/relationships/hyperlink" Target="https://marketerhire.com/blog/fractional-marketing-agency" TargetMode="External"/><Relationship Id="rId2849" Type="http://schemas.openxmlformats.org/officeDocument/2006/relationships/hyperlink" Target="http://measured.com" TargetMode="External"/><Relationship Id="rId1519" Type="http://schemas.openxmlformats.org/officeDocument/2006/relationships/hyperlink" Target="http://marketerhire.com" TargetMode="External"/><Relationship Id="rId2840" Type="http://schemas.openxmlformats.org/officeDocument/2006/relationships/hyperlink" Target="https://www.mcsaatchiperformance.com/what-we-do/display/" TargetMode="External"/><Relationship Id="rId2830" Type="http://schemas.openxmlformats.org/officeDocument/2006/relationships/hyperlink" Target="https://martal.ca/integrated-marketing-agencies-lb/" TargetMode="External"/><Relationship Id="rId1500" Type="http://schemas.openxmlformats.org/officeDocument/2006/relationships/hyperlink" Target="https://www.ishir.com/ai-ready-go-to-market.htm" TargetMode="External"/><Relationship Id="rId2831" Type="http://schemas.openxmlformats.org/officeDocument/2006/relationships/hyperlink" Target="http://martal.ca" TargetMode="External"/><Relationship Id="rId1501" Type="http://schemas.openxmlformats.org/officeDocument/2006/relationships/hyperlink" Target="http://ishir.com" TargetMode="External"/><Relationship Id="rId2832" Type="http://schemas.openxmlformats.org/officeDocument/2006/relationships/hyperlink" Target="https://matomo.org/blog/2024/03/incrementality-testing/" TargetMode="External"/><Relationship Id="rId1502" Type="http://schemas.openxmlformats.org/officeDocument/2006/relationships/hyperlink" Target="https://lengreo.com/best-google-ads-agencies-2025/" TargetMode="External"/><Relationship Id="rId2833" Type="http://schemas.openxmlformats.org/officeDocument/2006/relationships/hyperlink" Target="http://matomo.org" TargetMode="External"/><Relationship Id="rId1503" Type="http://schemas.openxmlformats.org/officeDocument/2006/relationships/hyperlink" Target="http://lengreo.com" TargetMode="External"/><Relationship Id="rId2834" Type="http://schemas.openxmlformats.org/officeDocument/2006/relationships/hyperlink" Target="https://www.maximuslabs.ai/answer-engine-optimizations/technical-aeo-agency" TargetMode="External"/><Relationship Id="rId1504" Type="http://schemas.openxmlformats.org/officeDocument/2006/relationships/hyperlink" Target="https://lengreo.com/best-us-agencies-for-meta-ads/" TargetMode="External"/><Relationship Id="rId2835" Type="http://schemas.openxmlformats.org/officeDocument/2006/relationships/hyperlink" Target="http://maximuslabs.ai" TargetMode="External"/><Relationship Id="rId1505" Type="http://schemas.openxmlformats.org/officeDocument/2006/relationships/hyperlink" Target="http://lengreo.com" TargetMode="External"/><Relationship Id="rId2836" Type="http://schemas.openxmlformats.org/officeDocument/2006/relationships/hyperlink" Target="https://www.mayple.com/resources/paid-advertising/top-digital-marketing-companies-in-the-us" TargetMode="External"/><Relationship Id="rId1506" Type="http://schemas.openxmlformats.org/officeDocument/2006/relationships/hyperlink" Target="https://lifesight.io/blog/best-unified-marketing-measurement-tools/" TargetMode="External"/><Relationship Id="rId2837" Type="http://schemas.openxmlformats.org/officeDocument/2006/relationships/hyperlink" Target="http://mayple.com" TargetMode="External"/><Relationship Id="rId1507" Type="http://schemas.openxmlformats.org/officeDocument/2006/relationships/hyperlink" Target="http://lifesight.io" TargetMode="External"/><Relationship Id="rId2838" Type="http://schemas.openxmlformats.org/officeDocument/2006/relationships/hyperlink" Target="https://www.mckinsey.com/capabilities/growth-marketing-and-sales/how-we-help-clients/cmac" TargetMode="External"/><Relationship Id="rId1508" Type="http://schemas.openxmlformats.org/officeDocument/2006/relationships/hyperlink" Target="https://liftlab.com/" TargetMode="External"/><Relationship Id="rId2839" Type="http://schemas.openxmlformats.org/officeDocument/2006/relationships/hyperlink" Target="http://mckinsey.com" TargetMode="External"/><Relationship Id="rId1509" Type="http://schemas.openxmlformats.org/officeDocument/2006/relationships/hyperlink" Target="http://liftlab.com" TargetMode="External"/><Relationship Id="rId2800" Type="http://schemas.openxmlformats.org/officeDocument/2006/relationships/hyperlink" Target="https://marketerhire.com/blog/b2c-marketing-agency" TargetMode="External"/><Relationship Id="rId2801" Type="http://schemas.openxmlformats.org/officeDocument/2006/relationships/hyperlink" Target="http://marketerhire.com" TargetMode="External"/><Relationship Id="rId2802" Type="http://schemas.openxmlformats.org/officeDocument/2006/relationships/hyperlink" Target="https://marketerhire.com/blog/media-buying-agencies" TargetMode="External"/><Relationship Id="rId2803" Type="http://schemas.openxmlformats.org/officeDocument/2006/relationships/hyperlink" Target="http://marketerhire.com" TargetMode="External"/><Relationship Id="rId2804" Type="http://schemas.openxmlformats.org/officeDocument/2006/relationships/hyperlink" Target="https://www.marketingaiinstitute.com/marketing-ai-consulting" TargetMode="External"/><Relationship Id="rId2805" Type="http://schemas.openxmlformats.org/officeDocument/2006/relationships/hyperlink" Target="http://marketingaiinstitute.com" TargetMode="External"/><Relationship Id="rId2806" Type="http://schemas.openxmlformats.org/officeDocument/2006/relationships/hyperlink" Target="https://www.marketingattribution.com/marketing-mix-models/" TargetMode="External"/><Relationship Id="rId2807" Type="http://schemas.openxmlformats.org/officeDocument/2006/relationships/hyperlink" Target="http://marketingattribution.com" TargetMode="External"/><Relationship Id="rId2808" Type="http://schemas.openxmlformats.org/officeDocument/2006/relationships/hyperlink" Target="https://www.marketingdive.com/news/barkleyokrp-acquires-adlucent-performance-marketing-capabilities/715249/" TargetMode="External"/><Relationship Id="rId2809" Type="http://schemas.openxmlformats.org/officeDocument/2006/relationships/hyperlink" Target="http://marketingdive.com" TargetMode="External"/><Relationship Id="rId1576" Type="http://schemas.openxmlformats.org/officeDocument/2006/relationships/hyperlink" Target="http://prometheusagency.co" TargetMode="External"/><Relationship Id="rId1577" Type="http://schemas.openxmlformats.org/officeDocument/2006/relationships/hyperlink" Target="https://www.reddit.com/r/AISEOTricks/comments/1t9xk64/what_are_the_best_seo_agencies_right_now/" TargetMode="External"/><Relationship Id="rId1578" Type="http://schemas.openxmlformats.org/officeDocument/2006/relationships/hyperlink" Target="http://reddit.com" TargetMode="External"/><Relationship Id="rId1579" Type="http://schemas.openxmlformats.org/officeDocument/2006/relationships/hyperlink" Target="https://www.reddit.com/r/LLMTraffic/comments/1t44tn7/which_geo_marketing_agencies_are_actually_worth/" TargetMode="External"/><Relationship Id="rId987" Type="http://schemas.openxmlformats.org/officeDocument/2006/relationships/hyperlink" Target="https://www.christianandtimbers.com/insights/10-leading-ai-strategy-consulting-firms-in-2026" TargetMode="External"/><Relationship Id="rId986" Type="http://schemas.openxmlformats.org/officeDocument/2006/relationships/hyperlink" Target="http://carvertise.com" TargetMode="External"/><Relationship Id="rId985" Type="http://schemas.openxmlformats.org/officeDocument/2006/relationships/hyperlink" Target="https://carvertise.com/top-advertising-agency/" TargetMode="External"/><Relationship Id="rId984" Type="http://schemas.openxmlformats.org/officeDocument/2006/relationships/hyperlink" Target="http://campaignlive.com" TargetMode="External"/><Relationship Id="rId989" Type="http://schemas.openxmlformats.org/officeDocument/2006/relationships/hyperlink" Target="https://clutch.co/us/agencies/social-media-marketing/facebook" TargetMode="External"/><Relationship Id="rId988" Type="http://schemas.openxmlformats.org/officeDocument/2006/relationships/hyperlink" Target="http://christianandtimbers.com" TargetMode="External"/><Relationship Id="rId1570" Type="http://schemas.openxmlformats.org/officeDocument/2006/relationships/hyperlink" Target="http://withgoogle.com" TargetMode="External"/><Relationship Id="rId1571" Type="http://schemas.openxmlformats.org/officeDocument/2006/relationships/hyperlink" Target="https://www.phable.io/top-branding-agencies/top-branding-agencies-in-new-york-2025-icons-of-creative-excellence" TargetMode="External"/><Relationship Id="rId983" Type="http://schemas.openxmlformats.org/officeDocument/2006/relationships/hyperlink" Target="https://www.campaignlive.com/article/pmg-tops-first-north-american-media-rankings-2026/1951942" TargetMode="External"/><Relationship Id="rId1572" Type="http://schemas.openxmlformats.org/officeDocument/2006/relationships/hyperlink" Target="http://phable.io" TargetMode="External"/><Relationship Id="rId982" Type="http://schemas.openxmlformats.org/officeDocument/2006/relationships/hyperlink" Target="http://campaignlive.com" TargetMode="External"/><Relationship Id="rId1573" Type="http://schemas.openxmlformats.org/officeDocument/2006/relationships/hyperlink" Target="https://phosailabs.com/blog/best-ai-implementation-firms-marketing-agencies" TargetMode="External"/><Relationship Id="rId981" Type="http://schemas.openxmlformats.org/officeDocument/2006/relationships/hyperlink" Target="https://www.campaignlive.com/article/horizon-media-battles-publicis-new-business-supremacy-may-us-media-agency-rankings/1918167" TargetMode="External"/><Relationship Id="rId1574" Type="http://schemas.openxmlformats.org/officeDocument/2006/relationships/hyperlink" Target="http://phosailabs.com" TargetMode="External"/><Relationship Id="rId980" Type="http://schemas.openxmlformats.org/officeDocument/2006/relationships/hyperlink" Target="http://bignewsnetwork.com" TargetMode="External"/><Relationship Id="rId1575" Type="http://schemas.openxmlformats.org/officeDocument/2006/relationships/hyperlink" Target="https://prometheusagency.co/insights/best-ai-agency-for-mid-market-manufacturers" TargetMode="External"/><Relationship Id="rId1565" Type="http://schemas.openxmlformats.org/officeDocument/2006/relationships/hyperlink" Target="https://www.oneclub.org/awards/adcawards/-archive/agency/2025/61/all/1/840" TargetMode="External"/><Relationship Id="rId2896" Type="http://schemas.openxmlformats.org/officeDocument/2006/relationships/hyperlink" Target="http://mutesix.com" TargetMode="External"/><Relationship Id="rId1566" Type="http://schemas.openxmlformats.org/officeDocument/2006/relationships/hyperlink" Target="http://oneclub.org" TargetMode="External"/><Relationship Id="rId2897" Type="http://schemas.openxmlformats.org/officeDocument/2006/relationships/hyperlink" Target="https://myohomarketing.com.au/generative-engine-optimisation/" TargetMode="External"/><Relationship Id="rId1567" Type="http://schemas.openxmlformats.org/officeDocument/2006/relationships/hyperlink" Target="https://open.winmo.com/agencies/" TargetMode="External"/><Relationship Id="rId2898" Type="http://schemas.openxmlformats.org/officeDocument/2006/relationships/hyperlink" Target="http://myohomarketing.com.au" TargetMode="External"/><Relationship Id="rId1568" Type="http://schemas.openxmlformats.org/officeDocument/2006/relationships/hyperlink" Target="http://winmo.com" TargetMode="External"/><Relationship Id="rId2899" Type="http://schemas.openxmlformats.org/officeDocument/2006/relationships/hyperlink" Target="https://www.mythology.com/blog/most-creative-agency-nyc" TargetMode="External"/><Relationship Id="rId1569" Type="http://schemas.openxmlformats.org/officeDocument/2006/relationships/hyperlink" Target="https://partnersdirectory.withgoogle.com/?company_name=axis+local&amp;premier=true" TargetMode="External"/><Relationship Id="rId976" Type="http://schemas.openxmlformats.org/officeDocument/2006/relationships/hyperlink" Target="http://barchart.com" TargetMode="External"/><Relationship Id="rId975" Type="http://schemas.openxmlformats.org/officeDocument/2006/relationships/hyperlink" Target="https://www.barchart.com/story/news/2450048/best-ai-search-agencies-in-2026-which-company-to-choose-for-building-brand-visibility-in-ai" TargetMode="External"/><Relationship Id="rId974" Type="http://schemas.openxmlformats.org/officeDocument/2006/relationships/hyperlink" Target="http://b2bmarketing.net" TargetMode="External"/><Relationship Id="rId973" Type="http://schemas.openxmlformats.org/officeDocument/2006/relationships/hyperlink" Target="https://www.b2bmarketing.net/top-10-us-b2b-marketing-agencies/" TargetMode="External"/><Relationship Id="rId979" Type="http://schemas.openxmlformats.org/officeDocument/2006/relationships/hyperlink" Target="https://www.bignewsnetwork.com/news/278956073/the-best-aeo-agencies-in-the-usa-for-2026" TargetMode="External"/><Relationship Id="rId978" Type="http://schemas.openxmlformats.org/officeDocument/2006/relationships/hyperlink" Target="http://bcg.com" TargetMode="External"/><Relationship Id="rId977" Type="http://schemas.openxmlformats.org/officeDocument/2006/relationships/hyperlink" Target="https://www.bcg.com/capabilities/artificial-intelligence" TargetMode="External"/><Relationship Id="rId2890" Type="http://schemas.openxmlformats.org/officeDocument/2006/relationships/hyperlink" Target="https://movingminds.io/famous-marketing-agencies/" TargetMode="External"/><Relationship Id="rId1560" Type="http://schemas.openxmlformats.org/officeDocument/2006/relationships/hyperlink" Target="http://marketersmedia.com" TargetMode="External"/><Relationship Id="rId2891" Type="http://schemas.openxmlformats.org/officeDocument/2006/relationships/hyperlink" Target="http://movingminds.io" TargetMode="External"/><Relationship Id="rId972" Type="http://schemas.openxmlformats.org/officeDocument/2006/relationships/hyperlink" Target="http://aventigroup.com" TargetMode="External"/><Relationship Id="rId1561" Type="http://schemas.openxmlformats.org/officeDocument/2006/relationships/hyperlink" Target="https://nexusexpertresearch.co/blog/best-artificial-intelligence-strategy-consulting-market-leaders/" TargetMode="External"/><Relationship Id="rId2892" Type="http://schemas.openxmlformats.org/officeDocument/2006/relationships/hyperlink" Target="https://www.munro.agency/best-ai-seo-agencies-in-the-usa/" TargetMode="External"/><Relationship Id="rId971" Type="http://schemas.openxmlformats.org/officeDocument/2006/relationships/hyperlink" Target="https://aventigroup.com/services/ai-enablement/" TargetMode="External"/><Relationship Id="rId1562" Type="http://schemas.openxmlformats.org/officeDocument/2006/relationships/hyperlink" Target="http://nexusexpertresearch.co" TargetMode="External"/><Relationship Id="rId2893" Type="http://schemas.openxmlformats.org/officeDocument/2006/relationships/hyperlink" Target="https://www.munro.agency/insights/top-marketing-companies-in-the-world/" TargetMode="External"/><Relationship Id="rId970" Type="http://schemas.openxmlformats.org/officeDocument/2006/relationships/hyperlink" Target="http://arcintermedia.com" TargetMode="External"/><Relationship Id="rId1563" Type="http://schemas.openxmlformats.org/officeDocument/2006/relationships/hyperlink" Target="https://www.nga.mil/" TargetMode="External"/><Relationship Id="rId2894" Type="http://schemas.openxmlformats.org/officeDocument/2006/relationships/hyperlink" Target="https://www.munro.agency/top-10-paid-media-agencies/" TargetMode="External"/><Relationship Id="rId1564" Type="http://schemas.openxmlformats.org/officeDocument/2006/relationships/hyperlink" Target="http://nga.mil" TargetMode="External"/><Relationship Id="rId2895" Type="http://schemas.openxmlformats.org/officeDocument/2006/relationships/hyperlink" Target="https://mutesix.com/" TargetMode="External"/><Relationship Id="rId1598" Type="http://schemas.openxmlformats.org/officeDocument/2006/relationships/hyperlink" Target="http://rockerbox.com" TargetMode="External"/><Relationship Id="rId1599" Type="http://schemas.openxmlformats.org/officeDocument/2006/relationships/hyperlink" Target="https://rocketium.ai/academy/all/ai-tools-scaling-creative-production" TargetMode="External"/><Relationship Id="rId1590" Type="http://schemas.openxmlformats.org/officeDocument/2006/relationships/hyperlink" Target="http://resultfirst.com" TargetMode="External"/><Relationship Id="rId1591" Type="http://schemas.openxmlformats.org/officeDocument/2006/relationships/hyperlink" Target="https://revenuezen2.rssing.com/chan-77317245/article73.html?nocache=0" TargetMode="External"/><Relationship Id="rId1592" Type="http://schemas.openxmlformats.org/officeDocument/2006/relationships/hyperlink" Target="http://rssing.com" TargetMode="External"/><Relationship Id="rId1593" Type="http://schemas.openxmlformats.org/officeDocument/2006/relationships/hyperlink" Target="https://www.revsure.ai/blog/best-marketing-attribution-software" TargetMode="External"/><Relationship Id="rId1594" Type="http://schemas.openxmlformats.org/officeDocument/2006/relationships/hyperlink" Target="http://revsure.ai" TargetMode="External"/><Relationship Id="rId1595" Type="http://schemas.openxmlformats.org/officeDocument/2006/relationships/hyperlink" Target="https://rhblake.com/best-generative-engine-optimization-geo-agencies-2025-edition/" TargetMode="External"/><Relationship Id="rId1596" Type="http://schemas.openxmlformats.org/officeDocument/2006/relationships/hyperlink" Target="http://rhblake.com" TargetMode="External"/><Relationship Id="rId1597" Type="http://schemas.openxmlformats.org/officeDocument/2006/relationships/hyperlink" Target="https://www.rockerbox.com/testing" TargetMode="External"/><Relationship Id="rId1587" Type="http://schemas.openxmlformats.org/officeDocument/2006/relationships/hyperlink" Target="https://www.reddit.com/r/u_ThoughtMetric/comments/1udm00v/best_improvado_alternatives_updated_june_2026/" TargetMode="External"/><Relationship Id="rId1588" Type="http://schemas.openxmlformats.org/officeDocument/2006/relationships/hyperlink" Target="http://reddit.com" TargetMode="External"/><Relationship Id="rId1589" Type="http://schemas.openxmlformats.org/officeDocument/2006/relationships/hyperlink" Target="https://www.resultfirst.com/blog/ai-seo/best-ai-seo-agencies/" TargetMode="External"/><Relationship Id="rId998" Type="http://schemas.openxmlformats.org/officeDocument/2006/relationships/hyperlink" Target="http://delogostudio.com" TargetMode="External"/><Relationship Id="rId997" Type="http://schemas.openxmlformats.org/officeDocument/2006/relationships/hyperlink" Target="https://delogostudio.com/blog/top-10-social-media-marketing-agencies-usa-2026/" TargetMode="External"/><Relationship Id="rId996" Type="http://schemas.openxmlformats.org/officeDocument/2006/relationships/hyperlink" Target="http://commercepundit.com" TargetMode="External"/><Relationship Id="rId995" Type="http://schemas.openxmlformats.org/officeDocument/2006/relationships/hyperlink" Target="https://www.commercepundit.com/blog/best-ai-seo-agencies/" TargetMode="External"/><Relationship Id="rId999" Type="http://schemas.openxmlformats.org/officeDocument/2006/relationships/hyperlink" Target="https://www.designity.com/blog/ai-marketing-agency" TargetMode="External"/><Relationship Id="rId990" Type="http://schemas.openxmlformats.org/officeDocument/2006/relationships/hyperlink" Target="http://clutch.co" TargetMode="External"/><Relationship Id="rId1580" Type="http://schemas.openxmlformats.org/officeDocument/2006/relationships/hyperlink" Target="http://reddit.com" TargetMode="External"/><Relationship Id="rId1581" Type="http://schemas.openxmlformats.org/officeDocument/2006/relationships/hyperlink" Target="https://www.reddit.com/r/SocialMediaMarketing/comments/18gblts/what_are_some_trusted_legit_a_social_media/" TargetMode="External"/><Relationship Id="rId1582" Type="http://schemas.openxmlformats.org/officeDocument/2006/relationships/hyperlink" Target="http://reddit.com" TargetMode="External"/><Relationship Id="rId994" Type="http://schemas.openxmlformats.org/officeDocument/2006/relationships/hyperlink" Target="http://cometly.com" TargetMode="External"/><Relationship Id="rId1583" Type="http://schemas.openxmlformats.org/officeDocument/2006/relationships/hyperlink" Target="https://www.reddit.com/r/hiredevelopers_/comments/1n84jms/list_of_best_ai_consulting_companies_in_usa/" TargetMode="External"/><Relationship Id="rId993" Type="http://schemas.openxmlformats.org/officeDocument/2006/relationships/hyperlink" Target="https://www.cometly.com/post/marketing-attribution-consultant-services" TargetMode="External"/><Relationship Id="rId1584" Type="http://schemas.openxmlformats.org/officeDocument/2006/relationships/hyperlink" Target="http://reddit.com" TargetMode="External"/><Relationship Id="rId992" Type="http://schemas.openxmlformats.org/officeDocument/2006/relationships/hyperlink" Target="http://clutch.co" TargetMode="External"/><Relationship Id="rId1585" Type="http://schemas.openxmlformats.org/officeDocument/2006/relationships/hyperlink" Target="https://www.reddit.com/r/u_Temporary_Meeting182/comments/1tp4iah/best_saas_geo_agencies_in_2026_who_should/" TargetMode="External"/><Relationship Id="rId991" Type="http://schemas.openxmlformats.org/officeDocument/2006/relationships/hyperlink" Target="https://clutch.co/us/consulting/ai/strategy%3Fpage%3D3" TargetMode="External"/><Relationship Id="rId1586" Type="http://schemas.openxmlformats.org/officeDocument/2006/relationships/hyperlink" Target="http://reddit.com" TargetMode="External"/><Relationship Id="rId1532" Type="http://schemas.openxmlformats.org/officeDocument/2006/relationships/hyperlink" Target="https://www.maximuslabs.ai/answer-engine-optimizations/best-aeo-agencies" TargetMode="External"/><Relationship Id="rId2863" Type="http://schemas.openxmlformats.org/officeDocument/2006/relationships/hyperlink" Target="http://medium.com" TargetMode="External"/><Relationship Id="rId1533" Type="http://schemas.openxmlformats.org/officeDocument/2006/relationships/hyperlink" Target="http://maximuslabs.ai" TargetMode="External"/><Relationship Id="rId2864" Type="http://schemas.openxmlformats.org/officeDocument/2006/relationships/hyperlink" Target="https://www.meioemensagem.com.br/comunicacao/agency-report-omnicom-lidera-e-publicis-ultrapassa-wpp" TargetMode="External"/><Relationship Id="rId1534" Type="http://schemas.openxmlformats.org/officeDocument/2006/relationships/hyperlink" Target="https://www.maximuslabs.ai/answer-engine-optimizations/enterprise-aeo-agencies" TargetMode="External"/><Relationship Id="rId2865" Type="http://schemas.openxmlformats.org/officeDocument/2006/relationships/hyperlink" Target="http://meioemensagem.com.br" TargetMode="External"/><Relationship Id="rId1535" Type="http://schemas.openxmlformats.org/officeDocument/2006/relationships/hyperlink" Target="http://maximuslabs.ai" TargetMode="External"/><Relationship Id="rId2866" Type="http://schemas.openxmlformats.org/officeDocument/2006/relationships/hyperlink" Target="https://www.merkle.com/en/about-us/partnerships/google.html" TargetMode="External"/><Relationship Id="rId1536" Type="http://schemas.openxmlformats.org/officeDocument/2006/relationships/hyperlink" Target="https://www.mckinsey.com/capabilities/tech-and-ai/how-we-help-clients" TargetMode="External"/><Relationship Id="rId2867" Type="http://schemas.openxmlformats.org/officeDocument/2006/relationships/hyperlink" Target="http://merkle.com" TargetMode="External"/><Relationship Id="rId1537" Type="http://schemas.openxmlformats.org/officeDocument/2006/relationships/hyperlink" Target="http://mckinsey.com" TargetMode="External"/><Relationship Id="rId2868" Type="http://schemas.openxmlformats.org/officeDocument/2006/relationships/hyperlink" Target="https://www.merkle.com/en/merkle-now/press-releases/2023/merkle-launches-uk-s-largest-and-first-ai-enabled-google-technol.html" TargetMode="External"/><Relationship Id="rId1538" Type="http://schemas.openxmlformats.org/officeDocument/2006/relationships/hyperlink" Target="https://www.measured.com/enterprise/" TargetMode="External"/><Relationship Id="rId2869" Type="http://schemas.openxmlformats.org/officeDocument/2006/relationships/hyperlink" Target="http://merkle.com" TargetMode="External"/><Relationship Id="rId1539" Type="http://schemas.openxmlformats.org/officeDocument/2006/relationships/hyperlink" Target="http://measured.com" TargetMode="External"/><Relationship Id="rId949" Type="http://schemas.openxmlformats.org/officeDocument/2006/relationships/hyperlink" Target="https://usermaven.com/blog/marketing-analytics-companies" TargetMode="External"/><Relationship Id="rId948" Type="http://schemas.openxmlformats.org/officeDocument/2006/relationships/hyperlink" Target="http://typecast.ai" TargetMode="External"/><Relationship Id="rId943" Type="http://schemas.openxmlformats.org/officeDocument/2006/relationships/hyperlink" Target="https://www.theverge.com/podcast/959792/digitas-ceo-amy-lanzi-cannes-ad-industry-marketing-ai-creators" TargetMode="External"/><Relationship Id="rId942" Type="http://schemas.openxmlformats.org/officeDocument/2006/relationships/hyperlink" Target="http://themanifest.com" TargetMode="External"/><Relationship Id="rId941" Type="http://schemas.openxmlformats.org/officeDocument/2006/relationships/hyperlink" Target="https://themanifest.com/us/social-media/agencies" TargetMode="External"/><Relationship Id="rId940" Type="http://schemas.openxmlformats.org/officeDocument/2006/relationships/hyperlink" Target="http://themanifest.com" TargetMode="External"/><Relationship Id="rId947" Type="http://schemas.openxmlformats.org/officeDocument/2006/relationships/hyperlink" Target="https://typecast.ai/learn/the-best-ai-marketing-agency/" TargetMode="External"/><Relationship Id="rId946" Type="http://schemas.openxmlformats.org/officeDocument/2006/relationships/hyperlink" Target="http://tofuhq.com" TargetMode="External"/><Relationship Id="rId945" Type="http://schemas.openxmlformats.org/officeDocument/2006/relationships/hyperlink" Target="https://www.tofuhq.com/post/best-ai-agents-for-marketing" TargetMode="External"/><Relationship Id="rId944" Type="http://schemas.openxmlformats.org/officeDocument/2006/relationships/hyperlink" Target="http://theverge.com" TargetMode="External"/><Relationship Id="rId2860" Type="http://schemas.openxmlformats.org/officeDocument/2006/relationships/hyperlink" Target="https://medium.com/@naiya.sharma_75305/10-best-digital-marketing-agencies-trusted-by-leading-brands-in-the-usa-db172483a516" TargetMode="External"/><Relationship Id="rId1530" Type="http://schemas.openxmlformats.org/officeDocument/2006/relationships/hyperlink" Target="https://www.marksourced.com/p/top-8-b2b-generative-engine-optimization-geo-agencies-in-2025" TargetMode="External"/><Relationship Id="rId2861" Type="http://schemas.openxmlformats.org/officeDocument/2006/relationships/hyperlink" Target="http://medium.com" TargetMode="External"/><Relationship Id="rId1531" Type="http://schemas.openxmlformats.org/officeDocument/2006/relationships/hyperlink" Target="http://marksourced.com" TargetMode="External"/><Relationship Id="rId2862" Type="http://schemas.openxmlformats.org/officeDocument/2006/relationships/hyperlink" Target="https://medium.com/data-science-at-microsoft/how-do-you-know-your-ai-actually-works-b1a380a07825" TargetMode="External"/><Relationship Id="rId1521" Type="http://schemas.openxmlformats.org/officeDocument/2006/relationships/hyperlink" Target="http://martechoutlook.com" TargetMode="External"/><Relationship Id="rId2852" Type="http://schemas.openxmlformats.org/officeDocument/2006/relationships/hyperlink" Target="https://www.medianug.com/blog/10-paid-media-agencies-to-elevate-your-marketing-strategy-in-2026" TargetMode="External"/><Relationship Id="rId1522" Type="http://schemas.openxmlformats.org/officeDocument/2006/relationships/hyperlink" Target="https://www.marketingattribution.com/" TargetMode="External"/><Relationship Id="rId2853" Type="http://schemas.openxmlformats.org/officeDocument/2006/relationships/hyperlink" Target="http://medianug.com" TargetMode="External"/><Relationship Id="rId1523" Type="http://schemas.openxmlformats.org/officeDocument/2006/relationships/hyperlink" Target="http://marketingattribution.com" TargetMode="External"/><Relationship Id="rId2854" Type="http://schemas.openxmlformats.org/officeDocument/2006/relationships/hyperlink" Target="https://www.medianug.com/blog/paid-social-advertising-agency-vs-performance-marketing-agency-which-does-your-business-actually-need" TargetMode="External"/><Relationship Id="rId1524" Type="http://schemas.openxmlformats.org/officeDocument/2006/relationships/hyperlink" Target="https://marketingltb.com/blog/agency/best-enterprise-digital-marketing-agencies/" TargetMode="External"/><Relationship Id="rId2855" Type="http://schemas.openxmlformats.org/officeDocument/2006/relationships/hyperlink" Target="http://medianug.com" TargetMode="External"/><Relationship Id="rId1525" Type="http://schemas.openxmlformats.org/officeDocument/2006/relationships/hyperlink" Target="http://marketingltb.com" TargetMode="External"/><Relationship Id="rId2856" Type="http://schemas.openxmlformats.org/officeDocument/2006/relationships/hyperlink" Target="https://www.mediapost.com/publications/article/407384/omd-repeats-as-top-ranked-us-media-agency-by-billi.html" TargetMode="External"/><Relationship Id="rId1526" Type="http://schemas.openxmlformats.org/officeDocument/2006/relationships/hyperlink" Target="https://marketingplatform.google.com/about/partners/?hl=uk" TargetMode="External"/><Relationship Id="rId2857" Type="http://schemas.openxmlformats.org/officeDocument/2006/relationships/hyperlink" Target="http://mediapost.com" TargetMode="External"/><Relationship Id="rId1527" Type="http://schemas.openxmlformats.org/officeDocument/2006/relationships/hyperlink" Target="http://google.com" TargetMode="External"/><Relationship Id="rId2858" Type="http://schemas.openxmlformats.org/officeDocument/2006/relationships/hyperlink" Target="https://mediavision2020.com/top-50-geofencing-companies-in-2026/" TargetMode="External"/><Relationship Id="rId1528" Type="http://schemas.openxmlformats.org/officeDocument/2006/relationships/hyperlink" Target="https://www.marksourced.com/p/top-7-b2b-generative-engine-optimization-geo-consultancies-in-2025" TargetMode="External"/><Relationship Id="rId2859" Type="http://schemas.openxmlformats.org/officeDocument/2006/relationships/hyperlink" Target="http://mediavision2020.com" TargetMode="External"/><Relationship Id="rId1529" Type="http://schemas.openxmlformats.org/officeDocument/2006/relationships/hyperlink" Target="http://marksourced.com" TargetMode="External"/><Relationship Id="rId939" Type="http://schemas.openxmlformats.org/officeDocument/2006/relationships/hyperlink" Target="https://themanifest.com/us/creative/agencies" TargetMode="External"/><Relationship Id="rId938" Type="http://schemas.openxmlformats.org/officeDocument/2006/relationships/hyperlink" Target="http://thegpn.org" TargetMode="External"/><Relationship Id="rId937" Type="http://schemas.openxmlformats.org/officeDocument/2006/relationships/hyperlink" Target="https://thegpn.org/page/Partners" TargetMode="External"/><Relationship Id="rId932" Type="http://schemas.openxmlformats.org/officeDocument/2006/relationships/hyperlink" Target="http://techradar.com" TargetMode="External"/><Relationship Id="rId931" Type="http://schemas.openxmlformats.org/officeDocument/2006/relationships/hyperlink" Target="https://www.techradar.com/pro/hubspot-increased-leads-by-1850-percent-and-we-asked-them-how-the-aeo-playbook" TargetMode="External"/><Relationship Id="rId930" Type="http://schemas.openxmlformats.org/officeDocument/2006/relationships/hyperlink" Target="http://google.com" TargetMode="External"/><Relationship Id="rId936" Type="http://schemas.openxmlformats.org/officeDocument/2006/relationships/hyperlink" Target="http://thefrankagency.com" TargetMode="External"/><Relationship Id="rId935" Type="http://schemas.openxmlformats.org/officeDocument/2006/relationships/hyperlink" Target="https://thefrankagency.com/best-paid-social-media-agencies/" TargetMode="External"/><Relationship Id="rId934" Type="http://schemas.openxmlformats.org/officeDocument/2006/relationships/hyperlink" Target="http://thedrum.com" TargetMode="External"/><Relationship Id="rId933" Type="http://schemas.openxmlformats.org/officeDocument/2006/relationships/hyperlink" Target="https://www.thedrum.com/news/world-creative-rankings-2023-the-top-holding-companies-and-networks-revealed" TargetMode="External"/><Relationship Id="rId2850" Type="http://schemas.openxmlformats.org/officeDocument/2006/relationships/hyperlink" Target="https://www.measured.com/media-mix-modeling/" TargetMode="External"/><Relationship Id="rId1520" Type="http://schemas.openxmlformats.org/officeDocument/2006/relationships/hyperlink" Target="https://marketing-attribution-and-consulting.martechoutlook.com/vendors/top-marketing-attribution-and-consulting-services.html" TargetMode="External"/><Relationship Id="rId2851" Type="http://schemas.openxmlformats.org/officeDocument/2006/relationships/hyperlink" Target="http://measured.com" TargetMode="External"/><Relationship Id="rId1554" Type="http://schemas.openxmlformats.org/officeDocument/2006/relationships/hyperlink" Target="http://nectivdigital.com" TargetMode="External"/><Relationship Id="rId2885" Type="http://schemas.openxmlformats.org/officeDocument/2006/relationships/hyperlink" Target="http://mma.com" TargetMode="External"/><Relationship Id="rId1555" Type="http://schemas.openxmlformats.org/officeDocument/2006/relationships/hyperlink" Target="https://www.neuralcapital.ai/articles/top-10-ai-marketing-and-advertising-companies" TargetMode="External"/><Relationship Id="rId2886" Type="http://schemas.openxmlformats.org/officeDocument/2006/relationships/hyperlink" Target="https://www.moburst.com/blog/top-media-buying-agencies/" TargetMode="External"/><Relationship Id="rId1556" Type="http://schemas.openxmlformats.org/officeDocument/2006/relationships/hyperlink" Target="http://neuralcapital.ai" TargetMode="External"/><Relationship Id="rId2887" Type="http://schemas.openxmlformats.org/officeDocument/2006/relationships/hyperlink" Target="http://moburst.com" TargetMode="External"/><Relationship Id="rId1557" Type="http://schemas.openxmlformats.org/officeDocument/2006/relationships/hyperlink" Target="https://newengen.com/insights/top-outdoor-marketing-agencies/" TargetMode="External"/><Relationship Id="rId2888" Type="http://schemas.openxmlformats.org/officeDocument/2006/relationships/hyperlink" Target="https://www.monks.com/partners/google-marketing-platform" TargetMode="External"/><Relationship Id="rId1558" Type="http://schemas.openxmlformats.org/officeDocument/2006/relationships/hyperlink" Target="http://newengen.com" TargetMode="External"/><Relationship Id="rId2889" Type="http://schemas.openxmlformats.org/officeDocument/2006/relationships/hyperlink" Target="http://monks.com" TargetMode="External"/><Relationship Id="rId1559" Type="http://schemas.openxmlformats.org/officeDocument/2006/relationships/hyperlink" Target="https://news.marketersmedia.com/13-best-generative-engine-optimization-geo-agencies-for-usa-brands-in-2026-multi-engine-coverage-edition/89193560" TargetMode="External"/><Relationship Id="rId965" Type="http://schemas.openxmlformats.org/officeDocument/2006/relationships/hyperlink" Target="https://www.ai-heroes.co/en-us/blog/best-ai-search-agencies-2026" TargetMode="External"/><Relationship Id="rId964" Type="http://schemas.openxmlformats.org/officeDocument/2006/relationships/hyperlink" Target="http://agencyvista.com" TargetMode="External"/><Relationship Id="rId963" Type="http://schemas.openxmlformats.org/officeDocument/2006/relationships/hyperlink" Target="https://agencyvista.com/lists/top-25-performance-marketing-agencies/" TargetMode="External"/><Relationship Id="rId962" Type="http://schemas.openxmlformats.org/officeDocument/2006/relationships/hyperlink" Target="http://google.com" TargetMode="External"/><Relationship Id="rId969" Type="http://schemas.openxmlformats.org/officeDocument/2006/relationships/hyperlink" Target="https://www.arcintermedia.com/knowledge-base/seo-and-organic-reach/what-are-the-top-answer-engine-optimization-aeo-agencies/" TargetMode="External"/><Relationship Id="rId968" Type="http://schemas.openxmlformats.org/officeDocument/2006/relationships/hyperlink" Target="http://aitworldwide.com" TargetMode="External"/><Relationship Id="rId967" Type="http://schemas.openxmlformats.org/officeDocument/2006/relationships/hyperlink" Target="https://www.aitworldwide.com/risk-management/authorized-economic-operator/" TargetMode="External"/><Relationship Id="rId966" Type="http://schemas.openxmlformats.org/officeDocument/2006/relationships/hyperlink" Target="http://ai-heroes.co" TargetMode="External"/><Relationship Id="rId2880" Type="http://schemas.openxmlformats.org/officeDocument/2006/relationships/hyperlink" Target="https://minuttia.com/best-ai-seo-agencies/" TargetMode="External"/><Relationship Id="rId961" Type="http://schemas.openxmlformats.org/officeDocument/2006/relationships/hyperlink" Target="https://ads.google.com/intl/us/home/partners/work-with-a-partner/" TargetMode="External"/><Relationship Id="rId1550" Type="http://schemas.openxmlformats.org/officeDocument/2006/relationships/hyperlink" Target="https://www.munro.agency/top-marketing-data-science-agencies/" TargetMode="External"/><Relationship Id="rId2881" Type="http://schemas.openxmlformats.org/officeDocument/2006/relationships/hyperlink" Target="http://minuttia.com" TargetMode="External"/><Relationship Id="rId960" Type="http://schemas.openxmlformats.org/officeDocument/2006/relationships/hyperlink" Target="http://adcountable.com" TargetMode="External"/><Relationship Id="rId1551" Type="http://schemas.openxmlformats.org/officeDocument/2006/relationships/hyperlink" Target="https://www.munro.agency/top-paid-media-agencies/" TargetMode="External"/><Relationship Id="rId2882" Type="http://schemas.openxmlformats.org/officeDocument/2006/relationships/hyperlink" Target="https://www.mkt-sci.com/" TargetMode="External"/><Relationship Id="rId1552" Type="http://schemas.openxmlformats.org/officeDocument/2006/relationships/hyperlink" Target="https://www.munro.agency/top-sem-agencies/" TargetMode="External"/><Relationship Id="rId2883" Type="http://schemas.openxmlformats.org/officeDocument/2006/relationships/hyperlink" Target="http://mkt-sci.com" TargetMode="External"/><Relationship Id="rId1553" Type="http://schemas.openxmlformats.org/officeDocument/2006/relationships/hyperlink" Target="https://nectivdigital.com/blog/the-best-generative-engine-optimization-agencies-of-2025" TargetMode="External"/><Relationship Id="rId2884" Type="http://schemas.openxmlformats.org/officeDocument/2006/relationships/hyperlink" Target="https://mma.com/solutions/agile-attribution/" TargetMode="External"/><Relationship Id="rId1543" Type="http://schemas.openxmlformats.org/officeDocument/2006/relationships/hyperlink" Target="http://measured.com" TargetMode="External"/><Relationship Id="rId2874" Type="http://schemas.openxmlformats.org/officeDocument/2006/relationships/hyperlink" Target="https://mikekhorev.com/ai-seo-agency-for-software" TargetMode="External"/><Relationship Id="rId1544" Type="http://schemas.openxmlformats.org/officeDocument/2006/relationships/hyperlink" Target="https://mmaglobal.com/smarties/business-impact-index?category=Media+Agency&amp;region=North+America&amp;year=2025" TargetMode="External"/><Relationship Id="rId2875" Type="http://schemas.openxmlformats.org/officeDocument/2006/relationships/hyperlink" Target="http://mikekhorev.com" TargetMode="External"/><Relationship Id="rId1545" Type="http://schemas.openxmlformats.org/officeDocument/2006/relationships/hyperlink" Target="http://mmaglobal.com" TargetMode="External"/><Relationship Id="rId2876" Type="http://schemas.openxmlformats.org/officeDocument/2006/relationships/hyperlink" Target="https://mikekhorev.com/top-performing-geo-agencies" TargetMode="External"/><Relationship Id="rId1546" Type="http://schemas.openxmlformats.org/officeDocument/2006/relationships/hyperlink" Target="https://www.monks.com/google-partnership" TargetMode="External"/><Relationship Id="rId2877" Type="http://schemas.openxmlformats.org/officeDocument/2006/relationships/hyperlink" Target="http://mikekhorev.com" TargetMode="External"/><Relationship Id="rId1547" Type="http://schemas.openxmlformats.org/officeDocument/2006/relationships/hyperlink" Target="http://monks.com" TargetMode="External"/><Relationship Id="rId2878" Type="http://schemas.openxmlformats.org/officeDocument/2006/relationships/hyperlink" Target="https://minuttia.com/best-aeo-agencies/" TargetMode="External"/><Relationship Id="rId1548" Type="http://schemas.openxmlformats.org/officeDocument/2006/relationships/hyperlink" Target="https://mountainstoseamedia.com/10-essential-marketing-analytics-agencies-for-a-data-driven-lead-generation-strategy/" TargetMode="External"/><Relationship Id="rId2879" Type="http://schemas.openxmlformats.org/officeDocument/2006/relationships/hyperlink" Target="http://minuttia.com" TargetMode="External"/><Relationship Id="rId1549" Type="http://schemas.openxmlformats.org/officeDocument/2006/relationships/hyperlink" Target="http://mountainstoseamedia.com" TargetMode="External"/><Relationship Id="rId959" Type="http://schemas.openxmlformats.org/officeDocument/2006/relationships/hyperlink" Target="https://www.adcountable.com/" TargetMode="External"/><Relationship Id="rId954" Type="http://schemas.openxmlformats.org/officeDocument/2006/relationships/hyperlink" Target="http://youtube.com" TargetMode="External"/><Relationship Id="rId953" Type="http://schemas.openxmlformats.org/officeDocument/2006/relationships/hyperlink" Target="https://www.youtube.com/watch?v=uAp_SqhuvFg" TargetMode="External"/><Relationship Id="rId952" Type="http://schemas.openxmlformats.org/officeDocument/2006/relationships/hyperlink" Target="http://wsj.com" TargetMode="External"/><Relationship Id="rId951" Type="http://schemas.openxmlformats.org/officeDocument/2006/relationships/hyperlink" Target="https://www.wsj.com/tech/ai/ai-what-is-geo-aeo-5c452500" TargetMode="External"/><Relationship Id="rId958" Type="http://schemas.openxmlformats.org/officeDocument/2006/relationships/hyperlink" Target="http://50pros.com" TargetMode="External"/><Relationship Id="rId957" Type="http://schemas.openxmlformats.org/officeDocument/2006/relationships/hyperlink" Target="https://www.50pros.com/hire/artificial-intelligence/ai-powered-search" TargetMode="External"/><Relationship Id="rId956" Type="http://schemas.openxmlformats.org/officeDocument/2006/relationships/hyperlink" Target="http://youtube.com" TargetMode="External"/><Relationship Id="rId955" Type="http://schemas.openxmlformats.org/officeDocument/2006/relationships/hyperlink" Target="https://www.youtube.com/watch?v=wDQs41e1F_Y&amp;t=144" TargetMode="External"/><Relationship Id="rId950" Type="http://schemas.openxmlformats.org/officeDocument/2006/relationships/hyperlink" Target="http://usermaven.com" TargetMode="External"/><Relationship Id="rId2870" Type="http://schemas.openxmlformats.org/officeDocument/2006/relationships/hyperlink" Target="https://www.metabrand.digital/learn/creative-agencies-to-watch" TargetMode="External"/><Relationship Id="rId1540" Type="http://schemas.openxmlformats.org/officeDocument/2006/relationships/hyperlink" Target="https://www.measured.com/faq/top-11-best-media-mix-modeling-companies-software-for-2026/" TargetMode="External"/><Relationship Id="rId2871" Type="http://schemas.openxmlformats.org/officeDocument/2006/relationships/hyperlink" Target="https://metaflow.life/blog/best-ai-native-marketing-agencies-2026" TargetMode="External"/><Relationship Id="rId1541" Type="http://schemas.openxmlformats.org/officeDocument/2006/relationships/hyperlink" Target="http://measured.com" TargetMode="External"/><Relationship Id="rId2872" Type="http://schemas.openxmlformats.org/officeDocument/2006/relationships/hyperlink" Target="https://www.midastouchinfotech.com/leading-digital-marketing-agencies-usa/" TargetMode="External"/><Relationship Id="rId1542" Type="http://schemas.openxmlformats.org/officeDocument/2006/relationships/hyperlink" Target="https://www.measured.com/incrementality-testing/" TargetMode="External"/><Relationship Id="rId2873" Type="http://schemas.openxmlformats.org/officeDocument/2006/relationships/hyperlink" Target="http://midastouchinfotech.com" TargetMode="External"/><Relationship Id="rId2027" Type="http://schemas.openxmlformats.org/officeDocument/2006/relationships/hyperlink" Target="https://www.capterra.com/services/marketing-analytics/l/us/" TargetMode="External"/><Relationship Id="rId3359" Type="http://schemas.openxmlformats.org/officeDocument/2006/relationships/hyperlink" Target="http://theatdb.com" TargetMode="External"/><Relationship Id="rId2028" Type="http://schemas.openxmlformats.org/officeDocument/2006/relationships/hyperlink" Target="http://capterra.com" TargetMode="External"/><Relationship Id="rId3358" Type="http://schemas.openxmlformats.org/officeDocument/2006/relationships/hyperlink" Target="https://www.theatdb.com/companies/accenture-song" TargetMode="External"/><Relationship Id="rId2029" Type="http://schemas.openxmlformats.org/officeDocument/2006/relationships/hyperlink" Target="https://www.causalityengine.ai/resources/best-incrementality-testing-platforms" TargetMode="External"/><Relationship Id="rId107" Type="http://schemas.openxmlformats.org/officeDocument/2006/relationships/hyperlink" Target="https://www.linkedin.com/pulse/top-10-aeo-agencies-usa-2026-best-answer-engine-companies-sam-israel-pgcwc" TargetMode="External"/><Relationship Id="rId106" Type="http://schemas.openxmlformats.org/officeDocument/2006/relationships/hyperlink" Target="http://directiveconsulting.com" TargetMode="External"/><Relationship Id="rId105" Type="http://schemas.openxmlformats.org/officeDocument/2006/relationships/hyperlink" Target="https://directiveconsulting.com/blog/best-marketing-data-agency/" TargetMode="External"/><Relationship Id="rId104" Type="http://schemas.openxmlformats.org/officeDocument/2006/relationships/hyperlink" Target="http://callboxinc.com" TargetMode="External"/><Relationship Id="rId109" Type="http://schemas.openxmlformats.org/officeDocument/2006/relationships/hyperlink" Target="https://percepture.com/geo-insights/best-ai-seo-agencies-usa/" TargetMode="External"/><Relationship Id="rId108" Type="http://schemas.openxmlformats.org/officeDocument/2006/relationships/hyperlink" Target="http://linkedin.com" TargetMode="External"/><Relationship Id="rId3351" Type="http://schemas.openxmlformats.org/officeDocument/2006/relationships/hyperlink" Target="http://technologyarch.com" TargetMode="External"/><Relationship Id="rId2020" Type="http://schemas.openxmlformats.org/officeDocument/2006/relationships/hyperlink" Target="http://campaignlive.com" TargetMode="External"/><Relationship Id="rId3350" Type="http://schemas.openxmlformats.org/officeDocument/2006/relationships/hyperlink" Target="https://technologyarch.com/it-consulting/ai-adoption/" TargetMode="External"/><Relationship Id="rId2021" Type="http://schemas.openxmlformats.org/officeDocument/2006/relationships/hyperlink" Target="https://www.campaignlive.com/article/horizon-media-tops-preliminary-2025-indie-media-league/1949516" TargetMode="External"/><Relationship Id="rId3353" Type="http://schemas.openxmlformats.org/officeDocument/2006/relationships/hyperlink" Target="http://techradiant.co" TargetMode="External"/><Relationship Id="rId2022" Type="http://schemas.openxmlformats.org/officeDocument/2006/relationships/hyperlink" Target="http://campaignlive.com" TargetMode="External"/><Relationship Id="rId3352" Type="http://schemas.openxmlformats.org/officeDocument/2006/relationships/hyperlink" Target="https://techradiant.co/agencies/social-media-marketing/" TargetMode="External"/><Relationship Id="rId103" Type="http://schemas.openxmlformats.org/officeDocument/2006/relationships/hyperlink" Target="https://www.callboxinc.com/growth-hacking/best-aeo-agencies/" TargetMode="External"/><Relationship Id="rId2023" Type="http://schemas.openxmlformats.org/officeDocument/2006/relationships/hyperlink" Target="https://www.capitala.co/uncategorized/20506/futureproofing-the-power-of-digital-marking-agency-investments/" TargetMode="External"/><Relationship Id="rId3355" Type="http://schemas.openxmlformats.org/officeDocument/2006/relationships/hyperlink" Target="http://techreviewer.co" TargetMode="External"/><Relationship Id="rId102" Type="http://schemas.openxmlformats.org/officeDocument/2006/relationships/hyperlink" Target="http://ritnerdigital.com" TargetMode="External"/><Relationship Id="rId2024" Type="http://schemas.openxmlformats.org/officeDocument/2006/relationships/hyperlink" Target="http://capitala.co" TargetMode="External"/><Relationship Id="rId3354" Type="http://schemas.openxmlformats.org/officeDocument/2006/relationships/hyperlink" Target="https://techreviewer.co/digital-marketing" TargetMode="External"/><Relationship Id="rId101" Type="http://schemas.openxmlformats.org/officeDocument/2006/relationships/hyperlink" Target="https://www.ritnerdigital.com/blog/the-best-seo-and-ai-search-agencies-in-the-united-states-right-now" TargetMode="External"/><Relationship Id="rId2025" Type="http://schemas.openxmlformats.org/officeDocument/2006/relationships/hyperlink" Target="https://www.capterra.com.au/directory/34136/ai-marketing-tools/software" TargetMode="External"/><Relationship Id="rId3357" Type="http://schemas.openxmlformats.org/officeDocument/2006/relationships/hyperlink" Target="http://tenspeed.io" TargetMode="External"/><Relationship Id="rId100" Type="http://schemas.openxmlformats.org/officeDocument/2006/relationships/hyperlink" Target="http://quimbydigital.com" TargetMode="External"/><Relationship Id="rId2026" Type="http://schemas.openxmlformats.org/officeDocument/2006/relationships/hyperlink" Target="http://capterra.com.au" TargetMode="External"/><Relationship Id="rId3356" Type="http://schemas.openxmlformats.org/officeDocument/2006/relationships/hyperlink" Target="https://www.tenspeed.io/blog/best-content-marketing-agencies" TargetMode="External"/><Relationship Id="rId2016" Type="http://schemas.openxmlformats.org/officeDocument/2006/relationships/hyperlink" Target="http://callboxinc.com" TargetMode="External"/><Relationship Id="rId3348" Type="http://schemas.openxmlformats.org/officeDocument/2006/relationships/hyperlink" Target="https://tbwa.com/" TargetMode="External"/><Relationship Id="rId2017" Type="http://schemas.openxmlformats.org/officeDocument/2006/relationships/hyperlink" Target="https://www.callboxinc.com/lead-generation/business-to-business-marketing-companies/" TargetMode="External"/><Relationship Id="rId3347" Type="http://schemas.openxmlformats.org/officeDocument/2006/relationships/hyperlink" Target="https://taqwah.agency/blog/top-saas-landing-page-design-agencies" TargetMode="External"/><Relationship Id="rId2018" Type="http://schemas.openxmlformats.org/officeDocument/2006/relationships/hyperlink" Target="http://callboxinc.com" TargetMode="External"/><Relationship Id="rId2019" Type="http://schemas.openxmlformats.org/officeDocument/2006/relationships/hyperlink" Target="https://www.campaignlive.com/article/final-2024-us-media-agency-rankings-in-claimed-top-spot/1907166" TargetMode="External"/><Relationship Id="rId3349" Type="http://schemas.openxmlformats.org/officeDocument/2006/relationships/hyperlink" Target="http://tbwa.com" TargetMode="External"/><Relationship Id="rId3340" Type="http://schemas.openxmlformats.org/officeDocument/2006/relationships/hyperlink" Target="http://superside.com" TargetMode="External"/><Relationship Id="rId2010" Type="http://schemas.openxmlformats.org/officeDocument/2006/relationships/hyperlink" Target="http://c3digitus.com" TargetMode="External"/><Relationship Id="rId3342" Type="http://schemas.openxmlformats.org/officeDocument/2006/relationships/hyperlink" Target="http://google.com" TargetMode="External"/><Relationship Id="rId2011" Type="http://schemas.openxmlformats.org/officeDocument/2006/relationships/hyperlink" Target="https://www.caa.com/" TargetMode="External"/><Relationship Id="rId3341" Type="http://schemas.openxmlformats.org/officeDocument/2006/relationships/hyperlink" Target="https://support.google.com/tagmanager/answer/7237700?hl=en-AU" TargetMode="External"/><Relationship Id="rId2012" Type="http://schemas.openxmlformats.org/officeDocument/2006/relationships/hyperlink" Target="http://caa.com" TargetMode="External"/><Relationship Id="rId3344" Type="http://schemas.openxmlformats.org/officeDocument/2006/relationships/hyperlink" Target="http://sweatpantsagency.com" TargetMode="External"/><Relationship Id="rId2013" Type="http://schemas.openxmlformats.org/officeDocument/2006/relationships/hyperlink" Target="https://cabinco.com/best-ai-consulting-firms/" TargetMode="External"/><Relationship Id="rId3343" Type="http://schemas.openxmlformats.org/officeDocument/2006/relationships/hyperlink" Target="https://sweatpantsagency.com/the-top-9-digital-marketing-agencies" TargetMode="External"/><Relationship Id="rId2014" Type="http://schemas.openxmlformats.org/officeDocument/2006/relationships/hyperlink" Target="http://cabinco.com" TargetMode="External"/><Relationship Id="rId3346" Type="http://schemas.openxmlformats.org/officeDocument/2006/relationships/hyperlink" Target="http://vaia.com" TargetMode="External"/><Relationship Id="rId2015" Type="http://schemas.openxmlformats.org/officeDocument/2006/relationships/hyperlink" Target="https://www.callboxinc.com/growth-hacking/multichannel-marketing-agencies/" TargetMode="External"/><Relationship Id="rId3345" Type="http://schemas.openxmlformats.org/officeDocument/2006/relationships/hyperlink" Target="https://talents.vaia.com/companies/vaynermedia-llc/" TargetMode="External"/><Relationship Id="rId2049" Type="http://schemas.openxmlformats.org/officeDocument/2006/relationships/hyperlink" Target="https://www.ciocoverage.com/top-10-leading-google-partners-to-watch-in-2022/" TargetMode="External"/><Relationship Id="rId129" Type="http://schemas.openxmlformats.org/officeDocument/2006/relationships/hyperlink" Target="http://designrush.com" TargetMode="External"/><Relationship Id="rId128" Type="http://schemas.openxmlformats.org/officeDocument/2006/relationships/hyperlink" Target="https://www.designrush.com/agency/digital-marketing/us" TargetMode="External"/><Relationship Id="rId127" Type="http://schemas.openxmlformats.org/officeDocument/2006/relationships/hyperlink" Target="http://clutch.co" TargetMode="External"/><Relationship Id="rId126" Type="http://schemas.openxmlformats.org/officeDocument/2006/relationships/hyperlink" Target="https://clutch.co/agencies/ppc/display" TargetMode="External"/><Relationship Id="rId3371" Type="http://schemas.openxmlformats.org/officeDocument/2006/relationships/hyperlink" Target="http://thecrunch.io" TargetMode="External"/><Relationship Id="rId2040" Type="http://schemas.openxmlformats.org/officeDocument/2006/relationships/hyperlink" Target="http://chiefoutsiders.com" TargetMode="External"/><Relationship Id="rId3370" Type="http://schemas.openxmlformats.org/officeDocument/2006/relationships/hyperlink" Target="https://thecrunch.io/ai-software-sales/" TargetMode="External"/><Relationship Id="rId121" Type="http://schemas.openxmlformats.org/officeDocument/2006/relationships/hyperlink" Target="http://thesocialshepherd.com" TargetMode="External"/><Relationship Id="rId2041" Type="http://schemas.openxmlformats.org/officeDocument/2006/relationships/hyperlink" Target="https://cieden.com/ai-strategy-consulting" TargetMode="External"/><Relationship Id="rId3373" Type="http://schemas.openxmlformats.org/officeDocument/2006/relationships/hyperlink" Target="http://thedrum.com" TargetMode="External"/><Relationship Id="rId120" Type="http://schemas.openxmlformats.org/officeDocument/2006/relationships/hyperlink" Target="https://thesocialshepherd.com/blog/top-paid-social-agencies-us" TargetMode="External"/><Relationship Id="rId2042" Type="http://schemas.openxmlformats.org/officeDocument/2006/relationships/hyperlink" Target="http://cieden.com" TargetMode="External"/><Relationship Id="rId3372" Type="http://schemas.openxmlformats.org/officeDocument/2006/relationships/hyperlink" Target="https://www.thedrum.com/lists/world-creative-rankings/companies/the-most-awarded-agencies-in-the-united-states/2024" TargetMode="External"/><Relationship Id="rId2043" Type="http://schemas.openxmlformats.org/officeDocument/2006/relationships/hyperlink" Target="https://www.cigen.io/services/ai-adoption-strategy-consulting" TargetMode="External"/><Relationship Id="rId3375" Type="http://schemas.openxmlformats.org/officeDocument/2006/relationships/hyperlink" Target="http://thedrum.com" TargetMode="External"/><Relationship Id="rId2044" Type="http://schemas.openxmlformats.org/officeDocument/2006/relationships/hyperlink" Target="http://cigen.io" TargetMode="External"/><Relationship Id="rId3374" Type="http://schemas.openxmlformats.org/officeDocument/2006/relationships/hyperlink" Target="https://www.thedrum.com/news/in-face-of-massive-change-wpp-networks-dominate-2026-world-creative-rankings" TargetMode="External"/><Relationship Id="rId125" Type="http://schemas.openxmlformats.org/officeDocument/2006/relationships/hyperlink" Target="http://agencyvista.com" TargetMode="External"/><Relationship Id="rId2045" Type="http://schemas.openxmlformats.org/officeDocument/2006/relationships/hyperlink" Target="https://cimm-us.org/comprehensive-comparison-of-attribution-measurement-providers-unveiled-at-7th-annual-cimm-summit/" TargetMode="External"/><Relationship Id="rId3377" Type="http://schemas.openxmlformats.org/officeDocument/2006/relationships/hyperlink" Target="http://thedrum.com" TargetMode="External"/><Relationship Id="rId124" Type="http://schemas.openxmlformats.org/officeDocument/2006/relationships/hyperlink" Target="https://agencyvista.com/lists/google-marketing-platform-sales-partners/" TargetMode="External"/><Relationship Id="rId2046" Type="http://schemas.openxmlformats.org/officeDocument/2006/relationships/hyperlink" Target="http://cimm-us.org" TargetMode="External"/><Relationship Id="rId3376" Type="http://schemas.openxmlformats.org/officeDocument/2006/relationships/hyperlink" Target="https://www.thedrum.com/news/the-most-awarded-holding-companies-in-the-drum-honors-2025-a-swan-song-for-ipg" TargetMode="External"/><Relationship Id="rId123" Type="http://schemas.openxmlformats.org/officeDocument/2006/relationships/hyperlink" Target="http://webtonic.io" TargetMode="External"/><Relationship Id="rId2047" Type="http://schemas.openxmlformats.org/officeDocument/2006/relationships/hyperlink" Target="https://cio.economictimes.indiatimes.com/tools/best-customer-data-platforms/127611075" TargetMode="External"/><Relationship Id="rId3379" Type="http://schemas.openxmlformats.org/officeDocument/2006/relationships/hyperlink" Target="http://thedrum.com" TargetMode="External"/><Relationship Id="rId122" Type="http://schemas.openxmlformats.org/officeDocument/2006/relationships/hyperlink" Target="https://www.webtonic.io/blog/top-performance-marketing-agencies-us" TargetMode="External"/><Relationship Id="rId2048" Type="http://schemas.openxmlformats.org/officeDocument/2006/relationships/hyperlink" Target="http://indiatimes.com" TargetMode="External"/><Relationship Id="rId3378" Type="http://schemas.openxmlformats.org/officeDocument/2006/relationships/hyperlink" Target="https://www.thedrum.com/news/world-creative-rankings-the-top-100-most-awarded-agencies-the-us" TargetMode="External"/><Relationship Id="rId2038" Type="http://schemas.openxmlformats.org/officeDocument/2006/relationships/hyperlink" Target="http://chiefoutsiders.com" TargetMode="External"/><Relationship Id="rId2039" Type="http://schemas.openxmlformats.org/officeDocument/2006/relationships/hyperlink" Target="https://www.chiefoutsiders.com/ai-assessment" TargetMode="External"/><Relationship Id="rId3369" Type="http://schemas.openxmlformats.org/officeDocument/2006/relationships/hyperlink" Target="http://thecmo.com" TargetMode="External"/><Relationship Id="rId118" Type="http://schemas.openxmlformats.org/officeDocument/2006/relationships/hyperlink" Target="http://digitalagencynetwork.com" TargetMode="External"/><Relationship Id="rId117" Type="http://schemas.openxmlformats.org/officeDocument/2006/relationships/hyperlink" Target="https://digitalagencynetwork.com/agencies/usa/creative/" TargetMode="External"/><Relationship Id="rId116" Type="http://schemas.openxmlformats.org/officeDocument/2006/relationships/hyperlink" Target="http://clutch.co" TargetMode="External"/><Relationship Id="rId115" Type="http://schemas.openxmlformats.org/officeDocument/2006/relationships/hyperlink" Target="https://clutch.co/agencies" TargetMode="External"/><Relationship Id="rId3360" Type="http://schemas.openxmlformats.org/officeDocument/2006/relationships/hyperlink" Target="https://www.theaustralian.com.au/sponsored-content/beyond-ai-pilots-the-organisations-turning-ai-ambition-into-action/news-story/415e261ad0bf616e51c3b7b79b17a86f" TargetMode="External"/><Relationship Id="rId119" Type="http://schemas.openxmlformats.org/officeDocument/2006/relationships/hyperlink" Target="https://inbeat.agency/blog/top-advertising-agencies" TargetMode="External"/><Relationship Id="rId110" Type="http://schemas.openxmlformats.org/officeDocument/2006/relationships/hyperlink" Target="http://percepture.com" TargetMode="External"/><Relationship Id="rId2030" Type="http://schemas.openxmlformats.org/officeDocument/2006/relationships/hyperlink" Target="http://causalityengine.ai" TargetMode="External"/><Relationship Id="rId3362" Type="http://schemas.openxmlformats.org/officeDocument/2006/relationships/hyperlink" Target="https://theb2bplaybook.com/best-google-ads-agencies-for-b2b" TargetMode="External"/><Relationship Id="rId2031" Type="http://schemas.openxmlformats.org/officeDocument/2006/relationships/hyperlink" Target="https://www.cdw.com/content/cdw/en/articles/cloud/agentic-ai-readiness-checklist-for-google-cloud.html" TargetMode="External"/><Relationship Id="rId3361" Type="http://schemas.openxmlformats.org/officeDocument/2006/relationships/hyperlink" Target="http://theaustralian.com.au" TargetMode="External"/><Relationship Id="rId2032" Type="http://schemas.openxmlformats.org/officeDocument/2006/relationships/hyperlink" Target="http://cdw.com" TargetMode="External"/><Relationship Id="rId3364" Type="http://schemas.openxmlformats.org/officeDocument/2006/relationships/hyperlink" Target="https://www.thebusinessrover.com/blog/best-ppc-agencies" TargetMode="External"/><Relationship Id="rId2033" Type="http://schemas.openxmlformats.org/officeDocument/2006/relationships/hyperlink" Target="https://www.ceamarketing.com/" TargetMode="External"/><Relationship Id="rId3363" Type="http://schemas.openxmlformats.org/officeDocument/2006/relationships/hyperlink" Target="http://theb2bplaybook.com" TargetMode="External"/><Relationship Id="rId114" Type="http://schemas.openxmlformats.org/officeDocument/2006/relationships/hyperlink" Target="http://agencycluster.com" TargetMode="External"/><Relationship Id="rId2034" Type="http://schemas.openxmlformats.org/officeDocument/2006/relationships/hyperlink" Target="http://ceamarketing.com" TargetMode="External"/><Relationship Id="rId3366" Type="http://schemas.openxmlformats.org/officeDocument/2006/relationships/hyperlink" Target="https://www.thebusinessrover.com/sv/blog/growth-marketing-agencies" TargetMode="External"/><Relationship Id="rId113" Type="http://schemas.openxmlformats.org/officeDocument/2006/relationships/hyperlink" Target="https://www.agencycluster.com/top-50/branding-creative-agencies" TargetMode="External"/><Relationship Id="rId2035" Type="http://schemas.openxmlformats.org/officeDocument/2006/relationships/hyperlink" Target="https://www.chatterbuzzmedia.com/social-media-advertising/" TargetMode="External"/><Relationship Id="rId3365" Type="http://schemas.openxmlformats.org/officeDocument/2006/relationships/hyperlink" Target="http://thebusinessrover.com" TargetMode="External"/><Relationship Id="rId112" Type="http://schemas.openxmlformats.org/officeDocument/2006/relationships/hyperlink" Target="http://sortlist.com" TargetMode="External"/><Relationship Id="rId2036" Type="http://schemas.openxmlformats.org/officeDocument/2006/relationships/hyperlink" Target="http://chatterbuzzmedia.com" TargetMode="External"/><Relationship Id="rId3368" Type="http://schemas.openxmlformats.org/officeDocument/2006/relationships/hyperlink" Target="https://thecmo.com/services/best-digital-marketing-agency/" TargetMode="External"/><Relationship Id="rId111" Type="http://schemas.openxmlformats.org/officeDocument/2006/relationships/hyperlink" Target="https://www.sortlist.com/s/display-advertising/united-states-us" TargetMode="External"/><Relationship Id="rId2037" Type="http://schemas.openxmlformats.org/officeDocument/2006/relationships/hyperlink" Target="https://www.chiefoutsiders.com/" TargetMode="External"/><Relationship Id="rId3367" Type="http://schemas.openxmlformats.org/officeDocument/2006/relationships/hyperlink" Target="http://thebusinessrover.com" TargetMode="External"/><Relationship Id="rId3315" Type="http://schemas.openxmlformats.org/officeDocument/2006/relationships/hyperlink" Target="https://www.stanleyconsultants.com/solutions/planning-consulting/geospatial-surveying-services" TargetMode="External"/><Relationship Id="rId3314" Type="http://schemas.openxmlformats.org/officeDocument/2006/relationships/hyperlink" Target="http://stackmatix.com" TargetMode="External"/><Relationship Id="rId3317" Type="http://schemas.openxmlformats.org/officeDocument/2006/relationships/hyperlink" Target="https://starusa.org/services/ctpat-certification/" TargetMode="External"/><Relationship Id="rId3316" Type="http://schemas.openxmlformats.org/officeDocument/2006/relationships/hyperlink" Target="http://stanleyconsultants.com" TargetMode="External"/><Relationship Id="rId3319" Type="http://schemas.openxmlformats.org/officeDocument/2006/relationships/hyperlink" Target="https://www.stellaheystella.com/" TargetMode="External"/><Relationship Id="rId3318" Type="http://schemas.openxmlformats.org/officeDocument/2006/relationships/hyperlink" Target="http://starusa.org" TargetMode="External"/><Relationship Id="rId3311" Type="http://schemas.openxmlformats.org/officeDocument/2006/relationships/hyperlink" Target="https://www.stackadapt.com/resources/blog/first-party-data-strategy" TargetMode="External"/><Relationship Id="rId3310" Type="http://schemas.openxmlformats.org/officeDocument/2006/relationships/hyperlink" Target="http://spicymargarita.co" TargetMode="External"/><Relationship Id="rId3313" Type="http://schemas.openxmlformats.org/officeDocument/2006/relationships/hyperlink" Target="https://www.stackmatix.com/blog/best-facebook-ads-agencies" TargetMode="External"/><Relationship Id="rId3312" Type="http://schemas.openxmlformats.org/officeDocument/2006/relationships/hyperlink" Target="http://stackadapt.com" TargetMode="External"/><Relationship Id="rId3304" Type="http://schemas.openxmlformats.org/officeDocument/2006/relationships/hyperlink" Target="http://sourceforge.net" TargetMode="External"/><Relationship Id="rId3303" Type="http://schemas.openxmlformats.org/officeDocument/2006/relationships/hyperlink" Target="https://sourceforge.net/software/incrementality-testing/usa/" TargetMode="External"/><Relationship Id="rId3306" Type="http://schemas.openxmlformats.org/officeDocument/2006/relationships/hyperlink" Target="http://sourceforge.net" TargetMode="External"/><Relationship Id="rId3305" Type="http://schemas.openxmlformats.org/officeDocument/2006/relationships/hyperlink" Target="https://sourceforge.net/software/product/INCRMNTAL/" TargetMode="External"/><Relationship Id="rId3308" Type="http://schemas.openxmlformats.org/officeDocument/2006/relationships/hyperlink" Target="http://sparkouttech.com" TargetMode="External"/><Relationship Id="rId3307" Type="http://schemas.openxmlformats.org/officeDocument/2006/relationships/hyperlink" Target="https://www.sparkouttech.com/ui-ux-design-agencies-usa/" TargetMode="External"/><Relationship Id="rId3309" Type="http://schemas.openxmlformats.org/officeDocument/2006/relationships/hyperlink" Target="https://www.spicymargarita.co/blog/top-ai-seo-agencies-for-b2b" TargetMode="External"/><Relationship Id="rId3300" Type="http://schemas.openxmlformats.org/officeDocument/2006/relationships/hyperlink" Target="http://sortlist.com" TargetMode="External"/><Relationship Id="rId3302" Type="http://schemas.openxmlformats.org/officeDocument/2006/relationships/hyperlink" Target="http://sortlist.com" TargetMode="External"/><Relationship Id="rId3301" Type="http://schemas.openxmlformats.org/officeDocument/2006/relationships/hyperlink" Target="https://www.sortlist.com/s/performance-marketing/atlanta-ga-us" TargetMode="External"/><Relationship Id="rId2005" Type="http://schemas.openxmlformats.org/officeDocument/2006/relationships/hyperlink" Target="https://buywithprime.amazon.com/agency-partner-directory/tinuiti" TargetMode="External"/><Relationship Id="rId3337" Type="http://schemas.openxmlformats.org/officeDocument/2006/relationships/hyperlink" Target="https://www.superside.com/blog/financial-services-creative-agencies" TargetMode="External"/><Relationship Id="rId2006" Type="http://schemas.openxmlformats.org/officeDocument/2006/relationships/hyperlink" Target="http://amazon.com" TargetMode="External"/><Relationship Id="rId3336" Type="http://schemas.openxmlformats.org/officeDocument/2006/relationships/hyperlink" Target="http://superside.com" TargetMode="External"/><Relationship Id="rId2007" Type="http://schemas.openxmlformats.org/officeDocument/2006/relationships/hyperlink" Target="https://byaries.com/services/ai-enablement-program-for-law-firm-marketing-teams/" TargetMode="External"/><Relationship Id="rId3339" Type="http://schemas.openxmlformats.org/officeDocument/2006/relationships/hyperlink" Target="https://www.superside.com/blog/omnichannel-design-partners" TargetMode="External"/><Relationship Id="rId2008" Type="http://schemas.openxmlformats.org/officeDocument/2006/relationships/hyperlink" Target="http://byaries.com" TargetMode="External"/><Relationship Id="rId3338" Type="http://schemas.openxmlformats.org/officeDocument/2006/relationships/hyperlink" Target="http://superside.com" TargetMode="External"/><Relationship Id="rId2009" Type="http://schemas.openxmlformats.org/officeDocument/2006/relationships/hyperlink" Target="https://c3digitus.com/blog/top-digital-marketing-agencies-usa/" TargetMode="External"/><Relationship Id="rId3331" Type="http://schemas.openxmlformats.org/officeDocument/2006/relationships/hyperlink" Target="https://www.superside.com/blog/creative-at-scale" TargetMode="External"/><Relationship Id="rId2000" Type="http://schemas.openxmlformats.org/officeDocument/2006/relationships/hyperlink" Target="http://businessinsider.com" TargetMode="External"/><Relationship Id="rId3330" Type="http://schemas.openxmlformats.org/officeDocument/2006/relationships/hyperlink" Target="http://superside.com" TargetMode="External"/><Relationship Id="rId2001" Type="http://schemas.openxmlformats.org/officeDocument/2006/relationships/hyperlink" Target="https://www.businessofapps.com/marketplace/vayner-media/" TargetMode="External"/><Relationship Id="rId3333" Type="http://schemas.openxmlformats.org/officeDocument/2006/relationships/hyperlink" Target="https://www.superside.com/blog/creative-content-agencies" TargetMode="External"/><Relationship Id="rId2002" Type="http://schemas.openxmlformats.org/officeDocument/2006/relationships/hyperlink" Target="http://businessofapps.com" TargetMode="External"/><Relationship Id="rId3332" Type="http://schemas.openxmlformats.org/officeDocument/2006/relationships/hyperlink" Target="http://superside.com" TargetMode="External"/><Relationship Id="rId2003" Type="http://schemas.openxmlformats.org/officeDocument/2006/relationships/hyperlink" Target="https://www.busylike.com/" TargetMode="External"/><Relationship Id="rId3335" Type="http://schemas.openxmlformats.org/officeDocument/2006/relationships/hyperlink" Target="https://www.superside.com/blog/creative-performance-agencies" TargetMode="External"/><Relationship Id="rId2004" Type="http://schemas.openxmlformats.org/officeDocument/2006/relationships/hyperlink" Target="http://busylike.com" TargetMode="External"/><Relationship Id="rId3334" Type="http://schemas.openxmlformats.org/officeDocument/2006/relationships/hyperlink" Target="http://superside.com" TargetMode="External"/><Relationship Id="rId3326" Type="http://schemas.openxmlformats.org/officeDocument/2006/relationships/hyperlink" Target="http://stryde.com" TargetMode="External"/><Relationship Id="rId3325" Type="http://schemas.openxmlformats.org/officeDocument/2006/relationships/hyperlink" Target="https://www.stryde.com/best-ecommerce-paid-search-agencies-in-the-us/" TargetMode="External"/><Relationship Id="rId3328" Type="http://schemas.openxmlformats.org/officeDocument/2006/relationships/hyperlink" Target="http://superbcompanies.com" TargetMode="External"/><Relationship Id="rId3327" Type="http://schemas.openxmlformats.org/officeDocument/2006/relationships/hyperlink" Target="https://superbcompanies.com/categories/media-planning-buying-agencies-in-the-usa/" TargetMode="External"/><Relationship Id="rId3329" Type="http://schemas.openxmlformats.org/officeDocument/2006/relationships/hyperlink" Target="https://www.superside.com/blog/ai-powered-agencies" TargetMode="External"/><Relationship Id="rId3320" Type="http://schemas.openxmlformats.org/officeDocument/2006/relationships/hyperlink" Target="http://stellaheystella.com" TargetMode="External"/><Relationship Id="rId3322" Type="http://schemas.openxmlformats.org/officeDocument/2006/relationships/hyperlink" Target="http://stridec.com" TargetMode="External"/><Relationship Id="rId3321" Type="http://schemas.openxmlformats.org/officeDocument/2006/relationships/hyperlink" Target="https://stridec.com/blog/best-ai-seo-agencies/" TargetMode="External"/><Relationship Id="rId3324" Type="http://schemas.openxmlformats.org/officeDocument/2006/relationships/hyperlink" Target="http://stridec.com" TargetMode="External"/><Relationship Id="rId3323" Type="http://schemas.openxmlformats.org/officeDocument/2006/relationships/hyperlink" Target="https://stridec.com/blog/best-geo-tools-ai-search/" TargetMode="External"/><Relationship Id="rId2090" Type="http://schemas.openxmlformats.org/officeDocument/2006/relationships/hyperlink" Target="http://cloudconsultingfirms.com" TargetMode="External"/><Relationship Id="rId2091" Type="http://schemas.openxmlformats.org/officeDocument/2006/relationships/hyperlink" Target="https://www.cloudsecuretech.com/insights/msp-aeo-geo/" TargetMode="External"/><Relationship Id="rId2092" Type="http://schemas.openxmlformats.org/officeDocument/2006/relationships/hyperlink" Target="http://cloudsecuretech.com" TargetMode="External"/><Relationship Id="rId2093" Type="http://schemas.openxmlformats.org/officeDocument/2006/relationships/hyperlink" Target="https://clutch.co/agencies/conversion-optimization/research" TargetMode="External"/><Relationship Id="rId2094" Type="http://schemas.openxmlformats.org/officeDocument/2006/relationships/hyperlink" Target="http://clutch.co" TargetMode="External"/><Relationship Id="rId2095" Type="http://schemas.openxmlformats.org/officeDocument/2006/relationships/hyperlink" Target="https://clutch.co/agencies/media-buying" TargetMode="External"/><Relationship Id="rId2096" Type="http://schemas.openxmlformats.org/officeDocument/2006/relationships/hyperlink" Target="http://clutch.co" TargetMode="External"/><Relationship Id="rId2097" Type="http://schemas.openxmlformats.org/officeDocument/2006/relationships/hyperlink" Target="https://clutch.co/agencies/media-buying?page=0" TargetMode="External"/><Relationship Id="rId2098" Type="http://schemas.openxmlformats.org/officeDocument/2006/relationships/hyperlink" Target="http://clutch.co" TargetMode="External"/><Relationship Id="rId2099" Type="http://schemas.openxmlformats.org/officeDocument/2006/relationships/hyperlink" Target="https://clutch.co/agencies/ppc" TargetMode="External"/><Relationship Id="rId3391" Type="http://schemas.openxmlformats.org/officeDocument/2006/relationships/hyperlink" Target="http://theinklusive.com" TargetMode="External"/><Relationship Id="rId2060" Type="http://schemas.openxmlformats.org/officeDocument/2006/relationships/hyperlink" Target="https://clay.global/blog/best-web-design-agencies" TargetMode="External"/><Relationship Id="rId3390" Type="http://schemas.openxmlformats.org/officeDocument/2006/relationships/hyperlink" Target="https://theinklusive.com/blog/12-best-branding-agencies/" TargetMode="External"/><Relationship Id="rId2061" Type="http://schemas.openxmlformats.org/officeDocument/2006/relationships/hyperlink" Target="https://clearforge.ai/" TargetMode="External"/><Relationship Id="rId3393" Type="http://schemas.openxmlformats.org/officeDocument/2006/relationships/hyperlink" Target="http://thekeenfolks.com" TargetMode="External"/><Relationship Id="rId2062" Type="http://schemas.openxmlformats.org/officeDocument/2006/relationships/hyperlink" Target="http://clearforge.ai" TargetMode="External"/><Relationship Id="rId3392" Type="http://schemas.openxmlformats.org/officeDocument/2006/relationships/hyperlink" Target="https://www.thekeenfolks.com/blog-article/top-ai-marketing-companies" TargetMode="External"/><Relationship Id="rId2063" Type="http://schemas.openxmlformats.org/officeDocument/2006/relationships/hyperlink" Target="https://www.clearleaddigital.com/blog/2025-guide-top-seo-marketing-agencies" TargetMode="External"/><Relationship Id="rId3395" Type="http://schemas.openxmlformats.org/officeDocument/2006/relationships/hyperlink" Target="http://thekeenfolks.com" TargetMode="External"/><Relationship Id="rId2064" Type="http://schemas.openxmlformats.org/officeDocument/2006/relationships/hyperlink" Target="http://clearleaddigital.com" TargetMode="External"/><Relationship Id="rId3394" Type="http://schemas.openxmlformats.org/officeDocument/2006/relationships/hyperlink" Target="https://www.thekeenfolks.com/solutions/20-the-best-ai-marketing-companies-for-large-enterprises" TargetMode="External"/><Relationship Id="rId2065" Type="http://schemas.openxmlformats.org/officeDocument/2006/relationships/hyperlink" Target="https://clicksgeek.com/best-google-ads-management-companies/" TargetMode="External"/><Relationship Id="rId3397" Type="http://schemas.openxmlformats.org/officeDocument/2006/relationships/hyperlink" Target="http://themanifest.com" TargetMode="External"/><Relationship Id="rId2066" Type="http://schemas.openxmlformats.org/officeDocument/2006/relationships/hyperlink" Target="http://clicksgeek.com" TargetMode="External"/><Relationship Id="rId3396" Type="http://schemas.openxmlformats.org/officeDocument/2006/relationships/hyperlink" Target="https://themanifest.com/media-buying/agencies" TargetMode="External"/><Relationship Id="rId2067" Type="http://schemas.openxmlformats.org/officeDocument/2006/relationships/hyperlink" Target="https://clicksgeek.com/best-google-premier-partners/" TargetMode="External"/><Relationship Id="rId3399" Type="http://schemas.openxmlformats.org/officeDocument/2006/relationships/hyperlink" Target="http://themanifest.com" TargetMode="External"/><Relationship Id="rId2068" Type="http://schemas.openxmlformats.org/officeDocument/2006/relationships/hyperlink" Target="http://clicksgeek.com" TargetMode="External"/><Relationship Id="rId3398" Type="http://schemas.openxmlformats.org/officeDocument/2006/relationships/hyperlink" Target="https://themanifest.com/us/creative/agencies?page=1" TargetMode="External"/><Relationship Id="rId2069" Type="http://schemas.openxmlformats.org/officeDocument/2006/relationships/hyperlink" Target="https://clicksgeek.com/best-marketing-agency-for-roi/" TargetMode="External"/><Relationship Id="rId3380" Type="http://schemas.openxmlformats.org/officeDocument/2006/relationships/hyperlink" Target="https://www.thegrowthsyndicate.com/agencies/best-b2b-marketing-agencies-us" TargetMode="External"/><Relationship Id="rId2050" Type="http://schemas.openxmlformats.org/officeDocument/2006/relationships/hyperlink" Target="http://ciocoverage.com" TargetMode="External"/><Relationship Id="rId3382" Type="http://schemas.openxmlformats.org/officeDocument/2006/relationships/hyperlink" Target="https://www.thegrowthsyndicate.com/agencies/best-linkedin-ads-agencies-us" TargetMode="External"/><Relationship Id="rId2051" Type="http://schemas.openxmlformats.org/officeDocument/2006/relationships/hyperlink" Target="https://www.circana.com/solutions/marketing-mix" TargetMode="External"/><Relationship Id="rId3381" Type="http://schemas.openxmlformats.org/officeDocument/2006/relationships/hyperlink" Target="http://thegrowthsyndicate.com" TargetMode="External"/><Relationship Id="rId2052" Type="http://schemas.openxmlformats.org/officeDocument/2006/relationships/hyperlink" Target="http://circana.com" TargetMode="External"/><Relationship Id="rId3384" Type="http://schemas.openxmlformats.org/officeDocument/2006/relationships/hyperlink" Target="https://www.thegutenberg.com/blog/measuring-marketing-roi-in-the-tech-industry-key-metrics-and-tools/" TargetMode="External"/><Relationship Id="rId2053" Type="http://schemas.openxmlformats.org/officeDocument/2006/relationships/hyperlink" Target="https://www.cisin.com/coffee-break/software-development-companies-in-the-usa.html" TargetMode="External"/><Relationship Id="rId3383" Type="http://schemas.openxmlformats.org/officeDocument/2006/relationships/hyperlink" Target="http://thegrowthsyndicate.com" TargetMode="External"/><Relationship Id="rId2054" Type="http://schemas.openxmlformats.org/officeDocument/2006/relationships/hyperlink" Target="http://cisin.com" TargetMode="External"/><Relationship Id="rId3386" Type="http://schemas.openxmlformats.org/officeDocument/2006/relationships/hyperlink" Target="https://www.thehackettgroup.com/ai-consulting-hckt/" TargetMode="External"/><Relationship Id="rId2055" Type="http://schemas.openxmlformats.org/officeDocument/2006/relationships/hyperlink" Target="https://www.citeme.io/ressources/geo-agency" TargetMode="External"/><Relationship Id="rId3385" Type="http://schemas.openxmlformats.org/officeDocument/2006/relationships/hyperlink" Target="http://thegutenberg.com" TargetMode="External"/><Relationship Id="rId2056" Type="http://schemas.openxmlformats.org/officeDocument/2006/relationships/hyperlink" Target="http://citeme.io" TargetMode="External"/><Relationship Id="rId3388" Type="http://schemas.openxmlformats.org/officeDocument/2006/relationships/hyperlink" Target="https://www.thehackettgroup.com/gen-ai-consulting/" TargetMode="External"/><Relationship Id="rId2057" Type="http://schemas.openxmlformats.org/officeDocument/2006/relationships/hyperlink" Target="https://citrusbug.com/blog/mobile-app-development-agencies/" TargetMode="External"/><Relationship Id="rId3387" Type="http://schemas.openxmlformats.org/officeDocument/2006/relationships/hyperlink" Target="http://thehackettgroup.com" TargetMode="External"/><Relationship Id="rId2058" Type="http://schemas.openxmlformats.org/officeDocument/2006/relationships/hyperlink" Target="http://citrusbug.com" TargetMode="External"/><Relationship Id="rId2059" Type="http://schemas.openxmlformats.org/officeDocument/2006/relationships/hyperlink" Target="https://claritydigital.agency/services/ai-marketing-enablement/ai-marketing-strategy" TargetMode="External"/><Relationship Id="rId3389" Type="http://schemas.openxmlformats.org/officeDocument/2006/relationships/hyperlink" Target="http://thehackettgroup.com" TargetMode="External"/><Relationship Id="rId2080" Type="http://schemas.openxmlformats.org/officeDocument/2006/relationships/hyperlink" Target="http://clicksgeek.com" TargetMode="External"/><Relationship Id="rId2081" Type="http://schemas.openxmlformats.org/officeDocument/2006/relationships/hyperlink" Target="https://clickstrike.com/blog/ai-marketing-agencies/" TargetMode="External"/><Relationship Id="rId2082" Type="http://schemas.openxmlformats.org/officeDocument/2006/relationships/hyperlink" Target="http://clickstrike.com" TargetMode="External"/><Relationship Id="rId2083" Type="http://schemas.openxmlformats.org/officeDocument/2006/relationships/hyperlink" Target="https://clickup.com/blog/san-diego-marketing-agencies/" TargetMode="External"/><Relationship Id="rId2084" Type="http://schemas.openxmlformats.org/officeDocument/2006/relationships/hyperlink" Target="http://clickup.com" TargetMode="External"/><Relationship Id="rId2085" Type="http://schemas.openxmlformats.org/officeDocument/2006/relationships/hyperlink" Target="https://cloud.google.com/customers/jellyfish2" TargetMode="External"/><Relationship Id="rId2086" Type="http://schemas.openxmlformats.org/officeDocument/2006/relationships/hyperlink" Target="http://google.com" TargetMode="External"/><Relationship Id="rId2087" Type="http://schemas.openxmlformats.org/officeDocument/2006/relationships/hyperlink" Target="https://cloud.google.com/find-a-partner/?search=marketing+agency" TargetMode="External"/><Relationship Id="rId2088" Type="http://schemas.openxmlformats.org/officeDocument/2006/relationships/hyperlink" Target="http://google.com" TargetMode="External"/><Relationship Id="rId2089" Type="http://schemas.openxmlformats.org/officeDocument/2006/relationships/hyperlink" Target="https://cloudconsultingfirms.com/insights/it-services-companies/" TargetMode="External"/><Relationship Id="rId2070" Type="http://schemas.openxmlformats.org/officeDocument/2006/relationships/hyperlink" Target="http://clicksgeek.com" TargetMode="External"/><Relationship Id="rId2071" Type="http://schemas.openxmlformats.org/officeDocument/2006/relationships/hyperlink" Target="https://clicksgeek.com/best-roi-digital-marketing-agencies/" TargetMode="External"/><Relationship Id="rId2072" Type="http://schemas.openxmlformats.org/officeDocument/2006/relationships/hyperlink" Target="http://clicksgeek.com" TargetMode="External"/><Relationship Id="rId2073" Type="http://schemas.openxmlformats.org/officeDocument/2006/relationships/hyperlink" Target="https://clicksgeek.com/best-roi-focused-marketing-agency/" TargetMode="External"/><Relationship Id="rId2074" Type="http://schemas.openxmlformats.org/officeDocument/2006/relationships/hyperlink" Target="http://clicksgeek.com" TargetMode="External"/><Relationship Id="rId2075" Type="http://schemas.openxmlformats.org/officeDocument/2006/relationships/hyperlink" Target="https://clicksgeek.com/best-roi-marketing-agencies/" TargetMode="External"/><Relationship Id="rId2076" Type="http://schemas.openxmlformats.org/officeDocument/2006/relationships/hyperlink" Target="http://clicksgeek.com" TargetMode="External"/><Relationship Id="rId2077" Type="http://schemas.openxmlformats.org/officeDocument/2006/relationships/hyperlink" Target="https://clicksgeek.com/display-advertising-management-services/" TargetMode="External"/><Relationship Id="rId2078" Type="http://schemas.openxmlformats.org/officeDocument/2006/relationships/hyperlink" Target="http://clicksgeek.com" TargetMode="External"/><Relationship Id="rId2079" Type="http://schemas.openxmlformats.org/officeDocument/2006/relationships/hyperlink" Target="https://clicksgeek.com/paid-media-buying-services/" TargetMode="External"/><Relationship Id="rId2940" Type="http://schemas.openxmlformats.org/officeDocument/2006/relationships/hyperlink" Target="http://nuundigital.com" TargetMode="External"/><Relationship Id="rId1610" Type="http://schemas.openxmlformats.org/officeDocument/2006/relationships/hyperlink" Target="https://sellforte.com/blog/best-ai-tools-for-mmm-and-incrementality-testing" TargetMode="External"/><Relationship Id="rId2941" Type="http://schemas.openxmlformats.org/officeDocument/2006/relationships/hyperlink" Target="https://www.nv5.com/geospatial/" TargetMode="External"/><Relationship Id="rId1611" Type="http://schemas.openxmlformats.org/officeDocument/2006/relationships/hyperlink" Target="http://sellforte.com" TargetMode="External"/><Relationship Id="rId2942" Type="http://schemas.openxmlformats.org/officeDocument/2006/relationships/hyperlink" Target="http://nv5.com" TargetMode="External"/><Relationship Id="rId1612" Type="http://schemas.openxmlformats.org/officeDocument/2006/relationships/hyperlink" Target="https://semnexus.com/best-aeo-agencies-in-the-us-for-2026/" TargetMode="External"/><Relationship Id="rId2943" Type="http://schemas.openxmlformats.org/officeDocument/2006/relationships/hyperlink" Target="https://oakpool.xyz/drift/top-10-geo-aeo-ai-search-agencies/" TargetMode="External"/><Relationship Id="rId1613" Type="http://schemas.openxmlformats.org/officeDocument/2006/relationships/hyperlink" Target="http://semnexus.com" TargetMode="External"/><Relationship Id="rId2944" Type="http://schemas.openxmlformats.org/officeDocument/2006/relationships/hyperlink" Target="http://oakpool.xyz" TargetMode="External"/><Relationship Id="rId1614" Type="http://schemas.openxmlformats.org/officeDocument/2006/relationships/hyperlink" Target="https://www.semrush.com/agencies/list/display-advertising/united-states/" TargetMode="External"/><Relationship Id="rId2945" Type="http://schemas.openxmlformats.org/officeDocument/2006/relationships/hyperlink" Target="https://www.ogilvy.com/" TargetMode="External"/><Relationship Id="rId1615" Type="http://schemas.openxmlformats.org/officeDocument/2006/relationships/hyperlink" Target="http://semrush.com" TargetMode="External"/><Relationship Id="rId2946" Type="http://schemas.openxmlformats.org/officeDocument/2006/relationships/hyperlink" Target="http://ogilvy.com" TargetMode="External"/><Relationship Id="rId1616" Type="http://schemas.openxmlformats.org/officeDocument/2006/relationships/hyperlink" Target="https://www.seo.com/ai/companies/" TargetMode="External"/><Relationship Id="rId2947" Type="http://schemas.openxmlformats.org/officeDocument/2006/relationships/hyperlink" Target="https://www.ogilvy.com/ideas/ogilvy-recognized-worlds-most-creative-agency-network-warc-5th-consecutive-year" TargetMode="External"/><Relationship Id="rId907" Type="http://schemas.openxmlformats.org/officeDocument/2006/relationships/hyperlink" Target="http://withgoogle.com" TargetMode="External"/><Relationship Id="rId1617" Type="http://schemas.openxmlformats.org/officeDocument/2006/relationships/hyperlink" Target="http://seo.com" TargetMode="External"/><Relationship Id="rId2948" Type="http://schemas.openxmlformats.org/officeDocument/2006/relationships/hyperlink" Target="http://ogilvy.com" TargetMode="External"/><Relationship Id="rId906" Type="http://schemas.openxmlformats.org/officeDocument/2006/relationships/hyperlink" Target="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 TargetMode="External"/><Relationship Id="rId1618" Type="http://schemas.openxmlformats.org/officeDocument/2006/relationships/hyperlink" Target="https://www.seodiscovery.com/blog/best-digital-marketing-companies-in-usa/" TargetMode="External"/><Relationship Id="rId2949" Type="http://schemas.openxmlformats.org/officeDocument/2006/relationships/hyperlink" Target="https://www.ombrella.net/work/" TargetMode="External"/><Relationship Id="rId905" Type="http://schemas.openxmlformats.org/officeDocument/2006/relationships/hyperlink" Target="http://mobileappdaily.com" TargetMode="External"/><Relationship Id="rId1619" Type="http://schemas.openxmlformats.org/officeDocument/2006/relationships/hyperlink" Target="http://seodiscovery.com" TargetMode="External"/><Relationship Id="rId904" Type="http://schemas.openxmlformats.org/officeDocument/2006/relationships/hyperlink" Target="https://www.mobileappdaily.com/directory/digital-marketing-companies/us/" TargetMode="External"/><Relationship Id="rId909" Type="http://schemas.openxmlformats.org/officeDocument/2006/relationships/hyperlink" Target="http://percepture.com" TargetMode="External"/><Relationship Id="rId908" Type="http://schemas.openxmlformats.org/officeDocument/2006/relationships/hyperlink" Target="https://percepture.com/services/geo-services/" TargetMode="External"/><Relationship Id="rId903" Type="http://schemas.openxmlformats.org/officeDocument/2006/relationships/hyperlink" Target="http://masterrvdesigners.com" TargetMode="External"/><Relationship Id="rId902" Type="http://schemas.openxmlformats.org/officeDocument/2006/relationships/hyperlink" Target="https://www.masterrvdesigners.com/blog/best-creative-agencies-2026/" TargetMode="External"/><Relationship Id="rId901" Type="http://schemas.openxmlformats.org/officeDocument/2006/relationships/hyperlink" Target="http://marketingltb.com" TargetMode="External"/><Relationship Id="rId900" Type="http://schemas.openxmlformats.org/officeDocument/2006/relationships/hyperlink" Target="https://marketingltb.com/blog/agency/best-global-digital-marketing-agencies/" TargetMode="External"/><Relationship Id="rId2930" Type="http://schemas.openxmlformats.org/officeDocument/2006/relationships/hyperlink" Target="http://nogood.io" TargetMode="External"/><Relationship Id="rId1600" Type="http://schemas.openxmlformats.org/officeDocument/2006/relationships/hyperlink" Target="http://rocketium.ai" TargetMode="External"/><Relationship Id="rId2931" Type="http://schemas.openxmlformats.org/officeDocument/2006/relationships/hyperlink" Target="https://nogood.io/blog/marketing-attribution-tools/" TargetMode="External"/><Relationship Id="rId1601" Type="http://schemas.openxmlformats.org/officeDocument/2006/relationships/hyperlink" Target="https://www.rocktherankings.com/best-geo-agency/" TargetMode="External"/><Relationship Id="rId2932" Type="http://schemas.openxmlformats.org/officeDocument/2006/relationships/hyperlink" Target="http://nogood.io" TargetMode="External"/><Relationship Id="rId1602" Type="http://schemas.openxmlformats.org/officeDocument/2006/relationships/hyperlink" Target="http://rocktherankings.com" TargetMode="External"/><Relationship Id="rId2933" Type="http://schemas.openxmlformats.org/officeDocument/2006/relationships/hyperlink" Target="https://northquery.com/best-aeo-agency/enterprise" TargetMode="External"/><Relationship Id="rId1603" Type="http://schemas.openxmlformats.org/officeDocument/2006/relationships/hyperlink" Target="https://www.saas-hackers.com/top/b2b-saas-enterprise-agencies" TargetMode="External"/><Relationship Id="rId2934" Type="http://schemas.openxmlformats.org/officeDocument/2006/relationships/hyperlink" Target="http://northquery.com" TargetMode="External"/><Relationship Id="rId1604" Type="http://schemas.openxmlformats.org/officeDocument/2006/relationships/hyperlink" Target="http://saas-hackers.com" TargetMode="External"/><Relationship Id="rId2935" Type="http://schemas.openxmlformats.org/officeDocument/2006/relationships/hyperlink" Target="https://www.norvelljefferson.com/insights/top-25-creative-agencies-amsterdam-2026" TargetMode="External"/><Relationship Id="rId1605" Type="http://schemas.openxmlformats.org/officeDocument/2006/relationships/hyperlink" Target="https://scopicstudios.com/blog/best-enterprise-marketing-data-analytics-consulting-firms-2026/" TargetMode="External"/><Relationship Id="rId2936" Type="http://schemas.openxmlformats.org/officeDocument/2006/relationships/hyperlink" Target="http://norvelljefferson.com" TargetMode="External"/><Relationship Id="rId1606" Type="http://schemas.openxmlformats.org/officeDocument/2006/relationships/hyperlink" Target="http://scopicstudios.com" TargetMode="External"/><Relationship Id="rId2937" Type="http://schemas.openxmlformats.org/officeDocument/2006/relationships/hyperlink" Target="https://www.nutshell.com/blog/best-ai-seo-companies" TargetMode="External"/><Relationship Id="rId1607" Type="http://schemas.openxmlformats.org/officeDocument/2006/relationships/hyperlink" Target="https://www.sealglobalholdings.com/ai-search-optimization-agency" TargetMode="External"/><Relationship Id="rId2938" Type="http://schemas.openxmlformats.org/officeDocument/2006/relationships/hyperlink" Target="http://nutshell.com" TargetMode="External"/><Relationship Id="rId1608" Type="http://schemas.openxmlformats.org/officeDocument/2006/relationships/hyperlink" Target="http://sealglobalholdings.com" TargetMode="External"/><Relationship Id="rId2939" Type="http://schemas.openxmlformats.org/officeDocument/2006/relationships/hyperlink" Target="https://nuundigital.com/insights/strategy/top-growth-agencies-north-america" TargetMode="External"/><Relationship Id="rId1609" Type="http://schemas.openxmlformats.org/officeDocument/2006/relationships/hyperlink" Target="https://search.agency/ai-search" TargetMode="External"/><Relationship Id="rId1631" Type="http://schemas.openxmlformats.org/officeDocument/2006/relationships/hyperlink" Target="http://silverbackstrategies.com" TargetMode="External"/><Relationship Id="rId2962" Type="http://schemas.openxmlformats.org/officeDocument/2006/relationships/hyperlink" Target="http://oneclickseo.com" TargetMode="External"/><Relationship Id="rId1632" Type="http://schemas.openxmlformats.org/officeDocument/2006/relationships/hyperlink" Target="https://silverspoonagency.com/best-performance-marketing-agencies/" TargetMode="External"/><Relationship Id="rId2963" Type="http://schemas.openxmlformats.org/officeDocument/2006/relationships/hyperlink" Target="https://www.oneclub.org/AWARDS/THEONESHOW/-archive/holdingcompany/2025/all/1/840" TargetMode="External"/><Relationship Id="rId1633" Type="http://schemas.openxmlformats.org/officeDocument/2006/relationships/hyperlink" Target="http://silverspoonagency.com" TargetMode="External"/><Relationship Id="rId2964" Type="http://schemas.openxmlformats.org/officeDocument/2006/relationships/hyperlink" Target="http://oneclub.org" TargetMode="External"/><Relationship Id="rId1634" Type="http://schemas.openxmlformats.org/officeDocument/2006/relationships/hyperlink" Target="https://www.sortlist.com/s/creative/united-states-us" TargetMode="External"/><Relationship Id="rId2965" Type="http://schemas.openxmlformats.org/officeDocument/2006/relationships/hyperlink" Target="https://www.oneclub.org/awards/adcawards/-archive/agency/2025/38/all/1/840" TargetMode="External"/><Relationship Id="rId1635" Type="http://schemas.openxmlformats.org/officeDocument/2006/relationships/hyperlink" Target="http://sortlist.com" TargetMode="External"/><Relationship Id="rId2966" Type="http://schemas.openxmlformats.org/officeDocument/2006/relationships/hyperlink" Target="http://oneclub.org" TargetMode="External"/><Relationship Id="rId1636" Type="http://schemas.openxmlformats.org/officeDocument/2006/relationships/hyperlink" Target="https://sourceforge.net/software/incrementality-testing/" TargetMode="External"/><Relationship Id="rId2967" Type="http://schemas.openxmlformats.org/officeDocument/2006/relationships/hyperlink" Target="https://www.oneclub.org/awards/adcawards/-archive/agency/2025/61/all/1/all" TargetMode="External"/><Relationship Id="rId1637" Type="http://schemas.openxmlformats.org/officeDocument/2006/relationships/hyperlink" Target="http://sourceforge.net" TargetMode="External"/><Relationship Id="rId2968" Type="http://schemas.openxmlformats.org/officeDocument/2006/relationships/hyperlink" Target="http://oneclub.org" TargetMode="External"/><Relationship Id="rId1638" Type="http://schemas.openxmlformats.org/officeDocument/2006/relationships/hyperlink" Target="https://www.statista.com/topics/12476/%25E2%2580%259Cbig-six%25E2%2580%259D-ad-agency-groups-worldwide/" TargetMode="External"/><Relationship Id="rId2969" Type="http://schemas.openxmlformats.org/officeDocument/2006/relationships/hyperlink" Target="https://onelittleweb.com/top-agencies/b2b-seo-agency/" TargetMode="External"/><Relationship Id="rId929" Type="http://schemas.openxmlformats.org/officeDocument/2006/relationships/hyperlink" Target="https://support.google.com/tagmanager/answer/7237700?hl=en" TargetMode="External"/><Relationship Id="rId1639" Type="http://schemas.openxmlformats.org/officeDocument/2006/relationships/hyperlink" Target="http://statista.com" TargetMode="External"/><Relationship Id="rId928" Type="http://schemas.openxmlformats.org/officeDocument/2006/relationships/hyperlink" Target="http://sortlist.com" TargetMode="External"/><Relationship Id="rId927" Type="http://schemas.openxmlformats.org/officeDocument/2006/relationships/hyperlink" Target="https://www.sortlist.com/digital-marketing/united-states-us" TargetMode="External"/><Relationship Id="rId926" Type="http://schemas.openxmlformats.org/officeDocument/2006/relationships/hyperlink" Target="http://sociallyin.com" TargetMode="External"/><Relationship Id="rId921" Type="http://schemas.openxmlformats.org/officeDocument/2006/relationships/hyperlink" Target="https://www.reuters.com/business/publicis-raises-growth-target-ai-driven-marketing-demand-stays-strong-2026-07-16/" TargetMode="External"/><Relationship Id="rId920" Type="http://schemas.openxmlformats.org/officeDocument/2006/relationships/hyperlink" Target="http://retailhub.co" TargetMode="External"/><Relationship Id="rId925" Type="http://schemas.openxmlformats.org/officeDocument/2006/relationships/hyperlink" Target="https://sociallyin.com/resources/top-creative-agencies-us/" TargetMode="External"/><Relationship Id="rId924" Type="http://schemas.openxmlformats.org/officeDocument/2006/relationships/hyperlink" Target="http://segmentstream.com" TargetMode="External"/><Relationship Id="rId923" Type="http://schemas.openxmlformats.org/officeDocument/2006/relationships/hyperlink" Target="https://segmentstream.com/blog/articles/top-haus-io-alternatives-for-geo-lift-incrementality-testing" TargetMode="External"/><Relationship Id="rId922" Type="http://schemas.openxmlformats.org/officeDocument/2006/relationships/hyperlink" Target="http://reuters.com" TargetMode="External"/><Relationship Id="rId2960" Type="http://schemas.openxmlformats.org/officeDocument/2006/relationships/hyperlink" Target="http://omnius.so" TargetMode="External"/><Relationship Id="rId1630" Type="http://schemas.openxmlformats.org/officeDocument/2006/relationships/hyperlink" Target="https://www.silverbackstrategies.com/lists/best-ppc-agencies-in-the-us-ranked-reviewed/" TargetMode="External"/><Relationship Id="rId2961" Type="http://schemas.openxmlformats.org/officeDocument/2006/relationships/hyperlink" Target="https://oneclickseo.com/services/generative-engine-optimization/" TargetMode="External"/><Relationship Id="rId1620" Type="http://schemas.openxmlformats.org/officeDocument/2006/relationships/hyperlink" Target="https://www.shiftelevates.com/" TargetMode="External"/><Relationship Id="rId2951" Type="http://schemas.openxmlformats.org/officeDocument/2006/relationships/hyperlink" Target="https://www.omdena.com/blog/ai-agent-development-companies" TargetMode="External"/><Relationship Id="rId1621" Type="http://schemas.openxmlformats.org/officeDocument/2006/relationships/hyperlink" Target="http://shiftelevates.com" TargetMode="External"/><Relationship Id="rId2952" Type="http://schemas.openxmlformats.org/officeDocument/2006/relationships/hyperlink" Target="http://omdena.com" TargetMode="External"/><Relationship Id="rId1622" Type="http://schemas.openxmlformats.org/officeDocument/2006/relationships/hyperlink" Target="https://shopiator.com/blog/best-google-ads-agencies-usa" TargetMode="External"/><Relationship Id="rId2953" Type="http://schemas.openxmlformats.org/officeDocument/2006/relationships/hyperlink" Target="https://www.omnibound.ai/blog/first-party-data-statistics" TargetMode="External"/><Relationship Id="rId1623" Type="http://schemas.openxmlformats.org/officeDocument/2006/relationships/hyperlink" Target="http://shopiator.com" TargetMode="External"/><Relationship Id="rId2954" Type="http://schemas.openxmlformats.org/officeDocument/2006/relationships/hyperlink" Target="http://omnibound.ai" TargetMode="External"/><Relationship Id="rId1624" Type="http://schemas.openxmlformats.org/officeDocument/2006/relationships/hyperlink" Target="https://www.shuttergen.com/research/attribution-platforms-compared" TargetMode="External"/><Relationship Id="rId2955" Type="http://schemas.openxmlformats.org/officeDocument/2006/relationships/hyperlink" Target="https://www.omnius.so/blog/best-answer-engine-optimization-agencies" TargetMode="External"/><Relationship Id="rId1625" Type="http://schemas.openxmlformats.org/officeDocument/2006/relationships/hyperlink" Target="http://shuttergen.com" TargetMode="External"/><Relationship Id="rId2956" Type="http://schemas.openxmlformats.org/officeDocument/2006/relationships/hyperlink" Target="http://omnius.so" TargetMode="External"/><Relationship Id="rId1626" Type="http://schemas.openxmlformats.org/officeDocument/2006/relationships/hyperlink" Target="https://www.siegemedia.com/" TargetMode="External"/><Relationship Id="rId2957" Type="http://schemas.openxmlformats.org/officeDocument/2006/relationships/hyperlink" Target="https://www.omnius.so/blog/best-geo-agencies" TargetMode="External"/><Relationship Id="rId1627" Type="http://schemas.openxmlformats.org/officeDocument/2006/relationships/hyperlink" Target="http://siegemedia.com" TargetMode="External"/><Relationship Id="rId2958" Type="http://schemas.openxmlformats.org/officeDocument/2006/relationships/hyperlink" Target="http://omnius.so" TargetMode="External"/><Relationship Id="rId918" Type="http://schemas.openxmlformats.org/officeDocument/2006/relationships/hyperlink" Target="http://reddit.com" TargetMode="External"/><Relationship Id="rId1628" Type="http://schemas.openxmlformats.org/officeDocument/2006/relationships/hyperlink" Target="https://www.signaldepth.com/" TargetMode="External"/><Relationship Id="rId2959" Type="http://schemas.openxmlformats.org/officeDocument/2006/relationships/hyperlink" Target="https://www.omnius.so/blog/marketing-agencies-for-small-businesses" TargetMode="External"/><Relationship Id="rId917" Type="http://schemas.openxmlformats.org/officeDocument/2006/relationships/hyperlink" Target="https://www.reddit.com/r/b2bmarketing/comments/1t546si/the_7_leading_ai_seo_agencies_for_modern_search/" TargetMode="External"/><Relationship Id="rId1629" Type="http://schemas.openxmlformats.org/officeDocument/2006/relationships/hyperlink" Target="http://signaldepth.com" TargetMode="External"/><Relationship Id="rId916" Type="http://schemas.openxmlformats.org/officeDocument/2006/relationships/hyperlink" Target="http://reddit.com" TargetMode="External"/><Relationship Id="rId915" Type="http://schemas.openxmlformats.org/officeDocument/2006/relationships/hyperlink" Target="https://www.reddit.com/r/SearchTides/comments/1uu5d0d/10_best_geo_agencies_for_brands_that_want_to_win/" TargetMode="External"/><Relationship Id="rId919" Type="http://schemas.openxmlformats.org/officeDocument/2006/relationships/hyperlink" Target="https://retailhub.co/best-of/best-geo-marketing-agency/" TargetMode="External"/><Relationship Id="rId910" Type="http://schemas.openxmlformats.org/officeDocument/2006/relationships/hyperlink" Target="https://pinemarsh.com/" TargetMode="External"/><Relationship Id="rId914" Type="http://schemas.openxmlformats.org/officeDocument/2006/relationships/hyperlink" Target="http://quandarypeak.com" TargetMode="External"/><Relationship Id="rId913" Type="http://schemas.openxmlformats.org/officeDocument/2006/relationships/hyperlink" Target="https://quandarypeak.com/ai-strategy-consulting/" TargetMode="External"/><Relationship Id="rId912" Type="http://schemas.openxmlformats.org/officeDocument/2006/relationships/hyperlink" Target="https://piperocket.digital/list/top-performance-marketing-agencies/" TargetMode="External"/><Relationship Id="rId911" Type="http://schemas.openxmlformats.org/officeDocument/2006/relationships/hyperlink" Target="http://pinemarsh.com" TargetMode="External"/><Relationship Id="rId2950" Type="http://schemas.openxmlformats.org/officeDocument/2006/relationships/hyperlink" Target="http://ombrella.net" TargetMode="External"/><Relationship Id="rId2900" Type="http://schemas.openxmlformats.org/officeDocument/2006/relationships/hyperlink" Target="http://mythology.com" TargetMode="External"/><Relationship Id="rId2901" Type="http://schemas.openxmlformats.org/officeDocument/2006/relationships/hyperlink" Target="https://neilpatel.com/blog/challenge-of-marketing-attribution/" TargetMode="External"/><Relationship Id="rId2902" Type="http://schemas.openxmlformats.org/officeDocument/2006/relationships/hyperlink" Target="http://neilpatel.com" TargetMode="External"/><Relationship Id="rId2903" Type="http://schemas.openxmlformats.org/officeDocument/2006/relationships/hyperlink" Target="https://www.neowork.com/insights/marketing-analytics-outsourcing-companies" TargetMode="External"/><Relationship Id="rId2904" Type="http://schemas.openxmlformats.org/officeDocument/2006/relationships/hyperlink" Target="http://neowork.com" TargetMode="External"/><Relationship Id="rId2905" Type="http://schemas.openxmlformats.org/officeDocument/2006/relationships/hyperlink" Target="https://netpeak.us/cases/" TargetMode="External"/><Relationship Id="rId2906" Type="http://schemas.openxmlformats.org/officeDocument/2006/relationships/hyperlink" Target="http://netpeak.us" TargetMode="External"/><Relationship Id="rId2907" Type="http://schemas.openxmlformats.org/officeDocument/2006/relationships/hyperlink" Target="https://netpeak.us/services/generative-engine-optimization/" TargetMode="External"/><Relationship Id="rId2908" Type="http://schemas.openxmlformats.org/officeDocument/2006/relationships/hyperlink" Target="http://netpeak.us" TargetMode="External"/><Relationship Id="rId2909" Type="http://schemas.openxmlformats.org/officeDocument/2006/relationships/hyperlink" Target="https://newcombin.com/success-stories/" TargetMode="External"/><Relationship Id="rId2920" Type="http://schemas.openxmlformats.org/officeDocument/2006/relationships/hyperlink" Target="http://nogood.io" TargetMode="External"/><Relationship Id="rId2921" Type="http://schemas.openxmlformats.org/officeDocument/2006/relationships/hyperlink" Target="https://nogood.io/blog/best-answer-engine-optimization-agencies/" TargetMode="External"/><Relationship Id="rId2922" Type="http://schemas.openxmlformats.org/officeDocument/2006/relationships/hyperlink" Target="http://nogood.io" TargetMode="External"/><Relationship Id="rId2923" Type="http://schemas.openxmlformats.org/officeDocument/2006/relationships/hyperlink" Target="https://nogood.io/blog/branding-agencies/" TargetMode="External"/><Relationship Id="rId2924" Type="http://schemas.openxmlformats.org/officeDocument/2006/relationships/hyperlink" Target="http://nogood.io" TargetMode="External"/><Relationship Id="rId2925" Type="http://schemas.openxmlformats.org/officeDocument/2006/relationships/hyperlink" Target="https://nogood.io/blog/digital-marketing-agencies-new-york/" TargetMode="External"/><Relationship Id="rId2926" Type="http://schemas.openxmlformats.org/officeDocument/2006/relationships/hyperlink" Target="http://nogood.io" TargetMode="External"/><Relationship Id="rId2927" Type="http://schemas.openxmlformats.org/officeDocument/2006/relationships/hyperlink" Target="https://nogood.io/blog/global-marketing-agencies/" TargetMode="External"/><Relationship Id="rId2928" Type="http://schemas.openxmlformats.org/officeDocument/2006/relationships/hyperlink" Target="http://nogood.io" TargetMode="External"/><Relationship Id="rId2929" Type="http://schemas.openxmlformats.org/officeDocument/2006/relationships/hyperlink" Target="https://nogood.io/blog/instagram-marketing-agencies/" TargetMode="External"/><Relationship Id="rId2910" Type="http://schemas.openxmlformats.org/officeDocument/2006/relationships/hyperlink" Target="http://newcombin.com" TargetMode="External"/><Relationship Id="rId2911" Type="http://schemas.openxmlformats.org/officeDocument/2006/relationships/hyperlink" Target="https://www.newform.com/guides/best-performance-creative-agencies-nyc-2026" TargetMode="External"/><Relationship Id="rId2912" Type="http://schemas.openxmlformats.org/officeDocument/2006/relationships/hyperlink" Target="http://newform.com" TargetMode="External"/><Relationship Id="rId2913" Type="http://schemas.openxmlformats.org/officeDocument/2006/relationships/hyperlink" Target="https://ninjapromo.io/top-google-ads-agencies" TargetMode="External"/><Relationship Id="rId2914" Type="http://schemas.openxmlformats.org/officeDocument/2006/relationships/hyperlink" Target="http://ninjapromo.io" TargetMode="External"/><Relationship Id="rId2915" Type="http://schemas.openxmlformats.org/officeDocument/2006/relationships/hyperlink" Target="https://ninjapromo.io/top-graphic-design-companies" TargetMode="External"/><Relationship Id="rId2916" Type="http://schemas.openxmlformats.org/officeDocument/2006/relationships/hyperlink" Target="http://ninjapromo.io" TargetMode="External"/><Relationship Id="rId2917" Type="http://schemas.openxmlformats.org/officeDocument/2006/relationships/hyperlink" Target="https://www.niracore.com/top-data-analytics-companies-usa-2026/" TargetMode="External"/><Relationship Id="rId2918" Type="http://schemas.openxmlformats.org/officeDocument/2006/relationships/hyperlink" Target="http://niracore.com" TargetMode="External"/><Relationship Id="rId2919" Type="http://schemas.openxmlformats.org/officeDocument/2006/relationships/hyperlink" Target="https://nogood.io/blog/b2b-marketing-agencies/" TargetMode="External"/><Relationship Id="rId1697" Type="http://schemas.openxmlformats.org/officeDocument/2006/relationships/hyperlink" Target="http://webtonic.io" TargetMode="External"/><Relationship Id="rId1698" Type="http://schemas.openxmlformats.org/officeDocument/2006/relationships/hyperlink" Target="https://www.webtonic.io/blog/top-web-analytics-agencies" TargetMode="External"/><Relationship Id="rId1699" Type="http://schemas.openxmlformats.org/officeDocument/2006/relationships/hyperlink" Target="http://webtonic.io" TargetMode="External"/><Relationship Id="rId866" Type="http://schemas.openxmlformats.org/officeDocument/2006/relationships/hyperlink" Target="https://clutch.co/us/agencies/market-research" TargetMode="External"/><Relationship Id="rId865" Type="http://schemas.openxmlformats.org/officeDocument/2006/relationships/hyperlink" Target="http://clutch.co" TargetMode="External"/><Relationship Id="rId864" Type="http://schemas.openxmlformats.org/officeDocument/2006/relationships/hyperlink" Target="https://clutch.co/it-services/analytics/marketing" TargetMode="External"/><Relationship Id="rId863" Type="http://schemas.openxmlformats.org/officeDocument/2006/relationships/hyperlink" Target="http://clicksgeek.com" TargetMode="External"/><Relationship Id="rId869" Type="http://schemas.openxmlformats.org/officeDocument/2006/relationships/hyperlink" Target="http://clutch.co" TargetMode="External"/><Relationship Id="rId868" Type="http://schemas.openxmlformats.org/officeDocument/2006/relationships/hyperlink" Target="https://clutch.co/us/agencies/ppc/display?page=5" TargetMode="External"/><Relationship Id="rId867" Type="http://schemas.openxmlformats.org/officeDocument/2006/relationships/hyperlink" Target="http://clutch.co" TargetMode="External"/><Relationship Id="rId1690" Type="http://schemas.openxmlformats.org/officeDocument/2006/relationships/hyperlink" Target="https://www.webfx.com/ppc/learn/google-partner-agency/" TargetMode="External"/><Relationship Id="rId1691" Type="http://schemas.openxmlformats.org/officeDocument/2006/relationships/hyperlink" Target="http://webfx.com" TargetMode="External"/><Relationship Id="rId1692" Type="http://schemas.openxmlformats.org/officeDocument/2006/relationships/hyperlink" Target="https://www.webtonic.io/blog/best-performance-marketing-agencies" TargetMode="External"/><Relationship Id="rId862" Type="http://schemas.openxmlformats.org/officeDocument/2006/relationships/hyperlink" Target="https://clicksgeek.com/best-paid-advertising-platforms-for-businesses/" TargetMode="External"/><Relationship Id="rId1693" Type="http://schemas.openxmlformats.org/officeDocument/2006/relationships/hyperlink" Target="http://webtonic.io" TargetMode="External"/><Relationship Id="rId861" Type="http://schemas.openxmlformats.org/officeDocument/2006/relationships/hyperlink" Target="http://circana.com" TargetMode="External"/><Relationship Id="rId1694" Type="http://schemas.openxmlformats.org/officeDocument/2006/relationships/hyperlink" Target="https://www.webtonic.io/blog/top-ai-marketing-agencies" TargetMode="External"/><Relationship Id="rId860" Type="http://schemas.openxmlformats.org/officeDocument/2006/relationships/hyperlink" Target="https://www.circana.com/liquid-testing" TargetMode="External"/><Relationship Id="rId1695" Type="http://schemas.openxmlformats.org/officeDocument/2006/relationships/hyperlink" Target="http://webtonic.io" TargetMode="External"/><Relationship Id="rId1696" Type="http://schemas.openxmlformats.org/officeDocument/2006/relationships/hyperlink" Target="https://www.webtonic.io/blog/top-programmatic-advertising-agencies" TargetMode="External"/><Relationship Id="rId1686" Type="http://schemas.openxmlformats.org/officeDocument/2006/relationships/hyperlink" Target="https://www.webfx.com/blog/ai/best-geo-agencies/" TargetMode="External"/><Relationship Id="rId1687" Type="http://schemas.openxmlformats.org/officeDocument/2006/relationships/hyperlink" Target="http://webfx.com" TargetMode="External"/><Relationship Id="rId1688" Type="http://schemas.openxmlformats.org/officeDocument/2006/relationships/hyperlink" Target="https://www.webfx.com/digital-advertising/services/" TargetMode="External"/><Relationship Id="rId1689" Type="http://schemas.openxmlformats.org/officeDocument/2006/relationships/hyperlink" Target="http://webfx.com" TargetMode="External"/><Relationship Id="rId855" Type="http://schemas.openxmlformats.org/officeDocument/2006/relationships/hyperlink" Target="http://brentonway.com" TargetMode="External"/><Relationship Id="rId854" Type="http://schemas.openxmlformats.org/officeDocument/2006/relationships/hyperlink" Target="https://brentonway.com/blog/top-performance-marketing-agencies" TargetMode="External"/><Relationship Id="rId853" Type="http://schemas.openxmlformats.org/officeDocument/2006/relationships/hyperlink" Target="http://awisee.com" TargetMode="External"/><Relationship Id="rId852" Type="http://schemas.openxmlformats.org/officeDocument/2006/relationships/hyperlink" Target="https://awisee.com/blog/ai-marketing-agencies-us/" TargetMode="External"/><Relationship Id="rId859" Type="http://schemas.openxmlformats.org/officeDocument/2006/relationships/hyperlink" Target="http://businessinsider.com" TargetMode="External"/><Relationship Id="rId858" Type="http://schemas.openxmlformats.org/officeDocument/2006/relationships/hyperlink" Target="https://www.businessinsider.com/bain-cmo-erika-serow-cannes-lions-2026-7" TargetMode="External"/><Relationship Id="rId857" Type="http://schemas.openxmlformats.org/officeDocument/2006/relationships/hyperlink" Target="http://businessinsider.com" TargetMode="External"/><Relationship Id="rId856" Type="http://schemas.openxmlformats.org/officeDocument/2006/relationships/hyperlink" Target="https://www.businessinsider.com/ai-adoption-strategies-companies-2026-7" TargetMode="External"/><Relationship Id="rId1680" Type="http://schemas.openxmlformats.org/officeDocument/2006/relationships/hyperlink" Target="https://usanews.com/newsroom/top-digital-marketing-agencies-in-the-united-states" TargetMode="External"/><Relationship Id="rId1681" Type="http://schemas.openxmlformats.org/officeDocument/2006/relationships/hyperlink" Target="http://usanews.com" TargetMode="External"/><Relationship Id="rId851" Type="http://schemas.openxmlformats.org/officeDocument/2006/relationships/hyperlink" Target="http://arxiv.org" TargetMode="External"/><Relationship Id="rId1682" Type="http://schemas.openxmlformats.org/officeDocument/2006/relationships/hyperlink" Target="https://valasys.com/best-aeo-agencies-b2b-brands/" TargetMode="External"/><Relationship Id="rId850" Type="http://schemas.openxmlformats.org/officeDocument/2006/relationships/hyperlink" Target="https://arxiv.org/abs/2509.08919" TargetMode="External"/><Relationship Id="rId1683" Type="http://schemas.openxmlformats.org/officeDocument/2006/relationships/hyperlink" Target="http://valasys.com" TargetMode="External"/><Relationship Id="rId1684" Type="http://schemas.openxmlformats.org/officeDocument/2006/relationships/hyperlink" Target="https://www.warroominc.com/blog/best-programmatic-advertising-agencies/" TargetMode="External"/><Relationship Id="rId1685" Type="http://schemas.openxmlformats.org/officeDocument/2006/relationships/hyperlink" Target="http://warroominc.com" TargetMode="External"/><Relationship Id="rId3414" Type="http://schemas.openxmlformats.org/officeDocument/2006/relationships/hyperlink" Target="https://www.thezulumethod.com/top-ai-marketing-agencies" TargetMode="External"/><Relationship Id="rId3413" Type="http://schemas.openxmlformats.org/officeDocument/2006/relationships/hyperlink" Target="http://thesocialshepherd.com" TargetMode="External"/><Relationship Id="rId3416" Type="http://schemas.openxmlformats.org/officeDocument/2006/relationships/hyperlink" Target="https://thinkstrategic.com/display-advertising/" TargetMode="External"/><Relationship Id="rId3415" Type="http://schemas.openxmlformats.org/officeDocument/2006/relationships/hyperlink" Target="http://thezulumethod.com" TargetMode="External"/><Relationship Id="rId3418" Type="http://schemas.openxmlformats.org/officeDocument/2006/relationships/hyperlink" Target="https://thinkwithalec.com/2025/03/02/best-marketing-platforms-for-tracking-first-party-data/" TargetMode="External"/><Relationship Id="rId3417" Type="http://schemas.openxmlformats.org/officeDocument/2006/relationships/hyperlink" Target="http://thinkstrategic.com" TargetMode="External"/><Relationship Id="rId3419" Type="http://schemas.openxmlformats.org/officeDocument/2006/relationships/hyperlink" Target="http://thinkwithalec.com" TargetMode="External"/><Relationship Id="rId888" Type="http://schemas.openxmlformats.org/officeDocument/2006/relationships/hyperlink" Target="https://www.gartner.com/reviews/product/measured-89579724" TargetMode="External"/><Relationship Id="rId887" Type="http://schemas.openxmlformats.org/officeDocument/2006/relationships/hyperlink" Target="http://gartner.com" TargetMode="External"/><Relationship Id="rId886" Type="http://schemas.openxmlformats.org/officeDocument/2006/relationships/hyperlink" Target="https://www.gartner.com/reviews/market/marketing-mix-modeling-solutions" TargetMode="External"/><Relationship Id="rId885" Type="http://schemas.openxmlformats.org/officeDocument/2006/relationships/hyperlink" Target="http://firstpagesage.com" TargetMode="External"/><Relationship Id="rId889" Type="http://schemas.openxmlformats.org/officeDocument/2006/relationships/hyperlink" Target="http://gartner.com" TargetMode="External"/><Relationship Id="rId880" Type="http://schemas.openxmlformats.org/officeDocument/2006/relationships/hyperlink" Target="https://directiveconsulting.com/blog/best-google-ads-agencies/" TargetMode="External"/><Relationship Id="rId884" Type="http://schemas.openxmlformats.org/officeDocument/2006/relationships/hyperlink" Target="https://firstpagesage.com/seo-blog/the-top-industrial-geo-aeo-agencies/" TargetMode="External"/><Relationship Id="rId3410" Type="http://schemas.openxmlformats.org/officeDocument/2006/relationships/hyperlink" Target="https://thesocialshepherd.com/blog/top-advertising-agencies-us" TargetMode="External"/><Relationship Id="rId883" Type="http://schemas.openxmlformats.org/officeDocument/2006/relationships/hyperlink" Target="http://disruptiveadvertising.com" TargetMode="External"/><Relationship Id="rId882" Type="http://schemas.openxmlformats.org/officeDocument/2006/relationships/hyperlink" Target="https://disruptiveadvertising.com/" TargetMode="External"/><Relationship Id="rId3412" Type="http://schemas.openxmlformats.org/officeDocument/2006/relationships/hyperlink" Target="https://thesocialshepherd.com/blog/top-digital-marketing-agencies-us" TargetMode="External"/><Relationship Id="rId881" Type="http://schemas.openxmlformats.org/officeDocument/2006/relationships/hyperlink" Target="http://directiveconsulting.com" TargetMode="External"/><Relationship Id="rId3411" Type="http://schemas.openxmlformats.org/officeDocument/2006/relationships/hyperlink" Target="http://thesocialshepherd.com" TargetMode="External"/><Relationship Id="rId3403" Type="http://schemas.openxmlformats.org/officeDocument/2006/relationships/hyperlink" Target="http://themanifest.com" TargetMode="External"/><Relationship Id="rId3402" Type="http://schemas.openxmlformats.org/officeDocument/2006/relationships/hyperlink" Target="https://themanifest.com/us/social-media/agencies?page=1" TargetMode="External"/><Relationship Id="rId3405" Type="http://schemas.openxmlformats.org/officeDocument/2006/relationships/hyperlink" Target="http://themanifest.com" TargetMode="External"/><Relationship Id="rId3404" Type="http://schemas.openxmlformats.org/officeDocument/2006/relationships/hyperlink" Target="https://themanifest.com/us/social-media/instagram/agencies" TargetMode="External"/><Relationship Id="rId3407" Type="http://schemas.openxmlformats.org/officeDocument/2006/relationships/hyperlink" Target="http://themediaant.com" TargetMode="External"/><Relationship Id="rId3406" Type="http://schemas.openxmlformats.org/officeDocument/2006/relationships/hyperlink" Target="https://www.themediaant.com/blog/types-of-advertising-agencies-2025/" TargetMode="External"/><Relationship Id="rId3409" Type="http://schemas.openxmlformats.org/officeDocument/2006/relationships/hyperlink" Target="http://themill.com" TargetMode="External"/><Relationship Id="rId3408" Type="http://schemas.openxmlformats.org/officeDocument/2006/relationships/hyperlink" Target="https://www.themill.com/" TargetMode="External"/><Relationship Id="rId877" Type="http://schemas.openxmlformats.org/officeDocument/2006/relationships/hyperlink" Target="http://agencyspotter.com" TargetMode="External"/><Relationship Id="rId876" Type="http://schemas.openxmlformats.org/officeDocument/2006/relationships/hyperlink" Target="https://co.agencyspotter.com/50-largest-marketing-companies-in-the-world/" TargetMode="External"/><Relationship Id="rId875" Type="http://schemas.openxmlformats.org/officeDocument/2006/relationships/hyperlink" Target="http://clutch.co" TargetMode="External"/><Relationship Id="rId874" Type="http://schemas.openxmlformats.org/officeDocument/2006/relationships/hyperlink" Target="https://clutch.co/us/consulting/ai/maturation%3Fpage%3D2" TargetMode="External"/><Relationship Id="rId879" Type="http://schemas.openxmlformats.org/officeDocument/2006/relationships/hyperlink" Target="http://darkroomagency.com" TargetMode="External"/><Relationship Id="rId878" Type="http://schemas.openxmlformats.org/officeDocument/2006/relationships/hyperlink" Target="https://www.darkroomagency.com/observatory/10-best-growth-marketing-agencies-in-2026-(ranked-for-online-sales)" TargetMode="External"/><Relationship Id="rId873" Type="http://schemas.openxmlformats.org/officeDocument/2006/relationships/hyperlink" Target="http://clutch.co" TargetMode="External"/><Relationship Id="rId872" Type="http://schemas.openxmlformats.org/officeDocument/2006/relationships/hyperlink" Target="https://clutch.co/us/consulting/ai/maturation" TargetMode="External"/><Relationship Id="rId871" Type="http://schemas.openxmlformats.org/officeDocument/2006/relationships/hyperlink" Target="http://clutch.co" TargetMode="External"/><Relationship Id="rId3401" Type="http://schemas.openxmlformats.org/officeDocument/2006/relationships/hyperlink" Target="http://themanifest.com" TargetMode="External"/><Relationship Id="rId870" Type="http://schemas.openxmlformats.org/officeDocument/2006/relationships/hyperlink" Target="https://clutch.co/us/agencies?page=1" TargetMode="External"/><Relationship Id="rId3400" Type="http://schemas.openxmlformats.org/officeDocument/2006/relationships/hyperlink" Target="https://themanifest.com/us/digital/agencies" TargetMode="External"/><Relationship Id="rId1653" Type="http://schemas.openxmlformats.org/officeDocument/2006/relationships/hyperlink" Target="http://techradar.com" TargetMode="External"/><Relationship Id="rId2984" Type="http://schemas.openxmlformats.org/officeDocument/2006/relationships/hyperlink" Target="http://optimisemedia.com" TargetMode="External"/><Relationship Id="rId1654" Type="http://schemas.openxmlformats.org/officeDocument/2006/relationships/hyperlink" Target="https://www.techradar.com/pro/the-gap-between-ai-potential-and-ai-reality-is-a-leadership-problem" TargetMode="External"/><Relationship Id="rId2985" Type="http://schemas.openxmlformats.org/officeDocument/2006/relationships/hyperlink" Target="https://www.orangemantra.com/services/genrative-engine-optimization/" TargetMode="External"/><Relationship Id="rId1655" Type="http://schemas.openxmlformats.org/officeDocument/2006/relationships/hyperlink" Target="http://techradar.com" TargetMode="External"/><Relationship Id="rId2986" Type="http://schemas.openxmlformats.org/officeDocument/2006/relationships/hyperlink" Target="http://orangemantra.com" TargetMode="External"/><Relationship Id="rId1656" Type="http://schemas.openxmlformats.org/officeDocument/2006/relationships/hyperlink" Target="https://www.thedrum.com/news/as-holdcos-reinvent-themselves-here-are-the-notes-indies-should-be-taking" TargetMode="External"/><Relationship Id="rId2987" Type="http://schemas.openxmlformats.org/officeDocument/2006/relationships/hyperlink" Target="https://orm-tech.com/blog/best-marketing-attribution-software/" TargetMode="External"/><Relationship Id="rId1657" Type="http://schemas.openxmlformats.org/officeDocument/2006/relationships/hyperlink" Target="http://thedrum.com" TargetMode="External"/><Relationship Id="rId2988" Type="http://schemas.openxmlformats.org/officeDocument/2006/relationships/hyperlink" Target="http://orm-tech.com" TargetMode="External"/><Relationship Id="rId1658" Type="http://schemas.openxmlformats.org/officeDocument/2006/relationships/hyperlink" Target="https://www.thedrum.com/news/world-creative-rankings-the-most-awarded-us-ad-agencies-the-last-12-months" TargetMode="External"/><Relationship Id="rId2989" Type="http://schemas.openxmlformats.org/officeDocument/2006/relationships/hyperlink" Target="https://oski.site/blog/sales-and-marketing-analytics-usa/" TargetMode="External"/><Relationship Id="rId1659" Type="http://schemas.openxmlformats.org/officeDocument/2006/relationships/hyperlink" Target="http://thedrum.com" TargetMode="External"/><Relationship Id="rId829" Type="http://schemas.openxmlformats.org/officeDocument/2006/relationships/hyperlink" Target="https://wearesocial.com/us/" TargetMode="External"/><Relationship Id="rId828" Type="http://schemas.openxmlformats.org/officeDocument/2006/relationships/hyperlink" Target="http://upliftgtm.com" TargetMode="External"/><Relationship Id="rId827" Type="http://schemas.openxmlformats.org/officeDocument/2006/relationships/hyperlink" Target="https://www.upliftgtm.com/blog/best-geo-agencies" TargetMode="External"/><Relationship Id="rId822" Type="http://schemas.openxmlformats.org/officeDocument/2006/relationships/hyperlink" Target="http://tripledart.com" TargetMode="External"/><Relationship Id="rId821" Type="http://schemas.openxmlformats.org/officeDocument/2006/relationships/hyperlink" Target="https://www.tripledart.com/ai-seo/best-generative-engine-optimization-agencies" TargetMode="External"/><Relationship Id="rId820" Type="http://schemas.openxmlformats.org/officeDocument/2006/relationships/hyperlink" Target="http://silverbackstrategies.com" TargetMode="External"/><Relationship Id="rId826" Type="http://schemas.openxmlformats.org/officeDocument/2006/relationships/hyperlink" Target="http://uforocks.com" TargetMode="External"/><Relationship Id="rId825" Type="http://schemas.openxmlformats.org/officeDocument/2006/relationships/hyperlink" Target="https://www.uforocks.com/blog/top-ppc-agencies-in-the-united-states/" TargetMode="External"/><Relationship Id="rId824" Type="http://schemas.openxmlformats.org/officeDocument/2006/relationships/hyperlink" Target="http://uforocks.com" TargetMode="External"/><Relationship Id="rId823" Type="http://schemas.openxmlformats.org/officeDocument/2006/relationships/hyperlink" Target="https://www.uforocks.com/blog/top-marketing-agencies-in-the-united-states/" TargetMode="External"/><Relationship Id="rId2980" Type="http://schemas.openxmlformats.org/officeDocument/2006/relationships/hyperlink" Target="http://openmoves.com" TargetMode="External"/><Relationship Id="rId1650" Type="http://schemas.openxmlformats.org/officeDocument/2006/relationships/hyperlink" Target="https://www.techradar.com/pro/agentic-search-optimization-reshapes-brand-visibility-in-ai-search" TargetMode="External"/><Relationship Id="rId2981" Type="http://schemas.openxmlformats.org/officeDocument/2006/relationships/hyperlink" Target="https://www.opinosis-analytics.com/blog/best-ai-consulting-firms/" TargetMode="External"/><Relationship Id="rId1651" Type="http://schemas.openxmlformats.org/officeDocument/2006/relationships/hyperlink" Target="http://techradar.com" TargetMode="External"/><Relationship Id="rId2982" Type="http://schemas.openxmlformats.org/officeDocument/2006/relationships/hyperlink" Target="http://opinosis-analytics.com" TargetMode="External"/><Relationship Id="rId1652" Type="http://schemas.openxmlformats.org/officeDocument/2006/relationships/hyperlink" Target="https://www.techradar.com/pro/how-to-use-an-aeo-tool-for-your-small-business" TargetMode="External"/><Relationship Id="rId2983" Type="http://schemas.openxmlformats.org/officeDocument/2006/relationships/hyperlink" Target="https://optimisemedia.com/agency-services/" TargetMode="External"/><Relationship Id="rId1642" Type="http://schemas.openxmlformats.org/officeDocument/2006/relationships/hyperlink" Target="https://www.superside.com/blog/marketing-design-services" TargetMode="External"/><Relationship Id="rId2973" Type="http://schemas.openxmlformats.org/officeDocument/2006/relationships/hyperlink" Target="https://www.onely.com/blog/best-geo-agencies-for-enterprise-brands/" TargetMode="External"/><Relationship Id="rId1643" Type="http://schemas.openxmlformats.org/officeDocument/2006/relationships/hyperlink" Target="http://superside.com" TargetMode="External"/><Relationship Id="rId2974" Type="http://schemas.openxmlformats.org/officeDocument/2006/relationships/hyperlink" Target="http://onely.com" TargetMode="External"/><Relationship Id="rId1644" Type="http://schemas.openxmlformats.org/officeDocument/2006/relationships/hyperlink" Target="https://support.google.com/analytics/answer/7237700?hl=en-AU" TargetMode="External"/><Relationship Id="rId2975" Type="http://schemas.openxmlformats.org/officeDocument/2006/relationships/hyperlink" Target="https://onlineoptimism.com/learn/the-best-aeo-agencies-for-b2b-companies/" TargetMode="External"/><Relationship Id="rId1645" Type="http://schemas.openxmlformats.org/officeDocument/2006/relationships/hyperlink" Target="http://google.com" TargetMode="External"/><Relationship Id="rId2976" Type="http://schemas.openxmlformats.org/officeDocument/2006/relationships/hyperlink" Target="http://onlineoptimism.com" TargetMode="External"/><Relationship Id="rId1646" Type="http://schemas.openxmlformats.org/officeDocument/2006/relationships/hyperlink" Target="https://support.google.com/google-ads/answer/11410677?hl=en" TargetMode="External"/><Relationship Id="rId2977" Type="http://schemas.openxmlformats.org/officeDocument/2006/relationships/hyperlink" Target="https://open.spotify.com/artist/4yiB30K5scGkjmAgHGIH8Y" TargetMode="External"/><Relationship Id="rId1647" Type="http://schemas.openxmlformats.org/officeDocument/2006/relationships/hyperlink" Target="http://google.com" TargetMode="External"/><Relationship Id="rId2978" Type="http://schemas.openxmlformats.org/officeDocument/2006/relationships/hyperlink" Target="http://spotify.com" TargetMode="External"/><Relationship Id="rId1648" Type="http://schemas.openxmlformats.org/officeDocument/2006/relationships/hyperlink" Target="https://support.google.com/tagmanager/answer/7237700?hl=EN" TargetMode="External"/><Relationship Id="rId2979" Type="http://schemas.openxmlformats.org/officeDocument/2006/relationships/hyperlink" Target="https://openmoves.com/blog/the-50-best-b2b-social-media-companies/" TargetMode="External"/><Relationship Id="rId1649" Type="http://schemas.openxmlformats.org/officeDocument/2006/relationships/hyperlink" Target="http://google.com" TargetMode="External"/><Relationship Id="rId819" Type="http://schemas.openxmlformats.org/officeDocument/2006/relationships/hyperlink" Target="https://www.silverbackstrategies.com/lists/best-geo-agencies-generative-engine-optimization-in-2026-ranked-reviewed/" TargetMode="External"/><Relationship Id="rId818" Type="http://schemas.openxmlformats.org/officeDocument/2006/relationships/hyperlink" Target="http://searchbloom.com" TargetMode="External"/><Relationship Id="rId817" Type="http://schemas.openxmlformats.org/officeDocument/2006/relationships/hyperlink" Target="https://www.searchbloom.com/strategy/best-ppc-agencies-usa/" TargetMode="External"/><Relationship Id="rId816" Type="http://schemas.openxmlformats.org/officeDocument/2006/relationships/hyperlink" Target="http://reddit.com" TargetMode="External"/><Relationship Id="rId811" Type="http://schemas.openxmlformats.org/officeDocument/2006/relationships/hyperlink" Target="http://moosend.com" TargetMode="External"/><Relationship Id="rId810" Type="http://schemas.openxmlformats.org/officeDocument/2006/relationships/hyperlink" Target="https://moosend.com/blog/best-aeo-agencies/" TargetMode="External"/><Relationship Id="rId815" Type="http://schemas.openxmlformats.org/officeDocument/2006/relationships/hyperlink" Target="https://www.reddit.com/r/ecommerce/comments/1c4too8/best_tools_for_paid_marketing_attribution/" TargetMode="External"/><Relationship Id="rId814" Type="http://schemas.openxmlformats.org/officeDocument/2006/relationships/hyperlink" Target="http://procloser.ai" TargetMode="External"/><Relationship Id="rId813" Type="http://schemas.openxmlformats.org/officeDocument/2006/relationships/hyperlink" Target="https://procloser.ai/blog/best-ai-search-optimization-agencies/" TargetMode="External"/><Relationship Id="rId812" Type="http://schemas.openxmlformats.org/officeDocument/2006/relationships/hyperlink" Target="https://www.position.digital/blog/top-geo-agencies/" TargetMode="External"/><Relationship Id="rId2970" Type="http://schemas.openxmlformats.org/officeDocument/2006/relationships/hyperlink" Target="http://onelittleweb.com" TargetMode="External"/><Relationship Id="rId1640" Type="http://schemas.openxmlformats.org/officeDocument/2006/relationships/hyperlink" Target="https://www.stonehillinnovation.com/ai-readiness-assessment-consulting" TargetMode="External"/><Relationship Id="rId2971" Type="http://schemas.openxmlformats.org/officeDocument/2006/relationships/hyperlink" Target="https://onelittleweb.com/top-agencies/top-ai-seo-agencies/" TargetMode="External"/><Relationship Id="rId1641" Type="http://schemas.openxmlformats.org/officeDocument/2006/relationships/hyperlink" Target="http://stonehillinnovation.com" TargetMode="External"/><Relationship Id="rId2972" Type="http://schemas.openxmlformats.org/officeDocument/2006/relationships/hyperlink" Target="http://onelittleweb.com" TargetMode="External"/><Relationship Id="rId1675" Type="http://schemas.openxmlformats.org/officeDocument/2006/relationships/hyperlink" Target="http://tryxlr8.ai" TargetMode="External"/><Relationship Id="rId1676" Type="http://schemas.openxmlformats.org/officeDocument/2006/relationships/hyperlink" Target="https://www.uforocks.com/blog/50-digital-marketing-agencies-in-the-us/" TargetMode="External"/><Relationship Id="rId1677" Type="http://schemas.openxmlformats.org/officeDocument/2006/relationships/hyperlink" Target="http://uforocks.com" TargetMode="External"/><Relationship Id="rId1678" Type="http://schemas.openxmlformats.org/officeDocument/2006/relationships/hyperlink" Target="https://www.uforocks.com/blog/top-ai-seo-agencies-in-the-u-s/" TargetMode="External"/><Relationship Id="rId1679" Type="http://schemas.openxmlformats.org/officeDocument/2006/relationships/hyperlink" Target="http://uforocks.com" TargetMode="External"/><Relationship Id="rId849" Type="http://schemas.openxmlformats.org/officeDocument/2006/relationships/hyperlink" Target="http://alexbirkett.com" TargetMode="External"/><Relationship Id="rId844" Type="http://schemas.openxmlformats.org/officeDocument/2006/relationships/hyperlink" Target="https://www.agencyspotter.com/top/social-media-marketing-agencies" TargetMode="External"/><Relationship Id="rId843" Type="http://schemas.openxmlformats.org/officeDocument/2006/relationships/hyperlink" Target="https://agencyreview.dev/insights/top-social-media-marketing-agencies" TargetMode="External"/><Relationship Id="rId842" Type="http://schemas.openxmlformats.org/officeDocument/2006/relationships/hyperlink" Target="http://50pros.com" TargetMode="External"/><Relationship Id="rId841" Type="http://schemas.openxmlformats.org/officeDocument/2006/relationships/hyperlink" Target="https://www.50pros.com/hire/advertising" TargetMode="External"/><Relationship Id="rId848" Type="http://schemas.openxmlformats.org/officeDocument/2006/relationships/hyperlink" Target="https://alexbirkett.com/answer-engine-optimization-agencies/" TargetMode="External"/><Relationship Id="rId847" Type="http://schemas.openxmlformats.org/officeDocument/2006/relationships/hyperlink" Target="http://aismedia.com" TargetMode="External"/><Relationship Id="rId846" Type="http://schemas.openxmlformats.org/officeDocument/2006/relationships/hyperlink" Target="https://aismedia.com/global-100-awards-2026/" TargetMode="External"/><Relationship Id="rId845" Type="http://schemas.openxmlformats.org/officeDocument/2006/relationships/hyperlink" Target="http://agencyspotter.com" TargetMode="External"/><Relationship Id="rId1670" Type="http://schemas.openxmlformats.org/officeDocument/2006/relationships/hyperlink" Target="https://www.topbrandingagencies.io/top-branding-agencies-in-america" TargetMode="External"/><Relationship Id="rId840" Type="http://schemas.openxmlformats.org/officeDocument/2006/relationships/hyperlink" Target="http://20northmarketing.com" TargetMode="External"/><Relationship Id="rId1671" Type="http://schemas.openxmlformats.org/officeDocument/2006/relationships/hyperlink" Target="http://topbrandingagencies.io" TargetMode="External"/><Relationship Id="rId1672" Type="http://schemas.openxmlformats.org/officeDocument/2006/relationships/hyperlink" Target="https://www.trustradius.com/products/agency-analytics/reviews" TargetMode="External"/><Relationship Id="rId1673" Type="http://schemas.openxmlformats.org/officeDocument/2006/relationships/hyperlink" Target="http://trustradius.com" TargetMode="External"/><Relationship Id="rId1674" Type="http://schemas.openxmlformats.org/officeDocument/2006/relationships/hyperlink" Target="https://tryxlr8.ai/blogs/best-generative-engine-optimization-agencies" TargetMode="External"/><Relationship Id="rId1664" Type="http://schemas.openxmlformats.org/officeDocument/2006/relationships/hyperlink" Target="https://www.therealsocialcompany.com/blog/best-ai-marketing-agency-united-states" TargetMode="External"/><Relationship Id="rId2995" Type="http://schemas.openxmlformats.org/officeDocument/2006/relationships/hyperlink" Target="http://outpaceseo.com" TargetMode="External"/><Relationship Id="rId1665" Type="http://schemas.openxmlformats.org/officeDocument/2006/relationships/hyperlink" Target="http://therealsocialcompany.com" TargetMode="External"/><Relationship Id="rId2996" Type="http://schemas.openxmlformats.org/officeDocument/2006/relationships/hyperlink" Target="https://outreachz.com/blog/10-best-ai-seo-agencies-in-2026/" TargetMode="External"/><Relationship Id="rId1666" Type="http://schemas.openxmlformats.org/officeDocument/2006/relationships/hyperlink" Target="https://thriveagency.com/news/best-ai-seo-agencies/" TargetMode="External"/><Relationship Id="rId2997" Type="http://schemas.openxmlformats.org/officeDocument/2006/relationships/hyperlink" Target="http://outreachz.com" TargetMode="External"/><Relationship Id="rId1667" Type="http://schemas.openxmlformats.org/officeDocument/2006/relationships/hyperlink" Target="http://thriveagency.com" TargetMode="External"/><Relationship Id="rId2998" Type="http://schemas.openxmlformats.org/officeDocument/2006/relationships/hyperlink" Target="https://www.outsourceaccelerator.com/guide/top-digital-marketing-companies-in-the-us/" TargetMode="External"/><Relationship Id="rId1668" Type="http://schemas.openxmlformats.org/officeDocument/2006/relationships/hyperlink" Target="https://thriveagency.com/news/best-ppc-companies/" TargetMode="External"/><Relationship Id="rId2999" Type="http://schemas.openxmlformats.org/officeDocument/2006/relationships/hyperlink" Target="http://outsourceaccelerator.com" TargetMode="External"/><Relationship Id="rId1669" Type="http://schemas.openxmlformats.org/officeDocument/2006/relationships/hyperlink" Target="http://thriveagency.com" TargetMode="External"/><Relationship Id="rId839" Type="http://schemas.openxmlformats.org/officeDocument/2006/relationships/hyperlink" Target="https://www.20northmarketing.com/blog/top-ai-optimization-agencies" TargetMode="External"/><Relationship Id="rId838" Type="http://schemas.openxmlformats.org/officeDocument/2006/relationships/hyperlink" Target="http://worldmetrics.org" TargetMode="External"/><Relationship Id="rId833" Type="http://schemas.openxmlformats.org/officeDocument/2006/relationships/hyperlink" Target="https://www.webtonic.io/blog/best-digital-marketing-agencies-usa" TargetMode="External"/><Relationship Id="rId832" Type="http://schemas.openxmlformats.org/officeDocument/2006/relationships/hyperlink" Target="http://webfx.com" TargetMode="External"/><Relationship Id="rId831" Type="http://schemas.openxmlformats.org/officeDocument/2006/relationships/hyperlink" Target="https://www.webfx.com/digital-marketing/agency/usa/" TargetMode="External"/><Relationship Id="rId830" Type="http://schemas.openxmlformats.org/officeDocument/2006/relationships/hyperlink" Target="http://wearesocial.com" TargetMode="External"/><Relationship Id="rId837" Type="http://schemas.openxmlformats.org/officeDocument/2006/relationships/hyperlink" Target="https://worldmetrics.org/service/media-mix-modeling/" TargetMode="External"/><Relationship Id="rId836" Type="http://schemas.openxmlformats.org/officeDocument/2006/relationships/hyperlink" Target="http://webtonic.io" TargetMode="External"/><Relationship Id="rId835" Type="http://schemas.openxmlformats.org/officeDocument/2006/relationships/hyperlink" Target="https://www.webtonic.io/blog/top-creative-agencies" TargetMode="External"/><Relationship Id="rId834" Type="http://schemas.openxmlformats.org/officeDocument/2006/relationships/hyperlink" Target="http://webtonic.io" TargetMode="External"/><Relationship Id="rId2990" Type="http://schemas.openxmlformats.org/officeDocument/2006/relationships/hyperlink" Target="https://www.osmos.ai/blog/first-party-data-in-retail-media-the-complete-targeting-guide" TargetMode="External"/><Relationship Id="rId1660" Type="http://schemas.openxmlformats.org/officeDocument/2006/relationships/hyperlink" Target="https://www.thedrum.com/news/world-creative-rankings-the-top-holding-companies-and-best-agency-networks-the" TargetMode="External"/><Relationship Id="rId2991" Type="http://schemas.openxmlformats.org/officeDocument/2006/relationships/hyperlink" Target="http://osmos.ai" TargetMode="External"/><Relationship Id="rId1661" Type="http://schemas.openxmlformats.org/officeDocument/2006/relationships/hyperlink" Target="http://thedrum.com" TargetMode="External"/><Relationship Id="rId2992" Type="http://schemas.openxmlformats.org/officeDocument/2006/relationships/hyperlink" Target="https://ossisto.com/blog/display-advertising-companies/" TargetMode="External"/><Relationship Id="rId1662" Type="http://schemas.openxmlformats.org/officeDocument/2006/relationships/hyperlink" Target="https://themarketingagency.ca/blog/top-creative-agencies-growth/" TargetMode="External"/><Relationship Id="rId2993" Type="http://schemas.openxmlformats.org/officeDocument/2006/relationships/hyperlink" Target="http://ossisto.com" TargetMode="External"/><Relationship Id="rId1663" Type="http://schemas.openxmlformats.org/officeDocument/2006/relationships/hyperlink" Target="http://themarketingagency.ca" TargetMode="External"/><Relationship Id="rId2994" Type="http://schemas.openxmlformats.org/officeDocument/2006/relationships/hyperlink" Target="https://outpaceseo.com/article/best-seo-agencies/" TargetMode="External"/><Relationship Id="rId2148" Type="http://schemas.openxmlformats.org/officeDocument/2006/relationships/hyperlink" Target="http://clutch.co" TargetMode="External"/><Relationship Id="rId2149" Type="http://schemas.openxmlformats.org/officeDocument/2006/relationships/hyperlink" Target="https://cmox.co/10-fractional-cmo-agencies-for-saas/" TargetMode="External"/><Relationship Id="rId3479" Type="http://schemas.openxmlformats.org/officeDocument/2006/relationships/hyperlink" Target="https://vantecmarketing.com/" TargetMode="External"/><Relationship Id="rId3470" Type="http://schemas.openxmlformats.org/officeDocument/2006/relationships/hyperlink" Target="https://uitop.design/blog/design/b2b-design-agency/" TargetMode="External"/><Relationship Id="rId2140" Type="http://schemas.openxmlformats.org/officeDocument/2006/relationships/hyperlink" Target="http://clutch.co" TargetMode="External"/><Relationship Id="rId3472" Type="http://schemas.openxmlformats.org/officeDocument/2006/relationships/hyperlink" Target="http://usekaya.com" TargetMode="External"/><Relationship Id="rId2141" Type="http://schemas.openxmlformats.org/officeDocument/2006/relationships/hyperlink" Target="https://clutch.co/us/seo-firms" TargetMode="External"/><Relationship Id="rId3471" Type="http://schemas.openxmlformats.org/officeDocument/2006/relationships/hyperlink" Target="https://www.usekaya.com/blog/b2b-marketing-agencies-for-ads" TargetMode="External"/><Relationship Id="rId2142" Type="http://schemas.openxmlformats.org/officeDocument/2006/relationships/hyperlink" Target="http://clutch.co" TargetMode="External"/><Relationship Id="rId3474" Type="http://schemas.openxmlformats.org/officeDocument/2006/relationships/hyperlink" Target="http://usercentrics.com" TargetMode="External"/><Relationship Id="rId2143" Type="http://schemas.openxmlformats.org/officeDocument/2006/relationships/hyperlink" Target="https://clutch.co/us/seo-firms/international" TargetMode="External"/><Relationship Id="rId3473" Type="http://schemas.openxmlformats.org/officeDocument/2006/relationships/hyperlink" Target="https://usercentrics.com/guides/future-of-data-in-marketing/first-party-data-marketing/" TargetMode="External"/><Relationship Id="rId2144" Type="http://schemas.openxmlformats.org/officeDocument/2006/relationships/hyperlink" Target="http://clutch.co" TargetMode="External"/><Relationship Id="rId3476" Type="http://schemas.openxmlformats.org/officeDocument/2006/relationships/hyperlink" Target="http://useready.com" TargetMode="External"/><Relationship Id="rId2145" Type="http://schemas.openxmlformats.org/officeDocument/2006/relationships/hyperlink" Target="https://clutch.co/us/seo-firms/media-industry" TargetMode="External"/><Relationship Id="rId3475" Type="http://schemas.openxmlformats.org/officeDocument/2006/relationships/hyperlink" Target="https://www.useready.com/aixcelerate" TargetMode="External"/><Relationship Id="rId2146" Type="http://schemas.openxmlformats.org/officeDocument/2006/relationships/hyperlink" Target="http://clutch.co" TargetMode="External"/><Relationship Id="rId3478" Type="http://schemas.openxmlformats.org/officeDocument/2006/relationships/hyperlink" Target="http://usermaven.com" TargetMode="External"/><Relationship Id="rId2147" Type="http://schemas.openxmlformats.org/officeDocument/2006/relationships/hyperlink" Target="https://clutch.co/video-production/post-production" TargetMode="External"/><Relationship Id="rId3477" Type="http://schemas.openxmlformats.org/officeDocument/2006/relationships/hyperlink" Target="https://usermaven.com/blog/marketing-attribution-tools" TargetMode="External"/><Relationship Id="rId2137" Type="http://schemas.openxmlformats.org/officeDocument/2006/relationships/hyperlink" Target="https://clutch.co/us/consulting/ai/maturation?page=6" TargetMode="External"/><Relationship Id="rId3469" Type="http://schemas.openxmlformats.org/officeDocument/2006/relationships/hyperlink" Target="http://ugcengine.ai" TargetMode="External"/><Relationship Id="rId2138" Type="http://schemas.openxmlformats.org/officeDocument/2006/relationships/hyperlink" Target="http://clutch.co" TargetMode="External"/><Relationship Id="rId3468" Type="http://schemas.openxmlformats.org/officeDocument/2006/relationships/hyperlink" Target="https://ugcengine.ai/blog/best-aeo-agencies" TargetMode="External"/><Relationship Id="rId2139" Type="http://schemas.openxmlformats.org/officeDocument/2006/relationships/hyperlink" Target="https://clutch.co/us/developers/artificial-intelligence" TargetMode="External"/><Relationship Id="rId3461" Type="http://schemas.openxmlformats.org/officeDocument/2006/relationships/hyperlink" Target="http://trusted-trade.net" TargetMode="External"/><Relationship Id="rId2130" Type="http://schemas.openxmlformats.org/officeDocument/2006/relationships/hyperlink" Target="http://clutch.co" TargetMode="External"/><Relationship Id="rId3460" Type="http://schemas.openxmlformats.org/officeDocument/2006/relationships/hyperlink" Target="https://www.trusted-trade.net/services/compliant-processes/" TargetMode="External"/><Relationship Id="rId2131" Type="http://schemas.openxmlformats.org/officeDocument/2006/relationships/hyperlink" Target="https://clutch.co/us/agencies/programmatic%3Fpage%3D7" TargetMode="External"/><Relationship Id="rId3463" Type="http://schemas.openxmlformats.org/officeDocument/2006/relationships/hyperlink" Target="http://trustpilot.com" TargetMode="External"/><Relationship Id="rId2132" Type="http://schemas.openxmlformats.org/officeDocument/2006/relationships/hyperlink" Target="http://clutch.co" TargetMode="External"/><Relationship Id="rId3462" Type="http://schemas.openxmlformats.org/officeDocument/2006/relationships/hyperlink" Target="https://www.trustpilot.com/review/www.mutesix.com" TargetMode="External"/><Relationship Id="rId2133" Type="http://schemas.openxmlformats.org/officeDocument/2006/relationships/hyperlink" Target="https://clutch.co/us/agencies/social-media-marketing/influencer/tiktok" TargetMode="External"/><Relationship Id="rId3465" Type="http://schemas.openxmlformats.org/officeDocument/2006/relationships/hyperlink" Target="http://tryprofound.com" TargetMode="External"/><Relationship Id="rId2134" Type="http://schemas.openxmlformats.org/officeDocument/2006/relationships/hyperlink" Target="http://clutch.co" TargetMode="External"/><Relationship Id="rId3464" Type="http://schemas.openxmlformats.org/officeDocument/2006/relationships/hyperlink" Target="https://www.tryprofound.com/partners/tinuiti" TargetMode="External"/><Relationship Id="rId2135" Type="http://schemas.openxmlformats.org/officeDocument/2006/relationships/hyperlink" Target="https://clutch.co/us/agencies/social-media-marketing/tik-tok" TargetMode="External"/><Relationship Id="rId3467" Type="http://schemas.openxmlformats.org/officeDocument/2006/relationships/hyperlink" Target="http://uforocks.com" TargetMode="External"/><Relationship Id="rId2136" Type="http://schemas.openxmlformats.org/officeDocument/2006/relationships/hyperlink" Target="http://clutch.co" TargetMode="External"/><Relationship Id="rId3466" Type="http://schemas.openxmlformats.org/officeDocument/2006/relationships/hyperlink" Target="https://www.uforocks.com/blog/20-top-marketing-agencies-in-kansas-city-for-impressive-business-growth/" TargetMode="External"/><Relationship Id="rId3490" Type="http://schemas.openxmlformats.org/officeDocument/2006/relationships/hyperlink" Target="http://venturemedia.io" TargetMode="External"/><Relationship Id="rId2160" Type="http://schemas.openxmlformats.org/officeDocument/2006/relationships/hyperlink" Target="http://coinbound.io" TargetMode="External"/><Relationship Id="rId3492" Type="http://schemas.openxmlformats.org/officeDocument/2006/relationships/hyperlink" Target="http://verdtek.com" TargetMode="External"/><Relationship Id="rId2161" Type="http://schemas.openxmlformats.org/officeDocument/2006/relationships/hyperlink" Target="https://www.columnfivemedia.com/top-b2b-marketing-agency-for-ai-saas/" TargetMode="External"/><Relationship Id="rId3491" Type="http://schemas.openxmlformats.org/officeDocument/2006/relationships/hyperlink" Target="https://verdtek.com/ai-adoption/" TargetMode="External"/><Relationship Id="rId2162" Type="http://schemas.openxmlformats.org/officeDocument/2006/relationships/hyperlink" Target="http://columnfivemedia.com" TargetMode="External"/><Relationship Id="rId3494" Type="http://schemas.openxmlformats.org/officeDocument/2006/relationships/hyperlink" Target="http://vibebranding.com" TargetMode="External"/><Relationship Id="rId2163" Type="http://schemas.openxmlformats.org/officeDocument/2006/relationships/hyperlink" Target="https://www.cometly.com/post/agency-marketing-attribution-tools" TargetMode="External"/><Relationship Id="rId3493" Type="http://schemas.openxmlformats.org/officeDocument/2006/relationships/hyperlink" Target="https://vibebranding.com/blog/best-performance-marketing-agencies/" TargetMode="External"/><Relationship Id="rId2164" Type="http://schemas.openxmlformats.org/officeDocument/2006/relationships/hyperlink" Target="http://cometly.com" TargetMode="External"/><Relationship Id="rId3496" Type="http://schemas.openxmlformats.org/officeDocument/2006/relationships/hyperlink" Target="http://victoriaolsina.com" TargetMode="External"/><Relationship Id="rId2165" Type="http://schemas.openxmlformats.org/officeDocument/2006/relationships/hyperlink" Target="https://www.cometly.com/post/attribution-data-platform" TargetMode="External"/><Relationship Id="rId3495" Type="http://schemas.openxmlformats.org/officeDocument/2006/relationships/hyperlink" Target="https://victoriaolsina.com/blog/geo-startups/" TargetMode="External"/><Relationship Id="rId2166" Type="http://schemas.openxmlformats.org/officeDocument/2006/relationships/hyperlink" Target="http://cometly.com" TargetMode="External"/><Relationship Id="rId3498" Type="http://schemas.openxmlformats.org/officeDocument/2006/relationships/hyperlink" Target="http://vidi-corp.com" TargetMode="External"/><Relationship Id="rId2167" Type="http://schemas.openxmlformats.org/officeDocument/2006/relationships/hyperlink" Target="https://www.cometly.com/post/best-ai-powered-marketing-attribution-tools" TargetMode="External"/><Relationship Id="rId3497" Type="http://schemas.openxmlformats.org/officeDocument/2006/relationships/hyperlink" Target="https://vidi-corp.com/ecommerce-analytics-companies/" TargetMode="External"/><Relationship Id="rId2168" Type="http://schemas.openxmlformats.org/officeDocument/2006/relationships/hyperlink" Target="http://cometly.com" TargetMode="External"/><Relationship Id="rId2169" Type="http://schemas.openxmlformats.org/officeDocument/2006/relationships/hyperlink" Target="https://www.cometly.com/post/best-enterprise-attribution-tools" TargetMode="External"/><Relationship Id="rId3499" Type="http://schemas.openxmlformats.org/officeDocument/2006/relationships/hyperlink" Target="https://vidico.com/news/creative-advertising-agencies/" TargetMode="External"/><Relationship Id="rId2159" Type="http://schemas.openxmlformats.org/officeDocument/2006/relationships/hyperlink" Target="https://coinbound.io/top-ai-marketing-agencies/" TargetMode="External"/><Relationship Id="rId3481" Type="http://schemas.openxmlformats.org/officeDocument/2006/relationships/hyperlink" Target="https://vaynermedia.com/" TargetMode="External"/><Relationship Id="rId2150" Type="http://schemas.openxmlformats.org/officeDocument/2006/relationships/hyperlink" Target="http://cmox.co" TargetMode="External"/><Relationship Id="rId3480" Type="http://schemas.openxmlformats.org/officeDocument/2006/relationships/hyperlink" Target="http://vantecmarketing.com" TargetMode="External"/><Relationship Id="rId2151" Type="http://schemas.openxmlformats.org/officeDocument/2006/relationships/hyperlink" Target="https://www.cmswire.com/customer-experience/what-is-customer-journey-analytics-software/" TargetMode="External"/><Relationship Id="rId3483" Type="http://schemas.openxmlformats.org/officeDocument/2006/relationships/hyperlink" Target="https://vaynermedia.com/work/" TargetMode="External"/><Relationship Id="rId2152" Type="http://schemas.openxmlformats.org/officeDocument/2006/relationships/hyperlink" Target="http://cmswire.com" TargetMode="External"/><Relationship Id="rId3482" Type="http://schemas.openxmlformats.org/officeDocument/2006/relationships/hyperlink" Target="http://vaynermedia.com" TargetMode="External"/><Relationship Id="rId2153" Type="http://schemas.openxmlformats.org/officeDocument/2006/relationships/hyperlink" Target="https://www.cmswire.com/digital-marketing/before-you-buy-the-marketing-agent-build-the-martech-foundation/" TargetMode="External"/><Relationship Id="rId3485" Type="http://schemas.openxmlformats.org/officeDocument/2006/relationships/hyperlink" Target="https://www.vdigitalservices.com/press-releases/v-digital-services-earns-google-premier-partner-status-for-fifth-consecutive-year/" TargetMode="External"/><Relationship Id="rId2154" Type="http://schemas.openxmlformats.org/officeDocument/2006/relationships/hyperlink" Target="http://cmswire.com" TargetMode="External"/><Relationship Id="rId3484" Type="http://schemas.openxmlformats.org/officeDocument/2006/relationships/hyperlink" Target="http://vaynermedia.com" TargetMode="External"/><Relationship Id="rId2155" Type="http://schemas.openxmlformats.org/officeDocument/2006/relationships/hyperlink" Target="https://coalitiontechnologies.com/ai-seo-company" TargetMode="External"/><Relationship Id="rId3487" Type="http://schemas.openxmlformats.org/officeDocument/2006/relationships/hyperlink" Target="https://www.vendry.io/agency/the-social-shepherd-xbvkqj" TargetMode="External"/><Relationship Id="rId2156" Type="http://schemas.openxmlformats.org/officeDocument/2006/relationships/hyperlink" Target="http://coalitiontechnologies.com" TargetMode="External"/><Relationship Id="rId3486" Type="http://schemas.openxmlformats.org/officeDocument/2006/relationships/hyperlink" Target="http://vdigitalservices.com" TargetMode="External"/><Relationship Id="rId2157" Type="http://schemas.openxmlformats.org/officeDocument/2006/relationships/hyperlink" Target="https://coderoad.com/velocity-as-a-service/ai" TargetMode="External"/><Relationship Id="rId3489" Type="http://schemas.openxmlformats.org/officeDocument/2006/relationships/hyperlink" Target="https://www.venturemedia.io/post/top-social-media-marketing-agencies-in-the-united-states" TargetMode="External"/><Relationship Id="rId2158" Type="http://schemas.openxmlformats.org/officeDocument/2006/relationships/hyperlink" Target="http://coderoad.com" TargetMode="External"/><Relationship Id="rId3488" Type="http://schemas.openxmlformats.org/officeDocument/2006/relationships/hyperlink" Target="http://vendry.io" TargetMode="External"/><Relationship Id="rId2104" Type="http://schemas.openxmlformats.org/officeDocument/2006/relationships/hyperlink" Target="http://clutch.co" TargetMode="External"/><Relationship Id="rId3436" Type="http://schemas.openxmlformats.org/officeDocument/2006/relationships/hyperlink" Target="https://topmarketingagencies.com/case-studies/" TargetMode="External"/><Relationship Id="rId2105" Type="http://schemas.openxmlformats.org/officeDocument/2006/relationships/hyperlink" Target="https://clutch.co/profile/mutesix" TargetMode="External"/><Relationship Id="rId3435" Type="http://schemas.openxmlformats.org/officeDocument/2006/relationships/hyperlink" Target="http://tinuiti.com" TargetMode="External"/><Relationship Id="rId2106" Type="http://schemas.openxmlformats.org/officeDocument/2006/relationships/hyperlink" Target="http://clutch.co" TargetMode="External"/><Relationship Id="rId3438" Type="http://schemas.openxmlformats.org/officeDocument/2006/relationships/hyperlink" Target="https://www.trackingplan.com/blog/incrementality-testing-a-2026-guide-for-marketers-en" TargetMode="External"/><Relationship Id="rId2107" Type="http://schemas.openxmlformats.org/officeDocument/2006/relationships/hyperlink" Target="https://clutch.co/us/agencies/branding" TargetMode="External"/><Relationship Id="rId3437" Type="http://schemas.openxmlformats.org/officeDocument/2006/relationships/hyperlink" Target="http://topmarketingagencies.com" TargetMode="External"/><Relationship Id="rId2108" Type="http://schemas.openxmlformats.org/officeDocument/2006/relationships/hyperlink" Target="http://clutch.co" TargetMode="External"/><Relationship Id="rId2109" Type="http://schemas.openxmlformats.org/officeDocument/2006/relationships/hyperlink" Target="https://clutch.co/us/agencies/business-services-industry?page=1" TargetMode="External"/><Relationship Id="rId3439" Type="http://schemas.openxmlformats.org/officeDocument/2006/relationships/hyperlink" Target="http://trackingplan.com" TargetMode="External"/><Relationship Id="rId3430" Type="http://schemas.openxmlformats.org/officeDocument/2006/relationships/hyperlink" Target="https://tinuiti.com/research-insights/guides/the-incrementality-playbook/" TargetMode="External"/><Relationship Id="rId2100" Type="http://schemas.openxmlformats.org/officeDocument/2006/relationships/hyperlink" Target="http://clutch.co" TargetMode="External"/><Relationship Id="rId3432" Type="http://schemas.openxmlformats.org/officeDocument/2006/relationships/hyperlink" Target="https://tinuiti.com/services/" TargetMode="External"/><Relationship Id="rId2101" Type="http://schemas.openxmlformats.org/officeDocument/2006/relationships/hyperlink" Target="https://clutch.co/agencies/ppc/ecommerce-industry" TargetMode="External"/><Relationship Id="rId3431" Type="http://schemas.openxmlformats.org/officeDocument/2006/relationships/hyperlink" Target="http://tinuiti.com" TargetMode="External"/><Relationship Id="rId2102" Type="http://schemas.openxmlformats.org/officeDocument/2006/relationships/hyperlink" Target="http://clutch.co" TargetMode="External"/><Relationship Id="rId3434" Type="http://schemas.openxmlformats.org/officeDocument/2006/relationships/hyperlink" Target="https://tinuiti.com/services/social/" TargetMode="External"/><Relationship Id="rId2103" Type="http://schemas.openxmlformats.org/officeDocument/2006/relationships/hyperlink" Target="https://clutch.co/agencies/programmatic" TargetMode="External"/><Relationship Id="rId3433" Type="http://schemas.openxmlformats.org/officeDocument/2006/relationships/hyperlink" Target="http://tinuiti.com" TargetMode="External"/><Relationship Id="rId3425" Type="http://schemas.openxmlformats.org/officeDocument/2006/relationships/hyperlink" Target="http://thriveagency.com" TargetMode="External"/><Relationship Id="rId3424" Type="http://schemas.openxmlformats.org/officeDocument/2006/relationships/hyperlink" Target="https://thriveagency.com/news/best-social-media-marketing-companies/" TargetMode="External"/><Relationship Id="rId3427" Type="http://schemas.openxmlformats.org/officeDocument/2006/relationships/hyperlink" Target="http://tinuiti.com" TargetMode="External"/><Relationship Id="rId3426" Type="http://schemas.openxmlformats.org/officeDocument/2006/relationships/hyperlink" Target="https://tinuiti.com/" TargetMode="External"/><Relationship Id="rId3429" Type="http://schemas.openxmlformats.org/officeDocument/2006/relationships/hyperlink" Target="http://tinuiti.com" TargetMode="External"/><Relationship Id="rId3428" Type="http://schemas.openxmlformats.org/officeDocument/2006/relationships/hyperlink" Target="https://tinuiti.com/blisspoint/measurement/incrementality-lab/" TargetMode="External"/><Relationship Id="rId899" Type="http://schemas.openxmlformats.org/officeDocument/2006/relationships/hyperlink" Target="http://keywordsearch.com" TargetMode="External"/><Relationship Id="rId898" Type="http://schemas.openxmlformats.org/officeDocument/2006/relationships/hyperlink" Target="https://www.keywordsearch.com/blog/top-ai-marketing-agency-trends-to-watch-in-2025" TargetMode="External"/><Relationship Id="rId897" Type="http://schemas.openxmlformats.org/officeDocument/2006/relationships/hyperlink" Target="http://itprofiles.com" TargetMode="External"/><Relationship Id="rId896" Type="http://schemas.openxmlformats.org/officeDocument/2006/relationships/hyperlink" Target="https://itprofiles.com/services/digital-marketing/united-states" TargetMode="External"/><Relationship Id="rId891" Type="http://schemas.openxmlformats.org/officeDocument/2006/relationships/hyperlink" Target="http://getrecast.com" TargetMode="External"/><Relationship Id="rId890" Type="http://schemas.openxmlformats.org/officeDocument/2006/relationships/hyperlink" Target="https://getrecast.com/recast-llm-information/" TargetMode="External"/><Relationship Id="rId895" Type="http://schemas.openxmlformats.org/officeDocument/2006/relationships/hyperlink" Target="http://infotrust.com" TargetMode="External"/><Relationship Id="rId3421" Type="http://schemas.openxmlformats.org/officeDocument/2006/relationships/hyperlink" Target="http://thirstysprout.com" TargetMode="External"/><Relationship Id="rId894" Type="http://schemas.openxmlformats.org/officeDocument/2006/relationships/hyperlink" Target="https://infotrust.com/google-marketing-platform-consulting/" TargetMode="External"/><Relationship Id="rId3420" Type="http://schemas.openxmlformats.org/officeDocument/2006/relationships/hyperlink" Target="https://www.thirstysprout.com/post/best-tech-recruiting-agencies" TargetMode="External"/><Relationship Id="rId893" Type="http://schemas.openxmlformats.org/officeDocument/2006/relationships/hyperlink" Target="http://growth-hackers.net" TargetMode="External"/><Relationship Id="rId3423" Type="http://schemas.openxmlformats.org/officeDocument/2006/relationships/hyperlink" Target="http://thriveagency.com" TargetMode="External"/><Relationship Id="rId892" Type="http://schemas.openxmlformats.org/officeDocument/2006/relationships/hyperlink" Target="https://www.growth-hackers.net/best-paid-media-agencies/" TargetMode="External"/><Relationship Id="rId3422" Type="http://schemas.openxmlformats.org/officeDocument/2006/relationships/hyperlink" Target="https://thriveagency.com/news/best-digital-pr-agencies/" TargetMode="External"/><Relationship Id="rId2126" Type="http://schemas.openxmlformats.org/officeDocument/2006/relationships/hyperlink" Target="http://clutch.co" TargetMode="External"/><Relationship Id="rId3458" Type="http://schemas.openxmlformats.org/officeDocument/2006/relationships/hyperlink" Target="https://www.triplewhale.com/blog/incrementality-testing" TargetMode="External"/><Relationship Id="rId2127" Type="http://schemas.openxmlformats.org/officeDocument/2006/relationships/hyperlink" Target="https://clutch.co/us/agencies/programmatic%3Fpage%3D2" TargetMode="External"/><Relationship Id="rId3457" Type="http://schemas.openxmlformats.org/officeDocument/2006/relationships/hyperlink" Target="http://tripledart.com" TargetMode="External"/><Relationship Id="rId2128" Type="http://schemas.openxmlformats.org/officeDocument/2006/relationships/hyperlink" Target="http://clutch.co" TargetMode="External"/><Relationship Id="rId2129" Type="http://schemas.openxmlformats.org/officeDocument/2006/relationships/hyperlink" Target="https://clutch.co/us/agencies/programmatic%3Fpage%3D3" TargetMode="External"/><Relationship Id="rId3459" Type="http://schemas.openxmlformats.org/officeDocument/2006/relationships/hyperlink" Target="http://triplewhale.com" TargetMode="External"/><Relationship Id="rId3450" Type="http://schemas.openxmlformats.org/officeDocument/2006/relationships/hyperlink" Target="https://www.trinitybps.com/ai-consulting" TargetMode="External"/><Relationship Id="rId2120" Type="http://schemas.openxmlformats.org/officeDocument/2006/relationships/hyperlink" Target="http://clutch.co" TargetMode="External"/><Relationship Id="rId3452" Type="http://schemas.openxmlformats.org/officeDocument/2006/relationships/hyperlink" Target="https://www.tripledart.com/ai-marketing/ai-marketing-agencies" TargetMode="External"/><Relationship Id="rId2121" Type="http://schemas.openxmlformats.org/officeDocument/2006/relationships/hyperlink" Target="https://clutch.co/us/agencies/ppc/display?page=16" TargetMode="External"/><Relationship Id="rId3451" Type="http://schemas.openxmlformats.org/officeDocument/2006/relationships/hyperlink" Target="http://trinitybps.com" TargetMode="External"/><Relationship Id="rId2122" Type="http://schemas.openxmlformats.org/officeDocument/2006/relationships/hyperlink" Target="http://clutch.co" TargetMode="External"/><Relationship Id="rId3454" Type="http://schemas.openxmlformats.org/officeDocument/2006/relationships/hyperlink" Target="https://www.tripledart.com/ai-seo/ai-seo-agencies" TargetMode="External"/><Relationship Id="rId2123" Type="http://schemas.openxmlformats.org/officeDocument/2006/relationships/hyperlink" Target="https://clutch.co/us/agencies/ppc/ecommerce-industry" TargetMode="External"/><Relationship Id="rId3453" Type="http://schemas.openxmlformats.org/officeDocument/2006/relationships/hyperlink" Target="http://tripledart.com" TargetMode="External"/><Relationship Id="rId2124" Type="http://schemas.openxmlformats.org/officeDocument/2006/relationships/hyperlink" Target="http://clutch.co" TargetMode="External"/><Relationship Id="rId3456" Type="http://schemas.openxmlformats.org/officeDocument/2006/relationships/hyperlink" Target="https://www.tripledart.com/saas-seo/agencies" TargetMode="External"/><Relationship Id="rId2125" Type="http://schemas.openxmlformats.org/officeDocument/2006/relationships/hyperlink" Target="https://clutch.co/us/agencies/ppc/google-adwords%3Fpage%3D16" TargetMode="External"/><Relationship Id="rId3455" Type="http://schemas.openxmlformats.org/officeDocument/2006/relationships/hyperlink" Target="http://tripledart.com" TargetMode="External"/><Relationship Id="rId2115" Type="http://schemas.openxmlformats.org/officeDocument/2006/relationships/hyperlink" Target="https://clutch.co/us/agencies/ppc/display%3Fpage%3D6" TargetMode="External"/><Relationship Id="rId3447" Type="http://schemas.openxmlformats.org/officeDocument/2006/relationships/hyperlink" Target="http://tribetronics.com" TargetMode="External"/><Relationship Id="rId2116" Type="http://schemas.openxmlformats.org/officeDocument/2006/relationships/hyperlink" Target="http://clutch.co" TargetMode="External"/><Relationship Id="rId3446" Type="http://schemas.openxmlformats.org/officeDocument/2006/relationships/hyperlink" Target="https://tribetronics.com/blog/top-ai-marketing-agencies-in-usa" TargetMode="External"/><Relationship Id="rId2117" Type="http://schemas.openxmlformats.org/officeDocument/2006/relationships/hyperlink" Target="https://clutch.co/us/agencies/ppc/display%3Fpage%3D8" TargetMode="External"/><Relationship Id="rId3449" Type="http://schemas.openxmlformats.org/officeDocument/2006/relationships/hyperlink" Target="http://tridence.com" TargetMode="External"/><Relationship Id="rId2118" Type="http://schemas.openxmlformats.org/officeDocument/2006/relationships/hyperlink" Target="http://clutch.co" TargetMode="External"/><Relationship Id="rId3448" Type="http://schemas.openxmlformats.org/officeDocument/2006/relationships/hyperlink" Target="https://tridence.com/" TargetMode="External"/><Relationship Id="rId2119" Type="http://schemas.openxmlformats.org/officeDocument/2006/relationships/hyperlink" Target="https://clutch.co/us/agencies/ppc/display?page=10" TargetMode="External"/><Relationship Id="rId3441" Type="http://schemas.openxmlformats.org/officeDocument/2006/relationships/hyperlink" Target="http://tradingview.com" TargetMode="External"/><Relationship Id="rId2110" Type="http://schemas.openxmlformats.org/officeDocument/2006/relationships/hyperlink" Target="http://clutch.co" TargetMode="External"/><Relationship Id="rId3440" Type="http://schemas.openxmlformats.org/officeDocument/2006/relationships/hyperlink" Target="https://www.tradingview.com/news/zacks:213c37a79094b:0-ai-powered-earth-observation-drives-planet-labs-growth/" TargetMode="External"/><Relationship Id="rId2111" Type="http://schemas.openxmlformats.org/officeDocument/2006/relationships/hyperlink" Target="https://clutch.co/us/agencies/digital-marketing/small-business" TargetMode="External"/><Relationship Id="rId3443" Type="http://schemas.openxmlformats.org/officeDocument/2006/relationships/hyperlink" Target="http://trailblazermktg.com" TargetMode="External"/><Relationship Id="rId2112" Type="http://schemas.openxmlformats.org/officeDocument/2006/relationships/hyperlink" Target="http://clutch.co" TargetMode="External"/><Relationship Id="rId3442" Type="http://schemas.openxmlformats.org/officeDocument/2006/relationships/hyperlink" Target="https://trailblazermktg.com/blog/best-seo-agency-in-the-usa" TargetMode="External"/><Relationship Id="rId2113" Type="http://schemas.openxmlformats.org/officeDocument/2006/relationships/hyperlink" Target="https://clutch.co/us/agencies/market-research/shopper-marketing" TargetMode="External"/><Relationship Id="rId3445" Type="http://schemas.openxmlformats.org/officeDocument/2006/relationships/hyperlink" Target="http://omnicommedia.com" TargetMode="External"/><Relationship Id="rId2114" Type="http://schemas.openxmlformats.org/officeDocument/2006/relationships/hyperlink" Target="http://clutch.co" TargetMode="External"/><Relationship Id="rId3444" Type="http://schemas.openxmlformats.org/officeDocument/2006/relationships/hyperlink" Target="https://transform.omnicommedia.com/report-confirms-omnicom-media-leads-global-media-management-following-omg-mediabrands-integration/"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ninjapromo.io/best-ai-marketing-agencies" TargetMode="External"/><Relationship Id="rId391" Type="http://schemas.openxmlformats.org/officeDocument/2006/relationships/hyperlink" Target="http://nealschaffer.com" TargetMode="External"/><Relationship Id="rId390" Type="http://schemas.openxmlformats.org/officeDocument/2006/relationships/hyperlink" Target="https://nealschaffer.com/ai-marketing-agency/" TargetMode="External"/><Relationship Id="rId2180" Type="http://schemas.openxmlformats.org/officeDocument/2006/relationships/hyperlink" Target="http://thesocialshepherd.com" TargetMode="External"/><Relationship Id="rId2181" Type="http://schemas.openxmlformats.org/officeDocument/2006/relationships/hyperlink" Target="https://www.thezulumethod.com/top-ai-marketing-agencies" TargetMode="External"/><Relationship Id="rId2182" Type="http://schemas.openxmlformats.org/officeDocument/2006/relationships/hyperlink" Target="http://thezulumethod.com" TargetMode="External"/><Relationship Id="rId2183" Type="http://schemas.openxmlformats.org/officeDocument/2006/relationships/hyperlink" Target="https://thinkwithalec.com/2025/03/02/best-marketing-platforms-for-tracking-first-party-data/" TargetMode="External"/><Relationship Id="rId385" Type="http://schemas.openxmlformats.org/officeDocument/2006/relationships/hyperlink" Target="http://gtm8020.com" TargetMode="External"/><Relationship Id="rId2184" Type="http://schemas.openxmlformats.org/officeDocument/2006/relationships/hyperlink" Target="http://thinkwithalec.com" TargetMode="External"/><Relationship Id="rId384" Type="http://schemas.openxmlformats.org/officeDocument/2006/relationships/hyperlink" Target="https://www.gtm8020.com/blog/best-aeo-agencies" TargetMode="External"/><Relationship Id="rId2185" Type="http://schemas.openxmlformats.org/officeDocument/2006/relationships/hyperlink" Target="https://www.thirstysprout.com/post/best-tech-recruiting-agencies" TargetMode="External"/><Relationship Id="rId383" Type="http://schemas.openxmlformats.org/officeDocument/2006/relationships/hyperlink" Target="http://growthmanager.ai" TargetMode="External"/><Relationship Id="rId2186" Type="http://schemas.openxmlformats.org/officeDocument/2006/relationships/hyperlink" Target="http://thirstysprout.com" TargetMode="External"/><Relationship Id="rId382" Type="http://schemas.openxmlformats.org/officeDocument/2006/relationships/hyperlink" Target="https://growthmanager.ai/best-geo-agency" TargetMode="External"/><Relationship Id="rId2187" Type="http://schemas.openxmlformats.org/officeDocument/2006/relationships/hyperlink" Target="https://thriveagency.com/news/best-digital-pr-agencies/" TargetMode="External"/><Relationship Id="rId389" Type="http://schemas.openxmlformats.org/officeDocument/2006/relationships/hyperlink" Target="http://measured.com" TargetMode="External"/><Relationship Id="rId2188" Type="http://schemas.openxmlformats.org/officeDocument/2006/relationships/hyperlink" Target="http://thriveagency.com" TargetMode="External"/><Relationship Id="rId388" Type="http://schemas.openxmlformats.org/officeDocument/2006/relationships/hyperlink" Target="https://www.measured.com/faq/top-10-best-media-mix-modeling-companies-software-for-2026/" TargetMode="External"/><Relationship Id="rId2189" Type="http://schemas.openxmlformats.org/officeDocument/2006/relationships/hyperlink" Target="https://thriveagency.com/news/best-social-media-marketing-companies/" TargetMode="External"/><Relationship Id="rId387" Type="http://schemas.openxmlformats.org/officeDocument/2006/relationships/hyperlink" Target="http://joseangelostudios.com" TargetMode="External"/><Relationship Id="rId386" Type="http://schemas.openxmlformats.org/officeDocument/2006/relationships/hyperlink" Target="https://joseangelostudios.com/paid-social-agency/" TargetMode="External"/><Relationship Id="rId381" Type="http://schemas.openxmlformats.org/officeDocument/2006/relationships/hyperlink" Target="http://gartner.com" TargetMode="External"/><Relationship Id="rId380" Type="http://schemas.openxmlformats.org/officeDocument/2006/relationships/hyperlink" Target="https://www.gartner.com/reviews/market/incrementality-measurement-platforms" TargetMode="External"/><Relationship Id="rId379" Type="http://schemas.openxmlformats.org/officeDocument/2006/relationships/hyperlink" Target="http://firstpagesage.com" TargetMode="External"/><Relationship Id="rId2170" Type="http://schemas.openxmlformats.org/officeDocument/2006/relationships/hyperlink" Target="http://themanifest.com" TargetMode="External"/><Relationship Id="rId2171" Type="http://schemas.openxmlformats.org/officeDocument/2006/relationships/hyperlink" Target="https://themanifest.com/us/digital/agencies" TargetMode="External"/><Relationship Id="rId2172" Type="http://schemas.openxmlformats.org/officeDocument/2006/relationships/hyperlink" Target="http://themanifest.com" TargetMode="External"/><Relationship Id="rId374" Type="http://schemas.openxmlformats.org/officeDocument/2006/relationships/hyperlink" Target="https://www.dataally.ai/blog/best-paid-ads-agency" TargetMode="External"/><Relationship Id="rId2173" Type="http://schemas.openxmlformats.org/officeDocument/2006/relationships/hyperlink" Target="https://themanifest.com/us/social-media/agencies?page=1" TargetMode="External"/><Relationship Id="rId373" Type="http://schemas.openxmlformats.org/officeDocument/2006/relationships/hyperlink" Target="http://clutch.co" TargetMode="External"/><Relationship Id="rId2174" Type="http://schemas.openxmlformats.org/officeDocument/2006/relationships/hyperlink" Target="http://themanifest.com" TargetMode="External"/><Relationship Id="rId372" Type="http://schemas.openxmlformats.org/officeDocument/2006/relationships/hyperlink" Target="https://clutch.co/us/agencies/programmatic" TargetMode="External"/><Relationship Id="rId2175" Type="http://schemas.openxmlformats.org/officeDocument/2006/relationships/hyperlink" Target="https://themanifest.com/us/social-media/instagram/agencies" TargetMode="External"/><Relationship Id="rId371" Type="http://schemas.openxmlformats.org/officeDocument/2006/relationships/hyperlink" Target="http://beomniscient.com" TargetMode="External"/><Relationship Id="rId2176" Type="http://schemas.openxmlformats.org/officeDocument/2006/relationships/hyperlink" Target="http://themanifest.com" TargetMode="External"/><Relationship Id="rId378" Type="http://schemas.openxmlformats.org/officeDocument/2006/relationships/hyperlink" Target="https://firstpagesage.com/seo-blog/the-top-growth-marketing-agencies/" TargetMode="External"/><Relationship Id="rId2177" Type="http://schemas.openxmlformats.org/officeDocument/2006/relationships/hyperlink" Target="https://thesocialshepherd.com/blog/top-advertising-agencies-us" TargetMode="External"/><Relationship Id="rId377" Type="http://schemas.openxmlformats.org/officeDocument/2006/relationships/hyperlink" Target="http://enzuzo.com" TargetMode="External"/><Relationship Id="rId2178" Type="http://schemas.openxmlformats.org/officeDocument/2006/relationships/hyperlink" Target="http://thesocialshepherd.com" TargetMode="External"/><Relationship Id="rId376" Type="http://schemas.openxmlformats.org/officeDocument/2006/relationships/hyperlink" Target="https://www.enzuzo.com/blog/best-google-ads-agencies" TargetMode="External"/><Relationship Id="rId2179" Type="http://schemas.openxmlformats.org/officeDocument/2006/relationships/hyperlink" Target="https://thesocialshepherd.com/blog/top-digital-marketing-agencies-us" TargetMode="External"/><Relationship Id="rId375" Type="http://schemas.openxmlformats.org/officeDocument/2006/relationships/hyperlink" Target="http://dataally.ai" TargetMode="External"/><Relationship Id="rId2190" Type="http://schemas.openxmlformats.org/officeDocument/2006/relationships/hyperlink" Target="http://thriveagency.com" TargetMode="External"/><Relationship Id="rId2191" Type="http://schemas.openxmlformats.org/officeDocument/2006/relationships/hyperlink" Target="https://trailblazermktg.com/blog/best-seo-agency-in-the-usa" TargetMode="External"/><Relationship Id="rId2192" Type="http://schemas.openxmlformats.org/officeDocument/2006/relationships/hyperlink" Target="http://trailblazermktg.com" TargetMode="External"/><Relationship Id="rId2193" Type="http://schemas.openxmlformats.org/officeDocument/2006/relationships/hyperlink" Target="https://tribetronics.com/blog/top-ai-marketing-agencies-in-usa" TargetMode="External"/><Relationship Id="rId2194" Type="http://schemas.openxmlformats.org/officeDocument/2006/relationships/hyperlink" Target="http://tribetronics.com" TargetMode="External"/><Relationship Id="rId396" Type="http://schemas.openxmlformats.org/officeDocument/2006/relationships/hyperlink" Target="https://www.perceptive-analytics.com/top-10-best-ai-consulting-firms-for-mid-market-companies-in-the-us-2026-guide/" TargetMode="External"/><Relationship Id="rId2195" Type="http://schemas.openxmlformats.org/officeDocument/2006/relationships/hyperlink" Target="https://www.tripledart.com/ai-marketing/ai-marketing-agencies" TargetMode="External"/><Relationship Id="rId395" Type="http://schemas.openxmlformats.org/officeDocument/2006/relationships/hyperlink" Target="http://onelittleweb.com" TargetMode="External"/><Relationship Id="rId2196" Type="http://schemas.openxmlformats.org/officeDocument/2006/relationships/hyperlink" Target="http://tripledart.com" TargetMode="External"/><Relationship Id="rId394" Type="http://schemas.openxmlformats.org/officeDocument/2006/relationships/hyperlink" Target="https://onelittleweb.com/top-agencies/top-google-ads-agencies/" TargetMode="External"/><Relationship Id="rId2197" Type="http://schemas.openxmlformats.org/officeDocument/2006/relationships/hyperlink" Target="https://www.tripledart.com/ai-seo/ai-seo-agencies" TargetMode="External"/><Relationship Id="rId393" Type="http://schemas.openxmlformats.org/officeDocument/2006/relationships/hyperlink" Target="http://ninjapromo.io" TargetMode="External"/><Relationship Id="rId2198" Type="http://schemas.openxmlformats.org/officeDocument/2006/relationships/hyperlink" Target="http://tripledart.com" TargetMode="External"/><Relationship Id="rId2199" Type="http://schemas.openxmlformats.org/officeDocument/2006/relationships/hyperlink" Target="https://www.tripledart.com/saas-seo/agencies" TargetMode="External"/><Relationship Id="rId399" Type="http://schemas.openxmlformats.org/officeDocument/2006/relationships/hyperlink" Target="http://quoleady.com" TargetMode="External"/><Relationship Id="rId398" Type="http://schemas.openxmlformats.org/officeDocument/2006/relationships/hyperlink" Target="https://www.quoleady.com/ai-marketing-agencies/" TargetMode="External"/><Relationship Id="rId397" Type="http://schemas.openxmlformats.org/officeDocument/2006/relationships/hyperlink" Target="http://perceptive-analytics.com" TargetMode="External"/><Relationship Id="rId1730" Type="http://schemas.openxmlformats.org/officeDocument/2006/relationships/hyperlink" Target="https://growthlane.marketing/blog/top-b2b-performance-marketing-firms-in-2025-the-ultimate-list-for-revenue-growth" TargetMode="External"/><Relationship Id="rId1731" Type="http://schemas.openxmlformats.org/officeDocument/2006/relationships/hyperlink" Target="https://growthrocks.com/blog/performance-marketing-agencies/" TargetMode="External"/><Relationship Id="rId1732" Type="http://schemas.openxmlformats.org/officeDocument/2006/relationships/hyperlink" Target="http://growthrocks.com" TargetMode="External"/><Relationship Id="rId1733" Type="http://schemas.openxmlformats.org/officeDocument/2006/relationships/hyperlink" Target="https://www.growthspreeofficial.com/blogs/best-b2b-marketing-agencies-proprietary-ai-tools-2026" TargetMode="External"/><Relationship Id="rId1734" Type="http://schemas.openxmlformats.org/officeDocument/2006/relationships/hyperlink" Target="http://growthspreeofficial.com" TargetMode="External"/><Relationship Id="rId1735" Type="http://schemas.openxmlformats.org/officeDocument/2006/relationships/hyperlink" Target="https://growthsprints.co/best-saas-aeo-consultants/" TargetMode="External"/><Relationship Id="rId1736" Type="http://schemas.openxmlformats.org/officeDocument/2006/relationships/hyperlink" Target="http://growthsprints.co" TargetMode="External"/><Relationship Id="rId1737" Type="http://schemas.openxmlformats.org/officeDocument/2006/relationships/hyperlink" Target="https://growwithvysta.com/blog/best-google-ads-agencies-for-ecommerce-brands-in-the-us/" TargetMode="External"/><Relationship Id="rId1738" Type="http://schemas.openxmlformats.org/officeDocument/2006/relationships/hyperlink" Target="http://growwithvysta.com" TargetMode="External"/><Relationship Id="rId1739" Type="http://schemas.openxmlformats.org/officeDocument/2006/relationships/hyperlink" Target="https://www.hamstergarage.com/article/best-partner-marketing-agency-guide" TargetMode="External"/><Relationship Id="rId1720" Type="http://schemas.openxmlformats.org/officeDocument/2006/relationships/hyperlink" Target="https://www.greenbook.org/market-research-firms/tracking" TargetMode="External"/><Relationship Id="rId1721" Type="http://schemas.openxmlformats.org/officeDocument/2006/relationships/hyperlink" Target="http://greenbook.org" TargetMode="External"/><Relationship Id="rId1722" Type="http://schemas.openxmlformats.org/officeDocument/2006/relationships/hyperlink" Target="https://gripped.io/b2b-marketing/top-marketing-agencies-uk/" TargetMode="External"/><Relationship Id="rId1723" Type="http://schemas.openxmlformats.org/officeDocument/2006/relationships/hyperlink" Target="http://gripped.io" TargetMode="External"/><Relationship Id="rId1724" Type="http://schemas.openxmlformats.org/officeDocument/2006/relationships/hyperlink" Target="https://gripped.io/digital-marketing-strategy/b2b-performance-marketing-agency/" TargetMode="External"/><Relationship Id="rId1725" Type="http://schemas.openxmlformats.org/officeDocument/2006/relationships/hyperlink" Target="http://gripped.io" TargetMode="External"/><Relationship Id="rId1726" Type="http://schemas.openxmlformats.org/officeDocument/2006/relationships/hyperlink" Target="https://www.growtal.com/8-best-fractional-cmos-for-fast-growing-e-commerce-companies/" TargetMode="External"/><Relationship Id="rId1727" Type="http://schemas.openxmlformats.org/officeDocument/2006/relationships/hyperlink" Target="http://growtal.com" TargetMode="External"/><Relationship Id="rId1728" Type="http://schemas.openxmlformats.org/officeDocument/2006/relationships/hyperlink" Target="https://growth.cx/blog/best-performance-marketing-agencies/" TargetMode="External"/><Relationship Id="rId1729" Type="http://schemas.openxmlformats.org/officeDocument/2006/relationships/hyperlink" Target="http://growth.cx" TargetMode="External"/><Relationship Id="rId1752" Type="http://schemas.openxmlformats.org/officeDocument/2006/relationships/hyperlink" Target="http://hawksem.com" TargetMode="External"/><Relationship Id="rId1753" Type="http://schemas.openxmlformats.org/officeDocument/2006/relationships/hyperlink" Target="https://www.helloroketto.com/articles/ai-agency" TargetMode="External"/><Relationship Id="rId1754" Type="http://schemas.openxmlformats.org/officeDocument/2006/relationships/hyperlink" Target="http://helloroketto.com" TargetMode="External"/><Relationship Id="rId1755" Type="http://schemas.openxmlformats.org/officeDocument/2006/relationships/hyperlink" Target="https://www.helloroketto.com/articles/marketing-consultant" TargetMode="External"/><Relationship Id="rId1756" Type="http://schemas.openxmlformats.org/officeDocument/2006/relationships/hyperlink" Target="http://helloroketto.com" TargetMode="External"/><Relationship Id="rId1757" Type="http://schemas.openxmlformats.org/officeDocument/2006/relationships/hyperlink" Target="https://www.heydigital.co/blog/saas-marketing-agencies" TargetMode="External"/><Relationship Id="rId1758" Type="http://schemas.openxmlformats.org/officeDocument/2006/relationships/hyperlink" Target="http://heydigital.co" TargetMode="External"/><Relationship Id="rId1759" Type="http://schemas.openxmlformats.org/officeDocument/2006/relationships/hyperlink" Target="https://hikemytraffic.com/ai-powered-digital-marketing-agency/" TargetMode="External"/><Relationship Id="rId1750" Type="http://schemas.openxmlformats.org/officeDocument/2006/relationships/hyperlink" Target="http://hawksem.com" TargetMode="External"/><Relationship Id="rId1751" Type="http://schemas.openxmlformats.org/officeDocument/2006/relationships/hyperlink" Target="https://hawksem.com/blog/top-sem-agencies/" TargetMode="External"/><Relationship Id="rId1741" Type="http://schemas.openxmlformats.org/officeDocument/2006/relationships/hyperlink" Target="https://www.harleyoliver.com/blog/top-12-companies-design-trends-to-watch-in-2025" TargetMode="External"/><Relationship Id="rId1742" Type="http://schemas.openxmlformats.org/officeDocument/2006/relationships/hyperlink" Target="http://harleyoliver.com" TargetMode="External"/><Relationship Id="rId1743" Type="http://schemas.openxmlformats.org/officeDocument/2006/relationships/hyperlink" Target="https://hashmeta.com/blog/top-15-ai-pr-agencies-for-ai-startups-tech-brands/" TargetMode="External"/><Relationship Id="rId1744" Type="http://schemas.openxmlformats.org/officeDocument/2006/relationships/hyperlink" Target="http://hashmeta.com" TargetMode="External"/><Relationship Id="rId1745" Type="http://schemas.openxmlformats.org/officeDocument/2006/relationships/hyperlink" Target="https://www.havstrategy.com/best-performance-marketing-agency-in-us/" TargetMode="External"/><Relationship Id="rId1746" Type="http://schemas.openxmlformats.org/officeDocument/2006/relationships/hyperlink" Target="http://havstrategy.com" TargetMode="External"/><Relationship Id="rId1747" Type="http://schemas.openxmlformats.org/officeDocument/2006/relationships/hyperlink" Target="https://hawksem.com/blog/digital-marketing-agencies/" TargetMode="External"/><Relationship Id="rId1748" Type="http://schemas.openxmlformats.org/officeDocument/2006/relationships/hyperlink" Target="http://hawksem.com" TargetMode="External"/><Relationship Id="rId1749" Type="http://schemas.openxmlformats.org/officeDocument/2006/relationships/hyperlink" Target="https://hawksem.com/blog/performance-marketing-agency-list/" TargetMode="External"/><Relationship Id="rId1740" Type="http://schemas.openxmlformats.org/officeDocument/2006/relationships/hyperlink" Target="http://hamstergarage.com" TargetMode="External"/><Relationship Id="rId1710" Type="http://schemas.openxmlformats.org/officeDocument/2006/relationships/hyperlink" Target="https://www.goodfirms.co/directory/country/top-digital-marketing-companies/us?sid=3951" TargetMode="External"/><Relationship Id="rId1711" Type="http://schemas.openxmlformats.org/officeDocument/2006/relationships/hyperlink" Target="http://goodfirms.co" TargetMode="External"/><Relationship Id="rId1712" Type="http://schemas.openxmlformats.org/officeDocument/2006/relationships/hyperlink" Target="https://www.goodfirms.co/directory/country/top-digital-marketing-companies/us?sid=3953" TargetMode="External"/><Relationship Id="rId1713" Type="http://schemas.openxmlformats.org/officeDocument/2006/relationships/hyperlink" Target="http://goodfirms.co" TargetMode="External"/><Relationship Id="rId1714" Type="http://schemas.openxmlformats.org/officeDocument/2006/relationships/hyperlink" Target="https://www.goodfirms.co/directory/country/top-digital-marketing-companies/us?sid=3975" TargetMode="External"/><Relationship Id="rId1715" Type="http://schemas.openxmlformats.org/officeDocument/2006/relationships/hyperlink" Target="http://goodfirms.co" TargetMode="External"/><Relationship Id="rId1716" Type="http://schemas.openxmlformats.org/officeDocument/2006/relationships/hyperlink" Target="https://www.goodfirms.co/directory/marketing-services/top-digital-marketing-companies" TargetMode="External"/><Relationship Id="rId1717" Type="http://schemas.openxmlformats.org/officeDocument/2006/relationships/hyperlink" Target="http://goodfirms.co" TargetMode="External"/><Relationship Id="rId1718" Type="http://schemas.openxmlformats.org/officeDocument/2006/relationships/hyperlink" Target="https://www.goodfirms.co/directory/marketing-services/top-digital-marketing-companies/generative-engine-optimization" TargetMode="External"/><Relationship Id="rId1719" Type="http://schemas.openxmlformats.org/officeDocument/2006/relationships/hyperlink" Target="http://goodfirms.co" TargetMode="External"/><Relationship Id="rId1700" Type="http://schemas.openxmlformats.org/officeDocument/2006/relationships/hyperlink" Target="https://www.goodfirms.co/advertising-companies/creative/usa?page=12" TargetMode="External"/><Relationship Id="rId1701" Type="http://schemas.openxmlformats.org/officeDocument/2006/relationships/hyperlink" Target="http://goodfirms.co" TargetMode="External"/><Relationship Id="rId1702" Type="http://schemas.openxmlformats.org/officeDocument/2006/relationships/hyperlink" Target="https://www.goodfirms.co/advertising-companies/creative/usa?page=6" TargetMode="External"/><Relationship Id="rId1703" Type="http://schemas.openxmlformats.org/officeDocument/2006/relationships/hyperlink" Target="http://goodfirms.co" TargetMode="External"/><Relationship Id="rId1704" Type="http://schemas.openxmlformats.org/officeDocument/2006/relationships/hyperlink" Target="https://www.goodfirms.co/advertising-companies/creative?sort_by=rating" TargetMode="External"/><Relationship Id="rId1705" Type="http://schemas.openxmlformats.org/officeDocument/2006/relationships/hyperlink" Target="http://goodfirms.co" TargetMode="External"/><Relationship Id="rId1706" Type="http://schemas.openxmlformats.org/officeDocument/2006/relationships/hyperlink" Target="https://www.goodfirms.co/advertising-companies/usa" TargetMode="External"/><Relationship Id="rId1707" Type="http://schemas.openxmlformats.org/officeDocument/2006/relationships/hyperlink" Target="http://goodfirms.co" TargetMode="External"/><Relationship Id="rId1708" Type="http://schemas.openxmlformats.org/officeDocument/2006/relationships/hyperlink" Target="https://www.goodfirms.co/directory/country/top-digital-marketing-companies/us?reviews=1&amp;sort_by=rating" TargetMode="External"/><Relationship Id="rId1709" Type="http://schemas.openxmlformats.org/officeDocument/2006/relationships/hyperlink" Target="http://goodfirms.co" TargetMode="External"/><Relationship Id="rId40" Type="http://schemas.openxmlformats.org/officeDocument/2006/relationships/hyperlink" Target="https://www.webtonic.io/blog/best-paid-social-agencies-us" TargetMode="External"/><Relationship Id="rId42" Type="http://schemas.openxmlformats.org/officeDocument/2006/relationships/hyperlink" Target="https://www.linkedin.com/pulse/top-25-performance-marketing-agencies-us-hawkemedia-iqbnc" TargetMode="External"/><Relationship Id="rId41" Type="http://schemas.openxmlformats.org/officeDocument/2006/relationships/hyperlink" Target="http://webtonic.io" TargetMode="External"/><Relationship Id="rId44" Type="http://schemas.openxmlformats.org/officeDocument/2006/relationships/hyperlink" Target="https://www.nutshell.com/blog/top-geo-agencies" TargetMode="External"/><Relationship Id="rId43" Type="http://schemas.openxmlformats.org/officeDocument/2006/relationships/hyperlink" Target="http://linkedin.com" TargetMode="External"/><Relationship Id="rId46" Type="http://schemas.openxmlformats.org/officeDocument/2006/relationships/hyperlink" Target="https://www.darkroomagency.com/observatory/best-performance-marketing-agencies-in-2026" TargetMode="External"/><Relationship Id="rId45" Type="http://schemas.openxmlformats.org/officeDocument/2006/relationships/hyperlink" Target="http://nutshell.com" TargetMode="External"/><Relationship Id="rId48" Type="http://schemas.openxmlformats.org/officeDocument/2006/relationships/hyperlink" Target="https://disruptiveadvertising.com/blog/business/top-us-digital-marketing-agencies/" TargetMode="External"/><Relationship Id="rId47" Type="http://schemas.openxmlformats.org/officeDocument/2006/relationships/hyperlink" Target="http://darkroomagency.com" TargetMode="External"/><Relationship Id="rId49" Type="http://schemas.openxmlformats.org/officeDocument/2006/relationships/hyperlink" Target="http://disruptiveadvertising.com" TargetMode="External"/><Relationship Id="rId31" Type="http://schemas.openxmlformats.org/officeDocument/2006/relationships/hyperlink" Target="https://directiveconsulting.com/blog/25-best-paid-media-agencies-that-turn-ad-spend-into-revenue/" TargetMode="External"/><Relationship Id="rId30" Type="http://schemas.openxmlformats.org/officeDocument/2006/relationships/hyperlink" Target="http://clutch.co" TargetMode="External"/><Relationship Id="rId33" Type="http://schemas.openxmlformats.org/officeDocument/2006/relationships/hyperlink" Target="https://www.silverbackstrategies.com/lists/best-social-media-advertising-agencies-in-the-us-ranked-reviewed/" TargetMode="External"/><Relationship Id="rId32" Type="http://schemas.openxmlformats.org/officeDocument/2006/relationships/hyperlink" Target="http://directiveconsulting.com" TargetMode="External"/><Relationship Id="rId35" Type="http://schemas.openxmlformats.org/officeDocument/2006/relationships/hyperlink" Target="https://inbeat.agency/blog/top-marketing-analytics-agencies" TargetMode="External"/><Relationship Id="rId34" Type="http://schemas.openxmlformats.org/officeDocument/2006/relationships/hyperlink" Target="http://silverbackstrategies.com" TargetMode="External"/><Relationship Id="rId37" Type="http://schemas.openxmlformats.org/officeDocument/2006/relationships/hyperlink" Target="http://designrush.com" TargetMode="External"/><Relationship Id="rId36" Type="http://schemas.openxmlformats.org/officeDocument/2006/relationships/hyperlink" Target="https://www.designrush.com/agency/digital-marketing/analytics/us" TargetMode="External"/><Relationship Id="rId39" Type="http://schemas.openxmlformats.org/officeDocument/2006/relationships/hyperlink" Target="http://unifiedplatforms.com" TargetMode="External"/><Relationship Id="rId38" Type="http://schemas.openxmlformats.org/officeDocument/2006/relationships/hyperlink" Target="https://unifiedplatforms.com/blogs/aeo/top-answer-engine-optimization-aeo-agencies-united-states/" TargetMode="External"/><Relationship Id="rId2203" Type="http://schemas.openxmlformats.org/officeDocument/2006/relationships/hyperlink" Target="https://ugcengine.ai/blog/best-aeo-agencies" TargetMode="External"/><Relationship Id="rId2204" Type="http://schemas.openxmlformats.org/officeDocument/2006/relationships/hyperlink" Target="http://ugcengine.ai" TargetMode="External"/><Relationship Id="rId20" Type="http://schemas.openxmlformats.org/officeDocument/2006/relationships/hyperlink" Target="https://inbeat.agency/blog/top-marketing-measurement-and-analytics-companies" TargetMode="External"/><Relationship Id="rId2205" Type="http://schemas.openxmlformats.org/officeDocument/2006/relationships/hyperlink" Target="https://uitop.design/blog/design/b2b-design-agency/" TargetMode="External"/><Relationship Id="rId2206" Type="http://schemas.openxmlformats.org/officeDocument/2006/relationships/hyperlink" Target="https://www.usekaya.com/blog/b2b-marketing-agencies-for-ads" TargetMode="External"/><Relationship Id="rId22" Type="http://schemas.openxmlformats.org/officeDocument/2006/relationships/hyperlink" Target="http://sortlist.com" TargetMode="External"/><Relationship Id="rId2207" Type="http://schemas.openxmlformats.org/officeDocument/2006/relationships/hyperlink" Target="http://usekaya.com" TargetMode="External"/><Relationship Id="rId21" Type="http://schemas.openxmlformats.org/officeDocument/2006/relationships/hyperlink" Target="https://www.sortlist.com/s/paid-media/united-states-us" TargetMode="External"/><Relationship Id="rId2208" Type="http://schemas.openxmlformats.org/officeDocument/2006/relationships/hyperlink" Target="https://usermaven.com/blog/marketing-attribution-tools" TargetMode="External"/><Relationship Id="rId24" Type="http://schemas.openxmlformats.org/officeDocument/2006/relationships/hyperlink" Target="http://semrush.com" TargetMode="External"/><Relationship Id="rId2209" Type="http://schemas.openxmlformats.org/officeDocument/2006/relationships/hyperlink" Target="http://usermaven.com" TargetMode="External"/><Relationship Id="rId23" Type="http://schemas.openxmlformats.org/officeDocument/2006/relationships/hyperlink" Target="https://agencies.semrush.com/list/display-advertising/united-states/" TargetMode="External"/><Relationship Id="rId26" Type="http://schemas.openxmlformats.org/officeDocument/2006/relationships/hyperlink" Target="http://triplewhale.com" TargetMode="External"/><Relationship Id="rId25" Type="http://schemas.openxmlformats.org/officeDocument/2006/relationships/hyperlink" Target="https://www.triplewhale.com/blog/best-incrementality-testing-tools" TargetMode="External"/><Relationship Id="rId28" Type="http://schemas.openxmlformats.org/officeDocument/2006/relationships/hyperlink" Target="http://yesoptimist.com" TargetMode="External"/><Relationship Id="rId27" Type="http://schemas.openxmlformats.org/officeDocument/2006/relationships/hyperlink" Target="https://www.yesoptimist.com/best-aeo-agencies/" TargetMode="External"/><Relationship Id="rId29" Type="http://schemas.openxmlformats.org/officeDocument/2006/relationships/hyperlink" Target="https://clutch.co/us/agencies/creative" TargetMode="External"/><Relationship Id="rId2200" Type="http://schemas.openxmlformats.org/officeDocument/2006/relationships/hyperlink" Target="http://tripledart.com" TargetMode="External"/><Relationship Id="rId2201" Type="http://schemas.openxmlformats.org/officeDocument/2006/relationships/hyperlink" Target="https://www.uforocks.com/blog/20-top-marketing-agencies-in-kansas-city-for-impressive-business-growth/" TargetMode="External"/><Relationship Id="rId2202" Type="http://schemas.openxmlformats.org/officeDocument/2006/relationships/hyperlink" Target="http://uforocks.com" TargetMode="External"/><Relationship Id="rId11" Type="http://schemas.openxmlformats.org/officeDocument/2006/relationships/hyperlink" Target="http://hawkemedia.com" TargetMode="External"/><Relationship Id="rId10" Type="http://schemas.openxmlformats.org/officeDocument/2006/relationships/hyperlink" Target="https://hawkemedia.com/insights/top-performance-marketing-agencies/" TargetMode="External"/><Relationship Id="rId13" Type="http://schemas.openxmlformats.org/officeDocument/2006/relationships/hyperlink" Target="http://searchbloom.com" TargetMode="External"/><Relationship Id="rId12" Type="http://schemas.openxmlformats.org/officeDocument/2006/relationships/hyperlink" Target="https://www.searchbloom.com/strategy/best-ai-seo-agency-companies-services-usa/" TargetMode="External"/><Relationship Id="rId15" Type="http://schemas.openxmlformats.org/officeDocument/2006/relationships/hyperlink" Target="http://digitalagencynetwork.com" TargetMode="External"/><Relationship Id="rId14" Type="http://schemas.openxmlformats.org/officeDocument/2006/relationships/hyperlink" Target="https://digitalagencynetwork.com/agencies/usa/ai-marketing/" TargetMode="External"/><Relationship Id="rId17" Type="http://schemas.openxmlformats.org/officeDocument/2006/relationships/hyperlink" Target="http://beomniscient.com" TargetMode="External"/><Relationship Id="rId16" Type="http://schemas.openxmlformats.org/officeDocument/2006/relationships/hyperlink" Target="https://beomniscient.com/blog/best-ai-marketing-agencies/" TargetMode="External"/><Relationship Id="rId19" Type="http://schemas.openxmlformats.org/officeDocument/2006/relationships/hyperlink" Target="http://measured.com" TargetMode="External"/><Relationship Id="rId18" Type="http://schemas.openxmlformats.org/officeDocument/2006/relationships/hyperlink" Target="https://www.measured.com/faq/best-incrementality-testing-companies-software-for-marketing-2026/" TargetMode="External"/><Relationship Id="rId84" Type="http://schemas.openxmlformats.org/officeDocument/2006/relationships/hyperlink" Target="https://sociallyin.com/resources/top-paid-media-agencies-us/" TargetMode="External"/><Relationship Id="rId1774" Type="http://schemas.openxmlformats.org/officeDocument/2006/relationships/hyperlink" Target="http://icreativez.com" TargetMode="External"/><Relationship Id="rId83" Type="http://schemas.openxmlformats.org/officeDocument/2006/relationships/hyperlink" Target="http://riseopp.com" TargetMode="External"/><Relationship Id="rId1775" Type="http://schemas.openxmlformats.org/officeDocument/2006/relationships/hyperlink" Target="https://www.ie.edu/uncover-ie/top-data-analytics-companies-who-shapes-business-data-in-2026/" TargetMode="External"/><Relationship Id="rId86" Type="http://schemas.openxmlformats.org/officeDocument/2006/relationships/hyperlink" Target="https://www.superside.com/blog/creative-agencies" TargetMode="External"/><Relationship Id="rId1776" Type="http://schemas.openxmlformats.org/officeDocument/2006/relationships/hyperlink" Target="http://ie.edu" TargetMode="External"/><Relationship Id="rId85" Type="http://schemas.openxmlformats.org/officeDocument/2006/relationships/hyperlink" Target="http://sociallyin.com" TargetMode="External"/><Relationship Id="rId1777" Type="http://schemas.openxmlformats.org/officeDocument/2006/relationships/hyperlink" Target="https://improvado.io/blog/best-marketing-agencies-new-york" TargetMode="External"/><Relationship Id="rId88" Type="http://schemas.openxmlformats.org/officeDocument/2006/relationships/hyperlink" Target="https://clutch.co/us/agencies/ppc/advertising-industry" TargetMode="External"/><Relationship Id="rId1778" Type="http://schemas.openxmlformats.org/officeDocument/2006/relationships/hyperlink" Target="http://improvado.io" TargetMode="External"/><Relationship Id="rId87" Type="http://schemas.openxmlformats.org/officeDocument/2006/relationships/hyperlink" Target="http://superside.com" TargetMode="External"/><Relationship Id="rId1779" Type="http://schemas.openxmlformats.org/officeDocument/2006/relationships/hyperlink" Target="https://inbeat.agency/blog/top-ai-marketing-agencies" TargetMode="External"/><Relationship Id="rId89" Type="http://schemas.openxmlformats.org/officeDocument/2006/relationships/hyperlink" Target="http://clutch.co" TargetMode="External"/><Relationship Id="rId80" Type="http://schemas.openxmlformats.org/officeDocument/2006/relationships/hyperlink" Target="https://firstpagesage.com/seo-blog/the-top-saas-geo-aeo-agencies/" TargetMode="External"/><Relationship Id="rId82" Type="http://schemas.openxmlformats.org/officeDocument/2006/relationships/hyperlink" Target="https://riseopp.com/blog/top-25-geo-agencies-in-the-united-states" TargetMode="External"/><Relationship Id="rId81" Type="http://schemas.openxmlformats.org/officeDocument/2006/relationships/hyperlink" Target="http://firstpagesage.com" TargetMode="External"/><Relationship Id="rId1770" Type="http://schemas.openxmlformats.org/officeDocument/2006/relationships/hyperlink" Target="http://iacaward.org" TargetMode="External"/><Relationship Id="rId1771" Type="http://schemas.openxmlformats.org/officeDocument/2006/relationships/hyperlink" Target="https://icoda.io/ai/best-ai-digital-marketing-agencies/" TargetMode="External"/><Relationship Id="rId1772" Type="http://schemas.openxmlformats.org/officeDocument/2006/relationships/hyperlink" Target="http://icoda.io" TargetMode="External"/><Relationship Id="rId1773" Type="http://schemas.openxmlformats.org/officeDocument/2006/relationships/hyperlink" Target="https://www.icreativez.com/categories/online-marketing/10-best-paid-social-media-services-companies-consultants-2026.html" TargetMode="External"/><Relationship Id="rId73" Type="http://schemas.openxmlformats.org/officeDocument/2006/relationships/hyperlink" Target="http://m1-project.com" TargetMode="External"/><Relationship Id="rId1763" Type="http://schemas.openxmlformats.org/officeDocument/2006/relationships/hyperlink" Target="https://houseofmvps.com/best-aeo-agencies-for-local-business" TargetMode="External"/><Relationship Id="rId72" Type="http://schemas.openxmlformats.org/officeDocument/2006/relationships/hyperlink" Target="https://www.m1-project.com/blog/10-best-ai-marketing-agencies-in-depth-comparison" TargetMode="External"/><Relationship Id="rId1764" Type="http://schemas.openxmlformats.org/officeDocument/2006/relationships/hyperlink" Target="http://houseofmvps.com" TargetMode="External"/><Relationship Id="rId75" Type="http://schemas.openxmlformats.org/officeDocument/2006/relationships/hyperlink" Target="http://sellforte.com" TargetMode="External"/><Relationship Id="rId1765" Type="http://schemas.openxmlformats.org/officeDocument/2006/relationships/hyperlink" Target="https://www.housesofgrowth.com/post/ai-digital-marketing-agencies" TargetMode="External"/><Relationship Id="rId74" Type="http://schemas.openxmlformats.org/officeDocument/2006/relationships/hyperlink" Target="https://sellforte.com/blog/best-incrementality-testing-tools" TargetMode="External"/><Relationship Id="rId1766" Type="http://schemas.openxmlformats.org/officeDocument/2006/relationships/hyperlink" Target="http://housesofgrowth.com" TargetMode="External"/><Relationship Id="rId77" Type="http://schemas.openxmlformats.org/officeDocument/2006/relationships/hyperlink" Target="http://clutch.co" TargetMode="External"/><Relationship Id="rId1767" Type="http://schemas.openxmlformats.org/officeDocument/2006/relationships/hyperlink" Target="https://hunterdigitalmarketing.com/blog/2026-leading-paid-search-agencies/" TargetMode="External"/><Relationship Id="rId76" Type="http://schemas.openxmlformats.org/officeDocument/2006/relationships/hyperlink" Target="https://clutch.co/us/agencies/social-media-marketing" TargetMode="External"/><Relationship Id="rId1768" Type="http://schemas.openxmlformats.org/officeDocument/2006/relationships/hyperlink" Target="http://hunterdigitalmarketing.com" TargetMode="External"/><Relationship Id="rId79" Type="http://schemas.openxmlformats.org/officeDocument/2006/relationships/hyperlink" Target="http://directiveconsulting.com" TargetMode="External"/><Relationship Id="rId1769" Type="http://schemas.openxmlformats.org/officeDocument/2006/relationships/hyperlink" Target="https://www.iacaward.org/iac/winner/18188/delve-wins-2021-iac-award-for-delve-applies-data-science-to-deliver-200-roas-for-unicef-usa.html" TargetMode="External"/><Relationship Id="rId78" Type="http://schemas.openxmlformats.org/officeDocument/2006/relationships/hyperlink" Target="https://directiveconsulting.com/blog/top-performance-marketing-agencies/" TargetMode="External"/><Relationship Id="rId71" Type="http://schemas.openxmlformats.org/officeDocument/2006/relationships/hyperlink" Target="http://onelittleweb.com" TargetMode="External"/><Relationship Id="rId70" Type="http://schemas.openxmlformats.org/officeDocument/2006/relationships/hyperlink" Target="https://onelittleweb.com/top-agencies/top-performance-marketing-agencies/" TargetMode="External"/><Relationship Id="rId1760" Type="http://schemas.openxmlformats.org/officeDocument/2006/relationships/hyperlink" Target="http://hikemytraffic.com" TargetMode="External"/><Relationship Id="rId1761" Type="http://schemas.openxmlformats.org/officeDocument/2006/relationships/hyperlink" Target="https://hikemytraffic.com/ai-seo-companies-to-dominate-search/" TargetMode="External"/><Relationship Id="rId1762" Type="http://schemas.openxmlformats.org/officeDocument/2006/relationships/hyperlink" Target="http://hikemytraffic.com" TargetMode="External"/><Relationship Id="rId62" Type="http://schemas.openxmlformats.org/officeDocument/2006/relationships/hyperlink" Target="https://www.measured.com/faq/best-incrementality-testing-companies-software-for-marketing-2025/" TargetMode="External"/><Relationship Id="rId1796" Type="http://schemas.openxmlformats.org/officeDocument/2006/relationships/hyperlink" Target="https://www.intellectyx.com/best-ai-consulting-firms/" TargetMode="External"/><Relationship Id="rId61" Type="http://schemas.openxmlformats.org/officeDocument/2006/relationships/hyperlink" Target="http://clutch.co" TargetMode="External"/><Relationship Id="rId1797" Type="http://schemas.openxmlformats.org/officeDocument/2006/relationships/hyperlink" Target="http://intellectyx.com" TargetMode="External"/><Relationship Id="rId64" Type="http://schemas.openxmlformats.org/officeDocument/2006/relationships/hyperlink" Target="https://www.thegrowthsyndicate.com/agencies/best-b2b-performance-marketing-agencies-us" TargetMode="External"/><Relationship Id="rId1798" Type="http://schemas.openxmlformats.org/officeDocument/2006/relationships/hyperlink" Target="https://invademarketing.com/best-performance-marketing-agencies-2025/" TargetMode="External"/><Relationship Id="rId63" Type="http://schemas.openxmlformats.org/officeDocument/2006/relationships/hyperlink" Target="http://measured.com" TargetMode="External"/><Relationship Id="rId1799" Type="http://schemas.openxmlformats.org/officeDocument/2006/relationships/hyperlink" Target="http://invademarketing.com" TargetMode="External"/><Relationship Id="rId66" Type="http://schemas.openxmlformats.org/officeDocument/2006/relationships/hyperlink" Target="https://clutch.co/us/agencies/ppc" TargetMode="External"/><Relationship Id="rId65" Type="http://schemas.openxmlformats.org/officeDocument/2006/relationships/hyperlink" Target="http://thegrowthsyndicate.com" TargetMode="External"/><Relationship Id="rId68" Type="http://schemas.openxmlformats.org/officeDocument/2006/relationships/hyperlink" Target="https://www.goodfirms.co/directory/country/top-digital-marketing-companies/us" TargetMode="External"/><Relationship Id="rId67" Type="http://schemas.openxmlformats.org/officeDocument/2006/relationships/hyperlink" Target="http://clutch.co" TargetMode="External"/><Relationship Id="rId60" Type="http://schemas.openxmlformats.org/officeDocument/2006/relationships/hyperlink" Target="https://clutch.co/us/agencies/ppc/display" TargetMode="External"/><Relationship Id="rId69" Type="http://schemas.openxmlformats.org/officeDocument/2006/relationships/hyperlink" Target="http://goodfirms.co" TargetMode="External"/><Relationship Id="rId1790" Type="http://schemas.openxmlformats.org/officeDocument/2006/relationships/hyperlink" Target="https://innovationegg.com/top-digital-marketing-agency-in-the-usa/" TargetMode="External"/><Relationship Id="rId1791" Type="http://schemas.openxmlformats.org/officeDocument/2006/relationships/hyperlink" Target="http://innovationegg.com" TargetMode="External"/><Relationship Id="rId1792" Type="http://schemas.openxmlformats.org/officeDocument/2006/relationships/hyperlink" Target="https://www.instagram.com/reel/DR4csQmDPbW/?hl=en" TargetMode="External"/><Relationship Id="rId1793" Type="http://schemas.openxmlformats.org/officeDocument/2006/relationships/hyperlink" Target="http://instagram.com" TargetMode="External"/><Relationship Id="rId1794" Type="http://schemas.openxmlformats.org/officeDocument/2006/relationships/hyperlink" Target="https://www.intellectyx.com/ai-agent-development-companies-in-usa/" TargetMode="External"/><Relationship Id="rId1795" Type="http://schemas.openxmlformats.org/officeDocument/2006/relationships/hyperlink" Target="http://intellectyx.com" TargetMode="External"/><Relationship Id="rId51" Type="http://schemas.openxmlformats.org/officeDocument/2006/relationships/hyperlink" Target="http://agencycluster.com" TargetMode="External"/><Relationship Id="rId1785" Type="http://schemas.openxmlformats.org/officeDocument/2006/relationships/hyperlink" Target="http://indiantelevision.com" TargetMode="External"/><Relationship Id="rId50" Type="http://schemas.openxmlformats.org/officeDocument/2006/relationships/hyperlink" Target="https://www.agencycluster.com/top-50/ppc-performance-marketing-agencies" TargetMode="External"/><Relationship Id="rId1786" Type="http://schemas.openxmlformats.org/officeDocument/2006/relationships/hyperlink" Target="https://www.indiehackers.com/post/best-performance-marketing-agency-in-the-usa-paid-ads-or-seo-cLPWTCgkteymkhS5pJS5" TargetMode="External"/><Relationship Id="rId53" Type="http://schemas.openxmlformats.org/officeDocument/2006/relationships/hyperlink" Target="http://nogood.io" TargetMode="External"/><Relationship Id="rId1787" Type="http://schemas.openxmlformats.org/officeDocument/2006/relationships/hyperlink" Target="http://indiehackers.com" TargetMode="External"/><Relationship Id="rId52" Type="http://schemas.openxmlformats.org/officeDocument/2006/relationships/hyperlink" Target="https://nogood.io/blog/performance-marketing-agencies/" TargetMode="External"/><Relationship Id="rId1788" Type="http://schemas.openxmlformats.org/officeDocument/2006/relationships/hyperlink" Target="https://influencermarketinghub.com/geo-agencies/" TargetMode="External"/><Relationship Id="rId55" Type="http://schemas.openxmlformats.org/officeDocument/2006/relationships/hyperlink" Target="http://thesocialshepherd.com" TargetMode="External"/><Relationship Id="rId1789" Type="http://schemas.openxmlformats.org/officeDocument/2006/relationships/hyperlink" Target="http://influencermarketinghub.com" TargetMode="External"/><Relationship Id="rId54" Type="http://schemas.openxmlformats.org/officeDocument/2006/relationships/hyperlink" Target="https://thesocialshepherd.com/blog/top-paid-media-agencies-us" TargetMode="External"/><Relationship Id="rId57" Type="http://schemas.openxmlformats.org/officeDocument/2006/relationships/hyperlink" Target="http://yesoptimist.com" TargetMode="External"/><Relationship Id="rId56" Type="http://schemas.openxmlformats.org/officeDocument/2006/relationships/hyperlink" Target="https://www.yesoptimist.com/best-geo-agencies/" TargetMode="External"/><Relationship Id="rId59" Type="http://schemas.openxmlformats.org/officeDocument/2006/relationships/hyperlink" Target="http://semrush.com" TargetMode="External"/><Relationship Id="rId58" Type="http://schemas.openxmlformats.org/officeDocument/2006/relationships/hyperlink" Target="https://agencies.semrush.com/list/united-states/" TargetMode="External"/><Relationship Id="rId1780" Type="http://schemas.openxmlformats.org/officeDocument/2006/relationships/hyperlink" Target="https://www.inbeat.co/articles/best-ai-digital-marketing-agencies/" TargetMode="External"/><Relationship Id="rId1781" Type="http://schemas.openxmlformats.org/officeDocument/2006/relationships/hyperlink" Target="http://inbeat.co" TargetMode="External"/><Relationship Id="rId1782" Type="http://schemas.openxmlformats.org/officeDocument/2006/relationships/hyperlink" Target="https://www.inbeat.co/articles/top-creative-agencies/" TargetMode="External"/><Relationship Id="rId1783" Type="http://schemas.openxmlformats.org/officeDocument/2006/relationships/hyperlink" Target="http://inbeat.co" TargetMode="External"/><Relationship Id="rId1784" Type="http://schemas.openxmlformats.org/officeDocument/2006/relationships/hyperlink" Target="https://indiantelevision.com/mam/the-best-aeo-agencies-in-the-usa-for-2026/" TargetMode="External"/><Relationship Id="rId2269" Type="http://schemas.openxmlformats.org/officeDocument/2006/relationships/hyperlink" Target="http://xcelacore.com" TargetMode="External"/><Relationship Id="rId349" Type="http://schemas.openxmlformats.org/officeDocument/2006/relationships/hyperlink" Target="https://www.revvgrowth.com/geo/geo-agency-usa" TargetMode="External"/><Relationship Id="rId348" Type="http://schemas.openxmlformats.org/officeDocument/2006/relationships/hyperlink" Target="http://nationalmarketingawards.com" TargetMode="External"/><Relationship Id="rId347" Type="http://schemas.openxmlformats.org/officeDocument/2006/relationships/hyperlink" Target="https://nationalmarketingawards.com/awards/categories/ppc/" TargetMode="External"/><Relationship Id="rId346" Type="http://schemas.openxmlformats.org/officeDocument/2006/relationships/hyperlink" Target="http://maxiomtech.com" TargetMode="External"/><Relationship Id="rId2260" Type="http://schemas.openxmlformats.org/officeDocument/2006/relationships/hyperlink" Target="https://worldmetrics.org/service/digital-media-planning/" TargetMode="External"/><Relationship Id="rId341" Type="http://schemas.openxmlformats.org/officeDocument/2006/relationships/hyperlink" Target="https://influencermarketinghub.com/google-ads-agencies/" TargetMode="External"/><Relationship Id="rId2261" Type="http://schemas.openxmlformats.org/officeDocument/2006/relationships/hyperlink" Target="http://worldmetrics.org" TargetMode="External"/><Relationship Id="rId340" Type="http://schemas.openxmlformats.org/officeDocument/2006/relationships/hyperlink" Target="http://influencermarketinghub.com" TargetMode="External"/><Relationship Id="rId2262" Type="http://schemas.openxmlformats.org/officeDocument/2006/relationships/hyperlink" Target="https://worldmetrics.org/service/digital-media-production/" TargetMode="External"/><Relationship Id="rId2263" Type="http://schemas.openxmlformats.org/officeDocument/2006/relationships/hyperlink" Target="http://worldmetrics.org" TargetMode="External"/><Relationship Id="rId2264" Type="http://schemas.openxmlformats.org/officeDocument/2006/relationships/hyperlink" Target="https://www.wpp.com/en/news/2026/03/wpp-claims-top-spot-on-warc-creative-100-for-fourth-consecutive-year" TargetMode="External"/><Relationship Id="rId345" Type="http://schemas.openxmlformats.org/officeDocument/2006/relationships/hyperlink" Target="https://www.maxiomtech.com/top-10-ai-marketing-automation-agencies/" TargetMode="External"/><Relationship Id="rId2265" Type="http://schemas.openxmlformats.org/officeDocument/2006/relationships/hyperlink" Target="http://wpp.com" TargetMode="External"/><Relationship Id="rId344" Type="http://schemas.openxmlformats.org/officeDocument/2006/relationships/hyperlink" Target="http://influencermarketinghub.com" TargetMode="External"/><Relationship Id="rId2266" Type="http://schemas.openxmlformats.org/officeDocument/2006/relationships/hyperlink" Target="https://xcelacore.com/ai-consultants-for-mid-sized-companies/" TargetMode="External"/><Relationship Id="rId343" Type="http://schemas.openxmlformats.org/officeDocument/2006/relationships/hyperlink" Target="https://influencermarketinghub.com/marketing-analytics-agency/" TargetMode="External"/><Relationship Id="rId2267" Type="http://schemas.openxmlformats.org/officeDocument/2006/relationships/hyperlink" Target="http://xcelacore.com" TargetMode="External"/><Relationship Id="rId342" Type="http://schemas.openxmlformats.org/officeDocument/2006/relationships/hyperlink" Target="http://influencermarketinghub.com" TargetMode="External"/><Relationship Id="rId2268" Type="http://schemas.openxmlformats.org/officeDocument/2006/relationships/hyperlink" Target="https://xcelacore.com/best-ai-automation-agencies-usa-guide/" TargetMode="External"/><Relationship Id="rId2258" Type="http://schemas.openxmlformats.org/officeDocument/2006/relationships/hyperlink" Target="https://worldmetrics.org/service/digital-content-marketing/" TargetMode="External"/><Relationship Id="rId2259" Type="http://schemas.openxmlformats.org/officeDocument/2006/relationships/hyperlink" Target="http://worldmetrics.org" TargetMode="External"/><Relationship Id="rId338" Type="http://schemas.openxmlformats.org/officeDocument/2006/relationships/hyperlink" Target="http://inbeat.co" TargetMode="External"/><Relationship Id="rId337" Type="http://schemas.openxmlformats.org/officeDocument/2006/relationships/hyperlink" Target="https://www.inbeat.co/articles/paid-media-agencies/" TargetMode="External"/><Relationship Id="rId336" Type="http://schemas.openxmlformats.org/officeDocument/2006/relationships/hyperlink" Target="http://growth-hackers.net" TargetMode="External"/><Relationship Id="rId335" Type="http://schemas.openxmlformats.org/officeDocument/2006/relationships/hyperlink" Target="https://www.growth-hackers.net/best-analytics-marketing-agencies/" TargetMode="External"/><Relationship Id="rId339" Type="http://schemas.openxmlformats.org/officeDocument/2006/relationships/hyperlink" Target="https://influencermarketinghub.com/ai-marketing-agencies/" TargetMode="External"/><Relationship Id="rId330" Type="http://schemas.openxmlformats.org/officeDocument/2006/relationships/hyperlink" Target="https://www.creativemilkshake.com/blog/top-us-performance-marketing-agencies" TargetMode="External"/><Relationship Id="rId2250" Type="http://schemas.openxmlformats.org/officeDocument/2006/relationships/hyperlink" Target="https://www.within.co/blog/best-agencies-for-enterprise-brands/" TargetMode="External"/><Relationship Id="rId2251" Type="http://schemas.openxmlformats.org/officeDocument/2006/relationships/hyperlink" Target="http://within.co" TargetMode="External"/><Relationship Id="rId2252" Type="http://schemas.openxmlformats.org/officeDocument/2006/relationships/hyperlink" Target="https://wordable.io/best-ai-seo-agency/" TargetMode="External"/><Relationship Id="rId2253" Type="http://schemas.openxmlformats.org/officeDocument/2006/relationships/hyperlink" Target="http://wordable.io" TargetMode="External"/><Relationship Id="rId334" Type="http://schemas.openxmlformats.org/officeDocument/2006/relationships/hyperlink" Target="http://funnel.io" TargetMode="External"/><Relationship Id="rId2254" Type="http://schemas.openxmlformats.org/officeDocument/2006/relationships/hyperlink" Target="https://worldmetrics.org/service/ai-adoption/" TargetMode="External"/><Relationship Id="rId333" Type="http://schemas.openxmlformats.org/officeDocument/2006/relationships/hyperlink" Target="https://funnel.io/blog/top-mta-tools" TargetMode="External"/><Relationship Id="rId2255" Type="http://schemas.openxmlformats.org/officeDocument/2006/relationships/hyperlink" Target="http://worldmetrics.org" TargetMode="External"/><Relationship Id="rId332" Type="http://schemas.openxmlformats.org/officeDocument/2006/relationships/hyperlink" Target="https://www.cygnet.one/feeds/blog/compare-ai-consulting-marketing-automation" TargetMode="External"/><Relationship Id="rId2256" Type="http://schemas.openxmlformats.org/officeDocument/2006/relationships/hyperlink" Target="https://worldmetrics.org/service/data-marketing/" TargetMode="External"/><Relationship Id="rId331" Type="http://schemas.openxmlformats.org/officeDocument/2006/relationships/hyperlink" Target="http://creativemilkshake.com" TargetMode="External"/><Relationship Id="rId2257" Type="http://schemas.openxmlformats.org/officeDocument/2006/relationships/hyperlink" Target="http://worldmetrics.org" TargetMode="External"/><Relationship Id="rId370" Type="http://schemas.openxmlformats.org/officeDocument/2006/relationships/hyperlink" Target="https://beomniscient.com/blog/growth-marketing-agency/" TargetMode="External"/><Relationship Id="rId369" Type="http://schemas.openxmlformats.org/officeDocument/2006/relationships/hyperlink" Target="http://agencycluster.com" TargetMode="External"/><Relationship Id="rId368" Type="http://schemas.openxmlformats.org/officeDocument/2006/relationships/hyperlink" Target="https://www.agencycluster.com/top-25/ppc-performance-marketing-agencies" TargetMode="External"/><Relationship Id="rId2280" Type="http://schemas.openxmlformats.org/officeDocument/2006/relationships/hyperlink" Target="https://www.youtube.com/watch?v=IjasEPvA-K4" TargetMode="External"/><Relationship Id="rId2281" Type="http://schemas.openxmlformats.org/officeDocument/2006/relationships/hyperlink" Target="http://youtube.com" TargetMode="External"/><Relationship Id="rId2282" Type="http://schemas.openxmlformats.org/officeDocument/2006/relationships/hyperlink" Target="https://www.youtube.com/watch?v=NXkXQbQ9-kk&amp;vl=en&amp;t=332" TargetMode="External"/><Relationship Id="rId363" Type="http://schemas.openxmlformats.org/officeDocument/2006/relationships/hyperlink" Target="http://aeoagency.org" TargetMode="External"/><Relationship Id="rId2283" Type="http://schemas.openxmlformats.org/officeDocument/2006/relationships/hyperlink" Target="http://youtube.com" TargetMode="External"/><Relationship Id="rId362" Type="http://schemas.openxmlformats.org/officeDocument/2006/relationships/hyperlink" Target="https://aeoagency.org/best-aeo-agencies/" TargetMode="External"/><Relationship Id="rId2284" Type="http://schemas.openxmlformats.org/officeDocument/2006/relationships/hyperlink" Target="https://www.youtube.com/watch?v=VQQ_1ODhyvo&amp;vl=en" TargetMode="External"/><Relationship Id="rId361" Type="http://schemas.openxmlformats.org/officeDocument/2006/relationships/hyperlink" Target="http://topseobrands.com" TargetMode="External"/><Relationship Id="rId2285" Type="http://schemas.openxmlformats.org/officeDocument/2006/relationships/hyperlink" Target="http://youtube.com" TargetMode="External"/><Relationship Id="rId360" Type="http://schemas.openxmlformats.org/officeDocument/2006/relationships/hyperlink" Target="https://www.topseobrands.com/best-display-advertising-firms-in-usa" TargetMode="External"/><Relationship Id="rId2286" Type="http://schemas.openxmlformats.org/officeDocument/2006/relationships/hyperlink" Target="https://www.youtube.com/watch?v=YVG_HfB0Dpw&amp;t=604" TargetMode="External"/><Relationship Id="rId367" Type="http://schemas.openxmlformats.org/officeDocument/2006/relationships/hyperlink" Target="http://agencycluster.com" TargetMode="External"/><Relationship Id="rId2287" Type="http://schemas.openxmlformats.org/officeDocument/2006/relationships/hyperlink" Target="http://youtube.com" TargetMode="External"/><Relationship Id="rId366" Type="http://schemas.openxmlformats.org/officeDocument/2006/relationships/hyperlink" Target="https://www.agencycluster.com/top-10/ppc-performance-marketing-agencies" TargetMode="External"/><Relationship Id="rId2288" Type="http://schemas.openxmlformats.org/officeDocument/2006/relationships/hyperlink" Target="https://www.youtube.com/watch?v=a_Q3LpltO8I&amp;t=2" TargetMode="External"/><Relationship Id="rId365" Type="http://schemas.openxmlformats.org/officeDocument/2006/relationships/hyperlink" Target="http://semrush.com" TargetMode="External"/><Relationship Id="rId2289" Type="http://schemas.openxmlformats.org/officeDocument/2006/relationships/hyperlink" Target="http://youtube.com" TargetMode="External"/><Relationship Id="rId364" Type="http://schemas.openxmlformats.org/officeDocument/2006/relationships/hyperlink" Target="https://agencies.semrush.com/list/display-advertising/united-states/mid-business/" TargetMode="External"/><Relationship Id="rId95" Type="http://schemas.openxmlformats.org/officeDocument/2006/relationships/hyperlink" Target="http://quimbydigital.com" TargetMode="External"/><Relationship Id="rId94" Type="http://schemas.openxmlformats.org/officeDocument/2006/relationships/hyperlink" Target="https://quimbydigital.com/top-social-media-agencies-in-the-us-2026/" TargetMode="External"/><Relationship Id="rId97" Type="http://schemas.openxmlformats.org/officeDocument/2006/relationships/hyperlink" Target="http://ritnerdigital.com" TargetMode="External"/><Relationship Id="rId96" Type="http://schemas.openxmlformats.org/officeDocument/2006/relationships/hyperlink" Target="https://www.ritnerdigital.com/blog/the-best-seo-and-ai-search-agencies-in-the-united-states-right-now" TargetMode="External"/><Relationship Id="rId99" Type="http://schemas.openxmlformats.org/officeDocument/2006/relationships/hyperlink" Target="http://callboxinc.com" TargetMode="External"/><Relationship Id="rId98" Type="http://schemas.openxmlformats.org/officeDocument/2006/relationships/hyperlink" Target="https://www.callboxinc.com/growth-hacking/best-aeo-agencies/" TargetMode="External"/><Relationship Id="rId91" Type="http://schemas.openxmlformats.org/officeDocument/2006/relationships/hyperlink" Target="http://cometly.com" TargetMode="External"/><Relationship Id="rId90" Type="http://schemas.openxmlformats.org/officeDocument/2006/relationships/hyperlink" Target="https://www.cometly.com/post/marketing-incrementality-testing-tools" TargetMode="External"/><Relationship Id="rId93" Type="http://schemas.openxmlformats.org/officeDocument/2006/relationships/hyperlink" Target="http://creativefrontiers.co" TargetMode="External"/><Relationship Id="rId92" Type="http://schemas.openxmlformats.org/officeDocument/2006/relationships/hyperlink" Target="https://www.creativefrontiers.co/blog/the-20-best-creative-marketing-agencies-in-the-usa-2025-guide" TargetMode="External"/><Relationship Id="rId359" Type="http://schemas.openxmlformats.org/officeDocument/2006/relationships/hyperlink" Target="http://thebrandsbureau.com" TargetMode="External"/><Relationship Id="rId358" Type="http://schemas.openxmlformats.org/officeDocument/2006/relationships/hyperlink" Target="https://thebrandsbureau.com/top-creative-agencies-2026/" TargetMode="External"/><Relationship Id="rId357" Type="http://schemas.openxmlformats.org/officeDocument/2006/relationships/hyperlink" Target="http://techbehemoths.com" TargetMode="External"/><Relationship Id="rId2270" Type="http://schemas.openxmlformats.org/officeDocument/2006/relationships/hyperlink" Target="https://yourcontentmart.co/best-answer-engine-optimization-agencies/" TargetMode="External"/><Relationship Id="rId2271" Type="http://schemas.openxmlformats.org/officeDocument/2006/relationships/hyperlink" Target="http://yourcontentmart.co" TargetMode="External"/><Relationship Id="rId352" Type="http://schemas.openxmlformats.org/officeDocument/2006/relationships/hyperlink" Target="https://scalixai.com/blog/top-google-ad-agencies-in-us" TargetMode="External"/><Relationship Id="rId2272" Type="http://schemas.openxmlformats.org/officeDocument/2006/relationships/hyperlink" Target="https://www.youtube.com/shorts/-1J3sczOLNs" TargetMode="External"/><Relationship Id="rId351" Type="http://schemas.openxmlformats.org/officeDocument/2006/relationships/hyperlink" Target="https://sage.agency/blog/best-google-ads-agency-partners-for-2026/" TargetMode="External"/><Relationship Id="rId2273" Type="http://schemas.openxmlformats.org/officeDocument/2006/relationships/hyperlink" Target="http://youtube.com" TargetMode="External"/><Relationship Id="rId350" Type="http://schemas.openxmlformats.org/officeDocument/2006/relationships/hyperlink" Target="http://revvgrowth.com" TargetMode="External"/><Relationship Id="rId2274" Type="http://schemas.openxmlformats.org/officeDocument/2006/relationships/hyperlink" Target="https://www.youtube.com/watch?v=3KVWXIXXyJo" TargetMode="External"/><Relationship Id="rId2275" Type="http://schemas.openxmlformats.org/officeDocument/2006/relationships/hyperlink" Target="http://youtube.com" TargetMode="External"/><Relationship Id="rId356" Type="http://schemas.openxmlformats.org/officeDocument/2006/relationships/hyperlink" Target="https://techbehemoths.com/companies/google-marketing-platform/united-states" TargetMode="External"/><Relationship Id="rId2276" Type="http://schemas.openxmlformats.org/officeDocument/2006/relationships/hyperlink" Target="https://www.youtube.com/watch?v=DKfcaxbRHcQ&amp;t=331" TargetMode="External"/><Relationship Id="rId355" Type="http://schemas.openxmlformats.org/officeDocument/2006/relationships/hyperlink" Target="http://seoprofy.com" TargetMode="External"/><Relationship Id="rId2277" Type="http://schemas.openxmlformats.org/officeDocument/2006/relationships/hyperlink" Target="http://youtube.com" TargetMode="External"/><Relationship Id="rId354" Type="http://schemas.openxmlformats.org/officeDocument/2006/relationships/hyperlink" Target="https://seoprofy.com/blog/best-ai-seo-agencies/" TargetMode="External"/><Relationship Id="rId2278" Type="http://schemas.openxmlformats.org/officeDocument/2006/relationships/hyperlink" Target="https://www.youtube.com/watch?v=GBZzmnhPh4U&amp;t=5" TargetMode="External"/><Relationship Id="rId353" Type="http://schemas.openxmlformats.org/officeDocument/2006/relationships/hyperlink" Target="http://scalixai.com" TargetMode="External"/><Relationship Id="rId2279" Type="http://schemas.openxmlformats.org/officeDocument/2006/relationships/hyperlink" Target="http://youtube.com" TargetMode="External"/><Relationship Id="rId2225" Type="http://schemas.openxmlformats.org/officeDocument/2006/relationships/hyperlink" Target="http://w3era.com" TargetMode="External"/><Relationship Id="rId2226" Type="http://schemas.openxmlformats.org/officeDocument/2006/relationships/hyperlink" Target="https://www.weareqry.com/blog/best-performance-marketing-agencies" TargetMode="External"/><Relationship Id="rId2227" Type="http://schemas.openxmlformats.org/officeDocument/2006/relationships/hyperlink" Target="http://weareqry.com" TargetMode="External"/><Relationship Id="rId2228" Type="http://schemas.openxmlformats.org/officeDocument/2006/relationships/hyperlink" Target="https://www.webfx.com/analytics/learn/top-marketing-analytics-companies/" TargetMode="External"/><Relationship Id="rId2229" Type="http://schemas.openxmlformats.org/officeDocument/2006/relationships/hyperlink" Target="http://webfx.com" TargetMode="External"/><Relationship Id="rId305" Type="http://schemas.openxmlformats.org/officeDocument/2006/relationships/hyperlink" Target="http://clutch.co" TargetMode="External"/><Relationship Id="rId304" Type="http://schemas.openxmlformats.org/officeDocument/2006/relationships/hyperlink" Target="https://clutch.co/agencies/digital-marketing" TargetMode="External"/><Relationship Id="rId303" Type="http://schemas.openxmlformats.org/officeDocument/2006/relationships/hyperlink" Target="http://visionlabs.com" TargetMode="External"/><Relationship Id="rId302" Type="http://schemas.openxmlformats.org/officeDocument/2006/relationships/hyperlink" Target="https://visionlabs.com/blog/top-web-analytics-agencies/" TargetMode="External"/><Relationship Id="rId309" Type="http://schemas.openxmlformats.org/officeDocument/2006/relationships/hyperlink" Target="http://cometly.com" TargetMode="External"/><Relationship Id="rId308" Type="http://schemas.openxmlformats.org/officeDocument/2006/relationships/hyperlink" Target="https://www.cometly.com/post/marketing-attribution-tools-for-agencies" TargetMode="External"/><Relationship Id="rId307" Type="http://schemas.openxmlformats.org/officeDocument/2006/relationships/hyperlink" Target="http://clutch.co" TargetMode="External"/><Relationship Id="rId306" Type="http://schemas.openxmlformats.org/officeDocument/2006/relationships/hyperlink" Target="https://clutch.co/us/agencies/ppc/google-adwords" TargetMode="External"/><Relationship Id="rId2220" Type="http://schemas.openxmlformats.org/officeDocument/2006/relationships/hyperlink" Target="https://virtualadagency.com.au/top-digital-advertising-agencies/" TargetMode="External"/><Relationship Id="rId301" Type="http://schemas.openxmlformats.org/officeDocument/2006/relationships/hyperlink" Target="http://thriveagency.com" TargetMode="External"/><Relationship Id="rId2221" Type="http://schemas.openxmlformats.org/officeDocument/2006/relationships/hyperlink" Target="http://virtualadagency.com.au" TargetMode="External"/><Relationship Id="rId300" Type="http://schemas.openxmlformats.org/officeDocument/2006/relationships/hyperlink" Target="https://thriveagency.com/news/best-digital-marketing-agencies/" TargetMode="External"/><Relationship Id="rId2222" Type="http://schemas.openxmlformats.org/officeDocument/2006/relationships/hyperlink" Target="https://vstorm.co/agentic-ai/top-10-agentic-ai-development-and-consulting-companies-for-smbs-and-enterprises/" TargetMode="External"/><Relationship Id="rId2223" Type="http://schemas.openxmlformats.org/officeDocument/2006/relationships/hyperlink" Target="http://vstorm.co" TargetMode="External"/><Relationship Id="rId2224" Type="http://schemas.openxmlformats.org/officeDocument/2006/relationships/hyperlink" Target="https://www.w3era.com/blog/local-seo/top-digital-marketing-agencies-usa/" TargetMode="External"/><Relationship Id="rId2214" Type="http://schemas.openxmlformats.org/officeDocument/2006/relationships/hyperlink" Target="https://vidi-corp.com/ecommerce-analytics-companies/" TargetMode="External"/><Relationship Id="rId2215" Type="http://schemas.openxmlformats.org/officeDocument/2006/relationships/hyperlink" Target="http://vidi-corp.com" TargetMode="External"/><Relationship Id="rId2216" Type="http://schemas.openxmlformats.org/officeDocument/2006/relationships/hyperlink" Target="https://vidico.com/news/creative-advertising-agencies/" TargetMode="External"/><Relationship Id="rId2217" Type="http://schemas.openxmlformats.org/officeDocument/2006/relationships/hyperlink" Target="http://vidico.com" TargetMode="External"/><Relationship Id="rId2218" Type="http://schemas.openxmlformats.org/officeDocument/2006/relationships/hyperlink" Target="https://vietnammarcom.edu.vn/marketing/best-digital-marketing-agencies-winning-projects-around-the-world/" TargetMode="External"/><Relationship Id="rId2219" Type="http://schemas.openxmlformats.org/officeDocument/2006/relationships/hyperlink" Target="http://vietnammarcom.edu.vn" TargetMode="External"/><Relationship Id="rId2210" Type="http://schemas.openxmlformats.org/officeDocument/2006/relationships/hyperlink" Target="https://www.venturemedia.io/post/top-social-media-marketing-agencies-in-the-united-states" TargetMode="External"/><Relationship Id="rId2211" Type="http://schemas.openxmlformats.org/officeDocument/2006/relationships/hyperlink" Target="http://venturemedia.io" TargetMode="External"/><Relationship Id="rId2212" Type="http://schemas.openxmlformats.org/officeDocument/2006/relationships/hyperlink" Target="https://vibebranding.com/blog/best-performance-marketing-agencies/" TargetMode="External"/><Relationship Id="rId2213" Type="http://schemas.openxmlformats.org/officeDocument/2006/relationships/hyperlink" Target="http://vibebranding.com" TargetMode="External"/><Relationship Id="rId2247" Type="http://schemas.openxmlformats.org/officeDocument/2006/relationships/hyperlink" Target="http://whyflagshalfmasttoday.com" TargetMode="External"/><Relationship Id="rId2248" Type="http://schemas.openxmlformats.org/officeDocument/2006/relationships/hyperlink" Target="https://wifitalents.com/service/ai-adoption/" TargetMode="External"/><Relationship Id="rId2249" Type="http://schemas.openxmlformats.org/officeDocument/2006/relationships/hyperlink" Target="http://wifitalents.com" TargetMode="External"/><Relationship Id="rId327" Type="http://schemas.openxmlformats.org/officeDocument/2006/relationships/hyperlink" Target="http://cometly.com" TargetMode="External"/><Relationship Id="rId326" Type="http://schemas.openxmlformats.org/officeDocument/2006/relationships/hyperlink" Target="https://www.cometly.com/post/best-top-marketing-attribution-firms-in-usa" TargetMode="External"/><Relationship Id="rId325" Type="http://schemas.openxmlformats.org/officeDocument/2006/relationships/hyperlink" Target="http://clutch.co" TargetMode="External"/><Relationship Id="rId324" Type="http://schemas.openxmlformats.org/officeDocument/2006/relationships/hyperlink" Target="https://clutch.co/us/agencies/ppc/display?page=8" TargetMode="External"/><Relationship Id="rId329" Type="http://schemas.openxmlformats.org/officeDocument/2006/relationships/hyperlink" Target="http://cometly.com" TargetMode="External"/><Relationship Id="rId328" Type="http://schemas.openxmlformats.org/officeDocument/2006/relationships/hyperlink" Target="https://www.cometly.com/post/incrementality-measurement-tool" TargetMode="External"/><Relationship Id="rId2240" Type="http://schemas.openxmlformats.org/officeDocument/2006/relationships/hyperlink" Target="https://wellows.com/blog/digital-marketing-agencies/" TargetMode="External"/><Relationship Id="rId2241" Type="http://schemas.openxmlformats.org/officeDocument/2006/relationships/hyperlink" Target="http://wellows.com" TargetMode="External"/><Relationship Id="rId2242" Type="http://schemas.openxmlformats.org/officeDocument/2006/relationships/hyperlink" Target="https://wellows.com/blog/social-media-marketing-agencies/" TargetMode="External"/><Relationship Id="rId323" Type="http://schemas.openxmlformats.org/officeDocument/2006/relationships/hyperlink" Target="http://clutch.co" TargetMode="External"/><Relationship Id="rId2243" Type="http://schemas.openxmlformats.org/officeDocument/2006/relationships/hyperlink" Target="http://wellows.com" TargetMode="External"/><Relationship Id="rId322" Type="http://schemas.openxmlformats.org/officeDocument/2006/relationships/hyperlink" Target="https://clutch.co/us/agencies/ppc/display?page=2" TargetMode="External"/><Relationship Id="rId2244" Type="http://schemas.openxmlformats.org/officeDocument/2006/relationships/hyperlink" Target="https://wellows.com/blog/top-ai-seo-agencies/" TargetMode="External"/><Relationship Id="rId321" Type="http://schemas.openxmlformats.org/officeDocument/2006/relationships/hyperlink" Target="http://clutch.co" TargetMode="External"/><Relationship Id="rId2245" Type="http://schemas.openxmlformats.org/officeDocument/2006/relationships/hyperlink" Target="http://wellows.com" TargetMode="External"/><Relationship Id="rId320" Type="http://schemas.openxmlformats.org/officeDocument/2006/relationships/hyperlink" Target="https://clutch.co/agencies/ppc/google-adwords" TargetMode="External"/><Relationship Id="rId2246" Type="http://schemas.openxmlformats.org/officeDocument/2006/relationships/hyperlink" Target="https://whyflagshalfmasttoday.com/the-best-aeo-optimization-company-in-the-united-states-2026-a-decision-stage-ranking/" TargetMode="External"/><Relationship Id="rId2236" Type="http://schemas.openxmlformats.org/officeDocument/2006/relationships/hyperlink" Target="https://www.webtonic.io/blog/top-creative-performance-agencies" TargetMode="External"/><Relationship Id="rId2237" Type="http://schemas.openxmlformats.org/officeDocument/2006/relationships/hyperlink" Target="http://webtonic.io" TargetMode="External"/><Relationship Id="rId2238" Type="http://schemas.openxmlformats.org/officeDocument/2006/relationships/hyperlink" Target="https://www.webtonic.io/blog/top-performance-creative-agencies" TargetMode="External"/><Relationship Id="rId2239" Type="http://schemas.openxmlformats.org/officeDocument/2006/relationships/hyperlink" Target="http://webtonic.io" TargetMode="External"/><Relationship Id="rId316" Type="http://schemas.openxmlformats.org/officeDocument/2006/relationships/hyperlink" Target="https://advertising-in-the-united-states.com/display-advertising-agencies" TargetMode="External"/><Relationship Id="rId315" Type="http://schemas.openxmlformats.org/officeDocument/2006/relationships/hyperlink" Target="http://thesocialshepherd.com" TargetMode="External"/><Relationship Id="rId314" Type="http://schemas.openxmlformats.org/officeDocument/2006/relationships/hyperlink" Target="https://thesocialshepherd.com/blog/top-performance-marketing-agencies-us" TargetMode="External"/><Relationship Id="rId313" Type="http://schemas.openxmlformats.org/officeDocument/2006/relationships/hyperlink" Target="http://thecmo.com" TargetMode="External"/><Relationship Id="rId319" Type="http://schemas.openxmlformats.org/officeDocument/2006/relationships/hyperlink" Target="http://semrush.com" TargetMode="External"/><Relationship Id="rId318" Type="http://schemas.openxmlformats.org/officeDocument/2006/relationships/hyperlink" Target="https://agencies.semrush.com/list/display-advertising/united-states/enterprise-business/" TargetMode="External"/><Relationship Id="rId317" Type="http://schemas.openxmlformats.org/officeDocument/2006/relationships/hyperlink" Target="http://advertising-in-the-united-states.com" TargetMode="External"/><Relationship Id="rId2230" Type="http://schemas.openxmlformats.org/officeDocument/2006/relationships/hyperlink" Target="https://www.webtonic.io/blog/best-ai-powered-agencies" TargetMode="External"/><Relationship Id="rId2231" Type="http://schemas.openxmlformats.org/officeDocument/2006/relationships/hyperlink" Target="http://webtonic.io" TargetMode="External"/><Relationship Id="rId312" Type="http://schemas.openxmlformats.org/officeDocument/2006/relationships/hyperlink" Target="https://thecmo.com/tools/best-marketing-attribution-software/" TargetMode="External"/><Relationship Id="rId2232" Type="http://schemas.openxmlformats.org/officeDocument/2006/relationships/hyperlink" Target="https://www.webtonic.io/blog/best-global-marketing-agencies" TargetMode="External"/><Relationship Id="rId311" Type="http://schemas.openxmlformats.org/officeDocument/2006/relationships/hyperlink" Target="http://dmidigitalmarketing.com" TargetMode="External"/><Relationship Id="rId2233" Type="http://schemas.openxmlformats.org/officeDocument/2006/relationships/hyperlink" Target="http://webtonic.io" TargetMode="External"/><Relationship Id="rId310" Type="http://schemas.openxmlformats.org/officeDocument/2006/relationships/hyperlink" Target="https://dmidigitalmarketing.com/top-15-ai-marketing-agencies-in-the-us-2026/" TargetMode="External"/><Relationship Id="rId2234" Type="http://schemas.openxmlformats.org/officeDocument/2006/relationships/hyperlink" Target="https://www.webtonic.io/blog/best-ppc-agencies-us" TargetMode="External"/><Relationship Id="rId2235" Type="http://schemas.openxmlformats.org/officeDocument/2006/relationships/hyperlink" Target="http://webtonic.io" TargetMode="External"/><Relationship Id="rId297" Type="http://schemas.openxmlformats.org/officeDocument/2006/relationships/hyperlink" Target="http://thesocialshepherd.com" TargetMode="External"/><Relationship Id="rId296" Type="http://schemas.openxmlformats.org/officeDocument/2006/relationships/hyperlink" Target="https://thesocialshepherd.com/blog/top-google-ads-agencies-us" TargetMode="External"/><Relationship Id="rId295" Type="http://schemas.openxmlformats.org/officeDocument/2006/relationships/hyperlink" Target="http://techbehemoths.com" TargetMode="External"/><Relationship Id="rId294" Type="http://schemas.openxmlformats.org/officeDocument/2006/relationships/hyperlink" Target="https://techbehemoths.com/companies/marketing-analytics/united-states" TargetMode="External"/><Relationship Id="rId299" Type="http://schemas.openxmlformats.org/officeDocument/2006/relationships/hyperlink" Target="http://thesocialshepherd.com" TargetMode="External"/><Relationship Id="rId298" Type="http://schemas.openxmlformats.org/officeDocument/2006/relationships/hyperlink" Target="https://thesocialshepherd.com/blog/top-social-media-agencies-us" TargetMode="External"/><Relationship Id="rId271" Type="http://schemas.openxmlformats.org/officeDocument/2006/relationships/hyperlink" Target="http://sociallyin.com" TargetMode="External"/><Relationship Id="rId270" Type="http://schemas.openxmlformats.org/officeDocument/2006/relationships/hyperlink" Target="https://sociallyin.com/resources/top-paid-social-agencies-us/" TargetMode="External"/><Relationship Id="rId269" Type="http://schemas.openxmlformats.org/officeDocument/2006/relationships/hyperlink" Target="http://scopicstudios.com" TargetMode="External"/><Relationship Id="rId264" Type="http://schemas.openxmlformats.org/officeDocument/2006/relationships/hyperlink" Target="https://qoulomb.com/best-ai-seo-agencies-in-the-usa/" TargetMode="External"/><Relationship Id="rId263" Type="http://schemas.openxmlformats.org/officeDocument/2006/relationships/hyperlink" Target="http://marketinginsidergroup.com" TargetMode="External"/><Relationship Id="rId262" Type="http://schemas.openxmlformats.org/officeDocument/2006/relationships/hyperlink" Target="https://marketinginsidergroup.com/content-marketing/best-geo-aeo-agencies-in-us/" TargetMode="External"/><Relationship Id="rId261" Type="http://schemas.openxmlformats.org/officeDocument/2006/relationships/hyperlink" Target="http://hockeystack.com" TargetMode="External"/><Relationship Id="rId268" Type="http://schemas.openxmlformats.org/officeDocument/2006/relationships/hyperlink" Target="https://scopicstudios.com/blog/top-marketing-analytics-agencies/" TargetMode="External"/><Relationship Id="rId267" Type="http://schemas.openxmlformats.org/officeDocument/2006/relationships/hyperlink" Target="http://relevance.com" TargetMode="External"/><Relationship Id="rId266" Type="http://schemas.openxmlformats.org/officeDocument/2006/relationships/hyperlink" Target="https://www.relevance.com/2026-report-the-best-generative-engine-optimization-agencies/" TargetMode="External"/><Relationship Id="rId265" Type="http://schemas.openxmlformats.org/officeDocument/2006/relationships/hyperlink" Target="http://qoulomb.com" TargetMode="External"/><Relationship Id="rId260" Type="http://schemas.openxmlformats.org/officeDocument/2006/relationships/hyperlink" Target="https://www.hockeystack.com/blog-posts/best-marketing-attribution-software" TargetMode="External"/><Relationship Id="rId259" Type="http://schemas.openxmlformats.org/officeDocument/2006/relationships/hyperlink" Target="http://digitalnomadshq.com.au" TargetMode="External"/><Relationship Id="rId258" Type="http://schemas.openxmlformats.org/officeDocument/2006/relationships/hyperlink" Target="https://digitalnomadshq.com.au/blog/marketing-agencies-usa/" TargetMode="External"/><Relationship Id="rId2290" Type="http://schemas.openxmlformats.org/officeDocument/2006/relationships/hyperlink" Target="https://www.youtube.com/watch?v=yIAxLp4yY3E" TargetMode="External"/><Relationship Id="rId2291" Type="http://schemas.openxmlformats.org/officeDocument/2006/relationships/hyperlink" Target="http://youtube.com" TargetMode="External"/><Relationship Id="rId2292" Type="http://schemas.openxmlformats.org/officeDocument/2006/relationships/hyperlink" Target="https://zeroado.com/blog/best-marketing-agencies-for-small-businesses" TargetMode="External"/><Relationship Id="rId2293" Type="http://schemas.openxmlformats.org/officeDocument/2006/relationships/hyperlink" Target="http://zeroado.com" TargetMode="External"/><Relationship Id="rId253" Type="http://schemas.openxmlformats.org/officeDocument/2006/relationships/hyperlink" Target="http://designrush.com" TargetMode="External"/><Relationship Id="rId2294" Type="http://schemas.openxmlformats.org/officeDocument/2006/relationships/hyperlink" Target="https://zeroado.com/blog/generative-engine-optimization-agencies-in-bangalore" TargetMode="External"/><Relationship Id="rId252" Type="http://schemas.openxmlformats.org/officeDocument/2006/relationships/hyperlink" Target="https://www.designrush.com/agency/digital-marketing/artificial-intelligence" TargetMode="External"/><Relationship Id="rId2295" Type="http://schemas.openxmlformats.org/officeDocument/2006/relationships/hyperlink" Target="http://zeroado.com" TargetMode="External"/><Relationship Id="rId251" Type="http://schemas.openxmlformats.org/officeDocument/2006/relationships/hyperlink" Target="http://clutch.co" TargetMode="External"/><Relationship Id="rId2296" Type="http://schemas.openxmlformats.org/officeDocument/2006/relationships/hyperlink" Target="https://zipdo.co/service/business-digital-marketing/" TargetMode="External"/><Relationship Id="rId250" Type="http://schemas.openxmlformats.org/officeDocument/2006/relationships/hyperlink" Target="https://clutch.co/us/agencies/media-buying" TargetMode="External"/><Relationship Id="rId2297" Type="http://schemas.openxmlformats.org/officeDocument/2006/relationships/hyperlink" Target="http://zipdo.co" TargetMode="External"/><Relationship Id="rId257" Type="http://schemas.openxmlformats.org/officeDocument/2006/relationships/hyperlink" Target="http://digitalagencynetwork.com" TargetMode="External"/><Relationship Id="rId2298" Type="http://schemas.openxmlformats.org/officeDocument/2006/relationships/hyperlink" Target="https://zipdo.co/service/digital-marketing-analytics/" TargetMode="External"/><Relationship Id="rId256" Type="http://schemas.openxmlformats.org/officeDocument/2006/relationships/hyperlink" Target="https://digitalagencynetwork.com/agencies/usa/geo/" TargetMode="External"/><Relationship Id="rId2299" Type="http://schemas.openxmlformats.org/officeDocument/2006/relationships/hyperlink" Target="http://zipdo.co" TargetMode="External"/><Relationship Id="rId255" Type="http://schemas.openxmlformats.org/officeDocument/2006/relationships/hyperlink" Target="http://digitalagencynetwork.com" TargetMode="External"/><Relationship Id="rId254" Type="http://schemas.openxmlformats.org/officeDocument/2006/relationships/hyperlink" Target="https://digitalagencynetwork.com/agencies/usa/" TargetMode="External"/><Relationship Id="rId293" Type="http://schemas.openxmlformats.org/officeDocument/2006/relationships/hyperlink" Target="http://sweatpantsagency.com" TargetMode="External"/><Relationship Id="rId292" Type="http://schemas.openxmlformats.org/officeDocument/2006/relationships/hyperlink" Target="https://sweatpantsagency.com/the-top-9-social-media-ad-agencies" TargetMode="External"/><Relationship Id="rId291" Type="http://schemas.openxmlformats.org/officeDocument/2006/relationships/hyperlink" Target="http://sortlist.com" TargetMode="External"/><Relationship Id="rId290" Type="http://schemas.openxmlformats.org/officeDocument/2006/relationships/hyperlink" Target="https://www.sortlist.com/s/marketing-analytics/united-states-us" TargetMode="External"/><Relationship Id="rId286" Type="http://schemas.openxmlformats.org/officeDocument/2006/relationships/hyperlink" Target="https://www.nationalmarketingawards.com/" TargetMode="External"/><Relationship Id="rId285" Type="http://schemas.openxmlformats.org/officeDocument/2006/relationships/hyperlink" Target="http://lyfemarketing.com" TargetMode="External"/><Relationship Id="rId284" Type="http://schemas.openxmlformats.org/officeDocument/2006/relationships/hyperlink" Target="https://www.lyfemarketing.com/blog/top-paid-social-agencies-us/" TargetMode="External"/><Relationship Id="rId283" Type="http://schemas.openxmlformats.org/officeDocument/2006/relationships/hyperlink" Target="http://designrush.com" TargetMode="External"/><Relationship Id="rId289" Type="http://schemas.openxmlformats.org/officeDocument/2006/relationships/hyperlink" Target="http://sageitinc.com" TargetMode="External"/><Relationship Id="rId288" Type="http://schemas.openxmlformats.org/officeDocument/2006/relationships/hyperlink" Target="https://sageitinc.com/reference-center/best-ai-consulting-companies" TargetMode="External"/><Relationship Id="rId287" Type="http://schemas.openxmlformats.org/officeDocument/2006/relationships/hyperlink" Target="http://nationalmarketingawards.com" TargetMode="External"/><Relationship Id="rId282" Type="http://schemas.openxmlformats.org/officeDocument/2006/relationships/hyperlink" Target="https://www.designrush.com/agency/paid-media-pay-per-click/display-advertising-agency" TargetMode="External"/><Relationship Id="rId281" Type="http://schemas.openxmlformats.org/officeDocument/2006/relationships/hyperlink" Target="http://clutch.co" TargetMode="External"/><Relationship Id="rId280" Type="http://schemas.openxmlformats.org/officeDocument/2006/relationships/hyperlink" Target="https://clutch.co/us/consulting/ai" TargetMode="External"/><Relationship Id="rId275" Type="http://schemas.openxmlformats.org/officeDocument/2006/relationships/hyperlink" Target="http://topgeoagencies.com" TargetMode="External"/><Relationship Id="rId274" Type="http://schemas.openxmlformats.org/officeDocument/2006/relationships/hyperlink" Target="https://topgeoagencies.com/" TargetMode="External"/><Relationship Id="rId273" Type="http://schemas.openxmlformats.org/officeDocument/2006/relationships/hyperlink" Target="http://stratabeat.com" TargetMode="External"/><Relationship Id="rId272" Type="http://schemas.openxmlformats.org/officeDocument/2006/relationships/hyperlink" Target="https://stratabeat.com/best-geo-agency/" TargetMode="External"/><Relationship Id="rId279" Type="http://schemas.openxmlformats.org/officeDocument/2006/relationships/hyperlink" Target="http://semrush.com" TargetMode="External"/><Relationship Id="rId278" Type="http://schemas.openxmlformats.org/officeDocument/2006/relationships/hyperlink" Target="https://agencies.semrush.com/list/display-advertising/" TargetMode="External"/><Relationship Id="rId277" Type="http://schemas.openxmlformats.org/officeDocument/2006/relationships/hyperlink" Target="http://uforocks.com" TargetMode="External"/><Relationship Id="rId276" Type="http://schemas.openxmlformats.org/officeDocument/2006/relationships/hyperlink" Target="https://www.uforocks.com/blog/top-performance-marketing-agencies-in-the-u-s/" TargetMode="External"/><Relationship Id="rId1851" Type="http://schemas.openxmlformats.org/officeDocument/2006/relationships/hyperlink" Target="http://marketerhire.com" TargetMode="External"/><Relationship Id="rId1852" Type="http://schemas.openxmlformats.org/officeDocument/2006/relationships/hyperlink" Target="https://marketerhire.com/blog/media-buying-agencies" TargetMode="External"/><Relationship Id="rId1853" Type="http://schemas.openxmlformats.org/officeDocument/2006/relationships/hyperlink" Target="http://marketerhire.com" TargetMode="External"/><Relationship Id="rId1854" Type="http://schemas.openxmlformats.org/officeDocument/2006/relationships/hyperlink" Target="https://marketingltb.com/blog/agency/best-email-marketing-agencies/" TargetMode="External"/><Relationship Id="rId1855" Type="http://schemas.openxmlformats.org/officeDocument/2006/relationships/hyperlink" Target="http://marketingltb.com" TargetMode="External"/><Relationship Id="rId1856" Type="http://schemas.openxmlformats.org/officeDocument/2006/relationships/hyperlink" Target="https://marketingltb.com/blog/agency/best-google-ads-agencies/" TargetMode="External"/><Relationship Id="rId1857" Type="http://schemas.openxmlformats.org/officeDocument/2006/relationships/hyperlink" Target="http://marketingltb.com" TargetMode="External"/><Relationship Id="rId1858" Type="http://schemas.openxmlformats.org/officeDocument/2006/relationships/hyperlink" Target="https://marketingltb.com/blog/agency/best-tourism-digital-marketing-agencies/" TargetMode="External"/><Relationship Id="rId1859" Type="http://schemas.openxmlformats.org/officeDocument/2006/relationships/hyperlink" Target="http://marketingltb.com" TargetMode="External"/><Relationship Id="rId1850" Type="http://schemas.openxmlformats.org/officeDocument/2006/relationships/hyperlink" Target="https://marketerhire.com/blog/b2c-marketing-agency" TargetMode="External"/><Relationship Id="rId1840" Type="http://schemas.openxmlformats.org/officeDocument/2006/relationships/hyperlink" Target="https://lseo.com/blog/generative-engine-optimization/the-best-generative-engine-optimization-geo-agencies-of-2026/" TargetMode="External"/><Relationship Id="rId1841" Type="http://schemas.openxmlformats.org/officeDocument/2006/relationships/hyperlink" Target="http://lseo.com" TargetMode="External"/><Relationship Id="rId1842" Type="http://schemas.openxmlformats.org/officeDocument/2006/relationships/hyperlink" Target="https://lunarailab.com/blog/2026/03/04/top-5-ai-agent-adoption-agencies-in-2026/" TargetMode="External"/><Relationship Id="rId1843" Type="http://schemas.openxmlformats.org/officeDocument/2006/relationships/hyperlink" Target="http://lunarailab.com" TargetMode="External"/><Relationship Id="rId1844" Type="http://schemas.openxmlformats.org/officeDocument/2006/relationships/hyperlink" Target="https://www.lyfemarketing.com/blog/top-travel-tourism-marketing-agencies-us/" TargetMode="External"/><Relationship Id="rId1845" Type="http://schemas.openxmlformats.org/officeDocument/2006/relationships/hyperlink" Target="http://lyfemarketing.com" TargetMode="External"/><Relationship Id="rId1846" Type="http://schemas.openxmlformats.org/officeDocument/2006/relationships/hyperlink" Target="https://lymlyt.pro/blog/best-ai-marketing-agencies/" TargetMode="External"/><Relationship Id="rId1847" Type="http://schemas.openxmlformats.org/officeDocument/2006/relationships/hyperlink" Target="http://lymlyt.pro" TargetMode="External"/><Relationship Id="rId1848" Type="http://schemas.openxmlformats.org/officeDocument/2006/relationships/hyperlink" Target="https://madgicx.com/blog/ai-marketing-analytics-dashboard-platforms" TargetMode="External"/><Relationship Id="rId1849" Type="http://schemas.openxmlformats.org/officeDocument/2006/relationships/hyperlink" Target="http://madgicx.com" TargetMode="External"/><Relationship Id="rId1873" Type="http://schemas.openxmlformats.org/officeDocument/2006/relationships/hyperlink" Target="http://mediavision2020.com" TargetMode="External"/><Relationship Id="rId1874" Type="http://schemas.openxmlformats.org/officeDocument/2006/relationships/hyperlink" Target="https://medium.com/@naiya.sharma_75305/10-best-digital-marketing-agencies-trusted-by-leading-brands-in-the-usa-db172483a516" TargetMode="External"/><Relationship Id="rId1875" Type="http://schemas.openxmlformats.org/officeDocument/2006/relationships/hyperlink" Target="http://medium.com" TargetMode="External"/><Relationship Id="rId1876" Type="http://schemas.openxmlformats.org/officeDocument/2006/relationships/hyperlink" Target="https://www.midastouchinfotech.com/leading-digital-marketing-agencies-usa/" TargetMode="External"/><Relationship Id="rId1877" Type="http://schemas.openxmlformats.org/officeDocument/2006/relationships/hyperlink" Target="http://midastouchinfotech.com" TargetMode="External"/><Relationship Id="rId1878" Type="http://schemas.openxmlformats.org/officeDocument/2006/relationships/hyperlink" Target="https://mikekhorev.com/top-performing-geo-agencies" TargetMode="External"/><Relationship Id="rId1879" Type="http://schemas.openxmlformats.org/officeDocument/2006/relationships/hyperlink" Target="http://mikekhorev.com" TargetMode="External"/><Relationship Id="rId1870" Type="http://schemas.openxmlformats.org/officeDocument/2006/relationships/hyperlink" Target="https://www.mediapost.com/publications/article/407384/omd-repeats-as-top-ranked-us-media-agency-by-billi.html" TargetMode="External"/><Relationship Id="rId1871" Type="http://schemas.openxmlformats.org/officeDocument/2006/relationships/hyperlink" Target="http://mediapost.com" TargetMode="External"/><Relationship Id="rId1872" Type="http://schemas.openxmlformats.org/officeDocument/2006/relationships/hyperlink" Target="https://mediavision2020.com/top-50-geofencing-companies-in-2026/" TargetMode="External"/><Relationship Id="rId1862" Type="http://schemas.openxmlformats.org/officeDocument/2006/relationships/hyperlink" Target="https://martal.ca/integrated-marketing-agencies-lb/" TargetMode="External"/><Relationship Id="rId1863" Type="http://schemas.openxmlformats.org/officeDocument/2006/relationships/hyperlink" Target="http://martal.ca" TargetMode="External"/><Relationship Id="rId1864" Type="http://schemas.openxmlformats.org/officeDocument/2006/relationships/hyperlink" Target="https://www.maximuslabs.ai/answer-engine-optimizations/technical-aeo-agency" TargetMode="External"/><Relationship Id="rId1865" Type="http://schemas.openxmlformats.org/officeDocument/2006/relationships/hyperlink" Target="http://maximuslabs.ai" TargetMode="External"/><Relationship Id="rId1866" Type="http://schemas.openxmlformats.org/officeDocument/2006/relationships/hyperlink" Target="https://www.mayple.com/resources/paid-advertising/top-digital-marketing-companies-in-the-us" TargetMode="External"/><Relationship Id="rId1867" Type="http://schemas.openxmlformats.org/officeDocument/2006/relationships/hyperlink" Target="http://mayple.com" TargetMode="External"/><Relationship Id="rId1868" Type="http://schemas.openxmlformats.org/officeDocument/2006/relationships/hyperlink" Target="https://measpublishing.co.uk/top-geo-agencies-in-the-uk-for-ai-search-performance-marketing" TargetMode="External"/><Relationship Id="rId1869" Type="http://schemas.openxmlformats.org/officeDocument/2006/relationships/hyperlink" Target="http://measpublishing.co.uk" TargetMode="External"/><Relationship Id="rId1860" Type="http://schemas.openxmlformats.org/officeDocument/2006/relationships/hyperlink" Target="https://markovate.com/top-ai-development-companies/" TargetMode="External"/><Relationship Id="rId1861" Type="http://schemas.openxmlformats.org/officeDocument/2006/relationships/hyperlink" Target="http://markovate.com" TargetMode="External"/><Relationship Id="rId1810" Type="http://schemas.openxmlformats.org/officeDocument/2006/relationships/hyperlink" Target="https://keends.com/blog/top-marketing-mix-modeling-companies/" TargetMode="External"/><Relationship Id="rId1811" Type="http://schemas.openxmlformats.org/officeDocument/2006/relationships/hyperlink" Target="http://keends.com" TargetMode="External"/><Relationship Id="rId1812" Type="http://schemas.openxmlformats.org/officeDocument/2006/relationships/hyperlink" Target="https://www.konstructdigital.com/seo/best-geo-companies/" TargetMode="External"/><Relationship Id="rId1813" Type="http://schemas.openxmlformats.org/officeDocument/2006/relationships/hyperlink" Target="http://konstructdigital.com" TargetMode="External"/><Relationship Id="rId1814" Type="http://schemas.openxmlformats.org/officeDocument/2006/relationships/hyperlink" Target="https://lasersightdigital.com/blog/best-amazon-agency-top-picks" TargetMode="External"/><Relationship Id="rId1815" Type="http://schemas.openxmlformats.org/officeDocument/2006/relationships/hyperlink" Target="http://lasersightdigital.com" TargetMode="External"/><Relationship Id="rId1816" Type="http://schemas.openxmlformats.org/officeDocument/2006/relationships/hyperlink" Target="https://lawrencebros.com/top-7-marketing-attribution-software-platforms-for-2026/" TargetMode="External"/><Relationship Id="rId1817" Type="http://schemas.openxmlformats.org/officeDocument/2006/relationships/hyperlink" Target="http://lawrencebros.com" TargetMode="External"/><Relationship Id="rId1818" Type="http://schemas.openxmlformats.org/officeDocument/2006/relationships/hyperlink" Target="https://learn.g2.com/best-ppc-agencies" TargetMode="External"/><Relationship Id="rId1819" Type="http://schemas.openxmlformats.org/officeDocument/2006/relationships/hyperlink" Target="http://g2.com" TargetMode="External"/><Relationship Id="rId1800" Type="http://schemas.openxmlformats.org/officeDocument/2006/relationships/hyperlink" Target="https://investor.choicehotels.com/news/news-details/2024/Choice-Hotels-International-Engages-Top-Tier-Agencies-72andSunny-New-York-for-Creative-and-dentsu-X-for-Digital-Media-to-Continue-Taking-Its-Consumer-Marketing-to-the-Next-Level/default.aspx" TargetMode="External"/><Relationship Id="rId1801" Type="http://schemas.openxmlformats.org/officeDocument/2006/relationships/hyperlink" Target="http://choicehotels.com" TargetMode="External"/><Relationship Id="rId1802" Type="http://schemas.openxmlformats.org/officeDocument/2006/relationships/hyperlink" Target="https://itprofiles.com/services/media-planning-and-buying/united-states" TargetMode="External"/><Relationship Id="rId1803" Type="http://schemas.openxmlformats.org/officeDocument/2006/relationships/hyperlink" Target="http://itprofiles.com" TargetMode="External"/><Relationship Id="rId1804" Type="http://schemas.openxmlformats.org/officeDocument/2006/relationships/hyperlink" Target="https://itprofiles.com/services/ppc/united-states" TargetMode="External"/><Relationship Id="rId1805" Type="http://schemas.openxmlformats.org/officeDocument/2006/relationships/hyperlink" Target="http://itprofiles.com" TargetMode="External"/><Relationship Id="rId1806" Type="http://schemas.openxmlformats.org/officeDocument/2006/relationships/hyperlink" Target="https://www.jellyfishtechnologies.com/top-digital-transformation-companies/" TargetMode="External"/><Relationship Id="rId1807" Type="http://schemas.openxmlformats.org/officeDocument/2006/relationships/hyperlink" Target="http://jellyfishtechnologies.com" TargetMode="External"/><Relationship Id="rId1808" Type="http://schemas.openxmlformats.org/officeDocument/2006/relationships/hyperlink" Target="https://kanerika.com/blogs/ai-marketing-automation-tools/" TargetMode="External"/><Relationship Id="rId1809" Type="http://schemas.openxmlformats.org/officeDocument/2006/relationships/hyperlink" Target="http://kanerika.com" TargetMode="External"/><Relationship Id="rId1830" Type="http://schemas.openxmlformats.org/officeDocument/2006/relationships/hyperlink" Target="https://www.linkedin.com/pulse/30-leading-graphic-design-companies-making-global-impact-lti6f" TargetMode="External"/><Relationship Id="rId1831" Type="http://schemas.openxmlformats.org/officeDocument/2006/relationships/hyperlink" Target="http://linkedin.com" TargetMode="External"/><Relationship Id="rId1832" Type="http://schemas.openxmlformats.org/officeDocument/2006/relationships/hyperlink" Target="https://www.linkedin.com/pulse/ai-seo-agencies-softtrix-web-solutions-zaxtc" TargetMode="External"/><Relationship Id="rId1833" Type="http://schemas.openxmlformats.org/officeDocument/2006/relationships/hyperlink" Target="http://linkedin.com" TargetMode="External"/><Relationship Id="rId1834" Type="http://schemas.openxmlformats.org/officeDocument/2006/relationships/hyperlink" Target="https://linkupst.com/design/blog-design/new-york-design-agencies" TargetMode="External"/><Relationship Id="rId1835" Type="http://schemas.openxmlformats.org/officeDocument/2006/relationships/hyperlink" Target="http://linkupst.com" TargetMode="External"/><Relationship Id="rId1836" Type="http://schemas.openxmlformats.org/officeDocument/2006/relationships/hyperlink" Target="https://www.loopexdigital.com/blog/best-seo-companies-for-phoenix-market" TargetMode="External"/><Relationship Id="rId1837" Type="http://schemas.openxmlformats.org/officeDocument/2006/relationships/hyperlink" Target="http://loopexdigital.com" TargetMode="External"/><Relationship Id="rId1838" Type="http://schemas.openxmlformats.org/officeDocument/2006/relationships/hyperlink" Target="https://lotusbrainsstudio.com/ai-automation-agency-london/" TargetMode="External"/><Relationship Id="rId1839" Type="http://schemas.openxmlformats.org/officeDocument/2006/relationships/hyperlink" Target="http://lotusbrainsstudio.com" TargetMode="External"/><Relationship Id="rId1820" Type="http://schemas.openxmlformats.org/officeDocument/2006/relationships/hyperlink" Target="https://lengreo.com/ai-marketing-consulting-companies/" TargetMode="External"/><Relationship Id="rId1821" Type="http://schemas.openxmlformats.org/officeDocument/2006/relationships/hyperlink" Target="http://lengreo.com" TargetMode="External"/><Relationship Id="rId1822" Type="http://schemas.openxmlformats.org/officeDocument/2006/relationships/hyperlink" Target="https://lengreo.com/top-15-aeo-agencies-for-u-s-companies-in-2025/" TargetMode="External"/><Relationship Id="rId1823" Type="http://schemas.openxmlformats.org/officeDocument/2006/relationships/hyperlink" Target="http://lengreo.com" TargetMode="External"/><Relationship Id="rId1824" Type="http://schemas.openxmlformats.org/officeDocument/2006/relationships/hyperlink" Target="https://lineardesign.com/blog/pay-per-click-advertising-company/" TargetMode="External"/><Relationship Id="rId1825" Type="http://schemas.openxmlformats.org/officeDocument/2006/relationships/hyperlink" Target="http://lineardesign.com" TargetMode="External"/><Relationship Id="rId1826" Type="http://schemas.openxmlformats.org/officeDocument/2006/relationships/hyperlink" Target="https://www.linkedin.com/posts/clutch-co_top-15-ppc-agencies-clutch-global-fall-2025-activity-7421548745084932096-DYA_" TargetMode="External"/><Relationship Id="rId1827" Type="http://schemas.openxmlformats.org/officeDocument/2006/relationships/hyperlink" Target="http://linkedin.com" TargetMode="External"/><Relationship Id="rId1828" Type="http://schemas.openxmlformats.org/officeDocument/2006/relationships/hyperlink" Target="https://www.linkedin.com/pulse/10-best-answer-engine-optimization-aeo-agencies-2026-nick-malekos-tkzqf" TargetMode="External"/><Relationship Id="rId1829" Type="http://schemas.openxmlformats.org/officeDocument/2006/relationships/hyperlink" Target="http://linkedin.com" TargetMode="External"/><Relationship Id="rId2302" Type="http://schemas.openxmlformats.org/officeDocument/2006/relationships/hyperlink" Target="https://zipdo.co/service/media-mix-modeling/" TargetMode="External"/><Relationship Id="rId2303" Type="http://schemas.openxmlformats.org/officeDocument/2006/relationships/hyperlink" Target="http://zipdo.co" TargetMode="External"/><Relationship Id="rId2304" Type="http://schemas.openxmlformats.org/officeDocument/2006/relationships/hyperlink" Target="https://zryly.net/paid-social-agencies-in-the-u-s/" TargetMode="External"/><Relationship Id="rId2305" Type="http://schemas.openxmlformats.org/officeDocument/2006/relationships/hyperlink" Target="http://zryly.net" TargetMode="External"/><Relationship Id="rId2306" Type="http://schemas.openxmlformats.org/officeDocument/2006/relationships/hyperlink" Target="https://zyner.io/blog/best-ui-ux-design-agency" TargetMode="External"/><Relationship Id="rId2307" Type="http://schemas.openxmlformats.org/officeDocument/2006/relationships/hyperlink" Target="http://zyner.io" TargetMode="External"/><Relationship Id="rId2308" Type="http://schemas.openxmlformats.org/officeDocument/2006/relationships/drawing" Target="../drawings/drawing3.xml"/><Relationship Id="rId2300" Type="http://schemas.openxmlformats.org/officeDocument/2006/relationships/hyperlink" Target="https://zipdo.co/service/first-party-data/" TargetMode="External"/><Relationship Id="rId2301" Type="http://schemas.openxmlformats.org/officeDocument/2006/relationships/hyperlink" Target="http://zipdo.co" TargetMode="External"/><Relationship Id="rId1895" Type="http://schemas.openxmlformats.org/officeDocument/2006/relationships/hyperlink" Target="https://ninjapromo.io/top-google-ads-agencies" TargetMode="External"/><Relationship Id="rId1896" Type="http://schemas.openxmlformats.org/officeDocument/2006/relationships/hyperlink" Target="http://ninjapromo.io" TargetMode="External"/><Relationship Id="rId1897" Type="http://schemas.openxmlformats.org/officeDocument/2006/relationships/hyperlink" Target="https://ninjapromo.io/top-graphic-design-companies" TargetMode="External"/><Relationship Id="rId1898" Type="http://schemas.openxmlformats.org/officeDocument/2006/relationships/hyperlink" Target="http://ninjapromo.io" TargetMode="External"/><Relationship Id="rId1899" Type="http://schemas.openxmlformats.org/officeDocument/2006/relationships/hyperlink" Target="https://www.niracore.com/top-data-analytics-companies-usa-2026/" TargetMode="External"/><Relationship Id="rId1890" Type="http://schemas.openxmlformats.org/officeDocument/2006/relationships/hyperlink" Target="http://mythology.com" TargetMode="External"/><Relationship Id="rId1891" Type="http://schemas.openxmlformats.org/officeDocument/2006/relationships/hyperlink" Target="https://www.neowork.com/insights/marketing-analytics-outsourcing-companies" TargetMode="External"/><Relationship Id="rId1892" Type="http://schemas.openxmlformats.org/officeDocument/2006/relationships/hyperlink" Target="http://neowork.com" TargetMode="External"/><Relationship Id="rId1893" Type="http://schemas.openxmlformats.org/officeDocument/2006/relationships/hyperlink" Target="https://www.newform.com/guides/best-performance-creative-agencies-nyc-2026" TargetMode="External"/><Relationship Id="rId1894" Type="http://schemas.openxmlformats.org/officeDocument/2006/relationships/hyperlink" Target="http://newform.com" TargetMode="External"/><Relationship Id="rId1884" Type="http://schemas.openxmlformats.org/officeDocument/2006/relationships/hyperlink" Target="https://www.moburst.com/blog/top-media-buying-agencies/" TargetMode="External"/><Relationship Id="rId1885" Type="http://schemas.openxmlformats.org/officeDocument/2006/relationships/hyperlink" Target="http://moburst.com" TargetMode="External"/><Relationship Id="rId1886" Type="http://schemas.openxmlformats.org/officeDocument/2006/relationships/hyperlink" Target="https://www.munro.agency/best-ai-seo-agencies-in-the-usa/" TargetMode="External"/><Relationship Id="rId1887" Type="http://schemas.openxmlformats.org/officeDocument/2006/relationships/hyperlink" Target="https://www.munro.agency/insights/top-marketing-companies-in-the-world/" TargetMode="External"/><Relationship Id="rId1888" Type="http://schemas.openxmlformats.org/officeDocument/2006/relationships/hyperlink" Target="https://www.munro.agency/top-10-paid-media-agencies/" TargetMode="External"/><Relationship Id="rId1889" Type="http://schemas.openxmlformats.org/officeDocument/2006/relationships/hyperlink" Target="https://www.mythology.com/blog/most-creative-agency-nyc" TargetMode="External"/><Relationship Id="rId1880" Type="http://schemas.openxmlformats.org/officeDocument/2006/relationships/hyperlink" Target="https://minuttia.com/best-aeo-agencies/" TargetMode="External"/><Relationship Id="rId1881" Type="http://schemas.openxmlformats.org/officeDocument/2006/relationships/hyperlink" Target="http://minuttia.com" TargetMode="External"/><Relationship Id="rId1882" Type="http://schemas.openxmlformats.org/officeDocument/2006/relationships/hyperlink" Target="https://minuttia.com/best-ai-seo-agencies/" TargetMode="External"/><Relationship Id="rId1883" Type="http://schemas.openxmlformats.org/officeDocument/2006/relationships/hyperlink" Target="http://minuttia.com" TargetMode="External"/><Relationship Id="rId1059" Type="http://schemas.openxmlformats.org/officeDocument/2006/relationships/hyperlink" Target="https://clutch.co/agencies/performance-marketing%3Fpage%3D0" TargetMode="External"/><Relationship Id="rId228" Type="http://schemas.openxmlformats.org/officeDocument/2006/relationships/hyperlink" Target="https://www.effectivesoft.com/blog/top-ai-consulting-companies-usa.html" TargetMode="External"/><Relationship Id="rId227" Type="http://schemas.openxmlformats.org/officeDocument/2006/relationships/hyperlink" Target="http://clutch.co" TargetMode="External"/><Relationship Id="rId226" Type="http://schemas.openxmlformats.org/officeDocument/2006/relationships/hyperlink" Target="https://clutch.co/agencies/creative" TargetMode="External"/><Relationship Id="rId225" Type="http://schemas.openxmlformats.org/officeDocument/2006/relationships/hyperlink" Target="http://beomniscient.com" TargetMode="External"/><Relationship Id="rId229" Type="http://schemas.openxmlformats.org/officeDocument/2006/relationships/hyperlink" Target="http://effectivesoft.com" TargetMode="External"/><Relationship Id="rId1050" Type="http://schemas.openxmlformats.org/officeDocument/2006/relationships/hyperlink" Target="https://blog.viewed.video/top-10-ai-consulting-firms-boosting-tech-marketing" TargetMode="External"/><Relationship Id="rId220" Type="http://schemas.openxmlformats.org/officeDocument/2006/relationships/hyperlink" Target="https://mightyandtrue.com/insights/blog/best-ai-marketing-agencies/" TargetMode="External"/><Relationship Id="rId1051" Type="http://schemas.openxmlformats.org/officeDocument/2006/relationships/hyperlink" Target="https://www.brafton.com/blog/paid-search-blog/programmatic-ad-mediation/" TargetMode="External"/><Relationship Id="rId1052" Type="http://schemas.openxmlformats.org/officeDocument/2006/relationships/hyperlink" Target="http://brafton.com" TargetMode="External"/><Relationship Id="rId1053" Type="http://schemas.openxmlformats.org/officeDocument/2006/relationships/hyperlink" Target="https://brillmedia.co/resources/best-connected-tv-advertising-companies/" TargetMode="External"/><Relationship Id="rId1054" Type="http://schemas.openxmlformats.org/officeDocument/2006/relationships/hyperlink" Target="http://brillmedia.co" TargetMode="External"/><Relationship Id="rId224" Type="http://schemas.openxmlformats.org/officeDocument/2006/relationships/hyperlink" Target="https://beomniscient.com/blog/best-analytics-agency/" TargetMode="External"/><Relationship Id="rId1055" Type="http://schemas.openxmlformats.org/officeDocument/2006/relationships/hyperlink" Target="https://cairrot.com/blog/best-aeo-agencies/" TargetMode="External"/><Relationship Id="rId223" Type="http://schemas.openxmlformats.org/officeDocument/2006/relationships/hyperlink" Target="http://webtonic.io" TargetMode="External"/><Relationship Id="rId1056" Type="http://schemas.openxmlformats.org/officeDocument/2006/relationships/hyperlink" Target="http://cairrot.com" TargetMode="External"/><Relationship Id="rId222" Type="http://schemas.openxmlformats.org/officeDocument/2006/relationships/hyperlink" Target="https://www.webtonic.io/blog/top-display-advertising-agencies" TargetMode="External"/><Relationship Id="rId1057" Type="http://schemas.openxmlformats.org/officeDocument/2006/relationships/hyperlink" Target="https://clicksgeek.com/best-roi-focused-marketing-agencies/" TargetMode="External"/><Relationship Id="rId221" Type="http://schemas.openxmlformats.org/officeDocument/2006/relationships/hyperlink" Target="http://mightyandtrue.com" TargetMode="External"/><Relationship Id="rId1058" Type="http://schemas.openxmlformats.org/officeDocument/2006/relationships/hyperlink" Target="http://clicksgeek.com" TargetMode="External"/><Relationship Id="rId1048" Type="http://schemas.openxmlformats.org/officeDocument/2006/relationships/hyperlink" Target="https://bigspy.com/blog/Top-10-Paid-Social-Agencies" TargetMode="External"/><Relationship Id="rId1049" Type="http://schemas.openxmlformats.org/officeDocument/2006/relationships/hyperlink" Target="http://bigspy.com" TargetMode="External"/><Relationship Id="rId217" Type="http://schemas.openxmlformats.org/officeDocument/2006/relationships/hyperlink" Target="http://loudface.co" TargetMode="External"/><Relationship Id="rId216" Type="http://schemas.openxmlformats.org/officeDocument/2006/relationships/hyperlink" Target="https://www.loudface.co/blog/best-aeo-agencies-2026" TargetMode="External"/><Relationship Id="rId215" Type="http://schemas.openxmlformats.org/officeDocument/2006/relationships/hyperlink" Target="http://goodfirms.co" TargetMode="External"/><Relationship Id="rId214" Type="http://schemas.openxmlformats.org/officeDocument/2006/relationships/hyperlink" Target="https://www.goodfirms.co/big-data-analytics/marketing-analytics" TargetMode="External"/><Relationship Id="rId219" Type="http://schemas.openxmlformats.org/officeDocument/2006/relationships/hyperlink" Target="http://lyfemarketing.com" TargetMode="External"/><Relationship Id="rId218" Type="http://schemas.openxmlformats.org/officeDocument/2006/relationships/hyperlink" Target="https://www.lyfemarketing.com/blog/top-performance-marketing-agencies-us/" TargetMode="External"/><Relationship Id="rId1040" Type="http://schemas.openxmlformats.org/officeDocument/2006/relationships/hyperlink" Target="https://www.askneedle.com/blog/best-instagram-ad-agencies" TargetMode="External"/><Relationship Id="rId1041" Type="http://schemas.openxmlformats.org/officeDocument/2006/relationships/hyperlink" Target="http://askneedle.com" TargetMode="External"/><Relationship Id="rId1042" Type="http://schemas.openxmlformats.org/officeDocument/2006/relationships/hyperlink" Target="https://auditynow.com/blog/best-ai-readiness-assessment-tools" TargetMode="External"/><Relationship Id="rId1043" Type="http://schemas.openxmlformats.org/officeDocument/2006/relationships/hyperlink" Target="http://auditynow.com" TargetMode="External"/><Relationship Id="rId213" Type="http://schemas.openxmlformats.org/officeDocument/2006/relationships/hyperlink" Target="http://gartner.com" TargetMode="External"/><Relationship Id="rId1044" Type="http://schemas.openxmlformats.org/officeDocument/2006/relationships/hyperlink" Target="https://awisee.com/blog/ai-seo-agencies-usa/" TargetMode="External"/><Relationship Id="rId212" Type="http://schemas.openxmlformats.org/officeDocument/2006/relationships/hyperlink" Target="https://www.gartner.com/reviews/market/global-digital-marketing-agencies" TargetMode="External"/><Relationship Id="rId1045" Type="http://schemas.openxmlformats.org/officeDocument/2006/relationships/hyperlink" Target="http://awisee.com" TargetMode="External"/><Relationship Id="rId211" Type="http://schemas.openxmlformats.org/officeDocument/2006/relationships/hyperlink" Target="http://disruptiveadvertising.com" TargetMode="External"/><Relationship Id="rId1046" Type="http://schemas.openxmlformats.org/officeDocument/2006/relationships/hyperlink" Target="https://benly.ai/learn/ai-marketing/best-attribution-tools-2026" TargetMode="External"/><Relationship Id="rId210" Type="http://schemas.openxmlformats.org/officeDocument/2006/relationships/hyperlink" Target="https://disruptiveadvertising.com/blog/business/best-ppc-agencies-in-the-us/" TargetMode="External"/><Relationship Id="rId1047" Type="http://schemas.openxmlformats.org/officeDocument/2006/relationships/hyperlink" Target="http://benly.ai" TargetMode="External"/><Relationship Id="rId249" Type="http://schemas.openxmlformats.org/officeDocument/2006/relationships/hyperlink" Target="http://businessofapps.com" TargetMode="External"/><Relationship Id="rId248" Type="http://schemas.openxmlformats.org/officeDocument/2006/relationships/hyperlink" Target="https://www.businessofapps.com/marketplace/ai-marketing/" TargetMode="External"/><Relationship Id="rId247" Type="http://schemas.openxmlformats.org/officeDocument/2006/relationships/hyperlink" Target="http://andersoncollaborative.com" TargetMode="External"/><Relationship Id="rId1070" Type="http://schemas.openxmlformats.org/officeDocument/2006/relationships/hyperlink" Target="http://clutch.co" TargetMode="External"/><Relationship Id="rId1071" Type="http://schemas.openxmlformats.org/officeDocument/2006/relationships/hyperlink" Target="https://clutch.co/us/agencies/ppc%3Fpage%3D2" TargetMode="External"/><Relationship Id="rId1072" Type="http://schemas.openxmlformats.org/officeDocument/2006/relationships/hyperlink" Target="http://clutch.co" TargetMode="External"/><Relationship Id="rId242" Type="http://schemas.openxmlformats.org/officeDocument/2006/relationships/hyperlink" Target="https://www.agencyspotter.com/top/paid-search-and-paid-social-advertising" TargetMode="External"/><Relationship Id="rId1073" Type="http://schemas.openxmlformats.org/officeDocument/2006/relationships/hyperlink" Target="https://clutch.co/us/agencies/ppc/display%3Fpage%3D5" TargetMode="External"/><Relationship Id="rId241" Type="http://schemas.openxmlformats.org/officeDocument/2006/relationships/hyperlink" Target="http://agencycluster.com" TargetMode="External"/><Relationship Id="rId1074" Type="http://schemas.openxmlformats.org/officeDocument/2006/relationships/hyperlink" Target="http://clutch.co" TargetMode="External"/><Relationship Id="rId240" Type="http://schemas.openxmlformats.org/officeDocument/2006/relationships/hyperlink" Target="https://www.agencycluster.com/top-10/branding-creative-agencies" TargetMode="External"/><Relationship Id="rId1075" Type="http://schemas.openxmlformats.org/officeDocument/2006/relationships/hyperlink" Target="https://collegian.com/sponsored/2025/09/top-10-geo-marketing-agencies-for-improving-ai-search-2025/" TargetMode="External"/><Relationship Id="rId1076" Type="http://schemas.openxmlformats.org/officeDocument/2006/relationships/hyperlink" Target="http://collegian.com" TargetMode="External"/><Relationship Id="rId246" Type="http://schemas.openxmlformats.org/officeDocument/2006/relationships/hyperlink" Target="https://www.andersoncollaborative.com/best-growth-marketing-agencies-in-the-united-states-accelerating-brand-expansion-through-innovative-strategies/" TargetMode="External"/><Relationship Id="rId1077" Type="http://schemas.openxmlformats.org/officeDocument/2006/relationships/hyperlink" Target="https://www.cometly.com/post/marketing-attribution-companies" TargetMode="External"/><Relationship Id="rId245" Type="http://schemas.openxmlformats.org/officeDocument/2006/relationships/hyperlink" Target="http://aimerce.ai" TargetMode="External"/><Relationship Id="rId1078" Type="http://schemas.openxmlformats.org/officeDocument/2006/relationships/hyperlink" Target="http://cometly.com" TargetMode="External"/><Relationship Id="rId244" Type="http://schemas.openxmlformats.org/officeDocument/2006/relationships/hyperlink" Target="https://www.aimerce.ai/blogs/seo/top-5-incrementality-testing-tools-for-dtc-brands-in-2026" TargetMode="External"/><Relationship Id="rId1079" Type="http://schemas.openxmlformats.org/officeDocument/2006/relationships/hyperlink" Target="https://coolnerdsmarketing.com/top-ppc-agencies-us/" TargetMode="External"/><Relationship Id="rId243" Type="http://schemas.openxmlformats.org/officeDocument/2006/relationships/hyperlink" Target="http://agencyspotter.com" TargetMode="External"/><Relationship Id="rId239" Type="http://schemas.openxmlformats.org/officeDocument/2006/relationships/hyperlink" Target="http://thedigitalelevator.com" TargetMode="External"/><Relationship Id="rId238" Type="http://schemas.openxmlformats.org/officeDocument/2006/relationships/hyperlink" Target="https://thedigitalelevator.com/blog/best-generative-engine-optimization-geo-agencies/" TargetMode="External"/><Relationship Id="rId237" Type="http://schemas.openxmlformats.org/officeDocument/2006/relationships/hyperlink" Target="http://scalixai.com" TargetMode="External"/><Relationship Id="rId236" Type="http://schemas.openxmlformats.org/officeDocument/2006/relationships/hyperlink" Target="https://scalixai.com/blog/best-performance-marketing-agencies" TargetMode="External"/><Relationship Id="rId1060" Type="http://schemas.openxmlformats.org/officeDocument/2006/relationships/hyperlink" Target="http://clutch.co" TargetMode="External"/><Relationship Id="rId1061" Type="http://schemas.openxmlformats.org/officeDocument/2006/relationships/hyperlink" Target="https://clutch.co/agencies/sem?geona_id=25338&amp;page=1" TargetMode="External"/><Relationship Id="rId231" Type="http://schemas.openxmlformats.org/officeDocument/2006/relationships/hyperlink" Target="http://marketingltb.com" TargetMode="External"/><Relationship Id="rId1062" Type="http://schemas.openxmlformats.org/officeDocument/2006/relationships/hyperlink" Target="http://clutch.co" TargetMode="External"/><Relationship Id="rId230" Type="http://schemas.openxmlformats.org/officeDocument/2006/relationships/hyperlink" Target="https://marketingltb.com/blog/agency/best-display-ads-agencies/" TargetMode="External"/><Relationship Id="rId1063" Type="http://schemas.openxmlformats.org/officeDocument/2006/relationships/hyperlink" Target="https://clutch.co/press-releases/Best-of-Clutch-winners-2025" TargetMode="External"/><Relationship Id="rId1064" Type="http://schemas.openxmlformats.org/officeDocument/2006/relationships/hyperlink" Target="http://clutch.co" TargetMode="External"/><Relationship Id="rId1065" Type="http://schemas.openxmlformats.org/officeDocument/2006/relationships/hyperlink" Target="https://clutch.co/us/agencies/digital" TargetMode="External"/><Relationship Id="rId235" Type="http://schemas.openxmlformats.org/officeDocument/2006/relationships/hyperlink" Target="http://phosailabs.com" TargetMode="External"/><Relationship Id="rId1066" Type="http://schemas.openxmlformats.org/officeDocument/2006/relationships/hyperlink" Target="http://clutch.co" TargetMode="External"/><Relationship Id="rId234" Type="http://schemas.openxmlformats.org/officeDocument/2006/relationships/hyperlink" Target="https://phosailabs.com/blog/best-ai-consulting-firms-marketing-agencies" TargetMode="External"/><Relationship Id="rId1067" Type="http://schemas.openxmlformats.org/officeDocument/2006/relationships/hyperlink" Target="https://clutch.co/us/agencies/digital-marketing%3Fpage%3D2" TargetMode="External"/><Relationship Id="rId233" Type="http://schemas.openxmlformats.org/officeDocument/2006/relationships/hyperlink" Target="http://mintcopywritingstudios.com" TargetMode="External"/><Relationship Id="rId1068" Type="http://schemas.openxmlformats.org/officeDocument/2006/relationships/hyperlink" Target="http://clutch.co" TargetMode="External"/><Relationship Id="rId232" Type="http://schemas.openxmlformats.org/officeDocument/2006/relationships/hyperlink" Target="https://www.mintcopywritingstudios.com/blog/ai-search-optimization-geo-agencies" TargetMode="External"/><Relationship Id="rId1069" Type="http://schemas.openxmlformats.org/officeDocument/2006/relationships/hyperlink" Target="https://clutch.co/us/agencies/ecommerce-marketing" TargetMode="External"/><Relationship Id="rId1015" Type="http://schemas.openxmlformats.org/officeDocument/2006/relationships/hyperlink" Target="https://ziptie.dev/blog/best-ai-seo-agency/" TargetMode="External"/><Relationship Id="rId1016" Type="http://schemas.openxmlformats.org/officeDocument/2006/relationships/hyperlink" Target="https://zyppy.com/companies/c/generative-ai-seo/united-states/" TargetMode="External"/><Relationship Id="rId1017" Type="http://schemas.openxmlformats.org/officeDocument/2006/relationships/hyperlink" Target="http://zyppy.com" TargetMode="External"/><Relationship Id="rId1018" Type="http://schemas.openxmlformats.org/officeDocument/2006/relationships/hyperlink" Target="https://zyppy.com/companies/c/marketing-attribution/" TargetMode="External"/><Relationship Id="rId1019" Type="http://schemas.openxmlformats.org/officeDocument/2006/relationships/hyperlink" Target="http://zyppy.com" TargetMode="External"/><Relationship Id="rId1010" Type="http://schemas.openxmlformats.org/officeDocument/2006/relationships/hyperlink" Target="http://youtube.com" TargetMode="External"/><Relationship Id="rId1011" Type="http://schemas.openxmlformats.org/officeDocument/2006/relationships/hyperlink" Target="https://zipdo.co/service/global-digital-marketing/" TargetMode="External"/><Relationship Id="rId1012" Type="http://schemas.openxmlformats.org/officeDocument/2006/relationships/hyperlink" Target="http://zipdo.co" TargetMode="External"/><Relationship Id="rId1013" Type="http://schemas.openxmlformats.org/officeDocument/2006/relationships/hyperlink" Target="https://zipdo.co/service/marketing-data-analytics/" TargetMode="External"/><Relationship Id="rId1014" Type="http://schemas.openxmlformats.org/officeDocument/2006/relationships/hyperlink" Target="http://zipdo.co" TargetMode="External"/><Relationship Id="rId1004" Type="http://schemas.openxmlformats.org/officeDocument/2006/relationships/hyperlink" Target="http://yall.co" TargetMode="External"/><Relationship Id="rId1005" Type="http://schemas.openxmlformats.org/officeDocument/2006/relationships/hyperlink" Target="https://www.youtube.com/watch?v=YFmHk-nNoNg&amp;t=46" TargetMode="External"/><Relationship Id="rId1006" Type="http://schemas.openxmlformats.org/officeDocument/2006/relationships/hyperlink" Target="http://youtube.com" TargetMode="External"/><Relationship Id="rId1007" Type="http://schemas.openxmlformats.org/officeDocument/2006/relationships/hyperlink" Target="https://www.youtube.com/watch?v=fdPFLXFJlwo&amp;t=30" TargetMode="External"/><Relationship Id="rId1008" Type="http://schemas.openxmlformats.org/officeDocument/2006/relationships/hyperlink" Target="http://youtube.com" TargetMode="External"/><Relationship Id="rId1009" Type="http://schemas.openxmlformats.org/officeDocument/2006/relationships/hyperlink" Target="https://www.youtube.com/watch?v=jA6Bn5bI298&amp;t=242" TargetMode="External"/><Relationship Id="rId1000" Type="http://schemas.openxmlformats.org/officeDocument/2006/relationships/hyperlink" Target="http://whyflagshalfmasttoday.com" TargetMode="External"/><Relationship Id="rId1001" Type="http://schemas.openxmlformats.org/officeDocument/2006/relationships/hyperlink" Target="https://wifitalents.com/service/display-advertising/" TargetMode="External"/><Relationship Id="rId1002" Type="http://schemas.openxmlformats.org/officeDocument/2006/relationships/hyperlink" Target="http://wifitalents.com" TargetMode="External"/><Relationship Id="rId1003" Type="http://schemas.openxmlformats.org/officeDocument/2006/relationships/hyperlink" Target="https://www.yall.co/post/top-dtc-performance-creative-agencies-in-2026" TargetMode="External"/><Relationship Id="rId1037" Type="http://schemas.openxmlformats.org/officeDocument/2006/relationships/hyperlink" Target="http://animalz.co" TargetMode="External"/><Relationship Id="rId1038" Type="http://schemas.openxmlformats.org/officeDocument/2006/relationships/hyperlink" Target="https://appkod.com/blogs/paid-social-agencies-us/" TargetMode="External"/><Relationship Id="rId1039" Type="http://schemas.openxmlformats.org/officeDocument/2006/relationships/hyperlink" Target="http://appkod.com" TargetMode="External"/><Relationship Id="rId206" Type="http://schemas.openxmlformats.org/officeDocument/2006/relationships/hyperlink" Target="https://clutch.co/agencies/social-media-marketing" TargetMode="External"/><Relationship Id="rId205" Type="http://schemas.openxmlformats.org/officeDocument/2006/relationships/hyperlink" Target="http://thatware.co" TargetMode="External"/><Relationship Id="rId204" Type="http://schemas.openxmlformats.org/officeDocument/2006/relationships/hyperlink" Target="https://thatware.co/10-best-aeo-companies-in-usa/" TargetMode="External"/><Relationship Id="rId203" Type="http://schemas.openxmlformats.org/officeDocument/2006/relationships/hyperlink" Target="http://nogood.io" TargetMode="External"/><Relationship Id="rId209" Type="http://schemas.openxmlformats.org/officeDocument/2006/relationships/hyperlink" Target="http://darkroomagency.com" TargetMode="External"/><Relationship Id="rId208" Type="http://schemas.openxmlformats.org/officeDocument/2006/relationships/hyperlink" Target="https://www.darkroomagency.com/observatory/the-12-top-rated-paid-media-agencies-this-year" TargetMode="External"/><Relationship Id="rId207" Type="http://schemas.openxmlformats.org/officeDocument/2006/relationships/hyperlink" Target="http://clutch.co" TargetMode="External"/><Relationship Id="rId1030" Type="http://schemas.openxmlformats.org/officeDocument/2006/relationships/hyperlink" Target="https://agencies.semrush.com/list/display-advertising/united-states/small-business/" TargetMode="External"/><Relationship Id="rId1031" Type="http://schemas.openxmlformats.org/officeDocument/2006/relationships/hyperlink" Target="http://semrush.com" TargetMode="External"/><Relationship Id="rId1032" Type="http://schemas.openxmlformats.org/officeDocument/2006/relationships/hyperlink" Target="https://agencies.semrush.com/list/programmatic-advertising/information-technology/united-states/" TargetMode="External"/><Relationship Id="rId202" Type="http://schemas.openxmlformats.org/officeDocument/2006/relationships/hyperlink" Target="https://nogood.io/blog/ai-marketing-agency/" TargetMode="External"/><Relationship Id="rId1033" Type="http://schemas.openxmlformats.org/officeDocument/2006/relationships/hyperlink" Target="http://semrush.com" TargetMode="External"/><Relationship Id="rId201" Type="http://schemas.openxmlformats.org/officeDocument/2006/relationships/hyperlink" Target="http://leewayhertz.com" TargetMode="External"/><Relationship Id="rId1034" Type="http://schemas.openxmlformats.org/officeDocument/2006/relationships/hyperlink" Target="https://www.andersoncollaborative.com/digital-marketing-agencies-in-the-united-states-driving-growth-with-data-driven-campaigns/" TargetMode="External"/><Relationship Id="rId200" Type="http://schemas.openxmlformats.org/officeDocument/2006/relationships/hyperlink" Target="https://www.leewayhertz.com/top-ai-consulting-companies/" TargetMode="External"/><Relationship Id="rId1035" Type="http://schemas.openxmlformats.org/officeDocument/2006/relationships/hyperlink" Target="http://andersoncollaborative.com" TargetMode="External"/><Relationship Id="rId1036" Type="http://schemas.openxmlformats.org/officeDocument/2006/relationships/hyperlink" Target="https://www.animalz.co/blog/best-aeo-agencies" TargetMode="External"/><Relationship Id="rId1026" Type="http://schemas.openxmlformats.org/officeDocument/2006/relationships/hyperlink" Target="https://addepto.com/blog/top-16-ai-consulting-companies/" TargetMode="External"/><Relationship Id="rId1027" Type="http://schemas.openxmlformats.org/officeDocument/2006/relationships/hyperlink" Target="http://addepto.com" TargetMode="External"/><Relationship Id="rId1028" Type="http://schemas.openxmlformats.org/officeDocument/2006/relationships/hyperlink" Target="https://agencies.semrush.com/list/display-advertising/new-york/" TargetMode="External"/><Relationship Id="rId1029" Type="http://schemas.openxmlformats.org/officeDocument/2006/relationships/hyperlink" Target="http://semrush.com" TargetMode="External"/><Relationship Id="rId1020" Type="http://schemas.openxmlformats.org/officeDocument/2006/relationships/hyperlink" Target="https://www.310creative.com/blog/top-abm-agencies" TargetMode="External"/><Relationship Id="rId1021" Type="http://schemas.openxmlformats.org/officeDocument/2006/relationships/hyperlink" Target="http://310creative.com" TargetMode="External"/><Relationship Id="rId1022" Type="http://schemas.openxmlformats.org/officeDocument/2006/relationships/hyperlink" Target="https://42dm.net/10-best-generative-engine-optimization-agencies-globally/" TargetMode="External"/><Relationship Id="rId1023" Type="http://schemas.openxmlformats.org/officeDocument/2006/relationships/hyperlink" Target="http://42dm.net" TargetMode="External"/><Relationship Id="rId1024" Type="http://schemas.openxmlformats.org/officeDocument/2006/relationships/hyperlink" Target="https://www.50pros.com/hire/digital-marketing/marketing-analytics" TargetMode="External"/><Relationship Id="rId1025" Type="http://schemas.openxmlformats.org/officeDocument/2006/relationships/hyperlink" Target="http://50pros.com" TargetMode="External"/><Relationship Id="rId1910" Type="http://schemas.openxmlformats.org/officeDocument/2006/relationships/hyperlink" Target="http://nogood.io" TargetMode="External"/><Relationship Id="rId1911" Type="http://schemas.openxmlformats.org/officeDocument/2006/relationships/hyperlink" Target="https://nogood.io/blog/marketing-attribution-tools/" TargetMode="External"/><Relationship Id="rId1912" Type="http://schemas.openxmlformats.org/officeDocument/2006/relationships/hyperlink" Target="http://nogood.io" TargetMode="External"/><Relationship Id="rId1913" Type="http://schemas.openxmlformats.org/officeDocument/2006/relationships/hyperlink" Target="https://northquery.com/best-aeo-agency/enterprise" TargetMode="External"/><Relationship Id="rId1914" Type="http://schemas.openxmlformats.org/officeDocument/2006/relationships/hyperlink" Target="http://northquery.com" TargetMode="External"/><Relationship Id="rId1915" Type="http://schemas.openxmlformats.org/officeDocument/2006/relationships/hyperlink" Target="https://www.norvelljefferson.com/insights/top-25-creative-agencies-amsterdam-2026" TargetMode="External"/><Relationship Id="rId1916" Type="http://schemas.openxmlformats.org/officeDocument/2006/relationships/hyperlink" Target="http://norvelljefferson.com" TargetMode="External"/><Relationship Id="rId1917" Type="http://schemas.openxmlformats.org/officeDocument/2006/relationships/hyperlink" Target="https://www.nutshell.com/blog/best-ai-seo-companies" TargetMode="External"/><Relationship Id="rId1918" Type="http://schemas.openxmlformats.org/officeDocument/2006/relationships/hyperlink" Target="http://nutshell.com" TargetMode="External"/><Relationship Id="rId1919" Type="http://schemas.openxmlformats.org/officeDocument/2006/relationships/hyperlink" Target="https://nuundigital.com/insights/strategy/top-growth-agencies-north-america" TargetMode="External"/><Relationship Id="rId1900" Type="http://schemas.openxmlformats.org/officeDocument/2006/relationships/hyperlink" Target="http://niracore.com" TargetMode="External"/><Relationship Id="rId1901" Type="http://schemas.openxmlformats.org/officeDocument/2006/relationships/hyperlink" Target="https://nogood.io/blog/b2b-marketing-agencies/" TargetMode="External"/><Relationship Id="rId1902" Type="http://schemas.openxmlformats.org/officeDocument/2006/relationships/hyperlink" Target="http://nogood.io" TargetMode="External"/><Relationship Id="rId1903" Type="http://schemas.openxmlformats.org/officeDocument/2006/relationships/hyperlink" Target="https://nogood.io/blog/best-answer-engine-optimization-agencies/" TargetMode="External"/><Relationship Id="rId1904" Type="http://schemas.openxmlformats.org/officeDocument/2006/relationships/hyperlink" Target="http://nogood.io" TargetMode="External"/><Relationship Id="rId1905" Type="http://schemas.openxmlformats.org/officeDocument/2006/relationships/hyperlink" Target="https://nogood.io/blog/branding-agencies/" TargetMode="External"/><Relationship Id="rId1906" Type="http://schemas.openxmlformats.org/officeDocument/2006/relationships/hyperlink" Target="http://nogood.io" TargetMode="External"/><Relationship Id="rId1907" Type="http://schemas.openxmlformats.org/officeDocument/2006/relationships/hyperlink" Target="https://nogood.io/blog/digital-marketing-agencies-new-york/" TargetMode="External"/><Relationship Id="rId1908" Type="http://schemas.openxmlformats.org/officeDocument/2006/relationships/hyperlink" Target="http://nogood.io" TargetMode="External"/><Relationship Id="rId1909" Type="http://schemas.openxmlformats.org/officeDocument/2006/relationships/hyperlink" Target="https://nogood.io/blog/global-marketing-agencies/" TargetMode="External"/><Relationship Id="rId1090" Type="http://schemas.openxmlformats.org/officeDocument/2006/relationships/hyperlink" Target="https://www.digipims.com/social-media-marketing-agencies-in-usa/" TargetMode="External"/><Relationship Id="rId1091" Type="http://schemas.openxmlformats.org/officeDocument/2006/relationships/hyperlink" Target="http://digipims.com" TargetMode="External"/><Relationship Id="rId1092" Type="http://schemas.openxmlformats.org/officeDocument/2006/relationships/hyperlink" Target="https://digitalagencynetwork.com/agencies/" TargetMode="External"/><Relationship Id="rId1093" Type="http://schemas.openxmlformats.org/officeDocument/2006/relationships/hyperlink" Target="http://digitalagencynetwork.com" TargetMode="External"/><Relationship Id="rId1094" Type="http://schemas.openxmlformats.org/officeDocument/2006/relationships/hyperlink" Target="https://digitalagencynetwork.com/best-ai-agents-for-digital-marketing/" TargetMode="External"/><Relationship Id="rId1095" Type="http://schemas.openxmlformats.org/officeDocument/2006/relationships/hyperlink" Target="http://digitalagencynetwork.com" TargetMode="External"/><Relationship Id="rId1096" Type="http://schemas.openxmlformats.org/officeDocument/2006/relationships/hyperlink" Target="https://www.digitalrhinos.com/saas-marketing-agency/" TargetMode="External"/><Relationship Id="rId1097" Type="http://schemas.openxmlformats.org/officeDocument/2006/relationships/hyperlink" Target="http://digitalrhinos.com" TargetMode="External"/><Relationship Id="rId1098" Type="http://schemas.openxmlformats.org/officeDocument/2006/relationships/hyperlink" Target="https://directiveconsulting.com/blog/top-25-b2b-enterprise-marketing-agencies/" TargetMode="External"/><Relationship Id="rId1099" Type="http://schemas.openxmlformats.org/officeDocument/2006/relationships/hyperlink" Target="http://directiveconsulting.com" TargetMode="External"/><Relationship Id="rId1080" Type="http://schemas.openxmlformats.org/officeDocument/2006/relationships/hyperlink" Target="http://coolnerdsmarketing.com" TargetMode="External"/><Relationship Id="rId1081" Type="http://schemas.openxmlformats.org/officeDocument/2006/relationships/hyperlink" Target="https://cornerstonecontent.com/best-answer-engine-optimization-aeo-agencies/" TargetMode="External"/><Relationship Id="rId1082" Type="http://schemas.openxmlformats.org/officeDocument/2006/relationships/hyperlink" Target="http://cornerstonecontent.com" TargetMode="External"/><Relationship Id="rId1083" Type="http://schemas.openxmlformats.org/officeDocument/2006/relationships/hyperlink" Target="https://www.darkroomagency.com/observatory/top-ai-marketing-agencies-for-growth-in-2025-a-shortlist-that-actually-helps-you-choose" TargetMode="External"/><Relationship Id="rId1084" Type="http://schemas.openxmlformats.org/officeDocument/2006/relationships/hyperlink" Target="http://darkroomagency.com" TargetMode="External"/><Relationship Id="rId1085" Type="http://schemas.openxmlformats.org/officeDocument/2006/relationships/hyperlink" Target="https://delivix.digital/seo/marketing-agencies/" TargetMode="External"/><Relationship Id="rId1086" Type="http://schemas.openxmlformats.org/officeDocument/2006/relationships/hyperlink" Target="https://www.designrush.com/agency/digital-marketing/analytics/us?page=2" TargetMode="External"/><Relationship Id="rId1087" Type="http://schemas.openxmlformats.org/officeDocument/2006/relationships/hyperlink" Target="http://designrush.com" TargetMode="External"/><Relationship Id="rId1088" Type="http://schemas.openxmlformats.org/officeDocument/2006/relationships/hyperlink" Target="https://www.designrush.com/agency/digital-marketing/analytics?page=2" TargetMode="External"/><Relationship Id="rId1089" Type="http://schemas.openxmlformats.org/officeDocument/2006/relationships/hyperlink" Target="http://designrush.com" TargetMode="External"/><Relationship Id="rId1972" Type="http://schemas.openxmlformats.org/officeDocument/2006/relationships/hyperlink" Target="https://prerender.io/blog/best-technical-geo-and-ai-se-tools/" TargetMode="External"/><Relationship Id="rId1973" Type="http://schemas.openxmlformats.org/officeDocument/2006/relationships/hyperlink" Target="http://prerender.io" TargetMode="External"/><Relationship Id="rId1974" Type="http://schemas.openxmlformats.org/officeDocument/2006/relationships/hyperlink" Target="https://projectmanagers.net/top-a-b-testing-agencies-delivering-proven-results/" TargetMode="External"/><Relationship Id="rId1975" Type="http://schemas.openxmlformats.org/officeDocument/2006/relationships/hyperlink" Target="http://projectmanagers.net" TargetMode="External"/><Relationship Id="rId1976" Type="http://schemas.openxmlformats.org/officeDocument/2006/relationships/hyperlink" Target="https://www.promodo.com/blog/best-geo-agencies" TargetMode="External"/><Relationship Id="rId1977" Type="http://schemas.openxmlformats.org/officeDocument/2006/relationships/hyperlink" Target="http://promodo.com" TargetMode="External"/><Relationship Id="rId1978" Type="http://schemas.openxmlformats.org/officeDocument/2006/relationships/hyperlink" Target="https://www.provokemedia.com/ranking-and-data/global-pr-agency-rankings/2025-pr-agency-rankings/top-250" TargetMode="External"/><Relationship Id="rId1979" Type="http://schemas.openxmlformats.org/officeDocument/2006/relationships/hyperlink" Target="http://provokemedia.com" TargetMode="External"/><Relationship Id="rId1970" Type="http://schemas.openxmlformats.org/officeDocument/2006/relationships/hyperlink" Target="https://powerdigitalmarketing.com/blog/best-digital-marketing-agency/" TargetMode="External"/><Relationship Id="rId1971" Type="http://schemas.openxmlformats.org/officeDocument/2006/relationships/hyperlink" Target="http://powerdigitalmarketing.com" TargetMode="External"/><Relationship Id="rId1961" Type="http://schemas.openxmlformats.org/officeDocument/2006/relationships/hyperlink" Target="http://zoominfo.com" TargetMode="External"/><Relationship Id="rId1962" Type="http://schemas.openxmlformats.org/officeDocument/2006/relationships/hyperlink" Target="https://www.pitchkitchen.com/best-ai-sales-marketing-agencies" TargetMode="External"/><Relationship Id="rId1963" Type="http://schemas.openxmlformats.org/officeDocument/2006/relationships/hyperlink" Target="http://pitchkitchen.com" TargetMode="External"/><Relationship Id="rId1964" Type="http://schemas.openxmlformats.org/officeDocument/2006/relationships/hyperlink" Target="https://www.pleiadesconsultancy.com/blog/best-ai-search-agencies-2026" TargetMode="External"/><Relationship Id="rId1965" Type="http://schemas.openxmlformats.org/officeDocument/2006/relationships/hyperlink" Target="http://pleiadesconsultancy.com" TargetMode="External"/><Relationship Id="rId1966" Type="http://schemas.openxmlformats.org/officeDocument/2006/relationships/hyperlink" Target="https://www.plerdy.com/blog/performance-marketing/" TargetMode="External"/><Relationship Id="rId1967" Type="http://schemas.openxmlformats.org/officeDocument/2006/relationships/hyperlink" Target="http://plerdy.com" TargetMode="External"/><Relationship Id="rId1968" Type="http://schemas.openxmlformats.org/officeDocument/2006/relationships/hyperlink" Target="https://www.plerdy.com/blog/social-media-marketing-agencies/" TargetMode="External"/><Relationship Id="rId1969" Type="http://schemas.openxmlformats.org/officeDocument/2006/relationships/hyperlink" Target="http://plerdy.com" TargetMode="External"/><Relationship Id="rId1960" Type="http://schemas.openxmlformats.org/officeDocument/2006/relationships/hyperlink" Target="https://pipeline.zoominfo.com/marketing/digital-marketing-tools" TargetMode="External"/><Relationship Id="rId1994" Type="http://schemas.openxmlformats.org/officeDocument/2006/relationships/hyperlink" Target="https://ranktix.co.uk/best-answer-engine-optimization-tools/" TargetMode="External"/><Relationship Id="rId1995" Type="http://schemas.openxmlformats.org/officeDocument/2006/relationships/hyperlink" Target="http://ranktix.co.uk" TargetMode="External"/><Relationship Id="rId1996" Type="http://schemas.openxmlformats.org/officeDocument/2006/relationships/hyperlink" Target="https://www.ranktracker.com/blog/best-aiseo-agencies/" TargetMode="External"/><Relationship Id="rId1997" Type="http://schemas.openxmlformats.org/officeDocument/2006/relationships/hyperlink" Target="http://ranktracker.com" TargetMode="External"/><Relationship Id="rId1998" Type="http://schemas.openxmlformats.org/officeDocument/2006/relationships/hyperlink" Target="https://www.ranktracker.com/blog/generative-engine-optimization-agencies/" TargetMode="External"/><Relationship Id="rId1999" Type="http://schemas.openxmlformats.org/officeDocument/2006/relationships/hyperlink" Target="http://ranktracker.com" TargetMode="External"/><Relationship Id="rId1990" Type="http://schemas.openxmlformats.org/officeDocument/2006/relationships/hyperlink" Target="https://rankai.ai/articles/best-geo-agencies" TargetMode="External"/><Relationship Id="rId1991" Type="http://schemas.openxmlformats.org/officeDocument/2006/relationships/hyperlink" Target="http://rankai.ai" TargetMode="External"/><Relationship Id="rId1992" Type="http://schemas.openxmlformats.org/officeDocument/2006/relationships/hyperlink" Target="https://rankmybusiness.com.au/ai-seo-marketing-agency/" TargetMode="External"/><Relationship Id="rId1993" Type="http://schemas.openxmlformats.org/officeDocument/2006/relationships/hyperlink" Target="http://rankmybusiness.com.au" TargetMode="External"/><Relationship Id="rId1983" Type="http://schemas.openxmlformats.org/officeDocument/2006/relationships/hyperlink" Target="http://puremarketing.ai" TargetMode="External"/><Relationship Id="rId1984" Type="http://schemas.openxmlformats.org/officeDocument/2006/relationships/hyperlink" Target="https://www.q3tech.com/blogs/ai-agent-development-companies-in-usa/" TargetMode="External"/><Relationship Id="rId1985" Type="http://schemas.openxmlformats.org/officeDocument/2006/relationships/hyperlink" Target="http://q3tech.com" TargetMode="External"/><Relationship Id="rId1986" Type="http://schemas.openxmlformats.org/officeDocument/2006/relationships/hyperlink" Target="https://www.quoleady.com/aeo-agencies/" TargetMode="External"/><Relationship Id="rId1987" Type="http://schemas.openxmlformats.org/officeDocument/2006/relationships/hyperlink" Target="http://quoleady.com" TargetMode="External"/><Relationship Id="rId1988" Type="http://schemas.openxmlformats.org/officeDocument/2006/relationships/hyperlink" Target="https://www.ramotion.com/blog/top-branding-agencies/" TargetMode="External"/><Relationship Id="rId1989" Type="http://schemas.openxmlformats.org/officeDocument/2006/relationships/hyperlink" Target="http://ramotion.com" TargetMode="External"/><Relationship Id="rId1980" Type="http://schemas.openxmlformats.org/officeDocument/2006/relationships/hyperlink" Target="https://punchcut.com/perspectives/best-ai-design-agencies/" TargetMode="External"/><Relationship Id="rId1981" Type="http://schemas.openxmlformats.org/officeDocument/2006/relationships/hyperlink" Target="http://punchcut.com" TargetMode="External"/><Relationship Id="rId1982" Type="http://schemas.openxmlformats.org/officeDocument/2006/relationships/hyperlink" Target="https://puremarketing.ai/aeo-agency-montclair/" TargetMode="External"/><Relationship Id="rId1930" Type="http://schemas.openxmlformats.org/officeDocument/2006/relationships/hyperlink" Target="http://omnius.so" TargetMode="External"/><Relationship Id="rId1931" Type="http://schemas.openxmlformats.org/officeDocument/2006/relationships/hyperlink" Target="https://onelittleweb.com/top-agencies/b2b-seo-agency/" TargetMode="External"/><Relationship Id="rId1932" Type="http://schemas.openxmlformats.org/officeDocument/2006/relationships/hyperlink" Target="http://onelittleweb.com" TargetMode="External"/><Relationship Id="rId1933" Type="http://schemas.openxmlformats.org/officeDocument/2006/relationships/hyperlink" Target="https://onelittleweb.com/top-agencies/top-ai-seo-agencies/" TargetMode="External"/><Relationship Id="rId1934" Type="http://schemas.openxmlformats.org/officeDocument/2006/relationships/hyperlink" Target="http://onelittleweb.com" TargetMode="External"/><Relationship Id="rId1935" Type="http://schemas.openxmlformats.org/officeDocument/2006/relationships/hyperlink" Target="https://www.onely.com/blog/best-geo-agencies-for-enterprise-brands/" TargetMode="External"/><Relationship Id="rId1936" Type="http://schemas.openxmlformats.org/officeDocument/2006/relationships/hyperlink" Target="http://onely.com" TargetMode="External"/><Relationship Id="rId1937" Type="http://schemas.openxmlformats.org/officeDocument/2006/relationships/hyperlink" Target="https://onlineoptimism.com/learn/the-best-aeo-agencies-for-b2b-companies/" TargetMode="External"/><Relationship Id="rId1938" Type="http://schemas.openxmlformats.org/officeDocument/2006/relationships/hyperlink" Target="http://onlineoptimism.com" TargetMode="External"/><Relationship Id="rId1939" Type="http://schemas.openxmlformats.org/officeDocument/2006/relationships/hyperlink" Target="https://openmoves.com/blog/the-50-best-b2b-social-media-companies/" TargetMode="External"/><Relationship Id="rId1920" Type="http://schemas.openxmlformats.org/officeDocument/2006/relationships/hyperlink" Target="http://nuundigital.com" TargetMode="External"/><Relationship Id="rId1921" Type="http://schemas.openxmlformats.org/officeDocument/2006/relationships/hyperlink" Target="https://oakpool.xyz/drift/top-10-geo-aeo-ai-search-agencies/" TargetMode="External"/><Relationship Id="rId1922" Type="http://schemas.openxmlformats.org/officeDocument/2006/relationships/hyperlink" Target="http://oakpool.xyz" TargetMode="External"/><Relationship Id="rId1923" Type="http://schemas.openxmlformats.org/officeDocument/2006/relationships/hyperlink" Target="https://www.omdena.com/blog/ai-agent-development-companies" TargetMode="External"/><Relationship Id="rId1924" Type="http://schemas.openxmlformats.org/officeDocument/2006/relationships/hyperlink" Target="http://omdena.com" TargetMode="External"/><Relationship Id="rId1925" Type="http://schemas.openxmlformats.org/officeDocument/2006/relationships/hyperlink" Target="https://www.omnius.so/blog/best-answer-engine-optimization-agencies" TargetMode="External"/><Relationship Id="rId1926" Type="http://schemas.openxmlformats.org/officeDocument/2006/relationships/hyperlink" Target="http://omnius.so" TargetMode="External"/><Relationship Id="rId1927" Type="http://schemas.openxmlformats.org/officeDocument/2006/relationships/hyperlink" Target="https://www.omnius.so/blog/best-geo-agencies" TargetMode="External"/><Relationship Id="rId1928" Type="http://schemas.openxmlformats.org/officeDocument/2006/relationships/hyperlink" Target="http://omnius.so" TargetMode="External"/><Relationship Id="rId1929" Type="http://schemas.openxmlformats.org/officeDocument/2006/relationships/hyperlink" Target="https://www.omnius.so/blog/marketing-agencies-for-small-businesses" TargetMode="External"/><Relationship Id="rId1950" Type="http://schemas.openxmlformats.org/officeDocument/2006/relationships/hyperlink" Target="https://outreachz.com/blog/10-best-ai-seo-agencies-in-2026/" TargetMode="External"/><Relationship Id="rId1951" Type="http://schemas.openxmlformats.org/officeDocument/2006/relationships/hyperlink" Target="http://outreachz.com" TargetMode="External"/><Relationship Id="rId1952" Type="http://schemas.openxmlformats.org/officeDocument/2006/relationships/hyperlink" Target="https://www.outsourceaccelerator.com/guide/top-digital-marketing-companies-in-the-us/" TargetMode="External"/><Relationship Id="rId1953" Type="http://schemas.openxmlformats.org/officeDocument/2006/relationships/hyperlink" Target="http://outsourceaccelerator.com" TargetMode="External"/><Relationship Id="rId1954" Type="http://schemas.openxmlformats.org/officeDocument/2006/relationships/hyperlink" Target="https://www.patientprism.com/blog/best-marketing-attribution-tools-healthcare/" TargetMode="External"/><Relationship Id="rId1955" Type="http://schemas.openxmlformats.org/officeDocument/2006/relationships/hyperlink" Target="http://patientprism.com" TargetMode="External"/><Relationship Id="rId1956" Type="http://schemas.openxmlformats.org/officeDocument/2006/relationships/hyperlink" Target="https://www.pedowitzgroup.com/blog/best-revenue-marketing-consulting-firms-for-fortune-1000-enterprises?hs_amp=true" TargetMode="External"/><Relationship Id="rId1957" Type="http://schemas.openxmlformats.org/officeDocument/2006/relationships/hyperlink" Target="http://pedowitzgroup.com" TargetMode="External"/><Relationship Id="rId1958" Type="http://schemas.openxmlformats.org/officeDocument/2006/relationships/hyperlink" Target="https://www.phable.io/top-creative-agencies/leading-creative-agencies-in-new-york-masters-of-branding-content-creation-and-digital-innovation" TargetMode="External"/><Relationship Id="rId1959" Type="http://schemas.openxmlformats.org/officeDocument/2006/relationships/hyperlink" Target="http://phable.io" TargetMode="External"/><Relationship Id="rId1940" Type="http://schemas.openxmlformats.org/officeDocument/2006/relationships/hyperlink" Target="http://openmoves.com" TargetMode="External"/><Relationship Id="rId1941" Type="http://schemas.openxmlformats.org/officeDocument/2006/relationships/hyperlink" Target="https://www.opinosis-analytics.com/blog/best-ai-consulting-firms/" TargetMode="External"/><Relationship Id="rId1942" Type="http://schemas.openxmlformats.org/officeDocument/2006/relationships/hyperlink" Target="http://opinosis-analytics.com" TargetMode="External"/><Relationship Id="rId1943" Type="http://schemas.openxmlformats.org/officeDocument/2006/relationships/hyperlink" Target="https://orm-tech.com/blog/best-marketing-attribution-software/" TargetMode="External"/><Relationship Id="rId1944" Type="http://schemas.openxmlformats.org/officeDocument/2006/relationships/hyperlink" Target="http://orm-tech.com" TargetMode="External"/><Relationship Id="rId1945" Type="http://schemas.openxmlformats.org/officeDocument/2006/relationships/hyperlink" Target="https://oski.site/blog/sales-and-marketing-analytics-usa/" TargetMode="External"/><Relationship Id="rId1946" Type="http://schemas.openxmlformats.org/officeDocument/2006/relationships/hyperlink" Target="https://ossisto.com/blog/display-advertising-companies/" TargetMode="External"/><Relationship Id="rId1947" Type="http://schemas.openxmlformats.org/officeDocument/2006/relationships/hyperlink" Target="http://ossisto.com" TargetMode="External"/><Relationship Id="rId1948" Type="http://schemas.openxmlformats.org/officeDocument/2006/relationships/hyperlink" Target="https://outpaceseo.com/article/best-seo-agencies/" TargetMode="External"/><Relationship Id="rId1949" Type="http://schemas.openxmlformats.org/officeDocument/2006/relationships/hyperlink" Target="http://outpaceseo.com" TargetMode="External"/><Relationship Id="rId509" Type="http://schemas.openxmlformats.org/officeDocument/2006/relationships/hyperlink" Target="https://clutch.co/consulting/ai/strategy" TargetMode="External"/><Relationship Id="rId508" Type="http://schemas.openxmlformats.org/officeDocument/2006/relationships/hyperlink" Target="http://brandmentions.com" TargetMode="External"/><Relationship Id="rId503" Type="http://schemas.openxmlformats.org/officeDocument/2006/relationships/hyperlink" Target="https://www.accordtechsolutions.com/blog/top-7-ai-marketing-agency-in-the-usa" TargetMode="External"/><Relationship Id="rId502" Type="http://schemas.openxmlformats.org/officeDocument/2006/relationships/hyperlink" Target="http://75way.com" TargetMode="External"/><Relationship Id="rId501" Type="http://schemas.openxmlformats.org/officeDocument/2006/relationships/hyperlink" Target="https://75way.com/blog/10-top-ai-consulting-companies-usa" TargetMode="External"/><Relationship Id="rId500" Type="http://schemas.openxmlformats.org/officeDocument/2006/relationships/hyperlink" Target="http://sortlist.com" TargetMode="External"/><Relationship Id="rId507" Type="http://schemas.openxmlformats.org/officeDocument/2006/relationships/hyperlink" Target="https://brandmentions.com/wiki/Top_advertising_agencies_in_USA" TargetMode="External"/><Relationship Id="rId506" Type="http://schemas.openxmlformats.org/officeDocument/2006/relationships/hyperlink" Target="http://agencylist.com" TargetMode="External"/><Relationship Id="rId505" Type="http://schemas.openxmlformats.org/officeDocument/2006/relationships/hyperlink" Target="https://agencylist.com/services/programmatic-display-and-video/us/" TargetMode="External"/><Relationship Id="rId504" Type="http://schemas.openxmlformats.org/officeDocument/2006/relationships/hyperlink" Target="http://accordtechsolutions.com" TargetMode="External"/><Relationship Id="rId1114" Type="http://schemas.openxmlformats.org/officeDocument/2006/relationships/hyperlink" Target="https://firstpagesage.com/seo-blog/the-top-seo-agencies-for-ai-companies/" TargetMode="External"/><Relationship Id="rId1115" Type="http://schemas.openxmlformats.org/officeDocument/2006/relationships/hyperlink" Target="http://firstpagesage.com" TargetMode="External"/><Relationship Id="rId1116" Type="http://schemas.openxmlformats.org/officeDocument/2006/relationships/hyperlink" Target="https://flypix.ai/geospatial-companies-in-the-usa/" TargetMode="External"/><Relationship Id="rId1117" Type="http://schemas.openxmlformats.org/officeDocument/2006/relationships/hyperlink" Target="http://flypix.ai" TargetMode="External"/><Relationship Id="rId1118" Type="http://schemas.openxmlformats.org/officeDocument/2006/relationships/hyperlink" Target="https://fuelonline.com/best-agencies/best-new-york-digital-marketing-agencies/" TargetMode="External"/><Relationship Id="rId1119" Type="http://schemas.openxmlformats.org/officeDocument/2006/relationships/hyperlink" Target="http://fuelonline.com" TargetMode="External"/><Relationship Id="rId525" Type="http://schemas.openxmlformats.org/officeDocument/2006/relationships/hyperlink" Target="http://goodfirms.co" TargetMode="External"/><Relationship Id="rId524" Type="http://schemas.openxmlformats.org/officeDocument/2006/relationships/hyperlink" Target="https://www.goodfirms.co/advertising-companies/creative/usa" TargetMode="External"/><Relationship Id="rId523" Type="http://schemas.openxmlformats.org/officeDocument/2006/relationships/hyperlink" Target="http://gartner.com" TargetMode="External"/><Relationship Id="rId522" Type="http://schemas.openxmlformats.org/officeDocument/2006/relationships/hyperlink" Target="https://www.gartner.com/reviews/market/b2b-multitouch-attribution-tools" TargetMode="External"/><Relationship Id="rId529" Type="http://schemas.openxmlformats.org/officeDocument/2006/relationships/hyperlink" Target="http://leadsrx.com" TargetMode="External"/><Relationship Id="rId528" Type="http://schemas.openxmlformats.org/officeDocument/2006/relationships/hyperlink" Target="https://leadsrx.com/resource/35-marketing-attribution-software-companies/" TargetMode="External"/><Relationship Id="rId527" Type="http://schemas.openxmlformats.org/officeDocument/2006/relationships/hyperlink" Target="http://krowdbase.com" TargetMode="External"/><Relationship Id="rId526" Type="http://schemas.openxmlformats.org/officeDocument/2006/relationships/hyperlink" Target="https://www.krowdbase.com/top-marketing-analytics-companies" TargetMode="External"/><Relationship Id="rId521" Type="http://schemas.openxmlformats.org/officeDocument/2006/relationships/hyperlink" Target="http://firstpagesage.com" TargetMode="External"/><Relationship Id="rId1110" Type="http://schemas.openxmlformats.org/officeDocument/2006/relationships/hyperlink" Target="https://www.fieldtrip.agency/post/best-creative-agencies-for-global-brands" TargetMode="External"/><Relationship Id="rId520" Type="http://schemas.openxmlformats.org/officeDocument/2006/relationships/hyperlink" Target="https://firstpagesage.com/seo-blog/top-digital-marketing-agencies/" TargetMode="External"/><Relationship Id="rId1111" Type="http://schemas.openxmlformats.org/officeDocument/2006/relationships/hyperlink" Target="https://www.fieldtrip.agency/post/top-geo-agencies" TargetMode="External"/><Relationship Id="rId1112" Type="http://schemas.openxmlformats.org/officeDocument/2006/relationships/hyperlink" Target="https://finance.yahoo.com/sectors/technology/articles/top-10-branding-agencies-u-125000853.html" TargetMode="External"/><Relationship Id="rId1113" Type="http://schemas.openxmlformats.org/officeDocument/2006/relationships/hyperlink" Target="http://yahoo.com" TargetMode="External"/><Relationship Id="rId1103" Type="http://schemas.openxmlformats.org/officeDocument/2006/relationships/hyperlink" Target="http://dmcinsider.com" TargetMode="External"/><Relationship Id="rId1104" Type="http://schemas.openxmlformats.org/officeDocument/2006/relationships/hyperlink" Target="https://www.embarque.io/post/generative-engine-optimization-agency" TargetMode="External"/><Relationship Id="rId1105" Type="http://schemas.openxmlformats.org/officeDocument/2006/relationships/hyperlink" Target="http://embarque.io" TargetMode="External"/><Relationship Id="rId1106" Type="http://schemas.openxmlformats.org/officeDocument/2006/relationships/hyperlink" Target="https://www.enzuzo.com/blog/best-performance-marketing-agencies" TargetMode="External"/><Relationship Id="rId1107" Type="http://schemas.openxmlformats.org/officeDocument/2006/relationships/hyperlink" Target="http://enzuzo.com" TargetMode="External"/><Relationship Id="rId1108" Type="http://schemas.openxmlformats.org/officeDocument/2006/relationships/hyperlink" Target="https://evolveamz.com/ai-search/best-ai-search-optimization-agencies-ecommerce-2026/" TargetMode="External"/><Relationship Id="rId1109" Type="http://schemas.openxmlformats.org/officeDocument/2006/relationships/hyperlink" Target="http://evolveamz.com" TargetMode="External"/><Relationship Id="rId519" Type="http://schemas.openxmlformats.org/officeDocument/2006/relationships/hyperlink" Target="http://firstpagesage.com" TargetMode="External"/><Relationship Id="rId514" Type="http://schemas.openxmlformats.org/officeDocument/2006/relationships/hyperlink" Target="http://coolnerdsmarketing.com" TargetMode="External"/><Relationship Id="rId513" Type="http://schemas.openxmlformats.org/officeDocument/2006/relationships/hyperlink" Target="https://coolnerdsmarketing.com/top-digital-marketing-agencies-us/" TargetMode="External"/><Relationship Id="rId512" Type="http://schemas.openxmlformats.org/officeDocument/2006/relationships/hyperlink" Target="http://clutch.co" TargetMode="External"/><Relationship Id="rId511" Type="http://schemas.openxmlformats.org/officeDocument/2006/relationships/hyperlink" Target="https://clutch.co/seo-firms/generative-engine-optimization" TargetMode="External"/><Relationship Id="rId518" Type="http://schemas.openxmlformats.org/officeDocument/2006/relationships/hyperlink" Target="https://firstpagesage.com/seo-blog/the-top-generative-engine-optimization-geo-agencies/" TargetMode="External"/><Relationship Id="rId517" Type="http://schemas.openxmlformats.org/officeDocument/2006/relationships/hyperlink" Target="http://designrush.com" TargetMode="External"/><Relationship Id="rId516" Type="http://schemas.openxmlformats.org/officeDocument/2006/relationships/hyperlink" Target="https://www.designrush.com/agency/paid-media-pay-per-click/google-adwords/us" TargetMode="External"/><Relationship Id="rId515" Type="http://schemas.openxmlformats.org/officeDocument/2006/relationships/hyperlink" Target="https://derivatex.agency/blog/best-aeo-agencies-usa/" TargetMode="External"/><Relationship Id="rId510" Type="http://schemas.openxmlformats.org/officeDocument/2006/relationships/hyperlink" Target="http://clutch.co" TargetMode="External"/><Relationship Id="rId1100" Type="http://schemas.openxmlformats.org/officeDocument/2006/relationships/hyperlink" Target="https://directiveconsulting.com/uk/blog/25-best-paid-media-agencies-that-turn-ad-spend-into-revenue/" TargetMode="External"/><Relationship Id="rId1101" Type="http://schemas.openxmlformats.org/officeDocument/2006/relationships/hyperlink" Target="http://directiveconsulting.com" TargetMode="External"/><Relationship Id="rId1102" Type="http://schemas.openxmlformats.org/officeDocument/2006/relationships/hyperlink" Target="https://dmcinsider.com/dmcompanies/best-marketing-analytics-companies-in-the-usa/" TargetMode="External"/><Relationship Id="rId590" Type="http://schemas.openxmlformats.org/officeDocument/2006/relationships/hyperlink" Target="http://sortlist.com" TargetMode="External"/><Relationship Id="rId589" Type="http://schemas.openxmlformats.org/officeDocument/2006/relationships/hyperlink" Target="https://www.sortlist.com/s/international-marketing/united-states-us" TargetMode="External"/><Relationship Id="rId588" Type="http://schemas.openxmlformats.org/officeDocument/2006/relationships/hyperlink" Target="http://singlegrain.com" TargetMode="External"/><Relationship Id="rId1170" Type="http://schemas.openxmlformats.org/officeDocument/2006/relationships/hyperlink" Target="https://www.maximuslabs.ai/answer-engine-optimizations/best-aeo-agencies" TargetMode="External"/><Relationship Id="rId1171" Type="http://schemas.openxmlformats.org/officeDocument/2006/relationships/hyperlink" Target="http://maximuslabs.ai" TargetMode="External"/><Relationship Id="rId583" Type="http://schemas.openxmlformats.org/officeDocument/2006/relationships/hyperlink" Target="https://www.reddit.com/r/u_Large_Let1715/comments/1tdt8px/best_marketing_analytics_firms_a_complete/" TargetMode="External"/><Relationship Id="rId1172" Type="http://schemas.openxmlformats.org/officeDocument/2006/relationships/hyperlink" Target="https://www.maximuslabs.ai/answer-engine-optimizations/enterprise-aeo-agencies" TargetMode="External"/><Relationship Id="rId582" Type="http://schemas.openxmlformats.org/officeDocument/2006/relationships/hyperlink" Target="http://plerdy.com" TargetMode="External"/><Relationship Id="rId1173" Type="http://schemas.openxmlformats.org/officeDocument/2006/relationships/hyperlink" Target="http://maximuslabs.ai" TargetMode="External"/><Relationship Id="rId581" Type="http://schemas.openxmlformats.org/officeDocument/2006/relationships/hyperlink" Target="https://www.plerdy.com/blog/digital-marketing-agencies-in-the-united-states/" TargetMode="External"/><Relationship Id="rId1174" Type="http://schemas.openxmlformats.org/officeDocument/2006/relationships/hyperlink" Target="https://www.measured.com/faq/top-11-best-media-mix-modeling-companies-software-for-2026/" TargetMode="External"/><Relationship Id="rId580" Type="http://schemas.openxmlformats.org/officeDocument/2006/relationships/hyperlink" Target="https://piperocket.digital/list/best-geo-agencies/" TargetMode="External"/><Relationship Id="rId1175" Type="http://schemas.openxmlformats.org/officeDocument/2006/relationships/hyperlink" Target="http://measured.com" TargetMode="External"/><Relationship Id="rId587" Type="http://schemas.openxmlformats.org/officeDocument/2006/relationships/hyperlink" Target="https://www.singlegrain.com/aeo/top-14-aeo-agencies-in-2025/" TargetMode="External"/><Relationship Id="rId1176" Type="http://schemas.openxmlformats.org/officeDocument/2006/relationships/hyperlink" Target="https://www.munro.agency/top-marketing-data-science-agencies/" TargetMode="External"/><Relationship Id="rId586" Type="http://schemas.openxmlformats.org/officeDocument/2006/relationships/hyperlink" Target="http://respona.com" TargetMode="External"/><Relationship Id="rId1177" Type="http://schemas.openxmlformats.org/officeDocument/2006/relationships/hyperlink" Target="https://www.munro.agency/top-paid-media-agencies/" TargetMode="External"/><Relationship Id="rId585" Type="http://schemas.openxmlformats.org/officeDocument/2006/relationships/hyperlink" Target="https://respona.com/blog/answer-engine-optimization-agencies/" TargetMode="External"/><Relationship Id="rId1178" Type="http://schemas.openxmlformats.org/officeDocument/2006/relationships/hyperlink" Target="https://www.munro.agency/top-sem-agencies/" TargetMode="External"/><Relationship Id="rId584" Type="http://schemas.openxmlformats.org/officeDocument/2006/relationships/hyperlink" Target="http://reddit.com" TargetMode="External"/><Relationship Id="rId1179" Type="http://schemas.openxmlformats.org/officeDocument/2006/relationships/hyperlink" Target="https://nectivdigital.com/blog/the-best-generative-engine-optimization-agencies-of-2025" TargetMode="External"/><Relationship Id="rId1169" Type="http://schemas.openxmlformats.org/officeDocument/2006/relationships/hyperlink" Target="http://marksourced.com" TargetMode="External"/><Relationship Id="rId579" Type="http://schemas.openxmlformats.org/officeDocument/2006/relationships/hyperlink" Target="http://pikaseo.com" TargetMode="External"/><Relationship Id="rId578" Type="http://schemas.openxmlformats.org/officeDocument/2006/relationships/hyperlink" Target="https://pikaseo.com/articles/best-ai-seo-agencies" TargetMode="External"/><Relationship Id="rId577" Type="http://schemas.openxmlformats.org/officeDocument/2006/relationships/hyperlink" Target="http://outreachz.com" TargetMode="External"/><Relationship Id="rId1160" Type="http://schemas.openxmlformats.org/officeDocument/2006/relationships/hyperlink" Target="https://marketerhire.com/blog/fractional-marketing-agency" TargetMode="External"/><Relationship Id="rId572" Type="http://schemas.openxmlformats.org/officeDocument/2006/relationships/hyperlink" Target="https://www.measured.com/faq/top-10-best-media-mix-modeling-companies-software-for-2025/" TargetMode="External"/><Relationship Id="rId1161" Type="http://schemas.openxmlformats.org/officeDocument/2006/relationships/hyperlink" Target="http://marketerhire.com" TargetMode="External"/><Relationship Id="rId571" Type="http://schemas.openxmlformats.org/officeDocument/2006/relationships/hyperlink" Target="http://liftlab.com" TargetMode="External"/><Relationship Id="rId1162" Type="http://schemas.openxmlformats.org/officeDocument/2006/relationships/hyperlink" Target="https://marketing-attribution-and-consulting.martechoutlook.com/vendors/top-marketing-attribution-and-consulting-services.html" TargetMode="External"/><Relationship Id="rId570" Type="http://schemas.openxmlformats.org/officeDocument/2006/relationships/hyperlink" Target="https://liftlab.com/blog/best-mmm-platforms-2026/" TargetMode="External"/><Relationship Id="rId1163" Type="http://schemas.openxmlformats.org/officeDocument/2006/relationships/hyperlink" Target="http://martechoutlook.com" TargetMode="External"/><Relationship Id="rId1164" Type="http://schemas.openxmlformats.org/officeDocument/2006/relationships/hyperlink" Target="https://marketingltb.com/blog/agency/best-enterprise-digital-marketing-agencies/" TargetMode="External"/><Relationship Id="rId576" Type="http://schemas.openxmlformats.org/officeDocument/2006/relationships/hyperlink" Target="https://outreachz.com/blog/best-ai-marketing-agencies-2026/" TargetMode="External"/><Relationship Id="rId1165" Type="http://schemas.openxmlformats.org/officeDocument/2006/relationships/hyperlink" Target="http://marketingltb.com" TargetMode="External"/><Relationship Id="rId575" Type="http://schemas.openxmlformats.org/officeDocument/2006/relationships/hyperlink" Target="http://neurons-lab.com" TargetMode="External"/><Relationship Id="rId1166" Type="http://schemas.openxmlformats.org/officeDocument/2006/relationships/hyperlink" Target="https://www.marksourced.com/p/top-7-b2b-generative-engine-optimization-geo-consultancies-in-2025" TargetMode="External"/><Relationship Id="rId574" Type="http://schemas.openxmlformats.org/officeDocument/2006/relationships/hyperlink" Target="https://neurons-lab.com/articles/top-ai-consulting-firms/" TargetMode="External"/><Relationship Id="rId1167" Type="http://schemas.openxmlformats.org/officeDocument/2006/relationships/hyperlink" Target="http://marksourced.com" TargetMode="External"/><Relationship Id="rId573" Type="http://schemas.openxmlformats.org/officeDocument/2006/relationships/hyperlink" Target="http://measured.com" TargetMode="External"/><Relationship Id="rId1168" Type="http://schemas.openxmlformats.org/officeDocument/2006/relationships/hyperlink" Target="https://www.marksourced.com/p/top-8-b2b-generative-engine-optimization-geo-agencies-in-2025" TargetMode="External"/><Relationship Id="rId1190" Type="http://schemas.openxmlformats.org/officeDocument/2006/relationships/hyperlink" Target="http://winmo.com" TargetMode="External"/><Relationship Id="rId1191" Type="http://schemas.openxmlformats.org/officeDocument/2006/relationships/hyperlink" Target="https://www.phable.io/top-branding-agencies/top-branding-agencies-in-new-york-2025-icons-of-creative-excellence" TargetMode="External"/><Relationship Id="rId1192" Type="http://schemas.openxmlformats.org/officeDocument/2006/relationships/hyperlink" Target="http://phable.io" TargetMode="External"/><Relationship Id="rId1193" Type="http://schemas.openxmlformats.org/officeDocument/2006/relationships/hyperlink" Target="https://phosailabs.com/blog/best-ai-implementation-firms-marketing-agencies" TargetMode="External"/><Relationship Id="rId1194" Type="http://schemas.openxmlformats.org/officeDocument/2006/relationships/hyperlink" Target="http://phosailabs.com" TargetMode="External"/><Relationship Id="rId1195" Type="http://schemas.openxmlformats.org/officeDocument/2006/relationships/hyperlink" Target="https://prometheusagency.co/insights/best-ai-agency-for-mid-market-manufacturers" TargetMode="External"/><Relationship Id="rId1196" Type="http://schemas.openxmlformats.org/officeDocument/2006/relationships/hyperlink" Target="http://prometheusagency.co" TargetMode="External"/><Relationship Id="rId1197" Type="http://schemas.openxmlformats.org/officeDocument/2006/relationships/hyperlink" Target="https://www.reddit.com/r/AISEOTricks/comments/1t9xk64/what_are_the_best_seo_agencies_right_now/" TargetMode="External"/><Relationship Id="rId1198" Type="http://schemas.openxmlformats.org/officeDocument/2006/relationships/hyperlink" Target="http://reddit.com" TargetMode="External"/><Relationship Id="rId1199" Type="http://schemas.openxmlformats.org/officeDocument/2006/relationships/hyperlink" Target="https://www.reddit.com/r/hiredevelopers_/comments/1n84jms/list_of_best_ai_consulting_companies_in_usa/" TargetMode="External"/><Relationship Id="rId599" Type="http://schemas.openxmlformats.org/officeDocument/2006/relationships/hyperlink" Target="https://clutch.co/us/seo-firms/generative-engine-optimization%3Fpage%3D2" TargetMode="External"/><Relationship Id="rId1180" Type="http://schemas.openxmlformats.org/officeDocument/2006/relationships/hyperlink" Target="http://nectivdigital.com" TargetMode="External"/><Relationship Id="rId1181" Type="http://schemas.openxmlformats.org/officeDocument/2006/relationships/hyperlink" Target="https://www.neuralcapital.ai/articles/top-10-ai-marketing-and-advertising-companies" TargetMode="External"/><Relationship Id="rId1182" Type="http://schemas.openxmlformats.org/officeDocument/2006/relationships/hyperlink" Target="http://neuralcapital.ai" TargetMode="External"/><Relationship Id="rId594" Type="http://schemas.openxmlformats.org/officeDocument/2006/relationships/hyperlink" Target="http://superside.com" TargetMode="External"/><Relationship Id="rId1183" Type="http://schemas.openxmlformats.org/officeDocument/2006/relationships/hyperlink" Target="https://newengen.com/insights/top-outdoor-marketing-agencies/" TargetMode="External"/><Relationship Id="rId593" Type="http://schemas.openxmlformats.org/officeDocument/2006/relationships/hyperlink" Target="https://www.superside.com/blog/ai-design-agencies" TargetMode="External"/><Relationship Id="rId1184" Type="http://schemas.openxmlformats.org/officeDocument/2006/relationships/hyperlink" Target="http://newengen.com" TargetMode="External"/><Relationship Id="rId592" Type="http://schemas.openxmlformats.org/officeDocument/2006/relationships/hyperlink" Target="http://superside.com" TargetMode="External"/><Relationship Id="rId1185" Type="http://schemas.openxmlformats.org/officeDocument/2006/relationships/hyperlink" Target="https://news.marketersmedia.com/13-best-generative-engine-optimization-geo-agencies-for-usa-brands-in-2026-multi-engine-coverage-edition/89193560" TargetMode="External"/><Relationship Id="rId591" Type="http://schemas.openxmlformats.org/officeDocument/2006/relationships/hyperlink" Target="https://www.superside.com/blog/ad-creative-agencies" TargetMode="External"/><Relationship Id="rId1186" Type="http://schemas.openxmlformats.org/officeDocument/2006/relationships/hyperlink" Target="http://marketersmedia.com" TargetMode="External"/><Relationship Id="rId598" Type="http://schemas.openxmlformats.org/officeDocument/2006/relationships/hyperlink" Target="http://charleagency.com" TargetMode="External"/><Relationship Id="rId1187" Type="http://schemas.openxmlformats.org/officeDocument/2006/relationships/hyperlink" Target="https://nexusexpertresearch.co/blog/best-artificial-intelligence-strategy-consulting-market-leaders/" TargetMode="External"/><Relationship Id="rId597" Type="http://schemas.openxmlformats.org/officeDocument/2006/relationships/hyperlink" Target="https://www.charleagency.com/articles/top-social-media-marketing-agencies/" TargetMode="External"/><Relationship Id="rId1188" Type="http://schemas.openxmlformats.org/officeDocument/2006/relationships/hyperlink" Target="http://nexusexpertresearch.co" TargetMode="External"/><Relationship Id="rId596" Type="http://schemas.openxmlformats.org/officeDocument/2006/relationships/hyperlink" Target="http://agencyanalytics.com" TargetMode="External"/><Relationship Id="rId1189" Type="http://schemas.openxmlformats.org/officeDocument/2006/relationships/hyperlink" Target="https://open.winmo.com/agencies/" TargetMode="External"/><Relationship Id="rId595" Type="http://schemas.openxmlformats.org/officeDocument/2006/relationships/hyperlink" Target="https://agencyanalytics.com/blog/best-marketing-analytics-tools" TargetMode="External"/><Relationship Id="rId1136" Type="http://schemas.openxmlformats.org/officeDocument/2006/relationships/hyperlink" Target="http://heydigital.co" TargetMode="External"/><Relationship Id="rId1137" Type="http://schemas.openxmlformats.org/officeDocument/2006/relationships/hyperlink" Target="https://icoda.io/ai/best-ai-marketing-agencies-in-the-usa/" TargetMode="External"/><Relationship Id="rId1138" Type="http://schemas.openxmlformats.org/officeDocument/2006/relationships/hyperlink" Target="http://icoda.io" TargetMode="External"/><Relationship Id="rId1139" Type="http://schemas.openxmlformats.org/officeDocument/2006/relationships/hyperlink" Target="https://inbeat.agency/blog/top-paid-media-agencies-in-nyc" TargetMode="External"/><Relationship Id="rId547" Type="http://schemas.openxmlformats.org/officeDocument/2006/relationships/hyperlink" Target="https://amworldgroup.com/best/digital-marketing-agency-worldwide" TargetMode="External"/><Relationship Id="rId546" Type="http://schemas.openxmlformats.org/officeDocument/2006/relationships/hyperlink" Target="https://wildnetmarketing.agency/blog/best-performance-marketing-agencies-in-usa/" TargetMode="External"/><Relationship Id="rId545" Type="http://schemas.openxmlformats.org/officeDocument/2006/relationships/hyperlink" Target="http://thedigitalelevator.com" TargetMode="External"/><Relationship Id="rId544" Type="http://schemas.openxmlformats.org/officeDocument/2006/relationships/hyperlink" Target="https://thedigitalelevator.com/blog/best-ai-seo-agencies/" TargetMode="External"/><Relationship Id="rId549" Type="http://schemas.openxmlformats.org/officeDocument/2006/relationships/hyperlink" Target="https://avidtrak.com/resource/best-market-attribution-software" TargetMode="External"/><Relationship Id="rId548" Type="http://schemas.openxmlformats.org/officeDocument/2006/relationships/hyperlink" Target="http://amworldgroup.com" TargetMode="External"/><Relationship Id="rId1130" Type="http://schemas.openxmlformats.org/officeDocument/2006/relationships/hyperlink" Target="http://goodfirms.co" TargetMode="External"/><Relationship Id="rId1131" Type="http://schemas.openxmlformats.org/officeDocument/2006/relationships/hyperlink" Target="https://www.goodfirms.co/directory/country/top-digital-marketing-companies/us?reviews=1" TargetMode="External"/><Relationship Id="rId543" Type="http://schemas.openxmlformats.org/officeDocument/2006/relationships/hyperlink" Target="http://sourceloop.ai" TargetMode="External"/><Relationship Id="rId1132" Type="http://schemas.openxmlformats.org/officeDocument/2006/relationships/hyperlink" Target="http://goodfirms.co" TargetMode="External"/><Relationship Id="rId542" Type="http://schemas.openxmlformats.org/officeDocument/2006/relationships/hyperlink" Target="https://sourceloop.ai/blog/best-marketing-measurement-tools/" TargetMode="External"/><Relationship Id="rId1133" Type="http://schemas.openxmlformats.org/officeDocument/2006/relationships/hyperlink" Target="https://gracker.ai/news/top-10-ai-seo-agencies-digital-marketing-firms-for-2026" TargetMode="External"/><Relationship Id="rId541" Type="http://schemas.openxmlformats.org/officeDocument/2006/relationships/hyperlink" Target="http://sortlist.com" TargetMode="External"/><Relationship Id="rId1134" Type="http://schemas.openxmlformats.org/officeDocument/2006/relationships/hyperlink" Target="http://gracker.ai" TargetMode="External"/><Relationship Id="rId540" Type="http://schemas.openxmlformats.org/officeDocument/2006/relationships/hyperlink" Target="https://www.sortlist.com/s/ai-marketing/united-states-us" TargetMode="External"/><Relationship Id="rId1135" Type="http://schemas.openxmlformats.org/officeDocument/2006/relationships/hyperlink" Target="https://www.heydigital.co/blog/best-saas-paid-social-agencies" TargetMode="External"/><Relationship Id="rId1125" Type="http://schemas.openxmlformats.org/officeDocument/2006/relationships/hyperlink" Target="https://www.geovate.com/blog/top-answer-engine-optimization-aeo-agencies" TargetMode="External"/><Relationship Id="rId1126" Type="http://schemas.openxmlformats.org/officeDocument/2006/relationships/hyperlink" Target="http://geovate.com" TargetMode="External"/><Relationship Id="rId1127" Type="http://schemas.openxmlformats.org/officeDocument/2006/relationships/hyperlink" Target="https://getadlib.com/blog/best-display-advertising-platforms/" TargetMode="External"/><Relationship Id="rId1128" Type="http://schemas.openxmlformats.org/officeDocument/2006/relationships/hyperlink" Target="http://getadlib.com" TargetMode="External"/><Relationship Id="rId1129" Type="http://schemas.openxmlformats.org/officeDocument/2006/relationships/hyperlink" Target="https://www.goodfirms.co/advertising-companies/programmatic?locations=us&amp;sort_by=rating" TargetMode="External"/><Relationship Id="rId536" Type="http://schemas.openxmlformats.org/officeDocument/2006/relationships/hyperlink" Target="https://www.saffronedge.com/blog/top-aeo-agency/" TargetMode="External"/><Relationship Id="rId535" Type="http://schemas.openxmlformats.org/officeDocument/2006/relationships/hyperlink" Target="http://mordorintelligence.com" TargetMode="External"/><Relationship Id="rId534" Type="http://schemas.openxmlformats.org/officeDocument/2006/relationships/hyperlink" Target="https://www.mordorintelligence.com/industry-reports/united-states-marketing-analytics-market/companies" TargetMode="External"/><Relationship Id="rId533" Type="http://schemas.openxmlformats.org/officeDocument/2006/relationships/hyperlink" Target="http://moburst.com" TargetMode="External"/><Relationship Id="rId539" Type="http://schemas.openxmlformats.org/officeDocument/2006/relationships/hyperlink" Target="http://smacient.com" TargetMode="External"/><Relationship Id="rId538" Type="http://schemas.openxmlformats.org/officeDocument/2006/relationships/hyperlink" Target="https://smacient.com/top-geo-agencies-in-the-usa/" TargetMode="External"/><Relationship Id="rId537" Type="http://schemas.openxmlformats.org/officeDocument/2006/relationships/hyperlink" Target="http://saffronedge.com" TargetMode="External"/><Relationship Id="rId1120" Type="http://schemas.openxmlformats.org/officeDocument/2006/relationships/hyperlink" Target="https://fuelonline.com/best-agencies/top-20-ppc-agencies-in-the-united-states-ranked-for-2026/" TargetMode="External"/><Relationship Id="rId532" Type="http://schemas.openxmlformats.org/officeDocument/2006/relationships/hyperlink" Target="https://www.moburst.com/blog/best-web-marketing-agencies-usa/" TargetMode="External"/><Relationship Id="rId1121" Type="http://schemas.openxmlformats.org/officeDocument/2006/relationships/hyperlink" Target="http://fuelonline.com" TargetMode="External"/><Relationship Id="rId531" Type="http://schemas.openxmlformats.org/officeDocument/2006/relationships/hyperlink" Target="http://lengreo.com" TargetMode="External"/><Relationship Id="rId1122" Type="http://schemas.openxmlformats.org/officeDocument/2006/relationships/hyperlink" Target="https://www.g-co.agency/insights/top-enterprise-digital-marketing-agencies-to-work-with" TargetMode="External"/><Relationship Id="rId530" Type="http://schemas.openxmlformats.org/officeDocument/2006/relationships/hyperlink" Target="https://lengreo.com/ai-search-marketing-agencies/" TargetMode="External"/><Relationship Id="rId1123" Type="http://schemas.openxmlformats.org/officeDocument/2006/relationships/hyperlink" Target="https://www.geovate.com/blog/generative-engine-optimization-geo-agencies" TargetMode="External"/><Relationship Id="rId1124" Type="http://schemas.openxmlformats.org/officeDocument/2006/relationships/hyperlink" Target="http://geovate.com" TargetMode="External"/><Relationship Id="rId1158" Type="http://schemas.openxmlformats.org/officeDocument/2006/relationships/hyperlink" Target="https://marketerhire.com/blog/display-advertising-agency" TargetMode="External"/><Relationship Id="rId1159" Type="http://schemas.openxmlformats.org/officeDocument/2006/relationships/hyperlink" Target="http://marketerhire.com" TargetMode="External"/><Relationship Id="rId569" Type="http://schemas.openxmlformats.org/officeDocument/2006/relationships/hyperlink" Target="http://gtm8020.com" TargetMode="External"/><Relationship Id="rId568" Type="http://schemas.openxmlformats.org/officeDocument/2006/relationships/hyperlink" Target="https://www.gtm8020.com/blog/marketing-analytics-agencies-b2b" TargetMode="External"/><Relationship Id="rId567" Type="http://schemas.openxmlformats.org/officeDocument/2006/relationships/hyperlink" Target="http://grizzle.io" TargetMode="External"/><Relationship Id="rId566" Type="http://schemas.openxmlformats.org/officeDocument/2006/relationships/hyperlink" Target="https://grizzle.io/blog/best-generative-engine-optimization-agencies-for-b2b" TargetMode="External"/><Relationship Id="rId561" Type="http://schemas.openxmlformats.org/officeDocument/2006/relationships/hyperlink" Target="http://goodfirms.co" TargetMode="External"/><Relationship Id="rId1150" Type="http://schemas.openxmlformats.org/officeDocument/2006/relationships/hyperlink" Target="https://lengreo.com/best-us-agencies-for-meta-ads/" TargetMode="External"/><Relationship Id="rId560" Type="http://schemas.openxmlformats.org/officeDocument/2006/relationships/hyperlink" Target="https://www.goodfirms.co/advertising-companies/programmatic" TargetMode="External"/><Relationship Id="rId1151" Type="http://schemas.openxmlformats.org/officeDocument/2006/relationships/hyperlink" Target="http://lengreo.com" TargetMode="External"/><Relationship Id="rId1152" Type="http://schemas.openxmlformats.org/officeDocument/2006/relationships/hyperlink" Target="https://lifesight.io/blog/best-unified-marketing-measurement-tools/" TargetMode="External"/><Relationship Id="rId1153" Type="http://schemas.openxmlformats.org/officeDocument/2006/relationships/hyperlink" Target="http://lifesight.io" TargetMode="External"/><Relationship Id="rId565" Type="http://schemas.openxmlformats.org/officeDocument/2006/relationships/hyperlink" Target="http://goodfirms.co" TargetMode="External"/><Relationship Id="rId1154" Type="http://schemas.openxmlformats.org/officeDocument/2006/relationships/hyperlink" Target="https://liftlab.com/blog/marketing-mix-modeling-platforms/" TargetMode="External"/><Relationship Id="rId564" Type="http://schemas.openxmlformats.org/officeDocument/2006/relationships/hyperlink" Target="https://www.goodfirms.co/directory/country/top-digital-marketing-companies/media-planning-buying/usa" TargetMode="External"/><Relationship Id="rId1155" Type="http://schemas.openxmlformats.org/officeDocument/2006/relationships/hyperlink" Target="http://liftlab.com" TargetMode="External"/><Relationship Id="rId563" Type="http://schemas.openxmlformats.org/officeDocument/2006/relationships/hyperlink" Target="http://goodfirms.co" TargetMode="External"/><Relationship Id="rId1156" Type="http://schemas.openxmlformats.org/officeDocument/2006/relationships/hyperlink" Target="https://www.m8l.com/blog/top-10-answer-engine-optimization-aeo-agencies" TargetMode="External"/><Relationship Id="rId562" Type="http://schemas.openxmlformats.org/officeDocument/2006/relationships/hyperlink" Target="https://www.goodfirms.co/directory/country/top-digital-marketing-companies/advertising-ppc/usa" TargetMode="External"/><Relationship Id="rId1157" Type="http://schemas.openxmlformats.org/officeDocument/2006/relationships/hyperlink" Target="http://m8l.com" TargetMode="External"/><Relationship Id="rId1147" Type="http://schemas.openxmlformats.org/officeDocument/2006/relationships/hyperlink" Target="http://intuz.com" TargetMode="External"/><Relationship Id="rId1148" Type="http://schemas.openxmlformats.org/officeDocument/2006/relationships/hyperlink" Target="https://lengreo.com/best-google-ads-agencies-2025/" TargetMode="External"/><Relationship Id="rId1149" Type="http://schemas.openxmlformats.org/officeDocument/2006/relationships/hyperlink" Target="http://lengreo.com" TargetMode="External"/><Relationship Id="rId558" Type="http://schemas.openxmlformats.org/officeDocument/2006/relationships/hyperlink" Target="http://cometly.com" TargetMode="External"/><Relationship Id="rId557" Type="http://schemas.openxmlformats.org/officeDocument/2006/relationships/hyperlink" Target="https://www.cometly.com/post/incrementality-testing-software" TargetMode="External"/><Relationship Id="rId556" Type="http://schemas.openxmlformats.org/officeDocument/2006/relationships/hyperlink" Target="http://clutch.co" TargetMode="External"/><Relationship Id="rId555" Type="http://schemas.openxmlformats.org/officeDocument/2006/relationships/hyperlink" Target="https://clutch.co/us/agencies/digital-marketing/enterprise" TargetMode="External"/><Relationship Id="rId559" Type="http://schemas.openxmlformats.org/officeDocument/2006/relationships/hyperlink" Target="https://www.fieldtrip.agency/post/best-ai-marketing-agencies" TargetMode="External"/><Relationship Id="rId550" Type="http://schemas.openxmlformats.org/officeDocument/2006/relationships/hyperlink" Target="http://avidtrak.com" TargetMode="External"/><Relationship Id="rId1140" Type="http://schemas.openxmlformats.org/officeDocument/2006/relationships/hyperlink" Target="https://indatalabs.com/blog/ai-consulting-companies-in-usa" TargetMode="External"/><Relationship Id="rId1141" Type="http://schemas.openxmlformats.org/officeDocument/2006/relationships/hyperlink" Target="http://indatalabs.com" TargetMode="External"/><Relationship Id="rId1142" Type="http://schemas.openxmlformats.org/officeDocument/2006/relationships/hyperlink" Target="https://indatalabs.com/blog/data-analytics-companies-in-usa" TargetMode="External"/><Relationship Id="rId554" Type="http://schemas.openxmlformats.org/officeDocument/2006/relationships/hyperlink" Target="http://clutch.co" TargetMode="External"/><Relationship Id="rId1143" Type="http://schemas.openxmlformats.org/officeDocument/2006/relationships/hyperlink" Target="http://indatalabs.com" TargetMode="External"/><Relationship Id="rId553" Type="http://schemas.openxmlformats.org/officeDocument/2006/relationships/hyperlink" Target="https://clutch.co/agencies/ppc/display%3Fpage%3D0" TargetMode="External"/><Relationship Id="rId1144" Type="http://schemas.openxmlformats.org/officeDocument/2006/relationships/hyperlink" Target="https://ingestlabs.com/top-digital-ad-agencies/" TargetMode="External"/><Relationship Id="rId552" Type="http://schemas.openxmlformats.org/officeDocument/2006/relationships/hyperlink" Target="http://brillmedia.co" TargetMode="External"/><Relationship Id="rId1145" Type="http://schemas.openxmlformats.org/officeDocument/2006/relationships/hyperlink" Target="http://ingestlabs.com" TargetMode="External"/><Relationship Id="rId551" Type="http://schemas.openxmlformats.org/officeDocument/2006/relationships/hyperlink" Target="https://brillmedia.co/resources/best-display-advertising-agencies/" TargetMode="External"/><Relationship Id="rId1146" Type="http://schemas.openxmlformats.org/officeDocument/2006/relationships/hyperlink" Target="https://www.intuz.com/blog/top-ai-consulting-companies-in-usa" TargetMode="External"/><Relationship Id="rId495" Type="http://schemas.openxmlformats.org/officeDocument/2006/relationships/hyperlink" Target="https://www.semfirms.com/display-advertising-firms" TargetMode="External"/><Relationship Id="rId494" Type="http://schemas.openxmlformats.org/officeDocument/2006/relationships/hyperlink" Target="http://segmentstream.com" TargetMode="External"/><Relationship Id="rId493" Type="http://schemas.openxmlformats.org/officeDocument/2006/relationships/hyperlink" Target="https://segmentstream.com/blog/articles/top-enterprise-marketing-analytics-and-attribution-platforms" TargetMode="External"/><Relationship Id="rId492" Type="http://schemas.openxmlformats.org/officeDocument/2006/relationships/hyperlink" Target="http://reddit.com" TargetMode="External"/><Relationship Id="rId499" Type="http://schemas.openxmlformats.org/officeDocument/2006/relationships/hyperlink" Target="https://www.sortlist.com/attribution-marketing" TargetMode="External"/><Relationship Id="rId498" Type="http://schemas.openxmlformats.org/officeDocument/2006/relationships/hyperlink" Target="http://singlegrain.com" TargetMode="External"/><Relationship Id="rId497" Type="http://schemas.openxmlformats.org/officeDocument/2006/relationships/hyperlink" Target="https://www.singlegrain.com/artificial-intelligence/top-14-ai-marketing-agencies-in-2025/" TargetMode="External"/><Relationship Id="rId496" Type="http://schemas.openxmlformats.org/officeDocument/2006/relationships/hyperlink" Target="http://semfirms.com" TargetMode="External"/><Relationship Id="rId1213" Type="http://schemas.openxmlformats.org/officeDocument/2006/relationships/hyperlink" Target="https://www.rocktherankings.com/best-geo-agency/" TargetMode="External"/><Relationship Id="rId1214" Type="http://schemas.openxmlformats.org/officeDocument/2006/relationships/hyperlink" Target="http://rocktherankings.com" TargetMode="External"/><Relationship Id="rId1215" Type="http://schemas.openxmlformats.org/officeDocument/2006/relationships/hyperlink" Target="https://www.saas-hackers.com/top/b2b-saas-enterprise-agencies" TargetMode="External"/><Relationship Id="rId1216" Type="http://schemas.openxmlformats.org/officeDocument/2006/relationships/hyperlink" Target="http://saas-hackers.com" TargetMode="External"/><Relationship Id="rId1217" Type="http://schemas.openxmlformats.org/officeDocument/2006/relationships/hyperlink" Target="https://scopicstudios.com/blog/best-enterprise-marketing-data-analytics-consulting-firms-2026/" TargetMode="External"/><Relationship Id="rId1218" Type="http://schemas.openxmlformats.org/officeDocument/2006/relationships/hyperlink" Target="http://scopicstudios.com" TargetMode="External"/><Relationship Id="rId1219" Type="http://schemas.openxmlformats.org/officeDocument/2006/relationships/hyperlink" Target="https://www.sealglobalholdings.com/ai-search-optimization-agency" TargetMode="External"/><Relationship Id="rId1210" Type="http://schemas.openxmlformats.org/officeDocument/2006/relationships/hyperlink" Target="http://rhblake.com" TargetMode="External"/><Relationship Id="rId1211" Type="http://schemas.openxmlformats.org/officeDocument/2006/relationships/hyperlink" Target="https://rocketium.ai/academy/all/ai-tools-scaling-creative-production" TargetMode="External"/><Relationship Id="rId1212" Type="http://schemas.openxmlformats.org/officeDocument/2006/relationships/hyperlink" Target="http://rocketium.ai" TargetMode="External"/><Relationship Id="rId1202" Type="http://schemas.openxmlformats.org/officeDocument/2006/relationships/hyperlink" Target="http://reddit.com" TargetMode="External"/><Relationship Id="rId1203" Type="http://schemas.openxmlformats.org/officeDocument/2006/relationships/hyperlink" Target="https://www.reddit.com/r/u_ThoughtMetric/comments/1udm00v/best_improvado_alternatives_updated_june_2026/" TargetMode="External"/><Relationship Id="rId1204" Type="http://schemas.openxmlformats.org/officeDocument/2006/relationships/hyperlink" Target="http://reddit.com" TargetMode="External"/><Relationship Id="rId1205" Type="http://schemas.openxmlformats.org/officeDocument/2006/relationships/hyperlink" Target="https://www.resultfirst.com/blog/ai-seo/best-ai-seo-agencies/" TargetMode="External"/><Relationship Id="rId1206" Type="http://schemas.openxmlformats.org/officeDocument/2006/relationships/hyperlink" Target="http://resultfirst.com" TargetMode="External"/><Relationship Id="rId1207" Type="http://schemas.openxmlformats.org/officeDocument/2006/relationships/hyperlink" Target="https://revenuezen2.rssing.com/chan-77317245/article73.html?nocache=0" TargetMode="External"/><Relationship Id="rId1208" Type="http://schemas.openxmlformats.org/officeDocument/2006/relationships/hyperlink" Target="http://rssing.com" TargetMode="External"/><Relationship Id="rId1209" Type="http://schemas.openxmlformats.org/officeDocument/2006/relationships/hyperlink" Target="https://rhblake.com/best-generative-engine-optimization-geo-agencies-2025-edition/" TargetMode="External"/><Relationship Id="rId1200" Type="http://schemas.openxmlformats.org/officeDocument/2006/relationships/hyperlink" Target="http://reddit.com" TargetMode="External"/><Relationship Id="rId1201" Type="http://schemas.openxmlformats.org/officeDocument/2006/relationships/hyperlink" Target="https://www.reddit.com/r/u_Temporary_Meeting182/comments/1tp4iah/best_saas_geo_agencies_in_2026_who_should/" TargetMode="External"/><Relationship Id="rId1235" Type="http://schemas.openxmlformats.org/officeDocument/2006/relationships/hyperlink" Target="https://silverspoonagency.com/best-performance-marketing-agencies/" TargetMode="External"/><Relationship Id="rId1236" Type="http://schemas.openxmlformats.org/officeDocument/2006/relationships/hyperlink" Target="http://silverspoonagency.com" TargetMode="External"/><Relationship Id="rId1237" Type="http://schemas.openxmlformats.org/officeDocument/2006/relationships/hyperlink" Target="https://www.sortlist.com/s/creative/united-states-us" TargetMode="External"/><Relationship Id="rId1238" Type="http://schemas.openxmlformats.org/officeDocument/2006/relationships/hyperlink" Target="http://sortlist.com" TargetMode="External"/><Relationship Id="rId1239" Type="http://schemas.openxmlformats.org/officeDocument/2006/relationships/hyperlink" Target="https://sourceforge.net/software/incrementality-testing/" TargetMode="External"/><Relationship Id="rId409" Type="http://schemas.openxmlformats.org/officeDocument/2006/relationships/hyperlink" Target="http://themanifest.com" TargetMode="External"/><Relationship Id="rId404" Type="http://schemas.openxmlformats.org/officeDocument/2006/relationships/hyperlink" Target="https://www.silverbackstrategies.com/lists/best-google-ads-agencies-in-the-us-ranked-reviewed/" TargetMode="External"/><Relationship Id="rId403" Type="http://schemas.openxmlformats.org/officeDocument/2006/relationships/hyperlink" Target="http://scopicstudios.com" TargetMode="External"/><Relationship Id="rId402" Type="http://schemas.openxmlformats.org/officeDocument/2006/relationships/hyperlink" Target="https://scopicstudios.com/blog/best-incrementality-testing-tools-2026/" TargetMode="External"/><Relationship Id="rId401" Type="http://schemas.openxmlformats.org/officeDocument/2006/relationships/hyperlink" Target="http://rightleftagency.com" TargetMode="External"/><Relationship Id="rId408" Type="http://schemas.openxmlformats.org/officeDocument/2006/relationships/hyperlink" Target="https://themanifest.com/us/media-buying/agencies" TargetMode="External"/><Relationship Id="rId407" Type="http://schemas.openxmlformats.org/officeDocument/2006/relationships/hyperlink" Target="http://techstepsolutions.com" TargetMode="External"/><Relationship Id="rId406" Type="http://schemas.openxmlformats.org/officeDocument/2006/relationships/hyperlink" Target="https://www.techstepsolutions.com/digital-marketing-agencies-usa-2026/" TargetMode="External"/><Relationship Id="rId405" Type="http://schemas.openxmlformats.org/officeDocument/2006/relationships/hyperlink" Target="http://silverbackstrategies.com" TargetMode="External"/><Relationship Id="rId1230" Type="http://schemas.openxmlformats.org/officeDocument/2006/relationships/hyperlink" Target="http://seodiscovery.com" TargetMode="External"/><Relationship Id="rId400" Type="http://schemas.openxmlformats.org/officeDocument/2006/relationships/hyperlink" Target="https://rightleftagency.com/blog/best-paid-search-marketing-agencies-in-usa/" TargetMode="External"/><Relationship Id="rId1231" Type="http://schemas.openxmlformats.org/officeDocument/2006/relationships/hyperlink" Target="https://shopiator.com/blog/best-google-ads-agencies-usa" TargetMode="External"/><Relationship Id="rId1232" Type="http://schemas.openxmlformats.org/officeDocument/2006/relationships/hyperlink" Target="http://shopiator.com" TargetMode="External"/><Relationship Id="rId1233" Type="http://schemas.openxmlformats.org/officeDocument/2006/relationships/hyperlink" Target="https://www.silverbackstrategies.com/lists/best-ppc-agencies-in-the-us-ranked-reviewed/" TargetMode="External"/><Relationship Id="rId1234" Type="http://schemas.openxmlformats.org/officeDocument/2006/relationships/hyperlink" Target="http://silverbackstrategies.com" TargetMode="External"/><Relationship Id="rId1224" Type="http://schemas.openxmlformats.org/officeDocument/2006/relationships/hyperlink" Target="http://semnexus.com" TargetMode="External"/><Relationship Id="rId1225" Type="http://schemas.openxmlformats.org/officeDocument/2006/relationships/hyperlink" Target="https://www.semrush.com/agencies/list/display-advertising/united-states/" TargetMode="External"/><Relationship Id="rId1226" Type="http://schemas.openxmlformats.org/officeDocument/2006/relationships/hyperlink" Target="http://semrush.com" TargetMode="External"/><Relationship Id="rId1227" Type="http://schemas.openxmlformats.org/officeDocument/2006/relationships/hyperlink" Target="https://www.seo.com/ai/companies/" TargetMode="External"/><Relationship Id="rId1228" Type="http://schemas.openxmlformats.org/officeDocument/2006/relationships/hyperlink" Target="http://seo.com" TargetMode="External"/><Relationship Id="rId1229" Type="http://schemas.openxmlformats.org/officeDocument/2006/relationships/hyperlink" Target="https://www.seodiscovery.com/blog/best-digital-marketing-companies-in-usa/" TargetMode="External"/><Relationship Id="rId1220" Type="http://schemas.openxmlformats.org/officeDocument/2006/relationships/hyperlink" Target="http://sealglobalholdings.com" TargetMode="External"/><Relationship Id="rId1221" Type="http://schemas.openxmlformats.org/officeDocument/2006/relationships/hyperlink" Target="https://sellforte.com/blog/best-ai-tools-for-mmm-and-incrementality-testing" TargetMode="External"/><Relationship Id="rId1222" Type="http://schemas.openxmlformats.org/officeDocument/2006/relationships/hyperlink" Target="http://sellforte.com" TargetMode="External"/><Relationship Id="rId1223" Type="http://schemas.openxmlformats.org/officeDocument/2006/relationships/hyperlink" Target="https://semnexus.com/best-aeo-agencies-in-the-us-for-2026/" TargetMode="External"/><Relationship Id="rId469" Type="http://schemas.openxmlformats.org/officeDocument/2006/relationships/hyperlink" Target="https://directiveconsulting.com/blog/best-geo-agencies/" TargetMode="External"/><Relationship Id="rId468" Type="http://schemas.openxmlformats.org/officeDocument/2006/relationships/hyperlink" Target="http://digitalmarketingsupermarket.com" TargetMode="External"/><Relationship Id="rId467" Type="http://schemas.openxmlformats.org/officeDocument/2006/relationships/hyperlink" Target="https://digitalmarketingsupermarket.com/blog/best-ai-marketing-agencies/" TargetMode="External"/><Relationship Id="rId1290" Type="http://schemas.openxmlformats.org/officeDocument/2006/relationships/hyperlink" Target="http://zipdo.co" TargetMode="External"/><Relationship Id="rId1291" Type="http://schemas.openxmlformats.org/officeDocument/2006/relationships/hyperlink" Target="https://zipdo.co/service/agency-digital-marketing/" TargetMode="External"/><Relationship Id="rId1292" Type="http://schemas.openxmlformats.org/officeDocument/2006/relationships/hyperlink" Target="http://zipdo.co" TargetMode="External"/><Relationship Id="rId462" Type="http://schemas.openxmlformats.org/officeDocument/2006/relationships/hyperlink" Target="http://beomniscient.com" TargetMode="External"/><Relationship Id="rId1293" Type="http://schemas.openxmlformats.org/officeDocument/2006/relationships/hyperlink" Target="https://zipdo.co/service/marketing-attribution/" TargetMode="External"/><Relationship Id="rId461" Type="http://schemas.openxmlformats.org/officeDocument/2006/relationships/hyperlink" Target="https://beomniscient.com/blog/geo-agencies/" TargetMode="External"/><Relationship Id="rId1294" Type="http://schemas.openxmlformats.org/officeDocument/2006/relationships/hyperlink" Target="http://zipdo.co" TargetMode="External"/><Relationship Id="rId460" Type="http://schemas.openxmlformats.org/officeDocument/2006/relationships/hyperlink" Target="http://beomniscient.com" TargetMode="External"/><Relationship Id="rId1295" Type="http://schemas.openxmlformats.org/officeDocument/2006/relationships/hyperlink" Target="https://12amagency.com/blog/digital-marketing-agency-for-small-business-comparison/" TargetMode="External"/><Relationship Id="rId1296" Type="http://schemas.openxmlformats.org/officeDocument/2006/relationships/hyperlink" Target="http://12amagency.com" TargetMode="External"/><Relationship Id="rId466" Type="http://schemas.openxmlformats.org/officeDocument/2006/relationships/hyperlink" Target="http://deviatelabs.com" TargetMode="External"/><Relationship Id="rId1297" Type="http://schemas.openxmlformats.org/officeDocument/2006/relationships/hyperlink" Target="https://www.20northmarketing.com/blog/best-marketing-agencies-atlanta" TargetMode="External"/><Relationship Id="rId465" Type="http://schemas.openxmlformats.org/officeDocument/2006/relationships/hyperlink" Target="https://deviatelabs.com/resources/7-best-ai-marketing-agencies-to-revolutionize-your-growth-in-2025/" TargetMode="External"/><Relationship Id="rId1298" Type="http://schemas.openxmlformats.org/officeDocument/2006/relationships/hyperlink" Target="http://20northmarketing.com" TargetMode="External"/><Relationship Id="rId464" Type="http://schemas.openxmlformats.org/officeDocument/2006/relationships/hyperlink" Target="http://growthmarshal.io" TargetMode="External"/><Relationship Id="rId1299" Type="http://schemas.openxmlformats.org/officeDocument/2006/relationships/hyperlink" Target="https://www.50pros.com/hire/conversion-rate-optimization/ab-and-multivariate-testing" TargetMode="External"/><Relationship Id="rId463" Type="http://schemas.openxmlformats.org/officeDocument/2006/relationships/hyperlink" Target="https://compare.growthmarshal.io/best-geo-agencies-2026/" TargetMode="External"/><Relationship Id="rId459" Type="http://schemas.openxmlformats.org/officeDocument/2006/relationships/hyperlink" Target="https://beomniscient.com/blog/aeo-agency/" TargetMode="External"/><Relationship Id="rId458" Type="http://schemas.openxmlformats.org/officeDocument/2006/relationships/hyperlink" Target="http://semrush.com" TargetMode="External"/><Relationship Id="rId457" Type="http://schemas.openxmlformats.org/officeDocument/2006/relationships/hyperlink" Target="https://agencies.semrush.com/list/programmatic-advertising/united-states/" TargetMode="External"/><Relationship Id="rId456" Type="http://schemas.openxmlformats.org/officeDocument/2006/relationships/hyperlink" Target="http://zyppy.com" TargetMode="External"/><Relationship Id="rId1280" Type="http://schemas.openxmlformats.org/officeDocument/2006/relationships/hyperlink" Target="http://worldmetrics.org" TargetMode="External"/><Relationship Id="rId1281" Type="http://schemas.openxmlformats.org/officeDocument/2006/relationships/hyperlink" Target="https://worldmetrics.org/service/full-digital-marketing/" TargetMode="External"/><Relationship Id="rId451" Type="http://schemas.openxmlformats.org/officeDocument/2006/relationships/hyperlink" Target="http://uforocks.com" TargetMode="External"/><Relationship Id="rId1282" Type="http://schemas.openxmlformats.org/officeDocument/2006/relationships/hyperlink" Target="http://worldmetrics.org" TargetMode="External"/><Relationship Id="rId450" Type="http://schemas.openxmlformats.org/officeDocument/2006/relationships/hyperlink" Target="https://www.uforocks.com/blog/top-google-ads-agencies-in-the-u-s/" TargetMode="External"/><Relationship Id="rId1283" Type="http://schemas.openxmlformats.org/officeDocument/2006/relationships/hyperlink" Target="https://xchange.avixa.org/posts/10-best-digital-marketing-agencies-in-usa-2026" TargetMode="External"/><Relationship Id="rId1284" Type="http://schemas.openxmlformats.org/officeDocument/2006/relationships/hyperlink" Target="http://avixa.org" TargetMode="External"/><Relationship Id="rId1285" Type="http://schemas.openxmlformats.org/officeDocument/2006/relationships/hyperlink" Target="https://xchange.avixa.org/posts/top-10-digital-marketing-companies-in-the-usa-for-2026" TargetMode="External"/><Relationship Id="rId455" Type="http://schemas.openxmlformats.org/officeDocument/2006/relationships/hyperlink" Target="https://zyppy.com/companies/c/marketing-attribution/united-states/" TargetMode="External"/><Relationship Id="rId1286" Type="http://schemas.openxmlformats.org/officeDocument/2006/relationships/hyperlink" Target="http://avixa.org" TargetMode="External"/><Relationship Id="rId454" Type="http://schemas.openxmlformats.org/officeDocument/2006/relationships/hyperlink" Target="https://wildnetmarketing.agency/blog/best-web-analytics-agencies-in-usa/" TargetMode="External"/><Relationship Id="rId1287" Type="http://schemas.openxmlformats.org/officeDocument/2006/relationships/hyperlink" Target="https://www.youtube.com/watch?v=OR58Odpst7Q" TargetMode="External"/><Relationship Id="rId453" Type="http://schemas.openxmlformats.org/officeDocument/2006/relationships/hyperlink" Target="http://upliftgtm.com" TargetMode="External"/><Relationship Id="rId1288" Type="http://schemas.openxmlformats.org/officeDocument/2006/relationships/hyperlink" Target="http://youtube.com" TargetMode="External"/><Relationship Id="rId452" Type="http://schemas.openxmlformats.org/officeDocument/2006/relationships/hyperlink" Target="https://www.upliftgtm.com/blog/best-aeo-agencies" TargetMode="External"/><Relationship Id="rId1289" Type="http://schemas.openxmlformats.org/officeDocument/2006/relationships/hyperlink" Target="https://zipdo.co/service/advertising-and-marketing/" TargetMode="External"/><Relationship Id="rId491" Type="http://schemas.openxmlformats.org/officeDocument/2006/relationships/hyperlink" Target="https://www.reddit.com/r/ecommerce/comments/1qusfa4/looking_for_best_incrementality_testing_tools/" TargetMode="External"/><Relationship Id="rId490" Type="http://schemas.openxmlformats.org/officeDocument/2006/relationships/hyperlink" Target="http://reddit.com" TargetMode="External"/><Relationship Id="rId489" Type="http://schemas.openxmlformats.org/officeDocument/2006/relationships/hyperlink" Target="https://www.reddit.com/r/SaaS/comments/1scwc2o/who_is_the_best_answer_engine_optimization_aeo/" TargetMode="External"/><Relationship Id="rId484" Type="http://schemas.openxmlformats.org/officeDocument/2006/relationships/hyperlink" Target="https://www.onely.com/blog/best-geo-agencies/" TargetMode="External"/><Relationship Id="rId483" Type="http://schemas.openxmlformats.org/officeDocument/2006/relationships/hyperlink" Target="http://onely.com" TargetMode="External"/><Relationship Id="rId482" Type="http://schemas.openxmlformats.org/officeDocument/2006/relationships/hyperlink" Target="https://www.onely.com/blog/best-ai-seo-agencies/" TargetMode="External"/><Relationship Id="rId481" Type="http://schemas.openxmlformats.org/officeDocument/2006/relationships/hyperlink" Target="http://omnieclipse.ai" TargetMode="External"/><Relationship Id="rId488" Type="http://schemas.openxmlformats.org/officeDocument/2006/relationships/hyperlink" Target="http://rankarise.com" TargetMode="External"/><Relationship Id="rId487" Type="http://schemas.openxmlformats.org/officeDocument/2006/relationships/hyperlink" Target="https://www.rankarise.com/blog/best-aeo-agencies-in-usa-listing-and-reviews/" TargetMode="External"/><Relationship Id="rId486" Type="http://schemas.openxmlformats.org/officeDocument/2006/relationships/hyperlink" Target="https://piperocket.digital/list/best-aeo-agency/" TargetMode="External"/><Relationship Id="rId485" Type="http://schemas.openxmlformats.org/officeDocument/2006/relationships/hyperlink" Target="http://onely.com" TargetMode="External"/><Relationship Id="rId480" Type="http://schemas.openxmlformats.org/officeDocument/2006/relationships/hyperlink" Target="https://omnieclipse.ai/blog/best-aeo-agencies-united-states-2026" TargetMode="External"/><Relationship Id="rId479" Type="http://schemas.openxmlformats.org/officeDocument/2006/relationships/hyperlink" Target="http://loudface.co" TargetMode="External"/><Relationship Id="rId478" Type="http://schemas.openxmlformats.org/officeDocument/2006/relationships/hyperlink" Target="https://www.loudface.co/blog/best-aeo-agencies-b2b-saas-2026" TargetMode="External"/><Relationship Id="rId473" Type="http://schemas.openxmlformats.org/officeDocument/2006/relationships/hyperlink" Target="https://firstpagesage.com/seo-blog/the-top-answer-engine-optimization-aeo-companies/" TargetMode="External"/><Relationship Id="rId472" Type="http://schemas.openxmlformats.org/officeDocument/2006/relationships/hyperlink" Target="http://directiveconsulting.com" TargetMode="External"/><Relationship Id="rId471" Type="http://schemas.openxmlformats.org/officeDocument/2006/relationships/hyperlink" Target="https://directiveconsulting.com/uk/blog/best-geo-agencies/" TargetMode="External"/><Relationship Id="rId470" Type="http://schemas.openxmlformats.org/officeDocument/2006/relationships/hyperlink" Target="http://directiveconsulting.com" TargetMode="External"/><Relationship Id="rId477" Type="http://schemas.openxmlformats.org/officeDocument/2006/relationships/hyperlink" Target="https://inbeat.agency/blog/top-creative-agencies" TargetMode="External"/><Relationship Id="rId476" Type="http://schemas.openxmlformats.org/officeDocument/2006/relationships/hyperlink" Target="http://gestisoft.com" TargetMode="External"/><Relationship Id="rId475" Type="http://schemas.openxmlformats.org/officeDocument/2006/relationships/hyperlink" Target="https://www.gestisoft.com/en/blog/top-ai-consulting-firms" TargetMode="External"/><Relationship Id="rId474" Type="http://schemas.openxmlformats.org/officeDocument/2006/relationships/hyperlink" Target="http://firstpagesage.com" TargetMode="External"/><Relationship Id="rId1257" Type="http://schemas.openxmlformats.org/officeDocument/2006/relationships/hyperlink" Target="https://usanews.com/newsroom/top-digital-marketing-agencies-in-the-united-states" TargetMode="External"/><Relationship Id="rId1258" Type="http://schemas.openxmlformats.org/officeDocument/2006/relationships/hyperlink" Target="http://usanews.com" TargetMode="External"/><Relationship Id="rId1259" Type="http://schemas.openxmlformats.org/officeDocument/2006/relationships/hyperlink" Target="https://valasys.com/best-aeo-agencies-b2b-brands/" TargetMode="External"/><Relationship Id="rId426" Type="http://schemas.openxmlformats.org/officeDocument/2006/relationships/hyperlink" Target="http://coolnerdsmarketing.com" TargetMode="External"/><Relationship Id="rId425" Type="http://schemas.openxmlformats.org/officeDocument/2006/relationships/hyperlink" Target="https://coolnerdsmarketing.com/top-creative-agencies-us/" TargetMode="External"/><Relationship Id="rId424" Type="http://schemas.openxmlformats.org/officeDocument/2006/relationships/hyperlink" Target="http://blueprintdemand.com" TargetMode="External"/><Relationship Id="rId423" Type="http://schemas.openxmlformats.org/officeDocument/2006/relationships/hyperlink" Target="https://blueprintdemand.com/top-10-display-advertising-agency-partners-for-2026/" TargetMode="External"/><Relationship Id="rId429" Type="http://schemas.openxmlformats.org/officeDocument/2006/relationships/hyperlink" Target="https://www.csp.agency/blog/top-8-geo-agencies-for-2026-ranked-by-data/" TargetMode="External"/><Relationship Id="rId428" Type="http://schemas.openxmlformats.org/officeDocument/2006/relationships/hyperlink" Target="http://copilot-experts.com" TargetMode="External"/><Relationship Id="rId427" Type="http://schemas.openxmlformats.org/officeDocument/2006/relationships/hyperlink" Target="https://copilot-experts.com/top-ai-consulting-firm/" TargetMode="External"/><Relationship Id="rId1250" Type="http://schemas.openxmlformats.org/officeDocument/2006/relationships/hyperlink" Target="http://thriveagency.com" TargetMode="External"/><Relationship Id="rId1251" Type="http://schemas.openxmlformats.org/officeDocument/2006/relationships/hyperlink" Target="https://www.topbrandingagencies.io/top-branding-agencies-in-america" TargetMode="External"/><Relationship Id="rId1252" Type="http://schemas.openxmlformats.org/officeDocument/2006/relationships/hyperlink" Target="http://topbrandingagencies.io" TargetMode="External"/><Relationship Id="rId422" Type="http://schemas.openxmlformats.org/officeDocument/2006/relationships/hyperlink" Target="http://askattest.com" TargetMode="External"/><Relationship Id="rId1253" Type="http://schemas.openxmlformats.org/officeDocument/2006/relationships/hyperlink" Target="https://tryxlr8.ai/blogs/best-generative-engine-optimization-agencies" TargetMode="External"/><Relationship Id="rId421" Type="http://schemas.openxmlformats.org/officeDocument/2006/relationships/hyperlink" Target="https://www.askattest.com/blog/articles/market-research-companies-in-the-us" TargetMode="External"/><Relationship Id="rId1254" Type="http://schemas.openxmlformats.org/officeDocument/2006/relationships/hyperlink" Target="http://tryxlr8.ai" TargetMode="External"/><Relationship Id="rId420" Type="http://schemas.openxmlformats.org/officeDocument/2006/relationships/hyperlink" Target="http://amworldgroup.com" TargetMode="External"/><Relationship Id="rId1255" Type="http://schemas.openxmlformats.org/officeDocument/2006/relationships/hyperlink" Target="https://www.uforocks.com/blog/top-ai-seo-agencies-in-the-u-s/" TargetMode="External"/><Relationship Id="rId1256" Type="http://schemas.openxmlformats.org/officeDocument/2006/relationships/hyperlink" Target="http://uforocks.com" TargetMode="External"/><Relationship Id="rId1246" Type="http://schemas.openxmlformats.org/officeDocument/2006/relationships/hyperlink" Target="http://therealsocialcompany.com" TargetMode="External"/><Relationship Id="rId1247" Type="http://schemas.openxmlformats.org/officeDocument/2006/relationships/hyperlink" Target="https://thriveagency.com/news/best-ai-seo-agencies/" TargetMode="External"/><Relationship Id="rId1248" Type="http://schemas.openxmlformats.org/officeDocument/2006/relationships/hyperlink" Target="http://thriveagency.com" TargetMode="External"/><Relationship Id="rId1249" Type="http://schemas.openxmlformats.org/officeDocument/2006/relationships/hyperlink" Target="https://thriveagency.com/news/best-ppc-companies/" TargetMode="External"/><Relationship Id="rId415" Type="http://schemas.openxmlformats.org/officeDocument/2006/relationships/hyperlink" Target="https://www.50pros.com/hire/advertising/attribution-and-measurement" TargetMode="External"/><Relationship Id="rId414" Type="http://schemas.openxmlformats.org/officeDocument/2006/relationships/hyperlink" Target="https://wildnetmarketing.agency/blog/best-ai-marketing-agencies-in-usa/" TargetMode="External"/><Relationship Id="rId413" Type="http://schemas.openxmlformats.org/officeDocument/2006/relationships/hyperlink" Target="http://webtonic.io" TargetMode="External"/><Relationship Id="rId412" Type="http://schemas.openxmlformats.org/officeDocument/2006/relationships/hyperlink" Target="https://www.webtonic.io/blog/best-performance-marketing-agencies-2026" TargetMode="External"/><Relationship Id="rId419" Type="http://schemas.openxmlformats.org/officeDocument/2006/relationships/hyperlink" Target="https://amworldgroup.com/best/digital-marketing-agency-usa" TargetMode="External"/><Relationship Id="rId418" Type="http://schemas.openxmlformats.org/officeDocument/2006/relationships/hyperlink" Target="http://50pros.com" TargetMode="External"/><Relationship Id="rId417" Type="http://schemas.openxmlformats.org/officeDocument/2006/relationships/hyperlink" Target="https://www.50pros.com/hire/digital-marketing/marketing-attribution" TargetMode="External"/><Relationship Id="rId416" Type="http://schemas.openxmlformats.org/officeDocument/2006/relationships/hyperlink" Target="http://50pros.com" TargetMode="External"/><Relationship Id="rId1240" Type="http://schemas.openxmlformats.org/officeDocument/2006/relationships/hyperlink" Target="http://sourceforge.net" TargetMode="External"/><Relationship Id="rId1241" Type="http://schemas.openxmlformats.org/officeDocument/2006/relationships/hyperlink" Target="https://www.superside.com/blog/marketing-design-services" TargetMode="External"/><Relationship Id="rId411" Type="http://schemas.openxmlformats.org/officeDocument/2006/relationships/hyperlink" Target="http://wearetenet.com" TargetMode="External"/><Relationship Id="rId1242" Type="http://schemas.openxmlformats.org/officeDocument/2006/relationships/hyperlink" Target="http://superside.com" TargetMode="External"/><Relationship Id="rId410" Type="http://schemas.openxmlformats.org/officeDocument/2006/relationships/hyperlink" Target="https://www.wearetenet.com/blog/best-ai-seo-agencies" TargetMode="External"/><Relationship Id="rId1243" Type="http://schemas.openxmlformats.org/officeDocument/2006/relationships/hyperlink" Target="https://themarketingagency.ca/blog/top-creative-agencies-growth/" TargetMode="External"/><Relationship Id="rId1244" Type="http://schemas.openxmlformats.org/officeDocument/2006/relationships/hyperlink" Target="http://themarketingagency.ca" TargetMode="External"/><Relationship Id="rId1245" Type="http://schemas.openxmlformats.org/officeDocument/2006/relationships/hyperlink" Target="https://www.therealsocialcompany.com/blog/best-ai-marketing-agency-united-states" TargetMode="External"/><Relationship Id="rId1279" Type="http://schemas.openxmlformats.org/officeDocument/2006/relationships/hyperlink" Target="https://worldmetrics.org/service/creative-marketing/" TargetMode="External"/><Relationship Id="rId448" Type="http://schemas.openxmlformats.org/officeDocument/2006/relationships/hyperlink" Target="https://www.techaheadcorp.com/services/ai-consulting-company/" TargetMode="External"/><Relationship Id="rId447" Type="http://schemas.openxmlformats.org/officeDocument/2006/relationships/hyperlink" Target="http://seoprofy.com" TargetMode="External"/><Relationship Id="rId446" Type="http://schemas.openxmlformats.org/officeDocument/2006/relationships/hyperlink" Target="https://seoprofy.com/blog/generative-engine-optimization-agencies/" TargetMode="External"/><Relationship Id="rId445" Type="http://schemas.openxmlformats.org/officeDocument/2006/relationships/hyperlink" Target="http://reddit.com" TargetMode="External"/><Relationship Id="rId449" Type="http://schemas.openxmlformats.org/officeDocument/2006/relationships/hyperlink" Target="http://techaheadcorp.com" TargetMode="External"/><Relationship Id="rId1270" Type="http://schemas.openxmlformats.org/officeDocument/2006/relationships/hyperlink" Target="http://webtonic.io" TargetMode="External"/><Relationship Id="rId440" Type="http://schemas.openxmlformats.org/officeDocument/2006/relationships/hyperlink" Target="https://www.lyfemarketing.com/blog/top-creative-agencies-us/" TargetMode="External"/><Relationship Id="rId1271" Type="http://schemas.openxmlformats.org/officeDocument/2006/relationships/hyperlink" Target="https://www.webtonic.io/blog/top-programmatic-advertising-agencies" TargetMode="External"/><Relationship Id="rId1272" Type="http://schemas.openxmlformats.org/officeDocument/2006/relationships/hyperlink" Target="http://webtonic.io" TargetMode="External"/><Relationship Id="rId1273" Type="http://schemas.openxmlformats.org/officeDocument/2006/relationships/hyperlink" Target="https://www.webtonic.io/blog/top-web-analytics-agencies" TargetMode="External"/><Relationship Id="rId1274" Type="http://schemas.openxmlformats.org/officeDocument/2006/relationships/hyperlink" Target="http://webtonic.io" TargetMode="External"/><Relationship Id="rId444" Type="http://schemas.openxmlformats.org/officeDocument/2006/relationships/hyperlink" Target="https://www.reddit.com/r/TheTopAgencies/comments/1mjdxiv/the_best_generative_engine_optimization_agencies/" TargetMode="External"/><Relationship Id="rId1275" Type="http://schemas.openxmlformats.org/officeDocument/2006/relationships/hyperlink" Target="https://wildnetmarketing.agency/blog/top-digital-marketing-companies-list/" TargetMode="External"/><Relationship Id="rId443" Type="http://schemas.openxmlformats.org/officeDocument/2006/relationships/hyperlink" Target="http://percepture.com" TargetMode="External"/><Relationship Id="rId1276" Type="http://schemas.openxmlformats.org/officeDocument/2006/relationships/hyperlink" Target="https://wildnetmarketing.agency/blog/top-programmatic-advertising-agencies-in-usa/" TargetMode="External"/><Relationship Id="rId442" Type="http://schemas.openxmlformats.org/officeDocument/2006/relationships/hyperlink" Target="https://percepture.com/geo-insights/best-generative-ai-seo-agencies/" TargetMode="External"/><Relationship Id="rId1277" Type="http://schemas.openxmlformats.org/officeDocument/2006/relationships/hyperlink" Target="https://wolfable.com/best-creative-agencies/" TargetMode="External"/><Relationship Id="rId441" Type="http://schemas.openxmlformats.org/officeDocument/2006/relationships/hyperlink" Target="http://lyfemarketing.com" TargetMode="External"/><Relationship Id="rId1278" Type="http://schemas.openxmlformats.org/officeDocument/2006/relationships/hyperlink" Target="http://wolfable.com" TargetMode="External"/><Relationship Id="rId1268" Type="http://schemas.openxmlformats.org/officeDocument/2006/relationships/hyperlink" Target="http://webtonic.io" TargetMode="External"/><Relationship Id="rId1269" Type="http://schemas.openxmlformats.org/officeDocument/2006/relationships/hyperlink" Target="https://www.webtonic.io/blog/top-ai-marketing-agencies" TargetMode="External"/><Relationship Id="rId437" Type="http://schemas.openxmlformats.org/officeDocument/2006/relationships/hyperlink" Target="http://hashmeta.ai" TargetMode="External"/><Relationship Id="rId436" Type="http://schemas.openxmlformats.org/officeDocument/2006/relationships/hyperlink" Target="https://www.hashmeta.ai/en/generative-ai/best-ai-marketing-agencies" TargetMode="External"/><Relationship Id="rId435" Type="http://schemas.openxmlformats.org/officeDocument/2006/relationships/hyperlink" Target="http://entermind.com" TargetMode="External"/><Relationship Id="rId434" Type="http://schemas.openxmlformats.org/officeDocument/2006/relationships/hyperlink" Target="https://entermind.com/media/blog/top-ai-consulting-firms-us" TargetMode="External"/><Relationship Id="rId439" Type="http://schemas.openxmlformats.org/officeDocument/2006/relationships/hyperlink" Target="http://influencermarketinghub.com" TargetMode="External"/><Relationship Id="rId438" Type="http://schemas.openxmlformats.org/officeDocument/2006/relationships/hyperlink" Target="https://influencermarketinghub.com/digital-marketing-agency-usa/" TargetMode="External"/><Relationship Id="rId1260" Type="http://schemas.openxmlformats.org/officeDocument/2006/relationships/hyperlink" Target="http://valasys.com" TargetMode="External"/><Relationship Id="rId1261" Type="http://schemas.openxmlformats.org/officeDocument/2006/relationships/hyperlink" Target="https://www.warroominc.com/blog/best-programmatic-advertising-agencies/" TargetMode="External"/><Relationship Id="rId1262" Type="http://schemas.openxmlformats.org/officeDocument/2006/relationships/hyperlink" Target="http://warroominc.com" TargetMode="External"/><Relationship Id="rId1263" Type="http://schemas.openxmlformats.org/officeDocument/2006/relationships/hyperlink" Target="https://www.webfx.com/blog/ai/best-geo-agencies/" TargetMode="External"/><Relationship Id="rId433" Type="http://schemas.openxmlformats.org/officeDocument/2006/relationships/hyperlink" Target="http://designrush.com" TargetMode="External"/><Relationship Id="rId1264" Type="http://schemas.openxmlformats.org/officeDocument/2006/relationships/hyperlink" Target="http://webfx.com" TargetMode="External"/><Relationship Id="rId432" Type="http://schemas.openxmlformats.org/officeDocument/2006/relationships/hyperlink" Target="https://www.designrush.com/agency/digital-marketing/analytics/us?page=24" TargetMode="External"/><Relationship Id="rId1265" Type="http://schemas.openxmlformats.org/officeDocument/2006/relationships/hyperlink" Target="https://www.webfx.com/digital-advertising/services/" TargetMode="External"/><Relationship Id="rId431" Type="http://schemas.openxmlformats.org/officeDocument/2006/relationships/hyperlink" Target="http://designrush.com" TargetMode="External"/><Relationship Id="rId1266" Type="http://schemas.openxmlformats.org/officeDocument/2006/relationships/hyperlink" Target="http://webfx.com" TargetMode="External"/><Relationship Id="rId430" Type="http://schemas.openxmlformats.org/officeDocument/2006/relationships/hyperlink" Target="https://www.designrush.com/agency/digital-marketing/analytics/us?page=23" TargetMode="External"/><Relationship Id="rId1267" Type="http://schemas.openxmlformats.org/officeDocument/2006/relationships/hyperlink" Target="https://www.webtonic.io/blog/best-performance-marketing-agencies" TargetMode="External"/><Relationship Id="rId1" Type="http://schemas.openxmlformats.org/officeDocument/2006/relationships/hyperlink" Target="http://clutch.co" TargetMode="External"/><Relationship Id="rId2" Type="http://schemas.openxmlformats.org/officeDocument/2006/relationships/hyperlink" Target="https://clutch.co/us/agencies/digital-marketing" TargetMode="External"/><Relationship Id="rId3" Type="http://schemas.openxmlformats.org/officeDocument/2006/relationships/hyperlink" Target="http://clutch.co" TargetMode="External"/><Relationship Id="rId4" Type="http://schemas.openxmlformats.org/officeDocument/2006/relationships/hyperlink" Target="https://www.influencer-hero.com/blogs/top-paid-media-agencies-in-the-us" TargetMode="External"/><Relationship Id="rId9" Type="http://schemas.openxmlformats.org/officeDocument/2006/relationships/hyperlink" Target="http://dataally.ai" TargetMode="External"/><Relationship Id="rId5" Type="http://schemas.openxmlformats.org/officeDocument/2006/relationships/hyperlink" Target="http://influencer-hero.com" TargetMode="External"/><Relationship Id="rId6" Type="http://schemas.openxmlformats.org/officeDocument/2006/relationships/hyperlink" Target="https://www.webtonic.io/blog/best-paid-media-agencies-us" TargetMode="External"/><Relationship Id="rId7" Type="http://schemas.openxmlformats.org/officeDocument/2006/relationships/hyperlink" Target="http://webtonic.io" TargetMode="External"/><Relationship Id="rId8" Type="http://schemas.openxmlformats.org/officeDocument/2006/relationships/hyperlink" Target="https://www.dataally.ai/blog/top-paid-media-agencies" TargetMode="External"/><Relationship Id="rId808" Type="http://schemas.openxmlformats.org/officeDocument/2006/relationships/hyperlink" Target="http://growth-hackers.net" TargetMode="External"/><Relationship Id="rId807" Type="http://schemas.openxmlformats.org/officeDocument/2006/relationships/hyperlink" Target="https://www.growth-hackers.net/best-paid-social-media-agencies/" TargetMode="External"/><Relationship Id="rId806" Type="http://schemas.openxmlformats.org/officeDocument/2006/relationships/hyperlink" Target="http://goodfirms.co" TargetMode="External"/><Relationship Id="rId805" Type="http://schemas.openxmlformats.org/officeDocument/2006/relationships/hyperlink" Target="https://www.goodfirms.co/artificial-intelligence/ai-consulting" TargetMode="External"/><Relationship Id="rId809" Type="http://schemas.openxmlformats.org/officeDocument/2006/relationships/hyperlink" Target="https://www.growthmarketingpro.com/best-geo-marketing-agencies/" TargetMode="External"/><Relationship Id="rId800" Type="http://schemas.openxmlformats.org/officeDocument/2006/relationships/hyperlink" Target="http://digitalreference.co" TargetMode="External"/><Relationship Id="rId804" Type="http://schemas.openxmlformats.org/officeDocument/2006/relationships/hyperlink" Target="http://directiveconsulting.com" TargetMode="External"/><Relationship Id="rId803" Type="http://schemas.openxmlformats.org/officeDocument/2006/relationships/hyperlink" Target="https://directiveconsulting.com/blog/25-best-advertising-agencies-built-for-media-momentum/" TargetMode="External"/><Relationship Id="rId802" Type="http://schemas.openxmlformats.org/officeDocument/2006/relationships/hyperlink" Target="http://directiveconsulting.com" TargetMode="External"/><Relationship Id="rId801" Type="http://schemas.openxmlformats.org/officeDocument/2006/relationships/hyperlink" Target="https://directiveconsulting.com/blog/20-best-paid-social-agencies-turning-scrolls-into-sales/" TargetMode="External"/><Relationship Id="rId1334" Type="http://schemas.openxmlformats.org/officeDocument/2006/relationships/hyperlink" Target="https://www.agencyspotter.com/top/digital-marketing-agencies" TargetMode="External"/><Relationship Id="rId1335" Type="http://schemas.openxmlformats.org/officeDocument/2006/relationships/hyperlink" Target="http://agencyspotter.com" TargetMode="External"/><Relationship Id="rId1336" Type="http://schemas.openxmlformats.org/officeDocument/2006/relationships/hyperlink" Target="https://www.agencyspotter.com/top/media-planning-and-strategy-agencies" TargetMode="External"/><Relationship Id="rId1337" Type="http://schemas.openxmlformats.org/officeDocument/2006/relationships/hyperlink" Target="http://agencyspotter.com" TargetMode="External"/><Relationship Id="rId1338" Type="http://schemas.openxmlformats.org/officeDocument/2006/relationships/hyperlink" Target="https://aiadvantageagency.com/facebook-ads-agency/" TargetMode="External"/><Relationship Id="rId1339" Type="http://schemas.openxmlformats.org/officeDocument/2006/relationships/hyperlink" Target="http://aiadvantageagency.com" TargetMode="External"/><Relationship Id="rId745" Type="http://schemas.openxmlformats.org/officeDocument/2006/relationships/hyperlink" Target="https://sociallyin.com/resources/top-creative-agencies-us/" TargetMode="External"/><Relationship Id="rId744" Type="http://schemas.openxmlformats.org/officeDocument/2006/relationships/hyperlink" Target="http://segmentstream.com" TargetMode="External"/><Relationship Id="rId743" Type="http://schemas.openxmlformats.org/officeDocument/2006/relationships/hyperlink" Target="https://segmentstream.com/blog/articles/top-haus-io-alternatives-for-geo-lift-incrementality-testing" TargetMode="External"/><Relationship Id="rId742" Type="http://schemas.openxmlformats.org/officeDocument/2006/relationships/hyperlink" Target="http://retailhub.co" TargetMode="External"/><Relationship Id="rId749" Type="http://schemas.openxmlformats.org/officeDocument/2006/relationships/hyperlink" Target="https://www.thedrum.com/news/world-creative-rankings-2023-the-top-holding-companies-and-networks-revealed" TargetMode="External"/><Relationship Id="rId748" Type="http://schemas.openxmlformats.org/officeDocument/2006/relationships/hyperlink" Target="http://sortlist.com" TargetMode="External"/><Relationship Id="rId747" Type="http://schemas.openxmlformats.org/officeDocument/2006/relationships/hyperlink" Target="https://www.sortlist.com/digital-marketing/united-states-us" TargetMode="External"/><Relationship Id="rId746" Type="http://schemas.openxmlformats.org/officeDocument/2006/relationships/hyperlink" Target="http://sociallyin.com" TargetMode="External"/><Relationship Id="rId741" Type="http://schemas.openxmlformats.org/officeDocument/2006/relationships/hyperlink" Target="https://retailhub.co/best-of/best-geo-marketing-agency/" TargetMode="External"/><Relationship Id="rId1330" Type="http://schemas.openxmlformats.org/officeDocument/2006/relationships/hyperlink" Target="https://agencies.semrush.com/list/programmatic-advertising/arts-entertainment/united-states/" TargetMode="External"/><Relationship Id="rId740" Type="http://schemas.openxmlformats.org/officeDocument/2006/relationships/hyperlink" Target="http://reddit.com" TargetMode="External"/><Relationship Id="rId1331" Type="http://schemas.openxmlformats.org/officeDocument/2006/relationships/hyperlink" Target="http://semrush.com" TargetMode="External"/><Relationship Id="rId1332" Type="http://schemas.openxmlformats.org/officeDocument/2006/relationships/hyperlink" Target="https://agencylist.com/services/programmatic-display-and-video/us/florida/" TargetMode="External"/><Relationship Id="rId1333" Type="http://schemas.openxmlformats.org/officeDocument/2006/relationships/hyperlink" Target="http://agencylist.com" TargetMode="External"/><Relationship Id="rId1323" Type="http://schemas.openxmlformats.org/officeDocument/2006/relationships/hyperlink" Target="http://semrush.com" TargetMode="External"/><Relationship Id="rId1324" Type="http://schemas.openxmlformats.org/officeDocument/2006/relationships/hyperlink" Target="https://agencies.semrush.com/list/ai-optimization/united-states/small-business/" TargetMode="External"/><Relationship Id="rId1325" Type="http://schemas.openxmlformats.org/officeDocument/2006/relationships/hyperlink" Target="http://semrush.com" TargetMode="External"/><Relationship Id="rId1326" Type="http://schemas.openxmlformats.org/officeDocument/2006/relationships/hyperlink" Target="https://agencies.semrush.com/list/los-angeles/" TargetMode="External"/><Relationship Id="rId1327" Type="http://schemas.openxmlformats.org/officeDocument/2006/relationships/hyperlink" Target="http://semrush.com" TargetMode="External"/><Relationship Id="rId1328" Type="http://schemas.openxmlformats.org/officeDocument/2006/relationships/hyperlink" Target="https://agencies.semrush.com/list/machine-learning-and-ai/business-professional-services/united-states/" TargetMode="External"/><Relationship Id="rId1329" Type="http://schemas.openxmlformats.org/officeDocument/2006/relationships/hyperlink" Target="http://semrush.com" TargetMode="External"/><Relationship Id="rId739" Type="http://schemas.openxmlformats.org/officeDocument/2006/relationships/hyperlink" Target="https://www.reddit.com/r/SearchTides/comments/1uu5d0d/10_best_geo_agencies_for_brands_that_want_to_win/" TargetMode="External"/><Relationship Id="rId734" Type="http://schemas.openxmlformats.org/officeDocument/2006/relationships/hyperlink" Target="https://www.masterrvdesigners.com/blog/best-creative-agencies-2026/" TargetMode="External"/><Relationship Id="rId733" Type="http://schemas.openxmlformats.org/officeDocument/2006/relationships/hyperlink" Target="http://marketingltb.com" TargetMode="External"/><Relationship Id="rId732" Type="http://schemas.openxmlformats.org/officeDocument/2006/relationships/hyperlink" Target="https://marketingltb.com/blog/agency/best-global-digital-marketing-agencies/" TargetMode="External"/><Relationship Id="rId731" Type="http://schemas.openxmlformats.org/officeDocument/2006/relationships/hyperlink" Target="http://keywordsearch.com" TargetMode="External"/><Relationship Id="rId738" Type="http://schemas.openxmlformats.org/officeDocument/2006/relationships/hyperlink" Target="https://piperocket.digital/list/top-performance-marketing-agencies/" TargetMode="External"/><Relationship Id="rId737" Type="http://schemas.openxmlformats.org/officeDocument/2006/relationships/hyperlink" Target="http://mobileappdaily.com" TargetMode="External"/><Relationship Id="rId736" Type="http://schemas.openxmlformats.org/officeDocument/2006/relationships/hyperlink" Target="https://www.mobileappdaily.com/directory/digital-marketing-companies/us/" TargetMode="External"/><Relationship Id="rId735" Type="http://schemas.openxmlformats.org/officeDocument/2006/relationships/hyperlink" Target="http://masterrvdesigners.com" TargetMode="External"/><Relationship Id="rId730" Type="http://schemas.openxmlformats.org/officeDocument/2006/relationships/hyperlink" Target="https://www.keywordsearch.com/blog/top-ai-marketing-agency-trends-to-watch-in-2025" TargetMode="External"/><Relationship Id="rId1320" Type="http://schemas.openxmlformats.org/officeDocument/2006/relationships/hyperlink" Target="https://agencies.semrush.com/list/" TargetMode="External"/><Relationship Id="rId1321" Type="http://schemas.openxmlformats.org/officeDocument/2006/relationships/hyperlink" Target="http://semrush.com" TargetMode="External"/><Relationship Id="rId1322" Type="http://schemas.openxmlformats.org/officeDocument/2006/relationships/hyperlink" Target="https://agencies.semrush.com/list/advertising/united-states/" TargetMode="External"/><Relationship Id="rId1356" Type="http://schemas.openxmlformats.org/officeDocument/2006/relationships/hyperlink" Target="https://www.anml.com/blog/best-b2b-web-design-agencies-in-2026" TargetMode="External"/><Relationship Id="rId1357" Type="http://schemas.openxmlformats.org/officeDocument/2006/relationships/hyperlink" Target="http://anml.com" TargetMode="External"/><Relationship Id="rId1358" Type="http://schemas.openxmlformats.org/officeDocument/2006/relationships/hyperlink" Target="https://www.answermaniac.ai/best-geo-agencies" TargetMode="External"/><Relationship Id="rId1359" Type="http://schemas.openxmlformats.org/officeDocument/2006/relationships/hyperlink" Target="http://answermaniac.ai" TargetMode="External"/><Relationship Id="rId767" Type="http://schemas.openxmlformats.org/officeDocument/2006/relationships/hyperlink" Target="https://www.50pros.com/hire/artificial-intelligence/ai-powered-search" TargetMode="External"/><Relationship Id="rId766" Type="http://schemas.openxmlformats.org/officeDocument/2006/relationships/hyperlink" Target="http://youtube.com" TargetMode="External"/><Relationship Id="rId765" Type="http://schemas.openxmlformats.org/officeDocument/2006/relationships/hyperlink" Target="https://www.youtube.com/watch?v=wDQs41e1F_Y&amp;t=144" TargetMode="External"/><Relationship Id="rId764" Type="http://schemas.openxmlformats.org/officeDocument/2006/relationships/hyperlink" Target="http://youtube.com" TargetMode="External"/><Relationship Id="rId769" Type="http://schemas.openxmlformats.org/officeDocument/2006/relationships/hyperlink" Target="https://agencyvista.com/lists/top-25-performance-marketing-agencies/" TargetMode="External"/><Relationship Id="rId768" Type="http://schemas.openxmlformats.org/officeDocument/2006/relationships/hyperlink" Target="http://50pros.com" TargetMode="External"/><Relationship Id="rId1350" Type="http://schemas.openxmlformats.org/officeDocument/2006/relationships/hyperlink" Target="https://alignedagency.io/best-ai-marketing-agencies-for-2026/" TargetMode="External"/><Relationship Id="rId1351" Type="http://schemas.openxmlformats.org/officeDocument/2006/relationships/hyperlink" Target="http://alignedagency.io" TargetMode="External"/><Relationship Id="rId763" Type="http://schemas.openxmlformats.org/officeDocument/2006/relationships/hyperlink" Target="https://www.youtube.com/watch?v=uAp_SqhuvFg" TargetMode="External"/><Relationship Id="rId1352" Type="http://schemas.openxmlformats.org/officeDocument/2006/relationships/hyperlink" Target="https://amworldgroup.com/best/ai-marketing-agencies" TargetMode="External"/><Relationship Id="rId762" Type="http://schemas.openxmlformats.org/officeDocument/2006/relationships/hyperlink" Target="http://usermaven.com" TargetMode="External"/><Relationship Id="rId1353" Type="http://schemas.openxmlformats.org/officeDocument/2006/relationships/hyperlink" Target="http://amworldgroup.com" TargetMode="External"/><Relationship Id="rId761" Type="http://schemas.openxmlformats.org/officeDocument/2006/relationships/hyperlink" Target="https://usermaven.com/blog/marketing-analytics-companies" TargetMode="External"/><Relationship Id="rId1354" Type="http://schemas.openxmlformats.org/officeDocument/2006/relationships/hyperlink" Target="https://www.analyticsinsight.net/amp/story/digital-marketing/top-aeo-agencies-in-usa-best-2026-picks-for-ai-search-optimization" TargetMode="External"/><Relationship Id="rId760" Type="http://schemas.openxmlformats.org/officeDocument/2006/relationships/hyperlink" Target="http://typecast.ai" TargetMode="External"/><Relationship Id="rId1355" Type="http://schemas.openxmlformats.org/officeDocument/2006/relationships/hyperlink" Target="http://analyticsinsight.net" TargetMode="External"/><Relationship Id="rId1345" Type="http://schemas.openxmlformats.org/officeDocument/2006/relationships/hyperlink" Target="http://aisera.com" TargetMode="External"/><Relationship Id="rId1346" Type="http://schemas.openxmlformats.org/officeDocument/2006/relationships/hyperlink" Target="https://ajelix.com/ai/best-ai-agents/" TargetMode="External"/><Relationship Id="rId1347" Type="http://schemas.openxmlformats.org/officeDocument/2006/relationships/hyperlink" Target="http://ajelix.com" TargetMode="External"/><Relationship Id="rId1348" Type="http://schemas.openxmlformats.org/officeDocument/2006/relationships/hyperlink" Target="https://algoscale.com/blog/top-business-intelligence-consulting-companies/" TargetMode="External"/><Relationship Id="rId1349" Type="http://schemas.openxmlformats.org/officeDocument/2006/relationships/hyperlink" Target="http://algoscale.com" TargetMode="External"/><Relationship Id="rId756" Type="http://schemas.openxmlformats.org/officeDocument/2006/relationships/hyperlink" Target="http://themanifest.com" TargetMode="External"/><Relationship Id="rId755" Type="http://schemas.openxmlformats.org/officeDocument/2006/relationships/hyperlink" Target="https://themanifest.com/us/social-media/agencies" TargetMode="External"/><Relationship Id="rId754" Type="http://schemas.openxmlformats.org/officeDocument/2006/relationships/hyperlink" Target="http://themanifest.com" TargetMode="External"/><Relationship Id="rId753" Type="http://schemas.openxmlformats.org/officeDocument/2006/relationships/hyperlink" Target="https://themanifest.com/us/creative/agencies" TargetMode="External"/><Relationship Id="rId759" Type="http://schemas.openxmlformats.org/officeDocument/2006/relationships/hyperlink" Target="https://typecast.ai/learn/the-best-ai-marketing-agency/" TargetMode="External"/><Relationship Id="rId758" Type="http://schemas.openxmlformats.org/officeDocument/2006/relationships/hyperlink" Target="http://tofuhq.com" TargetMode="External"/><Relationship Id="rId757" Type="http://schemas.openxmlformats.org/officeDocument/2006/relationships/hyperlink" Target="https://www.tofuhq.com/post/best-ai-agents-for-marketing" TargetMode="External"/><Relationship Id="rId1340" Type="http://schemas.openxmlformats.org/officeDocument/2006/relationships/hyperlink" Target="https://www.aikenhouse.com/post/8-top-ai-consulting-companies-to-consider-2026-review-comparison" TargetMode="External"/><Relationship Id="rId752" Type="http://schemas.openxmlformats.org/officeDocument/2006/relationships/hyperlink" Target="http://thefrankagency.com" TargetMode="External"/><Relationship Id="rId1341" Type="http://schemas.openxmlformats.org/officeDocument/2006/relationships/hyperlink" Target="http://aikenhouse.com" TargetMode="External"/><Relationship Id="rId751" Type="http://schemas.openxmlformats.org/officeDocument/2006/relationships/hyperlink" Target="https://thefrankagency.com/best-paid-social-media-agencies/" TargetMode="External"/><Relationship Id="rId1342" Type="http://schemas.openxmlformats.org/officeDocument/2006/relationships/hyperlink" Target="https://www.airpost.ai/blog/best-performance-marketing-agencies" TargetMode="External"/><Relationship Id="rId750" Type="http://schemas.openxmlformats.org/officeDocument/2006/relationships/hyperlink" Target="http://thedrum.com" TargetMode="External"/><Relationship Id="rId1343" Type="http://schemas.openxmlformats.org/officeDocument/2006/relationships/hyperlink" Target="http://airpost.ai" TargetMode="External"/><Relationship Id="rId1344" Type="http://schemas.openxmlformats.org/officeDocument/2006/relationships/hyperlink" Target="https://aisera.com/blog/ai-agent-development-companies-and-platforms/" TargetMode="External"/><Relationship Id="rId709" Type="http://schemas.openxmlformats.org/officeDocument/2006/relationships/hyperlink" Target="http://clutch.co" TargetMode="External"/><Relationship Id="rId708" Type="http://schemas.openxmlformats.org/officeDocument/2006/relationships/hyperlink" Target="https://clutch.co/it-services/analytics/marketing" TargetMode="External"/><Relationship Id="rId707" Type="http://schemas.openxmlformats.org/officeDocument/2006/relationships/hyperlink" Target="http://clicksgeek.com" TargetMode="External"/><Relationship Id="rId706" Type="http://schemas.openxmlformats.org/officeDocument/2006/relationships/hyperlink" Target="https://clicksgeek.com/best-paid-advertising-platforms-for-businesses/" TargetMode="External"/><Relationship Id="rId701" Type="http://schemas.openxmlformats.org/officeDocument/2006/relationships/hyperlink" Target="http://alexbirkett.com" TargetMode="External"/><Relationship Id="rId700" Type="http://schemas.openxmlformats.org/officeDocument/2006/relationships/hyperlink" Target="https://alexbirkett.com/answer-engine-optimization-agencies/" TargetMode="External"/><Relationship Id="rId705" Type="http://schemas.openxmlformats.org/officeDocument/2006/relationships/hyperlink" Target="http://brentonway.com" TargetMode="External"/><Relationship Id="rId704" Type="http://schemas.openxmlformats.org/officeDocument/2006/relationships/hyperlink" Target="https://brentonway.com/blog/top-performance-marketing-agencies" TargetMode="External"/><Relationship Id="rId703" Type="http://schemas.openxmlformats.org/officeDocument/2006/relationships/hyperlink" Target="http://awisee.com" TargetMode="External"/><Relationship Id="rId702" Type="http://schemas.openxmlformats.org/officeDocument/2006/relationships/hyperlink" Target="https://awisee.com/blog/ai-marketing-agencies-us/" TargetMode="External"/><Relationship Id="rId1312" Type="http://schemas.openxmlformats.org/officeDocument/2006/relationships/hyperlink" Target="http://adastracorp.com" TargetMode="External"/><Relationship Id="rId1313" Type="http://schemas.openxmlformats.org/officeDocument/2006/relationships/hyperlink" Target="https://www.addwebsolution.com/blog/ai-marketing-agencies" TargetMode="External"/><Relationship Id="rId1314" Type="http://schemas.openxmlformats.org/officeDocument/2006/relationships/hyperlink" Target="http://addwebsolution.com" TargetMode="External"/><Relationship Id="rId1315" Type="http://schemas.openxmlformats.org/officeDocument/2006/relationships/hyperlink" Target="https://adgeeks.agency/blogs/best-programmatic-dsp-agencies-for-google-dv360-access-in-2026" TargetMode="External"/><Relationship Id="rId1316" Type="http://schemas.openxmlformats.org/officeDocument/2006/relationships/hyperlink" Target="https://adspyder.io/blog/top-25-global-ad-agencies/" TargetMode="External"/><Relationship Id="rId1317" Type="http://schemas.openxmlformats.org/officeDocument/2006/relationships/hyperlink" Target="http://adspyder.io" TargetMode="External"/><Relationship Id="rId1318" Type="http://schemas.openxmlformats.org/officeDocument/2006/relationships/hyperlink" Target="https://adzooma.com/blog/top-10-advertising-agencies-in-the-uk/" TargetMode="External"/><Relationship Id="rId1319" Type="http://schemas.openxmlformats.org/officeDocument/2006/relationships/hyperlink" Target="http://adzooma.com" TargetMode="External"/><Relationship Id="rId729" Type="http://schemas.openxmlformats.org/officeDocument/2006/relationships/hyperlink" Target="http://growth-hackers.net" TargetMode="External"/><Relationship Id="rId728" Type="http://schemas.openxmlformats.org/officeDocument/2006/relationships/hyperlink" Target="https://www.growth-hackers.net/best-paid-media-agencies/" TargetMode="External"/><Relationship Id="rId723" Type="http://schemas.openxmlformats.org/officeDocument/2006/relationships/hyperlink" Target="http://directiveconsulting.com" TargetMode="External"/><Relationship Id="rId722" Type="http://schemas.openxmlformats.org/officeDocument/2006/relationships/hyperlink" Target="https://directiveconsulting.com/blog/best-google-ads-agencies/" TargetMode="External"/><Relationship Id="rId721" Type="http://schemas.openxmlformats.org/officeDocument/2006/relationships/hyperlink" Target="http://darkroomagency.com" TargetMode="External"/><Relationship Id="rId720" Type="http://schemas.openxmlformats.org/officeDocument/2006/relationships/hyperlink" Target="https://www.darkroomagency.com/observatory/10-best-growth-marketing-agencies-in-2026-(ranked-for-online-sales)" TargetMode="External"/><Relationship Id="rId727" Type="http://schemas.openxmlformats.org/officeDocument/2006/relationships/hyperlink" Target="http://gartner.com" TargetMode="External"/><Relationship Id="rId726" Type="http://schemas.openxmlformats.org/officeDocument/2006/relationships/hyperlink" Target="https://www.gartner.com/reviews/market/marketing-mix-modeling-solutions" TargetMode="External"/><Relationship Id="rId725" Type="http://schemas.openxmlformats.org/officeDocument/2006/relationships/hyperlink" Target="http://firstpagesage.com" TargetMode="External"/><Relationship Id="rId724" Type="http://schemas.openxmlformats.org/officeDocument/2006/relationships/hyperlink" Target="https://firstpagesage.com/seo-blog/the-top-industrial-geo-aeo-agencies/" TargetMode="External"/><Relationship Id="rId1310" Type="http://schemas.openxmlformats.org/officeDocument/2006/relationships/hyperlink" Target="http://abetheagency.com" TargetMode="External"/><Relationship Id="rId1311" Type="http://schemas.openxmlformats.org/officeDocument/2006/relationships/hyperlink" Target="https://adastracorp.com/articles/top-data-analytics-companies-to-compare-in-2026-usa-canada/" TargetMode="External"/><Relationship Id="rId1301" Type="http://schemas.openxmlformats.org/officeDocument/2006/relationships/hyperlink" Target="https://www.50pros.com/hire/digital-marketing/marketing-analytics-and-reporting" TargetMode="External"/><Relationship Id="rId1302" Type="http://schemas.openxmlformats.org/officeDocument/2006/relationships/hyperlink" Target="http://50pros.com" TargetMode="External"/><Relationship Id="rId1303" Type="http://schemas.openxmlformats.org/officeDocument/2006/relationships/hyperlink" Target="https://7span.com/blog/branding-agencies" TargetMode="External"/><Relationship Id="rId1304" Type="http://schemas.openxmlformats.org/officeDocument/2006/relationships/hyperlink" Target="http://7span.com" TargetMode="External"/><Relationship Id="rId1305" Type="http://schemas.openxmlformats.org/officeDocument/2006/relationships/hyperlink" Target="https://www.abbacustechnologies.com/top-ai-consulting-firms-in-2026/" TargetMode="External"/><Relationship Id="rId1306" Type="http://schemas.openxmlformats.org/officeDocument/2006/relationships/hyperlink" Target="http://abbacustechnologies.com" TargetMode="External"/><Relationship Id="rId1307" Type="http://schemas.openxmlformats.org/officeDocument/2006/relationships/hyperlink" Target="https://www.abbacustechnologies.com/top-ai-development-companies-in-dubai/" TargetMode="External"/><Relationship Id="rId1308" Type="http://schemas.openxmlformats.org/officeDocument/2006/relationships/hyperlink" Target="http://abbacustechnologies.com" TargetMode="External"/><Relationship Id="rId1309" Type="http://schemas.openxmlformats.org/officeDocument/2006/relationships/hyperlink" Target="https://www.abetheagency.com/blog/best-b2b-social-media-agencies-for-paid-social-2026" TargetMode="External"/><Relationship Id="rId719" Type="http://schemas.openxmlformats.org/officeDocument/2006/relationships/hyperlink" Target="http://clutch.co" TargetMode="External"/><Relationship Id="rId718" Type="http://schemas.openxmlformats.org/officeDocument/2006/relationships/hyperlink" Target="https://clutch.co/us/consulting/ai/maturation%3Fpage%3D2" TargetMode="External"/><Relationship Id="rId717" Type="http://schemas.openxmlformats.org/officeDocument/2006/relationships/hyperlink" Target="http://clutch.co" TargetMode="External"/><Relationship Id="rId712" Type="http://schemas.openxmlformats.org/officeDocument/2006/relationships/hyperlink" Target="https://clutch.co/us/agencies/ppc/display?page=5" TargetMode="External"/><Relationship Id="rId711" Type="http://schemas.openxmlformats.org/officeDocument/2006/relationships/hyperlink" Target="http://clutch.co" TargetMode="External"/><Relationship Id="rId710" Type="http://schemas.openxmlformats.org/officeDocument/2006/relationships/hyperlink" Target="https://clutch.co/us/agencies/market-research" TargetMode="External"/><Relationship Id="rId716" Type="http://schemas.openxmlformats.org/officeDocument/2006/relationships/hyperlink" Target="https://clutch.co/us/consulting/ai/maturation" TargetMode="External"/><Relationship Id="rId715" Type="http://schemas.openxmlformats.org/officeDocument/2006/relationships/hyperlink" Target="http://clutch.co" TargetMode="External"/><Relationship Id="rId714" Type="http://schemas.openxmlformats.org/officeDocument/2006/relationships/hyperlink" Target="https://clutch.co/us/agencies?page=1" TargetMode="External"/><Relationship Id="rId713" Type="http://schemas.openxmlformats.org/officeDocument/2006/relationships/hyperlink" Target="http://clutch.co" TargetMode="External"/><Relationship Id="rId1300" Type="http://schemas.openxmlformats.org/officeDocument/2006/relationships/hyperlink" Target="http://50pros.com" TargetMode="External"/><Relationship Id="rId1378" Type="http://schemas.openxmlformats.org/officeDocument/2006/relationships/hyperlink" Target="https://www.awwwards.com/the-10-best-agencies-in-new-york-city.html" TargetMode="External"/><Relationship Id="rId1379" Type="http://schemas.openxmlformats.org/officeDocument/2006/relationships/hyperlink" Target="http://awwwards.com" TargetMode="External"/><Relationship Id="rId789" Type="http://schemas.openxmlformats.org/officeDocument/2006/relationships/hyperlink" Target="https://www.commercepundit.com/blog/best-ai-seo-agencies/" TargetMode="External"/><Relationship Id="rId788" Type="http://schemas.openxmlformats.org/officeDocument/2006/relationships/hyperlink" Target="http://cometly.com" TargetMode="External"/><Relationship Id="rId787" Type="http://schemas.openxmlformats.org/officeDocument/2006/relationships/hyperlink" Target="https://www.cometly.com/post/marketing-attribution-consultant-services" TargetMode="External"/><Relationship Id="rId786" Type="http://schemas.openxmlformats.org/officeDocument/2006/relationships/hyperlink" Target="http://clutch.co" TargetMode="External"/><Relationship Id="rId781" Type="http://schemas.openxmlformats.org/officeDocument/2006/relationships/hyperlink" Target="https://carvertise.com/top-advertising-agency/" TargetMode="External"/><Relationship Id="rId1370" Type="http://schemas.openxmlformats.org/officeDocument/2006/relationships/hyperlink" Target="https://avenuez.com/blog/top-social-media-advertising-agencies-in-the-usa/" TargetMode="External"/><Relationship Id="rId780" Type="http://schemas.openxmlformats.org/officeDocument/2006/relationships/hyperlink" Target="http://bignewsnetwork.com" TargetMode="External"/><Relationship Id="rId1371" Type="http://schemas.openxmlformats.org/officeDocument/2006/relationships/hyperlink" Target="http://avenuez.com" TargetMode="External"/><Relationship Id="rId1372" Type="http://schemas.openxmlformats.org/officeDocument/2006/relationships/hyperlink" Target="https://avenuez.com/blog/top-wellness-marketing-agencies/" TargetMode="External"/><Relationship Id="rId1373" Type="http://schemas.openxmlformats.org/officeDocument/2006/relationships/hyperlink" Target="http://avenuez.com" TargetMode="External"/><Relationship Id="rId785" Type="http://schemas.openxmlformats.org/officeDocument/2006/relationships/hyperlink" Target="https://clutch.co/us/consulting/ai/strategy%3Fpage%3D3" TargetMode="External"/><Relationship Id="rId1374" Type="http://schemas.openxmlformats.org/officeDocument/2006/relationships/hyperlink" Target="https://www.awesomic.com/blog/full-service-creative-agencies" TargetMode="External"/><Relationship Id="rId784" Type="http://schemas.openxmlformats.org/officeDocument/2006/relationships/hyperlink" Target="http://clutch.co" TargetMode="External"/><Relationship Id="rId1375" Type="http://schemas.openxmlformats.org/officeDocument/2006/relationships/hyperlink" Target="http://awesomic.com" TargetMode="External"/><Relationship Id="rId783" Type="http://schemas.openxmlformats.org/officeDocument/2006/relationships/hyperlink" Target="https://clutch.co/us/agencies/social-media-marketing/facebook" TargetMode="External"/><Relationship Id="rId1376" Type="http://schemas.openxmlformats.org/officeDocument/2006/relationships/hyperlink" Target="https://awisee.com/ru/blog/paid-social-media-agencies/" TargetMode="External"/><Relationship Id="rId782" Type="http://schemas.openxmlformats.org/officeDocument/2006/relationships/hyperlink" Target="http://carvertise.com" TargetMode="External"/><Relationship Id="rId1377" Type="http://schemas.openxmlformats.org/officeDocument/2006/relationships/hyperlink" Target="http://awisee.com" TargetMode="External"/><Relationship Id="rId1367" Type="http://schemas.openxmlformats.org/officeDocument/2006/relationships/hyperlink" Target="http://athenahq.ai" TargetMode="External"/><Relationship Id="rId1368" Type="http://schemas.openxmlformats.org/officeDocument/2006/relationships/hyperlink" Target="https://avenuez.com/blog/top-dtc-marketing-agencies-in-the-usa/" TargetMode="External"/><Relationship Id="rId1369" Type="http://schemas.openxmlformats.org/officeDocument/2006/relationships/hyperlink" Target="http://avenuez.com" TargetMode="External"/><Relationship Id="rId778" Type="http://schemas.openxmlformats.org/officeDocument/2006/relationships/hyperlink" Target="http://barchart.com" TargetMode="External"/><Relationship Id="rId777" Type="http://schemas.openxmlformats.org/officeDocument/2006/relationships/hyperlink" Target="https://www.barchart.com/story/news/2450048/best-ai-search-agencies-in-2026-which-company-to-choose-for-building-brand-visibility-in-ai" TargetMode="External"/><Relationship Id="rId776" Type="http://schemas.openxmlformats.org/officeDocument/2006/relationships/hyperlink" Target="http://b2bmarketing.net" TargetMode="External"/><Relationship Id="rId775" Type="http://schemas.openxmlformats.org/officeDocument/2006/relationships/hyperlink" Target="https://www.b2bmarketing.net/top-10-us-b2b-marketing-agencies/" TargetMode="External"/><Relationship Id="rId779" Type="http://schemas.openxmlformats.org/officeDocument/2006/relationships/hyperlink" Target="https://www.bignewsnetwork.com/news/278956073/the-best-aeo-agencies-in-the-usa-for-2026" TargetMode="External"/><Relationship Id="rId770" Type="http://schemas.openxmlformats.org/officeDocument/2006/relationships/hyperlink" Target="http://agencyvista.com" TargetMode="External"/><Relationship Id="rId1360" Type="http://schemas.openxmlformats.org/officeDocument/2006/relationships/hyperlink" Target="https://appkod.com/blogs/paid-media-agencies-us/" TargetMode="External"/><Relationship Id="rId1361" Type="http://schemas.openxmlformats.org/officeDocument/2006/relationships/hyperlink" Target="http://appkod.com" TargetMode="External"/><Relationship Id="rId1362" Type="http://schemas.openxmlformats.org/officeDocument/2006/relationships/hyperlink" Target="https://www.askneedle.com/blog/best-ai-marketing-tools" TargetMode="External"/><Relationship Id="rId774" Type="http://schemas.openxmlformats.org/officeDocument/2006/relationships/hyperlink" Target="http://arcintermedia.com" TargetMode="External"/><Relationship Id="rId1363" Type="http://schemas.openxmlformats.org/officeDocument/2006/relationships/hyperlink" Target="http://askneedle.com" TargetMode="External"/><Relationship Id="rId773" Type="http://schemas.openxmlformats.org/officeDocument/2006/relationships/hyperlink" Target="https://www.arcintermedia.com/knowledge-base/seo-and-organic-reach/what-are-the-top-answer-engine-optimization-aeo-agencies/" TargetMode="External"/><Relationship Id="rId1364" Type="http://schemas.openxmlformats.org/officeDocument/2006/relationships/hyperlink" Target="https://aspiremarketers.com/top-performance-marketing-companies/" TargetMode="External"/><Relationship Id="rId772" Type="http://schemas.openxmlformats.org/officeDocument/2006/relationships/hyperlink" Target="http://ai-heroes.co" TargetMode="External"/><Relationship Id="rId1365" Type="http://schemas.openxmlformats.org/officeDocument/2006/relationships/hyperlink" Target="http://aspiremarketers.com" TargetMode="External"/><Relationship Id="rId771" Type="http://schemas.openxmlformats.org/officeDocument/2006/relationships/hyperlink" Target="https://www.ai-heroes.co/en-us/blog/best-ai-search-agencies-2026" TargetMode="External"/><Relationship Id="rId1366" Type="http://schemas.openxmlformats.org/officeDocument/2006/relationships/hyperlink" Target="https://athenahq.ai/articles/best-ai-seo-tools" TargetMode="External"/><Relationship Id="rId1390" Type="http://schemas.openxmlformats.org/officeDocument/2006/relationships/hyperlink" Target="https://blazonagency.com/post/top-ad-agencies" TargetMode="External"/><Relationship Id="rId1391" Type="http://schemas.openxmlformats.org/officeDocument/2006/relationships/hyperlink" Target="http://blazonagency.com" TargetMode="External"/><Relationship Id="rId1392" Type="http://schemas.openxmlformats.org/officeDocument/2006/relationships/hyperlink" Target="https://www.blendb2b.com/resources/best-aeo-agencies-for-logistics-companies?hs_amp=true" TargetMode="External"/><Relationship Id="rId1393" Type="http://schemas.openxmlformats.org/officeDocument/2006/relationships/hyperlink" Target="http://blendb2b.com" TargetMode="External"/><Relationship Id="rId1394" Type="http://schemas.openxmlformats.org/officeDocument/2006/relationships/hyperlink" Target="https://blog.brandburp.com/10-best-digital-marketing-agencies-in-new-york/" TargetMode="External"/><Relationship Id="rId1395" Type="http://schemas.openxmlformats.org/officeDocument/2006/relationships/hyperlink" Target="http://brandburp.com" TargetMode="External"/><Relationship Id="rId1396" Type="http://schemas.openxmlformats.org/officeDocument/2006/relationships/hyperlink" Target="https://www.blog.udonis.co/top-agencies/marketing-consulting-firms" TargetMode="External"/><Relationship Id="rId1397" Type="http://schemas.openxmlformats.org/officeDocument/2006/relationships/hyperlink" Target="http://udonis.co" TargetMode="External"/><Relationship Id="rId1398" Type="http://schemas.openxmlformats.org/officeDocument/2006/relationships/hyperlink" Target="https://www.bloggingtips.com/assets/outsourcing/seo" TargetMode="External"/><Relationship Id="rId1399" Type="http://schemas.openxmlformats.org/officeDocument/2006/relationships/hyperlink" Target="http://bloggingtips.com" TargetMode="External"/><Relationship Id="rId1389" Type="http://schemas.openxmlformats.org/officeDocument/2006/relationships/hyperlink" Target="http://blackthorn-vision.com" TargetMode="External"/><Relationship Id="rId799" Type="http://schemas.openxmlformats.org/officeDocument/2006/relationships/hyperlink" Target="https://www.digitalreference.co/insights/marketing-professionals/best-digital-marketing-agencies-companies-in-the-usa" TargetMode="External"/><Relationship Id="rId798" Type="http://schemas.openxmlformats.org/officeDocument/2006/relationships/hyperlink" Target="http://digitalreference.co" TargetMode="External"/><Relationship Id="rId797" Type="http://schemas.openxmlformats.org/officeDocument/2006/relationships/hyperlink" Target="https://www.digitalreference.co/design-professionals/best-creative-agencies-in-the-usa" TargetMode="External"/><Relationship Id="rId1380" Type="http://schemas.openxmlformats.org/officeDocument/2006/relationships/hyperlink" Target="https://www.barchart.com/story/news/1344974/designrush-unveils-april-2026-ranking-of-top-10-ppc-companies" TargetMode="External"/><Relationship Id="rId792" Type="http://schemas.openxmlformats.org/officeDocument/2006/relationships/hyperlink" Target="http://delogostudio.com" TargetMode="External"/><Relationship Id="rId1381" Type="http://schemas.openxmlformats.org/officeDocument/2006/relationships/hyperlink" Target="http://barchart.com" TargetMode="External"/><Relationship Id="rId791" Type="http://schemas.openxmlformats.org/officeDocument/2006/relationships/hyperlink" Target="https://delogostudio.com/blog/top-10-social-media-marketing-agencies-usa-2026/" TargetMode="External"/><Relationship Id="rId1382" Type="http://schemas.openxmlformats.org/officeDocument/2006/relationships/hyperlink" Target="https://beomniscient.com/blog/marketing-agencies/" TargetMode="External"/><Relationship Id="rId790" Type="http://schemas.openxmlformats.org/officeDocument/2006/relationships/hyperlink" Target="http://commercepundit.com" TargetMode="External"/><Relationship Id="rId1383" Type="http://schemas.openxmlformats.org/officeDocument/2006/relationships/hyperlink" Target="http://beomniscient.com" TargetMode="External"/><Relationship Id="rId1384" Type="http://schemas.openxmlformats.org/officeDocument/2006/relationships/hyperlink" Target="https://www.best-masters.com/master-marketing-ranking.html" TargetMode="External"/><Relationship Id="rId796" Type="http://schemas.openxmlformats.org/officeDocument/2006/relationships/hyperlink" Target="http://digitalagencynetwork.com" TargetMode="External"/><Relationship Id="rId1385" Type="http://schemas.openxmlformats.org/officeDocument/2006/relationships/hyperlink" Target="http://best-masters.com" TargetMode="External"/><Relationship Id="rId795" Type="http://schemas.openxmlformats.org/officeDocument/2006/relationships/hyperlink" Target="https://digitalagencynetwork.com/agencies/usa/online-advertising/" TargetMode="External"/><Relationship Id="rId1386" Type="http://schemas.openxmlformats.org/officeDocument/2006/relationships/hyperlink" Target="https://bestaiseoagencies.com/" TargetMode="External"/><Relationship Id="rId794" Type="http://schemas.openxmlformats.org/officeDocument/2006/relationships/hyperlink" Target="http://designrush.com" TargetMode="External"/><Relationship Id="rId1387" Type="http://schemas.openxmlformats.org/officeDocument/2006/relationships/hyperlink" Target="http://bestaiseoagencies.com" TargetMode="External"/><Relationship Id="rId793" Type="http://schemas.openxmlformats.org/officeDocument/2006/relationships/hyperlink" Target="https://www.designrush.com/agency/paid-media-pay-per-click/google-adwords" TargetMode="External"/><Relationship Id="rId1388" Type="http://schemas.openxmlformats.org/officeDocument/2006/relationships/hyperlink" Target="https://blackthorn-vision.com/blog/top-10-seo-companies-in-the-usa/" TargetMode="External"/><Relationship Id="rId1455" Type="http://schemas.openxmlformats.org/officeDocument/2006/relationships/hyperlink" Target="https://clicksgeek.com/paid-media-buying-services/" TargetMode="External"/><Relationship Id="rId1456" Type="http://schemas.openxmlformats.org/officeDocument/2006/relationships/hyperlink" Target="http://clicksgeek.com" TargetMode="External"/><Relationship Id="rId1457" Type="http://schemas.openxmlformats.org/officeDocument/2006/relationships/hyperlink" Target="https://clickstrike.com/blog/ai-marketing-agencies/" TargetMode="External"/><Relationship Id="rId1458" Type="http://schemas.openxmlformats.org/officeDocument/2006/relationships/hyperlink" Target="http://clickstrike.com" TargetMode="External"/><Relationship Id="rId1459" Type="http://schemas.openxmlformats.org/officeDocument/2006/relationships/hyperlink" Target="https://cloudconsultingfirms.com/insights/it-services-companies/" TargetMode="External"/><Relationship Id="rId629" Type="http://schemas.openxmlformats.org/officeDocument/2006/relationships/hyperlink" Target="http://themanifest.com" TargetMode="External"/><Relationship Id="rId624" Type="http://schemas.openxmlformats.org/officeDocument/2006/relationships/hyperlink" Target="https://www.sortlist.com/s/programmatic-advertising/united-states-us" TargetMode="External"/><Relationship Id="rId623" Type="http://schemas.openxmlformats.org/officeDocument/2006/relationships/hyperlink" Target="http://segmentstream.com" TargetMode="External"/><Relationship Id="rId622" Type="http://schemas.openxmlformats.org/officeDocument/2006/relationships/hyperlink" Target="https://segmentstream.com/blog/articles/measured-com-alternatives" TargetMode="External"/><Relationship Id="rId621" Type="http://schemas.openxmlformats.org/officeDocument/2006/relationships/hyperlink" Target="http://reddit.com" TargetMode="External"/><Relationship Id="rId628" Type="http://schemas.openxmlformats.org/officeDocument/2006/relationships/hyperlink" Target="https://themanifest.com/programmatic/agencies" TargetMode="External"/><Relationship Id="rId627" Type="http://schemas.openxmlformats.org/officeDocument/2006/relationships/hyperlink" Target="http://techradiant.co" TargetMode="External"/><Relationship Id="rId626" Type="http://schemas.openxmlformats.org/officeDocument/2006/relationships/hyperlink" Target="https://techradiant.co/agencies/generative-engine-optimization/" TargetMode="External"/><Relationship Id="rId625" Type="http://schemas.openxmlformats.org/officeDocument/2006/relationships/hyperlink" Target="http://sortlist.com" TargetMode="External"/><Relationship Id="rId1450" Type="http://schemas.openxmlformats.org/officeDocument/2006/relationships/hyperlink" Target="http://clicksgeek.com" TargetMode="External"/><Relationship Id="rId620" Type="http://schemas.openxmlformats.org/officeDocument/2006/relationships/hyperlink" Target="https://www.reddit.com/r/b2bmarketing/comments/1rl47cr/the_10_best_visibility_companies_and_agencies_for/" TargetMode="External"/><Relationship Id="rId1451" Type="http://schemas.openxmlformats.org/officeDocument/2006/relationships/hyperlink" Target="https://clicksgeek.com/best-roi-marketing-agencies/" TargetMode="External"/><Relationship Id="rId1452" Type="http://schemas.openxmlformats.org/officeDocument/2006/relationships/hyperlink" Target="http://clicksgeek.com" TargetMode="External"/><Relationship Id="rId1453" Type="http://schemas.openxmlformats.org/officeDocument/2006/relationships/hyperlink" Target="https://clicksgeek.com/display-advertising-management-services/" TargetMode="External"/><Relationship Id="rId1454" Type="http://schemas.openxmlformats.org/officeDocument/2006/relationships/hyperlink" Target="http://clicksgeek.com" TargetMode="External"/><Relationship Id="rId1444" Type="http://schemas.openxmlformats.org/officeDocument/2006/relationships/hyperlink" Target="http://clicksgeek.com" TargetMode="External"/><Relationship Id="rId1445" Type="http://schemas.openxmlformats.org/officeDocument/2006/relationships/hyperlink" Target="https://clicksgeek.com/best-marketing-agency-for-roi/" TargetMode="External"/><Relationship Id="rId1446" Type="http://schemas.openxmlformats.org/officeDocument/2006/relationships/hyperlink" Target="http://clicksgeek.com" TargetMode="External"/><Relationship Id="rId1447" Type="http://schemas.openxmlformats.org/officeDocument/2006/relationships/hyperlink" Target="https://clicksgeek.com/best-roi-digital-marketing-agencies/" TargetMode="External"/><Relationship Id="rId1448" Type="http://schemas.openxmlformats.org/officeDocument/2006/relationships/hyperlink" Target="http://clicksgeek.com" TargetMode="External"/><Relationship Id="rId1449" Type="http://schemas.openxmlformats.org/officeDocument/2006/relationships/hyperlink" Target="https://clicksgeek.com/best-roi-focused-marketing-agency/" TargetMode="External"/><Relationship Id="rId619" Type="http://schemas.openxmlformats.org/officeDocument/2006/relationships/hyperlink" Target="http://reddit.com" TargetMode="External"/><Relationship Id="rId618" Type="http://schemas.openxmlformats.org/officeDocument/2006/relationships/hyperlink" Target="https://www.reddit.com/r/TheTopAgencies/comments/1me9pid/the_best_digital_marketing_agencies_in_the_united/" TargetMode="External"/><Relationship Id="rId613" Type="http://schemas.openxmlformats.org/officeDocument/2006/relationships/hyperlink" Target="https://www.newform.com/guides/best-paid-social-performance-creative-agencies-2026" TargetMode="External"/><Relationship Id="rId612" Type="http://schemas.openxmlformats.org/officeDocument/2006/relationships/hyperlink" Target="https://www.munro.agency/top-performance-marketing-agencies/" TargetMode="External"/><Relationship Id="rId611" Type="http://schemas.openxmlformats.org/officeDocument/2006/relationships/hyperlink" Target="https://www.munro.agency/top-geo-agencies/" TargetMode="External"/><Relationship Id="rId610" Type="http://schemas.openxmlformats.org/officeDocument/2006/relationships/hyperlink" Target="http://minuttia.com" TargetMode="External"/><Relationship Id="rId617" Type="http://schemas.openxmlformats.org/officeDocument/2006/relationships/hyperlink" Target="https://rampiq.agency/blog/best-ai-search-b2b-marketing-agencies/" TargetMode="External"/><Relationship Id="rId616" Type="http://schemas.openxmlformats.org/officeDocument/2006/relationships/hyperlink" Target="http://ninjapromo.io" TargetMode="External"/><Relationship Id="rId615" Type="http://schemas.openxmlformats.org/officeDocument/2006/relationships/hyperlink" Target="https://ninjapromo.io/top-display-advertising-agencies" TargetMode="External"/><Relationship Id="rId614" Type="http://schemas.openxmlformats.org/officeDocument/2006/relationships/hyperlink" Target="http://newform.com" TargetMode="External"/><Relationship Id="rId1440" Type="http://schemas.openxmlformats.org/officeDocument/2006/relationships/hyperlink" Target="http://clearleaddigital.com" TargetMode="External"/><Relationship Id="rId1441" Type="http://schemas.openxmlformats.org/officeDocument/2006/relationships/hyperlink" Target="https://clicksgeek.com/best-google-ads-management-companies/" TargetMode="External"/><Relationship Id="rId1442" Type="http://schemas.openxmlformats.org/officeDocument/2006/relationships/hyperlink" Target="http://clicksgeek.com" TargetMode="External"/><Relationship Id="rId1443" Type="http://schemas.openxmlformats.org/officeDocument/2006/relationships/hyperlink" Target="https://clicksgeek.com/best-google-premier-partners/" TargetMode="External"/><Relationship Id="rId1477" Type="http://schemas.openxmlformats.org/officeDocument/2006/relationships/hyperlink" Target="https://clutch.co/us/agencies/digital-marketing/small-business" TargetMode="External"/><Relationship Id="rId1478" Type="http://schemas.openxmlformats.org/officeDocument/2006/relationships/hyperlink" Target="http://clutch.co" TargetMode="External"/><Relationship Id="rId1479" Type="http://schemas.openxmlformats.org/officeDocument/2006/relationships/hyperlink" Target="https://clutch.co/us/agencies/market-research/shopper-marketing" TargetMode="External"/><Relationship Id="rId646" Type="http://schemas.openxmlformats.org/officeDocument/2006/relationships/hyperlink" Target="https://clutch.co/us/agencies/ppc/display%3Fpage%3D2" TargetMode="External"/><Relationship Id="rId645" Type="http://schemas.openxmlformats.org/officeDocument/2006/relationships/hyperlink" Target="http://businessofapps.com" TargetMode="External"/><Relationship Id="rId644" Type="http://schemas.openxmlformats.org/officeDocument/2006/relationships/hyperlink" Target="https://www.businessofapps.com/marketplace/performance-marketing/" TargetMode="External"/><Relationship Id="rId643" Type="http://schemas.openxmlformats.org/officeDocument/2006/relationships/hyperlink" Target="http://barchart.com" TargetMode="External"/><Relationship Id="rId649" Type="http://schemas.openxmlformats.org/officeDocument/2006/relationships/hyperlink" Target="http://coolnerdsmarketing.com" TargetMode="External"/><Relationship Id="rId648" Type="http://schemas.openxmlformats.org/officeDocument/2006/relationships/hyperlink" Target="https://coolnerdsmarketing.com/best-ad-agencies-2025/" TargetMode="External"/><Relationship Id="rId647" Type="http://schemas.openxmlformats.org/officeDocument/2006/relationships/hyperlink" Target="http://clutch.co" TargetMode="External"/><Relationship Id="rId1470" Type="http://schemas.openxmlformats.org/officeDocument/2006/relationships/hyperlink" Target="http://clutch.co" TargetMode="External"/><Relationship Id="rId1471" Type="http://schemas.openxmlformats.org/officeDocument/2006/relationships/hyperlink" Target="https://clutch.co/agencies/programmatic" TargetMode="External"/><Relationship Id="rId1472" Type="http://schemas.openxmlformats.org/officeDocument/2006/relationships/hyperlink" Target="http://clutch.co" TargetMode="External"/><Relationship Id="rId642" Type="http://schemas.openxmlformats.org/officeDocument/2006/relationships/hyperlink" Target="https://www.barchart.com/story/news/1302801/11-best-ai-search-marketing-agencies-ranked-for-2026" TargetMode="External"/><Relationship Id="rId1473" Type="http://schemas.openxmlformats.org/officeDocument/2006/relationships/hyperlink" Target="https://clutch.co/us/agencies/branding" TargetMode="External"/><Relationship Id="rId641" Type="http://schemas.openxmlformats.org/officeDocument/2006/relationships/hyperlink" Target="http://aikenhouse.com" TargetMode="External"/><Relationship Id="rId1474" Type="http://schemas.openxmlformats.org/officeDocument/2006/relationships/hyperlink" Target="http://clutch.co" TargetMode="External"/><Relationship Id="rId640" Type="http://schemas.openxmlformats.org/officeDocument/2006/relationships/hyperlink" Target="https://www.aikenhouse.com/post/best-ai-consulting-firms-that-go-beyond-strategy-decks" TargetMode="External"/><Relationship Id="rId1475" Type="http://schemas.openxmlformats.org/officeDocument/2006/relationships/hyperlink" Target="https://clutch.co/us/agencies/business-services-industry?page=1" TargetMode="External"/><Relationship Id="rId1476" Type="http://schemas.openxmlformats.org/officeDocument/2006/relationships/hyperlink" Target="http://clutch.co" TargetMode="External"/><Relationship Id="rId1466" Type="http://schemas.openxmlformats.org/officeDocument/2006/relationships/hyperlink" Target="http://clutch.co" TargetMode="External"/><Relationship Id="rId1467" Type="http://schemas.openxmlformats.org/officeDocument/2006/relationships/hyperlink" Target="https://clutch.co/agencies/ppc" TargetMode="External"/><Relationship Id="rId1468" Type="http://schemas.openxmlformats.org/officeDocument/2006/relationships/hyperlink" Target="http://clutch.co" TargetMode="External"/><Relationship Id="rId1469" Type="http://schemas.openxmlformats.org/officeDocument/2006/relationships/hyperlink" Target="https://clutch.co/agencies/ppc/ecommerce-industry" TargetMode="External"/><Relationship Id="rId635" Type="http://schemas.openxmlformats.org/officeDocument/2006/relationships/hyperlink" Target="http://aeo-collective.com" TargetMode="External"/><Relationship Id="rId634" Type="http://schemas.openxmlformats.org/officeDocument/2006/relationships/hyperlink" Target="https://aeo-collective.com/blog/top-10-aeo-geo-aio-marketing-agencies-in-april-2026/" TargetMode="External"/><Relationship Id="rId633" Type="http://schemas.openxmlformats.org/officeDocument/2006/relationships/hyperlink" Target="http://20northmarketing.com" TargetMode="External"/><Relationship Id="rId632" Type="http://schemas.openxmlformats.org/officeDocument/2006/relationships/hyperlink" Target="https://www.20northmarketing.com/blog/top-ai-seo-experts" TargetMode="External"/><Relationship Id="rId639" Type="http://schemas.openxmlformats.org/officeDocument/2006/relationships/hyperlink" Target="http://semrush.com" TargetMode="External"/><Relationship Id="rId638" Type="http://schemas.openxmlformats.org/officeDocument/2006/relationships/hyperlink" Target="https://agencies.semrush.com/list/ppc/united-states/" TargetMode="External"/><Relationship Id="rId637" Type="http://schemas.openxmlformats.org/officeDocument/2006/relationships/hyperlink" Target="http://semrush.com" TargetMode="External"/><Relationship Id="rId636" Type="http://schemas.openxmlformats.org/officeDocument/2006/relationships/hyperlink" Target="https://agencies.semrush.com/list/analytics-data-science/united-states/" TargetMode="External"/><Relationship Id="rId1460" Type="http://schemas.openxmlformats.org/officeDocument/2006/relationships/hyperlink" Target="http://cloudconsultingfirms.com" TargetMode="External"/><Relationship Id="rId1461" Type="http://schemas.openxmlformats.org/officeDocument/2006/relationships/hyperlink" Target="https://clutch.co/agencies/conversion-optimization/research" TargetMode="External"/><Relationship Id="rId631" Type="http://schemas.openxmlformats.org/officeDocument/2006/relationships/hyperlink" Target="http://zipdo.co" TargetMode="External"/><Relationship Id="rId1462" Type="http://schemas.openxmlformats.org/officeDocument/2006/relationships/hyperlink" Target="http://clutch.co" TargetMode="External"/><Relationship Id="rId630" Type="http://schemas.openxmlformats.org/officeDocument/2006/relationships/hyperlink" Target="https://zipdo.co/service/marketing-analytics/" TargetMode="External"/><Relationship Id="rId1463" Type="http://schemas.openxmlformats.org/officeDocument/2006/relationships/hyperlink" Target="https://clutch.co/agencies/media-buying" TargetMode="External"/><Relationship Id="rId1464" Type="http://schemas.openxmlformats.org/officeDocument/2006/relationships/hyperlink" Target="http://clutch.co" TargetMode="External"/><Relationship Id="rId1465" Type="http://schemas.openxmlformats.org/officeDocument/2006/relationships/hyperlink" Target="https://clutch.co/agencies/media-buying?page=0" TargetMode="External"/><Relationship Id="rId1411" Type="http://schemas.openxmlformats.org/officeDocument/2006/relationships/hyperlink" Target="http://brillmedia.co" TargetMode="External"/><Relationship Id="rId1412" Type="http://schemas.openxmlformats.org/officeDocument/2006/relationships/hyperlink" Target="https://www.builtincolorado.com/articles/consulting-firms-colorado" TargetMode="External"/><Relationship Id="rId1413" Type="http://schemas.openxmlformats.org/officeDocument/2006/relationships/hyperlink" Target="http://builtincolorado.com" TargetMode="External"/><Relationship Id="rId1414" Type="http://schemas.openxmlformats.org/officeDocument/2006/relationships/hyperlink" Target="https://business.adobe.com/blog/basics/marketing-attribution" TargetMode="External"/><Relationship Id="rId1415" Type="http://schemas.openxmlformats.org/officeDocument/2006/relationships/hyperlink" Target="http://adobe.com" TargetMode="External"/><Relationship Id="rId1416" Type="http://schemas.openxmlformats.org/officeDocument/2006/relationships/hyperlink" Target="https://www.businessinsider.com/top-geo-tips-ai-search-google-microsoft-perplexity-2025-12" TargetMode="External"/><Relationship Id="rId1417" Type="http://schemas.openxmlformats.org/officeDocument/2006/relationships/hyperlink" Target="http://businessinsider.com" TargetMode="External"/><Relationship Id="rId1418" Type="http://schemas.openxmlformats.org/officeDocument/2006/relationships/hyperlink" Target="https://c3digitus.com/blog/top-digital-marketing-agencies-usa/" TargetMode="External"/><Relationship Id="rId1419" Type="http://schemas.openxmlformats.org/officeDocument/2006/relationships/hyperlink" Target="http://c3digitus.com" TargetMode="External"/><Relationship Id="rId1410" Type="http://schemas.openxmlformats.org/officeDocument/2006/relationships/hyperlink" Target="https://brillmedia.co/resources/display-ads-best-practices/" TargetMode="External"/><Relationship Id="rId1400" Type="http://schemas.openxmlformats.org/officeDocument/2006/relationships/hyperlink" Target="https://www.bolderagency.com/journal/startup-branding-agency-guide-2026-best-us-agencies-for-strategic-brand-building" TargetMode="External"/><Relationship Id="rId1401" Type="http://schemas.openxmlformats.org/officeDocument/2006/relationships/hyperlink" Target="http://bolderagency.com" TargetMode="External"/><Relationship Id="rId1402" Type="http://schemas.openxmlformats.org/officeDocument/2006/relationships/hyperlink" Target="https://www.brandedagency.com/blog/top-digital-marketing-agencies" TargetMode="External"/><Relationship Id="rId1403" Type="http://schemas.openxmlformats.org/officeDocument/2006/relationships/hyperlink" Target="http://brandedagency.com" TargetMode="External"/><Relationship Id="rId1404" Type="http://schemas.openxmlformats.org/officeDocument/2006/relationships/hyperlink" Target="https://www.breakingb2b.com/blog/best-aeo-agency" TargetMode="External"/><Relationship Id="rId1405" Type="http://schemas.openxmlformats.org/officeDocument/2006/relationships/hyperlink" Target="http://breakingb2b.com" TargetMode="External"/><Relationship Id="rId1406" Type="http://schemas.openxmlformats.org/officeDocument/2006/relationships/hyperlink" Target="https://brillmedia.co/locations/best-ad-agencies-in-california/" TargetMode="External"/><Relationship Id="rId1407" Type="http://schemas.openxmlformats.org/officeDocument/2006/relationships/hyperlink" Target="http://brillmedia.co" TargetMode="External"/><Relationship Id="rId1408" Type="http://schemas.openxmlformats.org/officeDocument/2006/relationships/hyperlink" Target="https://brillmedia.co/resources/best-bing-ads-agencies/" TargetMode="External"/><Relationship Id="rId1409" Type="http://schemas.openxmlformats.org/officeDocument/2006/relationships/hyperlink" Target="http://brillmedia.co" TargetMode="External"/><Relationship Id="rId1433" Type="http://schemas.openxmlformats.org/officeDocument/2006/relationships/hyperlink" Target="http://cisin.com" TargetMode="External"/><Relationship Id="rId1434" Type="http://schemas.openxmlformats.org/officeDocument/2006/relationships/hyperlink" Target="https://www.citeme.io/ressources/geo-agency" TargetMode="External"/><Relationship Id="rId1435" Type="http://schemas.openxmlformats.org/officeDocument/2006/relationships/hyperlink" Target="http://citeme.io" TargetMode="External"/><Relationship Id="rId1436" Type="http://schemas.openxmlformats.org/officeDocument/2006/relationships/hyperlink" Target="https://citrusbug.com/blog/mobile-app-development-agencies/" TargetMode="External"/><Relationship Id="rId1437" Type="http://schemas.openxmlformats.org/officeDocument/2006/relationships/hyperlink" Target="http://citrusbug.com" TargetMode="External"/><Relationship Id="rId1438" Type="http://schemas.openxmlformats.org/officeDocument/2006/relationships/hyperlink" Target="https://clay.global/blog/best-web-design-agencies" TargetMode="External"/><Relationship Id="rId1439" Type="http://schemas.openxmlformats.org/officeDocument/2006/relationships/hyperlink" Target="https://www.clearleaddigital.com/blog/2025-guide-top-seo-marketing-agencies" TargetMode="External"/><Relationship Id="rId609" Type="http://schemas.openxmlformats.org/officeDocument/2006/relationships/hyperlink" Target="https://minuttia.com/best-geo-agencies/" TargetMode="External"/><Relationship Id="rId608" Type="http://schemas.openxmlformats.org/officeDocument/2006/relationships/hyperlink" Target="http://improvado.io" TargetMode="External"/><Relationship Id="rId607" Type="http://schemas.openxmlformats.org/officeDocument/2006/relationships/hyperlink" Target="https://improvado.io/blog/multi-touch-attribution-solutions" TargetMode="External"/><Relationship Id="rId602" Type="http://schemas.openxmlformats.org/officeDocument/2006/relationships/hyperlink" Target="http://clutch.co" TargetMode="External"/><Relationship Id="rId601" Type="http://schemas.openxmlformats.org/officeDocument/2006/relationships/hyperlink" Target="https://clutch.co/us/seo-firms/generative-engine-optimization%3Fpage%3D4" TargetMode="External"/><Relationship Id="rId600" Type="http://schemas.openxmlformats.org/officeDocument/2006/relationships/hyperlink" Target="http://clutch.co" TargetMode="External"/><Relationship Id="rId606" Type="http://schemas.openxmlformats.org/officeDocument/2006/relationships/hyperlink" Target="http://gemfind.com" TargetMode="External"/><Relationship Id="rId605" Type="http://schemas.openxmlformats.org/officeDocument/2006/relationships/hyperlink" Target="https://gemfind.com/blogs/digital-marketing/google-marketing-partner" TargetMode="External"/><Relationship Id="rId604" Type="http://schemas.openxmlformats.org/officeDocument/2006/relationships/hyperlink" Target="http://gaper.io" TargetMode="External"/><Relationship Id="rId603" Type="http://schemas.openxmlformats.org/officeDocument/2006/relationships/hyperlink" Target="https://gaper.io/best-aeo-agencies" TargetMode="External"/><Relationship Id="rId1430" Type="http://schemas.openxmlformats.org/officeDocument/2006/relationships/hyperlink" Target="https://www.ciocoverage.com/top-10-leading-google-partners-to-watch-in-2022/" TargetMode="External"/><Relationship Id="rId1431" Type="http://schemas.openxmlformats.org/officeDocument/2006/relationships/hyperlink" Target="http://ciocoverage.com" TargetMode="External"/><Relationship Id="rId1432" Type="http://schemas.openxmlformats.org/officeDocument/2006/relationships/hyperlink" Target="https://www.cisin.com/coffee-break/software-development-companies-in-the-usa.html" TargetMode="External"/><Relationship Id="rId1422" Type="http://schemas.openxmlformats.org/officeDocument/2006/relationships/hyperlink" Target="https://www.callboxinc.com/lead-generation/business-to-business-marketing-companies/" TargetMode="External"/><Relationship Id="rId1423" Type="http://schemas.openxmlformats.org/officeDocument/2006/relationships/hyperlink" Target="http://callboxinc.com" TargetMode="External"/><Relationship Id="rId1424" Type="http://schemas.openxmlformats.org/officeDocument/2006/relationships/hyperlink" Target="https://www.campaignlive.com/article/final-2024-us-media-agency-rankings-in-claimed-top-spot/1907166" TargetMode="External"/><Relationship Id="rId1425" Type="http://schemas.openxmlformats.org/officeDocument/2006/relationships/hyperlink" Target="http://campaignlive.com" TargetMode="External"/><Relationship Id="rId1426" Type="http://schemas.openxmlformats.org/officeDocument/2006/relationships/hyperlink" Target="https://www.causalityengine.ai/resources/best-incrementality-testing-platforms" TargetMode="External"/><Relationship Id="rId1427" Type="http://schemas.openxmlformats.org/officeDocument/2006/relationships/hyperlink" Target="http://causalityengine.ai" TargetMode="External"/><Relationship Id="rId1428" Type="http://schemas.openxmlformats.org/officeDocument/2006/relationships/hyperlink" Target="https://cio.economictimes.indiatimes.com/tools/best-customer-data-platforms/127611075" TargetMode="External"/><Relationship Id="rId1429" Type="http://schemas.openxmlformats.org/officeDocument/2006/relationships/hyperlink" Target="http://indiatimes.com" TargetMode="External"/><Relationship Id="rId1420" Type="http://schemas.openxmlformats.org/officeDocument/2006/relationships/hyperlink" Target="https://cabinco.com/best-ai-consulting-firms/" TargetMode="External"/><Relationship Id="rId1421" Type="http://schemas.openxmlformats.org/officeDocument/2006/relationships/hyperlink" Target="http://cabinco.com" TargetMode="External"/><Relationship Id="rId699" Type="http://schemas.openxmlformats.org/officeDocument/2006/relationships/hyperlink" Target="http://agencyspotter.com" TargetMode="External"/><Relationship Id="rId698" Type="http://schemas.openxmlformats.org/officeDocument/2006/relationships/hyperlink" Target="https://www.agencyspotter.com/top/social-media-marketing-agencies" TargetMode="External"/><Relationship Id="rId693" Type="http://schemas.openxmlformats.org/officeDocument/2006/relationships/hyperlink" Target="https://www.20northmarketing.com/blog/top-ai-optimization-agencies" TargetMode="External"/><Relationship Id="rId692" Type="http://schemas.openxmlformats.org/officeDocument/2006/relationships/hyperlink" Target="http://worldmetrics.org" TargetMode="External"/><Relationship Id="rId691" Type="http://schemas.openxmlformats.org/officeDocument/2006/relationships/hyperlink" Target="https://worldmetrics.org/service/media-mix-modeling/" TargetMode="External"/><Relationship Id="rId690" Type="http://schemas.openxmlformats.org/officeDocument/2006/relationships/hyperlink" Target="http://webtonic.io" TargetMode="External"/><Relationship Id="rId697" Type="http://schemas.openxmlformats.org/officeDocument/2006/relationships/hyperlink" Target="https://agencyreview.dev/insights/top-social-media-marketing-agencies" TargetMode="External"/><Relationship Id="rId696" Type="http://schemas.openxmlformats.org/officeDocument/2006/relationships/hyperlink" Target="http://50pros.com" TargetMode="External"/><Relationship Id="rId695" Type="http://schemas.openxmlformats.org/officeDocument/2006/relationships/hyperlink" Target="https://www.50pros.com/hire/advertising" TargetMode="External"/><Relationship Id="rId694" Type="http://schemas.openxmlformats.org/officeDocument/2006/relationships/hyperlink" Target="http://20northmarketing.com" TargetMode="External"/><Relationship Id="rId1499" Type="http://schemas.openxmlformats.org/officeDocument/2006/relationships/hyperlink" Target="https://clutch.co/us/agencies/social-media-marketing/influencer/tiktok" TargetMode="External"/><Relationship Id="rId668" Type="http://schemas.openxmlformats.org/officeDocument/2006/relationships/hyperlink" Target="https://moosend.com/blog/best-aeo-agencies/" TargetMode="External"/><Relationship Id="rId667" Type="http://schemas.openxmlformats.org/officeDocument/2006/relationships/hyperlink" Target="http://marketerhire.com" TargetMode="External"/><Relationship Id="rId666" Type="http://schemas.openxmlformats.org/officeDocument/2006/relationships/hyperlink" Target="https://marketerhire.com/blog/performance-marketing-agency" TargetMode="External"/><Relationship Id="rId665" Type="http://schemas.openxmlformats.org/officeDocument/2006/relationships/hyperlink" Target="http://lyfemarketing.com" TargetMode="External"/><Relationship Id="rId669" Type="http://schemas.openxmlformats.org/officeDocument/2006/relationships/hyperlink" Target="http://moosend.com" TargetMode="External"/><Relationship Id="rId1490" Type="http://schemas.openxmlformats.org/officeDocument/2006/relationships/hyperlink" Target="http://clutch.co" TargetMode="External"/><Relationship Id="rId660" Type="http://schemas.openxmlformats.org/officeDocument/2006/relationships/hyperlink" Target="https://www.growandconvert.com/seo/best-ai-seo-agencies/" TargetMode="External"/><Relationship Id="rId1491" Type="http://schemas.openxmlformats.org/officeDocument/2006/relationships/hyperlink" Target="https://clutch.co/us/agencies/ppc/google-adwords%3Fpage%3D16" TargetMode="External"/><Relationship Id="rId1492" Type="http://schemas.openxmlformats.org/officeDocument/2006/relationships/hyperlink" Target="http://clutch.co" TargetMode="External"/><Relationship Id="rId1493" Type="http://schemas.openxmlformats.org/officeDocument/2006/relationships/hyperlink" Target="https://clutch.co/us/agencies/programmatic%3Fpage%3D2" TargetMode="External"/><Relationship Id="rId1494" Type="http://schemas.openxmlformats.org/officeDocument/2006/relationships/hyperlink" Target="http://clutch.co" TargetMode="External"/><Relationship Id="rId664" Type="http://schemas.openxmlformats.org/officeDocument/2006/relationships/hyperlink" Target="https://www.lyfemarketing.com/blog/top-digital-marketing-agencies-us/" TargetMode="External"/><Relationship Id="rId1495" Type="http://schemas.openxmlformats.org/officeDocument/2006/relationships/hyperlink" Target="https://clutch.co/us/agencies/programmatic%3Fpage%3D3" TargetMode="External"/><Relationship Id="rId663" Type="http://schemas.openxmlformats.org/officeDocument/2006/relationships/hyperlink" Target="http://icreativez.com" TargetMode="External"/><Relationship Id="rId1496" Type="http://schemas.openxmlformats.org/officeDocument/2006/relationships/hyperlink" Target="http://clutch.co" TargetMode="External"/><Relationship Id="rId662" Type="http://schemas.openxmlformats.org/officeDocument/2006/relationships/hyperlink" Target="https://www.icreativez.com/categories/online-marketing/10-best-display-advertising-services-companies-consultants-2026.html" TargetMode="External"/><Relationship Id="rId1497" Type="http://schemas.openxmlformats.org/officeDocument/2006/relationships/hyperlink" Target="https://clutch.co/us/agencies/programmatic%3Fpage%3D7" TargetMode="External"/><Relationship Id="rId661" Type="http://schemas.openxmlformats.org/officeDocument/2006/relationships/hyperlink" Target="http://growandconvert.com" TargetMode="External"/><Relationship Id="rId1498" Type="http://schemas.openxmlformats.org/officeDocument/2006/relationships/hyperlink" Target="http://clutch.co" TargetMode="External"/><Relationship Id="rId1488" Type="http://schemas.openxmlformats.org/officeDocument/2006/relationships/hyperlink" Target="http://clutch.co" TargetMode="External"/><Relationship Id="rId1489" Type="http://schemas.openxmlformats.org/officeDocument/2006/relationships/hyperlink" Target="https://clutch.co/us/agencies/ppc/ecommerce-industry" TargetMode="External"/><Relationship Id="rId657" Type="http://schemas.openxmlformats.org/officeDocument/2006/relationships/hyperlink" Target="http://forbes.com" TargetMode="External"/><Relationship Id="rId656" Type="http://schemas.openxmlformats.org/officeDocument/2006/relationships/hyperlink" Target="https://www.forbes.com/lists/ai50/" TargetMode="External"/><Relationship Id="rId655" Type="http://schemas.openxmlformats.org/officeDocument/2006/relationships/hyperlink" Target="http://eseospace.com" TargetMode="External"/><Relationship Id="rId654" Type="http://schemas.openxmlformats.org/officeDocument/2006/relationships/hyperlink" Target="https://eseospace.com/blog/top-aeo-agencies-2026/" TargetMode="External"/><Relationship Id="rId659" Type="http://schemas.openxmlformats.org/officeDocument/2006/relationships/hyperlink" Target="http://foundgrove.com" TargetMode="External"/><Relationship Id="rId658" Type="http://schemas.openxmlformats.org/officeDocument/2006/relationships/hyperlink" Target="https://foundgrove.com/blog/top-generative-engine-optimization-agencies-2026" TargetMode="External"/><Relationship Id="rId1480" Type="http://schemas.openxmlformats.org/officeDocument/2006/relationships/hyperlink" Target="http://clutch.co" TargetMode="External"/><Relationship Id="rId1481" Type="http://schemas.openxmlformats.org/officeDocument/2006/relationships/hyperlink" Target="https://clutch.co/us/agencies/ppc/display%3Fpage%3D6" TargetMode="External"/><Relationship Id="rId1482" Type="http://schemas.openxmlformats.org/officeDocument/2006/relationships/hyperlink" Target="http://clutch.co" TargetMode="External"/><Relationship Id="rId1483" Type="http://schemas.openxmlformats.org/officeDocument/2006/relationships/hyperlink" Target="https://clutch.co/us/agencies/ppc/display%3Fpage%3D8" TargetMode="External"/><Relationship Id="rId653" Type="http://schemas.openxmlformats.org/officeDocument/2006/relationships/hyperlink" Target="http://embarque.io" TargetMode="External"/><Relationship Id="rId1484" Type="http://schemas.openxmlformats.org/officeDocument/2006/relationships/hyperlink" Target="http://clutch.co" TargetMode="External"/><Relationship Id="rId652" Type="http://schemas.openxmlformats.org/officeDocument/2006/relationships/hyperlink" Target="https://www.embarque.io/post/we-found-20-ai-seo-agencies-helping-businesses-rank-in-llm-results" TargetMode="External"/><Relationship Id="rId1485" Type="http://schemas.openxmlformats.org/officeDocument/2006/relationships/hyperlink" Target="https://clutch.co/us/agencies/ppc/display?page=10" TargetMode="External"/><Relationship Id="rId651" Type="http://schemas.openxmlformats.org/officeDocument/2006/relationships/hyperlink" Target="http://designrush.com" TargetMode="External"/><Relationship Id="rId1486" Type="http://schemas.openxmlformats.org/officeDocument/2006/relationships/hyperlink" Target="http://clutch.co" TargetMode="External"/><Relationship Id="rId650" Type="http://schemas.openxmlformats.org/officeDocument/2006/relationships/hyperlink" Target="https://www.designrush.com/agency/digital-marketing" TargetMode="External"/><Relationship Id="rId1487" Type="http://schemas.openxmlformats.org/officeDocument/2006/relationships/hyperlink" Target="https://clutch.co/us/agencies/ppc/display?page=16" TargetMode="External"/><Relationship Id="rId689" Type="http://schemas.openxmlformats.org/officeDocument/2006/relationships/hyperlink" Target="https://www.webtonic.io/blog/top-creative-agencies" TargetMode="External"/><Relationship Id="rId688" Type="http://schemas.openxmlformats.org/officeDocument/2006/relationships/hyperlink" Target="http://webtonic.io" TargetMode="External"/><Relationship Id="rId687" Type="http://schemas.openxmlformats.org/officeDocument/2006/relationships/hyperlink" Target="https://www.webtonic.io/blog/best-digital-marketing-agencies-usa" TargetMode="External"/><Relationship Id="rId682" Type="http://schemas.openxmlformats.org/officeDocument/2006/relationships/hyperlink" Target="http://uforocks.com" TargetMode="External"/><Relationship Id="rId681" Type="http://schemas.openxmlformats.org/officeDocument/2006/relationships/hyperlink" Target="https://www.uforocks.com/blog/top-marketing-agencies-in-the-united-states/" TargetMode="External"/><Relationship Id="rId680" Type="http://schemas.openxmlformats.org/officeDocument/2006/relationships/hyperlink" Target="http://tripledart.com" TargetMode="External"/><Relationship Id="rId686" Type="http://schemas.openxmlformats.org/officeDocument/2006/relationships/hyperlink" Target="http://upliftgtm.com" TargetMode="External"/><Relationship Id="rId685" Type="http://schemas.openxmlformats.org/officeDocument/2006/relationships/hyperlink" Target="https://www.upliftgtm.com/blog/best-geo-agencies" TargetMode="External"/><Relationship Id="rId684" Type="http://schemas.openxmlformats.org/officeDocument/2006/relationships/hyperlink" Target="http://uforocks.com" TargetMode="External"/><Relationship Id="rId683" Type="http://schemas.openxmlformats.org/officeDocument/2006/relationships/hyperlink" Target="https://www.uforocks.com/blog/top-ppc-agencies-in-the-united-states/" TargetMode="External"/><Relationship Id="rId679" Type="http://schemas.openxmlformats.org/officeDocument/2006/relationships/hyperlink" Target="https://www.tripledart.com/ai-seo/best-generative-engine-optimization-agencies" TargetMode="External"/><Relationship Id="rId678" Type="http://schemas.openxmlformats.org/officeDocument/2006/relationships/hyperlink" Target="http://silverbackstrategies.com" TargetMode="External"/><Relationship Id="rId677" Type="http://schemas.openxmlformats.org/officeDocument/2006/relationships/hyperlink" Target="https://www.silverbackstrategies.com/lists/best-geo-agencies-generative-engine-optimization-in-2026-ranked-reviewed/" TargetMode="External"/><Relationship Id="rId676" Type="http://schemas.openxmlformats.org/officeDocument/2006/relationships/hyperlink" Target="http://searchbloom.com" TargetMode="External"/><Relationship Id="rId671" Type="http://schemas.openxmlformats.org/officeDocument/2006/relationships/hyperlink" Target="https://procloser.ai/blog/best-ai-search-optimization-agencies/" TargetMode="External"/><Relationship Id="rId670" Type="http://schemas.openxmlformats.org/officeDocument/2006/relationships/hyperlink" Target="https://www.position.digital/blog/top-geo-agencies/" TargetMode="External"/><Relationship Id="rId675" Type="http://schemas.openxmlformats.org/officeDocument/2006/relationships/hyperlink" Target="https://www.searchbloom.com/strategy/best-ppc-agencies-usa/" TargetMode="External"/><Relationship Id="rId674" Type="http://schemas.openxmlformats.org/officeDocument/2006/relationships/hyperlink" Target="http://reddit.com" TargetMode="External"/><Relationship Id="rId673" Type="http://schemas.openxmlformats.org/officeDocument/2006/relationships/hyperlink" Target="https://www.reddit.com/r/ecommerce/comments/1c4too8/best_tools_for_paid_marketing_attribution/" TargetMode="External"/><Relationship Id="rId672" Type="http://schemas.openxmlformats.org/officeDocument/2006/relationships/hyperlink" Target="http://procloser.ai" TargetMode="External"/><Relationship Id="rId190" Type="http://schemas.openxmlformats.org/officeDocument/2006/relationships/hyperlink" Target="https://www.weareqry.com/blog/best-paid-media-agencies" TargetMode="External"/><Relationship Id="rId194" Type="http://schemas.openxmlformats.org/officeDocument/2006/relationships/hyperlink" Target="https://clutch.co/us/consulting/ai/strategy" TargetMode="External"/><Relationship Id="rId193" Type="http://schemas.openxmlformats.org/officeDocument/2006/relationships/hyperlink" Target="http://adbeacon.com" TargetMode="External"/><Relationship Id="rId192" Type="http://schemas.openxmlformats.org/officeDocument/2006/relationships/hyperlink" Target="https://www.adbeacon.com/7-best-marketing-attribution-tools-compared-2026/" TargetMode="External"/><Relationship Id="rId191" Type="http://schemas.openxmlformats.org/officeDocument/2006/relationships/hyperlink" Target="http://weareqry.com" TargetMode="External"/><Relationship Id="rId187" Type="http://schemas.openxmlformats.org/officeDocument/2006/relationships/hyperlink" Target="http://gartner.com" TargetMode="External"/><Relationship Id="rId186" Type="http://schemas.openxmlformats.org/officeDocument/2006/relationships/hyperlink" Target="https://www.gartner.com/reviews/market/advanced-analytics-service-providers-for-marketing" TargetMode="External"/><Relationship Id="rId185" Type="http://schemas.openxmlformats.org/officeDocument/2006/relationships/hyperlink" Target="http://designrush.com" TargetMode="External"/><Relationship Id="rId184" Type="http://schemas.openxmlformats.org/officeDocument/2006/relationships/hyperlink" Target="https://www.designrush.com/agency/digital-marketing/performance-marketing-agencies" TargetMode="External"/><Relationship Id="rId189" Type="http://schemas.openxmlformats.org/officeDocument/2006/relationships/hyperlink" Target="http://rzlt.io" TargetMode="External"/><Relationship Id="rId188" Type="http://schemas.openxmlformats.org/officeDocument/2006/relationships/hyperlink" Target="https://www.rzlt.io/blog/best-ai-marketing-agencies-in-2026-the-definitive-guide-by-specialty" TargetMode="External"/><Relationship Id="rId183" Type="http://schemas.openxmlformats.org/officeDocument/2006/relationships/hyperlink" Target="http://clicksgeek.com" TargetMode="External"/><Relationship Id="rId182" Type="http://schemas.openxmlformats.org/officeDocument/2006/relationships/hyperlink" Target="https://clicksgeek.com/marketing-attribution-tracking-services/" TargetMode="External"/><Relationship Id="rId181" Type="http://schemas.openxmlformats.org/officeDocument/2006/relationships/hyperlink" Target="http://semrush.com" TargetMode="External"/><Relationship Id="rId180" Type="http://schemas.openxmlformats.org/officeDocument/2006/relationships/hyperlink" Target="https://agencies.semrush.com/list/ai-optimization/united-states/" TargetMode="External"/><Relationship Id="rId176" Type="http://schemas.openxmlformats.org/officeDocument/2006/relationships/hyperlink" Target="https://segmentstream.com/blog/articles/top-10-incrementality-testing-tools" TargetMode="External"/><Relationship Id="rId175" Type="http://schemas.openxmlformats.org/officeDocument/2006/relationships/hyperlink" Target="http://searchbloom.com" TargetMode="External"/><Relationship Id="rId174" Type="http://schemas.openxmlformats.org/officeDocument/2006/relationships/hyperlink" Target="https://www.searchbloom.com/strategy/5-top-rated-google-ads-agencies/" TargetMode="External"/><Relationship Id="rId173" Type="http://schemas.openxmlformats.org/officeDocument/2006/relationships/hyperlink" Target="http://ritnerdigital.com" TargetMode="External"/><Relationship Id="rId179" Type="http://schemas.openxmlformats.org/officeDocument/2006/relationships/hyperlink" Target="http://adbeacon.com" TargetMode="External"/><Relationship Id="rId178" Type="http://schemas.openxmlformats.org/officeDocument/2006/relationships/hyperlink" Target="https://www.adbeacon.com/19-best-marketing-attribution-software-solutions-in-2026/" TargetMode="External"/><Relationship Id="rId177" Type="http://schemas.openxmlformats.org/officeDocument/2006/relationships/hyperlink" Target="http://segmentstream.com" TargetMode="External"/><Relationship Id="rId198" Type="http://schemas.openxmlformats.org/officeDocument/2006/relationships/hyperlink" Target="https://www.fahrenheitmarketing.com/services/strategy/top-10-marketing-agencies-usa/" TargetMode="External"/><Relationship Id="rId197" Type="http://schemas.openxmlformats.org/officeDocument/2006/relationships/hyperlink" Target="http://designrush.com" TargetMode="External"/><Relationship Id="rId196" Type="http://schemas.openxmlformats.org/officeDocument/2006/relationships/hyperlink" Target="https://www.designrush.com/agency/creative-agencies/us" TargetMode="External"/><Relationship Id="rId195" Type="http://schemas.openxmlformats.org/officeDocument/2006/relationships/hyperlink" Target="http://clutch.co" TargetMode="External"/><Relationship Id="rId199" Type="http://schemas.openxmlformats.org/officeDocument/2006/relationships/hyperlink" Target="http://fahrenheitmarketing.com" TargetMode="External"/><Relationship Id="rId150" Type="http://schemas.openxmlformats.org/officeDocument/2006/relationships/hyperlink" Target="https://www.yesoptimist.com/best-ai-seo-agencies/" TargetMode="External"/><Relationship Id="rId149" Type="http://schemas.openxmlformats.org/officeDocument/2006/relationships/hyperlink" Target="http://thriveagency.com" TargetMode="External"/><Relationship Id="rId148" Type="http://schemas.openxmlformats.org/officeDocument/2006/relationships/hyperlink" Target="https://thriveagency.com/news/top-generative-engine-optimization-geo-agencies/" TargetMode="External"/><Relationship Id="rId143" Type="http://schemas.openxmlformats.org/officeDocument/2006/relationships/hyperlink" Target="http://rankshift.ai" TargetMode="External"/><Relationship Id="rId142" Type="http://schemas.openxmlformats.org/officeDocument/2006/relationships/hyperlink" Target="https://www.rankshift.ai/blog/best-geo-agencies/" TargetMode="External"/><Relationship Id="rId141" Type="http://schemas.openxmlformats.org/officeDocument/2006/relationships/hyperlink" Target="http://haus.io" TargetMode="External"/><Relationship Id="rId140" Type="http://schemas.openxmlformats.org/officeDocument/2006/relationships/hyperlink" Target="https://www.haus.io/blog/choosing-the-best-incrementality-testing-tool" TargetMode="External"/><Relationship Id="rId147" Type="http://schemas.openxmlformats.org/officeDocument/2006/relationships/hyperlink" Target="http://sortlist.com" TargetMode="External"/><Relationship Id="rId146" Type="http://schemas.openxmlformats.org/officeDocument/2006/relationships/hyperlink" Target="https://www.sortlist.com/s/performance-marketing/united-states-us" TargetMode="External"/><Relationship Id="rId145" Type="http://schemas.openxmlformats.org/officeDocument/2006/relationships/hyperlink" Target="http://silverbackstrategies.com" TargetMode="External"/><Relationship Id="rId144" Type="http://schemas.openxmlformats.org/officeDocument/2006/relationships/hyperlink" Target="https://www.silverbackstrategies.com/lists/best-ai-search-agencies-in-2026-ranked-reviewed/" TargetMode="External"/><Relationship Id="rId139" Type="http://schemas.openxmlformats.org/officeDocument/2006/relationships/hyperlink" Target="http://designrush.com" TargetMode="External"/><Relationship Id="rId138" Type="http://schemas.openxmlformats.org/officeDocument/2006/relationships/hyperlink" Target="https://www.designrush.com/agency/digital-marketing/analytics" TargetMode="External"/><Relationship Id="rId137" Type="http://schemas.openxmlformats.org/officeDocument/2006/relationships/hyperlink" Target="http://aeovision.ai" TargetMode="External"/><Relationship Id="rId132" Type="http://schemas.openxmlformats.org/officeDocument/2006/relationships/hyperlink" Target="https://www.solved6.com/blogs/best-digital-marketing-agencies-usa-2026_report" TargetMode="External"/><Relationship Id="rId131" Type="http://schemas.openxmlformats.org/officeDocument/2006/relationships/hyperlink" Target="http://sociallyin.com" TargetMode="External"/><Relationship Id="rId130" Type="http://schemas.openxmlformats.org/officeDocument/2006/relationships/hyperlink" Target="https://sociallyin.com/resources/top-google-ads-agencies-us/" TargetMode="External"/><Relationship Id="rId136" Type="http://schemas.openxmlformats.org/officeDocument/2006/relationships/hyperlink" Target="https://aeovision.ai/articles/best-aeo-geo-agencies-2026/" TargetMode="External"/><Relationship Id="rId135" Type="http://schemas.openxmlformats.org/officeDocument/2006/relationships/hyperlink" Target="http://uforocks.com" TargetMode="External"/><Relationship Id="rId134" Type="http://schemas.openxmlformats.org/officeDocument/2006/relationships/hyperlink" Target="https://www.uforocks.com/blog/top-ai-marketing-agencies-in-the-u-s/" TargetMode="External"/><Relationship Id="rId133" Type="http://schemas.openxmlformats.org/officeDocument/2006/relationships/hyperlink" Target="http://solved6.com" TargetMode="External"/><Relationship Id="rId172" Type="http://schemas.openxmlformats.org/officeDocument/2006/relationships/hyperlink" Target="https://www.ritnerdigital.com/blog/best-ai-search-agencies-in-the-us" TargetMode="External"/><Relationship Id="rId171" Type="http://schemas.openxmlformats.org/officeDocument/2006/relationships/hyperlink" Target="http://qoulomb.com" TargetMode="External"/><Relationship Id="rId170" Type="http://schemas.openxmlformats.org/officeDocument/2006/relationships/hyperlink" Target="https://qoulomb.com/best-geo-agencies-in-the-usa/" TargetMode="External"/><Relationship Id="rId165" Type="http://schemas.openxmlformats.org/officeDocument/2006/relationships/hyperlink" Target="http://semrush.com" TargetMode="External"/><Relationship Id="rId164" Type="http://schemas.openxmlformats.org/officeDocument/2006/relationships/hyperlink" Target="https://agencies.semrush.com/list/smm/united-states/" TargetMode="External"/><Relationship Id="rId163" Type="http://schemas.openxmlformats.org/officeDocument/2006/relationships/hyperlink" Target="http://thesocialshepherd.com" TargetMode="External"/><Relationship Id="rId162" Type="http://schemas.openxmlformats.org/officeDocument/2006/relationships/hyperlink" Target="https://thesocialshepherd.com/blog/top-creative-agencies-us" TargetMode="External"/><Relationship Id="rId169" Type="http://schemas.openxmlformats.org/officeDocument/2006/relationships/hyperlink" Target="http://primeavenuegroup.com" TargetMode="External"/><Relationship Id="rId168" Type="http://schemas.openxmlformats.org/officeDocument/2006/relationships/hyperlink" Target="https://primeavenuegroup.com/best-aeo-agencies/" TargetMode="External"/><Relationship Id="rId167" Type="http://schemas.openxmlformats.org/officeDocument/2006/relationships/hyperlink" Target="http://dataally.ai" TargetMode="External"/><Relationship Id="rId166" Type="http://schemas.openxmlformats.org/officeDocument/2006/relationships/hyperlink" Target="https://www.dataally.ai/blog/best-performance-marketing-agencies" TargetMode="External"/><Relationship Id="rId161" Type="http://schemas.openxmlformats.org/officeDocument/2006/relationships/hyperlink" Target="http://lyfemarketing.com" TargetMode="External"/><Relationship Id="rId160" Type="http://schemas.openxmlformats.org/officeDocument/2006/relationships/hyperlink" Target="https://www.lyfemarketing.com/blog/top-paid-media-agencies-us/" TargetMode="External"/><Relationship Id="rId159" Type="http://schemas.openxmlformats.org/officeDocument/2006/relationships/hyperlink" Target="http://lifesight.io" TargetMode="External"/><Relationship Id="rId154" Type="http://schemas.openxmlformats.org/officeDocument/2006/relationships/hyperlink" Target="https://www.g2.com/categories/marketing-analytics-services" TargetMode="External"/><Relationship Id="rId153" Type="http://schemas.openxmlformats.org/officeDocument/2006/relationships/hyperlink" Target="http://clutch.co" TargetMode="External"/><Relationship Id="rId152" Type="http://schemas.openxmlformats.org/officeDocument/2006/relationships/hyperlink" Target="https://clutch.co/us/seo-firms/generative-engine-optimization" TargetMode="External"/><Relationship Id="rId151" Type="http://schemas.openxmlformats.org/officeDocument/2006/relationships/hyperlink" Target="http://yesoptimist.com" TargetMode="External"/><Relationship Id="rId158" Type="http://schemas.openxmlformats.org/officeDocument/2006/relationships/hyperlink" Target="https://lifesight.io/blog/best-incrementality-testing-tools/" TargetMode="External"/><Relationship Id="rId157" Type="http://schemas.openxmlformats.org/officeDocument/2006/relationships/hyperlink" Target="http://growthspreeofficial.com" TargetMode="External"/><Relationship Id="rId156" Type="http://schemas.openxmlformats.org/officeDocument/2006/relationships/hyperlink" Target="https://www.growthspreeofficial.com/blogs/top-6-ai-powered-b2b-saas-marketing-agencies-in-the-united-states-2026" TargetMode="External"/><Relationship Id="rId155" Type="http://schemas.openxmlformats.org/officeDocument/2006/relationships/hyperlink" Target="http://g2.com" TargetMode="External"/><Relationship Id="rId1510" Type="http://schemas.openxmlformats.org/officeDocument/2006/relationships/hyperlink" Target="http://clutch.co" TargetMode="External"/><Relationship Id="rId1511" Type="http://schemas.openxmlformats.org/officeDocument/2006/relationships/hyperlink" Target="https://clutch.co/us/seo-firms/media-industry" TargetMode="External"/><Relationship Id="rId1512" Type="http://schemas.openxmlformats.org/officeDocument/2006/relationships/hyperlink" Target="http://clutch.co" TargetMode="External"/><Relationship Id="rId1513" Type="http://schemas.openxmlformats.org/officeDocument/2006/relationships/hyperlink" Target="https://clutch.co/video-production/post-production" TargetMode="External"/><Relationship Id="rId1514" Type="http://schemas.openxmlformats.org/officeDocument/2006/relationships/hyperlink" Target="http://clutch.co" TargetMode="External"/><Relationship Id="rId1515" Type="http://schemas.openxmlformats.org/officeDocument/2006/relationships/hyperlink" Target="https://coinbound.io/top-ai-marketing-agencies/" TargetMode="External"/><Relationship Id="rId1516" Type="http://schemas.openxmlformats.org/officeDocument/2006/relationships/hyperlink" Target="http://coinbound.io" TargetMode="External"/><Relationship Id="rId1517" Type="http://schemas.openxmlformats.org/officeDocument/2006/relationships/hyperlink" Target="https://www.columnfivemedia.com/top-b2b-marketing-agency-for-ai-saas/" TargetMode="External"/><Relationship Id="rId1518" Type="http://schemas.openxmlformats.org/officeDocument/2006/relationships/hyperlink" Target="http://columnfivemedia.com" TargetMode="External"/><Relationship Id="rId1519" Type="http://schemas.openxmlformats.org/officeDocument/2006/relationships/hyperlink" Target="https://www.cometly.com/post/agency-marketing-attribution-tools" TargetMode="External"/><Relationship Id="rId1500" Type="http://schemas.openxmlformats.org/officeDocument/2006/relationships/hyperlink" Target="http://clutch.co" TargetMode="External"/><Relationship Id="rId1501" Type="http://schemas.openxmlformats.org/officeDocument/2006/relationships/hyperlink" Target="https://clutch.co/us/agencies/social-media-marketing/tik-tok" TargetMode="External"/><Relationship Id="rId1502" Type="http://schemas.openxmlformats.org/officeDocument/2006/relationships/hyperlink" Target="http://clutch.co" TargetMode="External"/><Relationship Id="rId1503" Type="http://schemas.openxmlformats.org/officeDocument/2006/relationships/hyperlink" Target="https://clutch.co/us/consulting/ai/maturation?page=6" TargetMode="External"/><Relationship Id="rId1504" Type="http://schemas.openxmlformats.org/officeDocument/2006/relationships/hyperlink" Target="http://clutch.co" TargetMode="External"/><Relationship Id="rId1505" Type="http://schemas.openxmlformats.org/officeDocument/2006/relationships/hyperlink" Target="https://clutch.co/us/developers/artificial-intelligence" TargetMode="External"/><Relationship Id="rId1506" Type="http://schemas.openxmlformats.org/officeDocument/2006/relationships/hyperlink" Target="http://clutch.co" TargetMode="External"/><Relationship Id="rId1507" Type="http://schemas.openxmlformats.org/officeDocument/2006/relationships/hyperlink" Target="https://clutch.co/us/seo-firms" TargetMode="External"/><Relationship Id="rId1508" Type="http://schemas.openxmlformats.org/officeDocument/2006/relationships/hyperlink" Target="http://clutch.co" TargetMode="External"/><Relationship Id="rId1509" Type="http://schemas.openxmlformats.org/officeDocument/2006/relationships/hyperlink" Target="https://clutch.co/us/seo-firms/international" TargetMode="External"/><Relationship Id="rId1576" Type="http://schemas.openxmlformats.org/officeDocument/2006/relationships/hyperlink" Target="https://www.demandsage.com/saas-content-marketing-agencies/" TargetMode="External"/><Relationship Id="rId1577" Type="http://schemas.openxmlformats.org/officeDocument/2006/relationships/hyperlink" Target="http://demandsage.com" TargetMode="External"/><Relationship Id="rId1578" Type="http://schemas.openxmlformats.org/officeDocument/2006/relationships/hyperlink" Target="https://www.designity.com/blog/best-branding-agencies-for-startups" TargetMode="External"/><Relationship Id="rId1579" Type="http://schemas.openxmlformats.org/officeDocument/2006/relationships/hyperlink" Target="http://designity.com" TargetMode="External"/><Relationship Id="rId987" Type="http://schemas.openxmlformats.org/officeDocument/2006/relationships/hyperlink" Target="https://university.tenten.co/t/top-30-ai-powered-marketing-agencies/2295" TargetMode="External"/><Relationship Id="rId986" Type="http://schemas.openxmlformats.org/officeDocument/2006/relationships/hyperlink" Target="http://themarketingagency.ca" TargetMode="External"/><Relationship Id="rId985" Type="http://schemas.openxmlformats.org/officeDocument/2006/relationships/hyperlink" Target="https://themarketingagency.ca/blog/performance-marketing-agencies/" TargetMode="External"/><Relationship Id="rId984" Type="http://schemas.openxmlformats.org/officeDocument/2006/relationships/hyperlink" Target="http://themanifest.com" TargetMode="External"/><Relationship Id="rId989" Type="http://schemas.openxmlformats.org/officeDocument/2006/relationships/hyperlink" Target="https://wamdigital.com/blog/top-5-creative-and-web-development-agencies-for-scalable-production-in-2026" TargetMode="External"/><Relationship Id="rId988" Type="http://schemas.openxmlformats.org/officeDocument/2006/relationships/hyperlink" Target="http://tenten.co" TargetMode="External"/><Relationship Id="rId1570" Type="http://schemas.openxmlformats.org/officeDocument/2006/relationships/hyperlink" Target="https://www.dataally.ai/blog/best-beauty-marketing-agencies" TargetMode="External"/><Relationship Id="rId1571" Type="http://schemas.openxmlformats.org/officeDocument/2006/relationships/hyperlink" Target="http://dataally.ai" TargetMode="External"/><Relationship Id="rId983" Type="http://schemas.openxmlformats.org/officeDocument/2006/relationships/hyperlink" Target="https://themanifest.com/us/media-buying/agencies?page=1" TargetMode="External"/><Relationship Id="rId1572" Type="http://schemas.openxmlformats.org/officeDocument/2006/relationships/hyperlink" Target="https://www.dataally.ai/blog/best-saas-marketing-agencies" TargetMode="External"/><Relationship Id="rId982" Type="http://schemas.openxmlformats.org/officeDocument/2006/relationships/hyperlink" Target="http://thatware.co" TargetMode="External"/><Relationship Id="rId1573" Type="http://schemas.openxmlformats.org/officeDocument/2006/relationships/hyperlink" Target="http://dataally.ai" TargetMode="External"/><Relationship Id="rId981" Type="http://schemas.openxmlformats.org/officeDocument/2006/relationships/hyperlink" Target="https://thatware.co/best-ai-search-optimization-services-usa/" TargetMode="External"/><Relationship Id="rId1574" Type="http://schemas.openxmlformats.org/officeDocument/2006/relationships/hyperlink" Target="https://delivix.digital/marketing/marketing-agencies-in-the-usa/" TargetMode="External"/><Relationship Id="rId980" Type="http://schemas.openxmlformats.org/officeDocument/2006/relationships/hyperlink" Target="http://thatware.co" TargetMode="External"/><Relationship Id="rId1575" Type="http://schemas.openxmlformats.org/officeDocument/2006/relationships/hyperlink" Target="https://delivix.digital/seo/top-10-social-media-agencies-globally/" TargetMode="External"/><Relationship Id="rId1565" Type="http://schemas.openxmlformats.org/officeDocument/2006/relationships/hyperlink" Target="http://darkroomagency.com" TargetMode="External"/><Relationship Id="rId1566" Type="http://schemas.openxmlformats.org/officeDocument/2006/relationships/hyperlink" Target="https://www.darkroomagency.com/observatory/what-is-a-growth-hacking-agency-definition-and-top-12-picks-for-2026" TargetMode="External"/><Relationship Id="rId1567" Type="http://schemas.openxmlformats.org/officeDocument/2006/relationships/hyperlink" Target="http://darkroomagency.com" TargetMode="External"/><Relationship Id="rId1568" Type="http://schemas.openxmlformats.org/officeDocument/2006/relationships/hyperlink" Target="https://www.darwinapps.com/blog/9-best-marketing-measurement-tools-for-attribution-analytics-and-data-integration-in-2026/" TargetMode="External"/><Relationship Id="rId1569" Type="http://schemas.openxmlformats.org/officeDocument/2006/relationships/hyperlink" Target="http://darwinapps.com" TargetMode="External"/><Relationship Id="rId976" Type="http://schemas.openxmlformats.org/officeDocument/2006/relationships/hyperlink" Target="http://sweatpantsagency.com" TargetMode="External"/><Relationship Id="rId975" Type="http://schemas.openxmlformats.org/officeDocument/2006/relationships/hyperlink" Target="https://sweatpantsagency.com/best-meta-ad-agencies" TargetMode="External"/><Relationship Id="rId974" Type="http://schemas.openxmlformats.org/officeDocument/2006/relationships/hyperlink" Target="http://superside.com" TargetMode="External"/><Relationship Id="rId973" Type="http://schemas.openxmlformats.org/officeDocument/2006/relationships/hyperlink" Target="https://www.superside.com/blog/creative-agencies-new-york" TargetMode="External"/><Relationship Id="rId979" Type="http://schemas.openxmlformats.org/officeDocument/2006/relationships/hyperlink" Target="https://thatware.co/10-best-geo-companies-in-usa/" TargetMode="External"/><Relationship Id="rId978" Type="http://schemas.openxmlformats.org/officeDocument/2006/relationships/hyperlink" Target="http://teamai.com" TargetMode="External"/><Relationship Id="rId977" Type="http://schemas.openxmlformats.org/officeDocument/2006/relationships/hyperlink" Target="https://teamai.com/blog/generative-ai-and-business/top-geo-agencies-for-ai-visibility/" TargetMode="External"/><Relationship Id="rId1560" Type="http://schemas.openxmlformats.org/officeDocument/2006/relationships/hyperlink" Target="https://cybersecuritymarketingagencies.com/best-cybersecurity-marketing-agency" TargetMode="External"/><Relationship Id="rId972" Type="http://schemas.openxmlformats.org/officeDocument/2006/relationships/hyperlink" Target="http://sortlist.com" TargetMode="External"/><Relationship Id="rId1561" Type="http://schemas.openxmlformats.org/officeDocument/2006/relationships/hyperlink" Target="http://cybersecuritymarketingagencies.com" TargetMode="External"/><Relationship Id="rId971" Type="http://schemas.openxmlformats.org/officeDocument/2006/relationships/hyperlink" Target="https://www.sortlist.com/s/data-driven-marketing/united-states-us" TargetMode="External"/><Relationship Id="rId1562" Type="http://schemas.openxmlformats.org/officeDocument/2006/relationships/hyperlink" Target="https://www.daasity.com/post/best-ecommerce-analytics-software-for-fast-growing-dtc-brands" TargetMode="External"/><Relationship Id="rId970" Type="http://schemas.openxmlformats.org/officeDocument/2006/relationships/hyperlink" Target="http://sortlist.com" TargetMode="External"/><Relationship Id="rId1563" Type="http://schemas.openxmlformats.org/officeDocument/2006/relationships/hyperlink" Target="http://daasity.com" TargetMode="External"/><Relationship Id="rId1564" Type="http://schemas.openxmlformats.org/officeDocument/2006/relationships/hyperlink" Target="https://www.darkroomagency.com/observatory/10-best-growth-marketing-agencies-in-2026-%28ranked-for-online-sales%29" TargetMode="External"/><Relationship Id="rId1598" Type="http://schemas.openxmlformats.org/officeDocument/2006/relationships/hyperlink" Target="https://digitalagencynetwork.com/geo-agency/" TargetMode="External"/><Relationship Id="rId1599" Type="http://schemas.openxmlformats.org/officeDocument/2006/relationships/hyperlink" Target="http://digitalagencynetwork.com" TargetMode="External"/><Relationship Id="rId1590" Type="http://schemas.openxmlformats.org/officeDocument/2006/relationships/hyperlink" Target="https://www.digidir.com/digital-marketing-service-in-usa/" TargetMode="External"/><Relationship Id="rId1591" Type="http://schemas.openxmlformats.org/officeDocument/2006/relationships/hyperlink" Target="http://digidir.com" TargetMode="External"/><Relationship Id="rId1592" Type="http://schemas.openxmlformats.org/officeDocument/2006/relationships/hyperlink" Target="https://digital-hunch.com/blog/best-fractional-cmo-companies/" TargetMode="External"/><Relationship Id="rId1593" Type="http://schemas.openxmlformats.org/officeDocument/2006/relationships/hyperlink" Target="http://digital-hunch.com" TargetMode="External"/><Relationship Id="rId1594" Type="http://schemas.openxmlformats.org/officeDocument/2006/relationships/hyperlink" Target="https://digitalagencynetwork.com/agencies/san-diego/" TargetMode="External"/><Relationship Id="rId1595" Type="http://schemas.openxmlformats.org/officeDocument/2006/relationships/hyperlink" Target="http://digitalagencynetwork.com" TargetMode="External"/><Relationship Id="rId1596" Type="http://schemas.openxmlformats.org/officeDocument/2006/relationships/hyperlink" Target="https://digitalagencynetwork.com/agencies/usa/industry/travel-tourism/" TargetMode="External"/><Relationship Id="rId1597" Type="http://schemas.openxmlformats.org/officeDocument/2006/relationships/hyperlink" Target="http://digitalagencynetwork.com" TargetMode="External"/><Relationship Id="rId1587" Type="http://schemas.openxmlformats.org/officeDocument/2006/relationships/hyperlink" Target="http://deviatelabs.com" TargetMode="External"/><Relationship Id="rId1588" Type="http://schemas.openxmlformats.org/officeDocument/2006/relationships/hyperlink" Target="https://diceus.com/top-generative-ai-consulting-companies/" TargetMode="External"/><Relationship Id="rId1589" Type="http://schemas.openxmlformats.org/officeDocument/2006/relationships/hyperlink" Target="http://diceus.com" TargetMode="External"/><Relationship Id="rId998" Type="http://schemas.openxmlformats.org/officeDocument/2006/relationships/hyperlink" Target="http://webtonic.io" TargetMode="External"/><Relationship Id="rId997" Type="http://schemas.openxmlformats.org/officeDocument/2006/relationships/hyperlink" Target="https://www.webtonic.io/blog/top-advertising-agencies-us" TargetMode="External"/><Relationship Id="rId996" Type="http://schemas.openxmlformats.org/officeDocument/2006/relationships/hyperlink" Target="http://webtonic.io" TargetMode="External"/><Relationship Id="rId995" Type="http://schemas.openxmlformats.org/officeDocument/2006/relationships/hyperlink" Target="https://www.webtonic.io/blog/best-google-ads-agencies-us" TargetMode="External"/><Relationship Id="rId999" Type="http://schemas.openxmlformats.org/officeDocument/2006/relationships/hyperlink" Target="https://whyflagshalfmasttoday.com/best-u-s-aeo-agencies-for-answer-engine-optimization-2026/" TargetMode="External"/><Relationship Id="rId990" Type="http://schemas.openxmlformats.org/officeDocument/2006/relationships/hyperlink" Target="http://wamdigital.com" TargetMode="External"/><Relationship Id="rId1580" Type="http://schemas.openxmlformats.org/officeDocument/2006/relationships/hyperlink" Target="https://www.designrush.com/agency/ad-agencies/missouri/kansas-city" TargetMode="External"/><Relationship Id="rId1581" Type="http://schemas.openxmlformats.org/officeDocument/2006/relationships/hyperlink" Target="http://designrush.com" TargetMode="External"/><Relationship Id="rId1582" Type="http://schemas.openxmlformats.org/officeDocument/2006/relationships/hyperlink" Target="https://www.designrush.com/agency/digital-marketing/digital-advertising/us" TargetMode="External"/><Relationship Id="rId994" Type="http://schemas.openxmlformats.org/officeDocument/2006/relationships/hyperlink" Target="http://webtonic.io" TargetMode="External"/><Relationship Id="rId1583" Type="http://schemas.openxmlformats.org/officeDocument/2006/relationships/hyperlink" Target="http://designrush.com" TargetMode="External"/><Relationship Id="rId993" Type="http://schemas.openxmlformats.org/officeDocument/2006/relationships/hyperlink" Target="https://www.webtonic.io/blog/best-data-driven-marketing-agencies" TargetMode="External"/><Relationship Id="rId1584" Type="http://schemas.openxmlformats.org/officeDocument/2006/relationships/hyperlink" Target="https://www.designrush.com/agency/media-buying-agencies/us" TargetMode="External"/><Relationship Id="rId992" Type="http://schemas.openxmlformats.org/officeDocument/2006/relationships/hyperlink" Target="http://webtonic.io" TargetMode="External"/><Relationship Id="rId1585" Type="http://schemas.openxmlformats.org/officeDocument/2006/relationships/hyperlink" Target="http://designrush.com" TargetMode="External"/><Relationship Id="rId991" Type="http://schemas.openxmlformats.org/officeDocument/2006/relationships/hyperlink" Target="https://www.webtonic.io/blog/best-ai-marketing-agencies" TargetMode="External"/><Relationship Id="rId1586" Type="http://schemas.openxmlformats.org/officeDocument/2006/relationships/hyperlink" Target="https://deviatelabs.com/resources/12-best-performance-marketing-agencies-crushing-kpis/" TargetMode="External"/><Relationship Id="rId1532" Type="http://schemas.openxmlformats.org/officeDocument/2006/relationships/hyperlink" Target="http://cometly.com" TargetMode="External"/><Relationship Id="rId1533" Type="http://schemas.openxmlformats.org/officeDocument/2006/relationships/hyperlink" Target="https://www.cometly.com/post/paid-advertising-analytics-tools" TargetMode="External"/><Relationship Id="rId1534" Type="http://schemas.openxmlformats.org/officeDocument/2006/relationships/hyperlink" Target="http://cometly.com" TargetMode="External"/><Relationship Id="rId1535" Type="http://schemas.openxmlformats.org/officeDocument/2006/relationships/hyperlink" Target="https://compare.growthmarshal.io/best-ai-search-optimization-agencies-2026/" TargetMode="External"/><Relationship Id="rId1536" Type="http://schemas.openxmlformats.org/officeDocument/2006/relationships/hyperlink" Target="http://growthmarshal.io" TargetMode="External"/><Relationship Id="rId1537" Type="http://schemas.openxmlformats.org/officeDocument/2006/relationships/hyperlink" Target="https://contensifyhq.com/blog/best-geo-agencies-for-b2b-saas/" TargetMode="External"/><Relationship Id="rId1538" Type="http://schemas.openxmlformats.org/officeDocument/2006/relationships/hyperlink" Target="http://contensifyhq.com" TargetMode="External"/><Relationship Id="rId1539" Type="http://schemas.openxmlformats.org/officeDocument/2006/relationships/hyperlink" Target="https://contently.com/2025/07/17/top-10-agencies-leading-answer-engine-optimization-aeo-in-2025/" TargetMode="External"/><Relationship Id="rId949" Type="http://schemas.openxmlformats.org/officeDocument/2006/relationships/hyperlink" Target="http://outrightcrm.com" TargetMode="External"/><Relationship Id="rId948" Type="http://schemas.openxmlformats.org/officeDocument/2006/relationships/hyperlink" Target="https://www.outrightcrm.com/blog/roi-focused-digital-marketing-agencies/" TargetMode="External"/><Relationship Id="rId943" Type="http://schemas.openxmlformats.org/officeDocument/2006/relationships/hyperlink" Target="https://www.munro.agency/marketing-agencies-in-the-usa/" TargetMode="External"/><Relationship Id="rId942" Type="http://schemas.openxmlformats.org/officeDocument/2006/relationships/hyperlink" Target="http://miniloop.ai" TargetMode="External"/><Relationship Id="rId941" Type="http://schemas.openxmlformats.org/officeDocument/2006/relationships/hyperlink" Target="https://www.miniloop.ai/blog/best-geo-agencies" TargetMode="External"/><Relationship Id="rId940" Type="http://schemas.openxmlformats.org/officeDocument/2006/relationships/hyperlink" Target="https://metaflow.life/blog/best-paid-media-agencies-2026" TargetMode="External"/><Relationship Id="rId947" Type="http://schemas.openxmlformats.org/officeDocument/2006/relationships/hyperlink" Target="http://nine.am" TargetMode="External"/><Relationship Id="rId946" Type="http://schemas.openxmlformats.org/officeDocument/2006/relationships/hyperlink" Target="https://www.nine.am/insights/best-performance-marketing-agencies-nyc" TargetMode="External"/><Relationship Id="rId945" Type="http://schemas.openxmlformats.org/officeDocument/2006/relationships/hyperlink" Target="http://nationalmarketingawards.com" TargetMode="External"/><Relationship Id="rId944" Type="http://schemas.openxmlformats.org/officeDocument/2006/relationships/hyperlink" Target="https://nationalmarketingawards.com/agency/" TargetMode="External"/><Relationship Id="rId1530" Type="http://schemas.openxmlformats.org/officeDocument/2006/relationships/hyperlink" Target="http://cometly.com" TargetMode="External"/><Relationship Id="rId1531" Type="http://schemas.openxmlformats.org/officeDocument/2006/relationships/hyperlink" Target="https://www.cometly.com/post/marketing-performance-analytics-tools" TargetMode="External"/><Relationship Id="rId1521" Type="http://schemas.openxmlformats.org/officeDocument/2006/relationships/hyperlink" Target="https://www.cometly.com/post/attribution-data-platform" TargetMode="External"/><Relationship Id="rId1522" Type="http://schemas.openxmlformats.org/officeDocument/2006/relationships/hyperlink" Target="http://cometly.com" TargetMode="External"/><Relationship Id="rId1523" Type="http://schemas.openxmlformats.org/officeDocument/2006/relationships/hyperlink" Target="https://www.cometly.com/post/best-ai-powered-marketing-attribution-tools" TargetMode="External"/><Relationship Id="rId1524" Type="http://schemas.openxmlformats.org/officeDocument/2006/relationships/hyperlink" Target="http://cometly.com" TargetMode="External"/><Relationship Id="rId1525" Type="http://schemas.openxmlformats.org/officeDocument/2006/relationships/hyperlink" Target="https://www.cometly.com/post/best-enterprise-attribution-tools" TargetMode="External"/><Relationship Id="rId1526" Type="http://schemas.openxmlformats.org/officeDocument/2006/relationships/hyperlink" Target="http://cometly.com" TargetMode="External"/><Relationship Id="rId1527" Type="http://schemas.openxmlformats.org/officeDocument/2006/relationships/hyperlink" Target="https://www.cometly.com/post/cross-channel-campaign-measurement-solutions" TargetMode="External"/><Relationship Id="rId1528" Type="http://schemas.openxmlformats.org/officeDocument/2006/relationships/hyperlink" Target="http://cometly.com" TargetMode="External"/><Relationship Id="rId1529" Type="http://schemas.openxmlformats.org/officeDocument/2006/relationships/hyperlink" Target="https://www.cometly.com/post/marketing-analytics-platforms-review" TargetMode="External"/><Relationship Id="rId939" Type="http://schemas.openxmlformats.org/officeDocument/2006/relationships/hyperlink" Target="http://marketerhire.com" TargetMode="External"/><Relationship Id="rId938" Type="http://schemas.openxmlformats.org/officeDocument/2006/relationships/hyperlink" Target="https://marketerhire.com/blog/ai-marketing-agencies" TargetMode="External"/><Relationship Id="rId937" Type="http://schemas.openxmlformats.org/officeDocument/2006/relationships/hyperlink" Target="http://magier.com" TargetMode="External"/><Relationship Id="rId932" Type="http://schemas.openxmlformats.org/officeDocument/2006/relationships/hyperlink" Target="https://www.lyfemarketing.com/blog/top-advertising-agencies-us/" TargetMode="External"/><Relationship Id="rId931" Type="http://schemas.openxmlformats.org/officeDocument/2006/relationships/hyperlink" Target="http://iternal.ai" TargetMode="External"/><Relationship Id="rId930" Type="http://schemas.openxmlformats.org/officeDocument/2006/relationships/hyperlink" Target="https://iternal.ai/best-ai-consulting-firms" TargetMode="External"/><Relationship Id="rId936" Type="http://schemas.openxmlformats.org/officeDocument/2006/relationships/hyperlink" Target="https://www.magier.com/blog/best-creative-agency" TargetMode="External"/><Relationship Id="rId935" Type="http://schemas.openxmlformats.org/officeDocument/2006/relationships/hyperlink" Target="http://lyfemarketing.com" TargetMode="External"/><Relationship Id="rId934" Type="http://schemas.openxmlformats.org/officeDocument/2006/relationships/hyperlink" Target="https://www.lyfemarketing.com/blog/top-google-ads-agencies-us/" TargetMode="External"/><Relationship Id="rId933" Type="http://schemas.openxmlformats.org/officeDocument/2006/relationships/hyperlink" Target="http://lyfemarketing.com" TargetMode="External"/><Relationship Id="rId1520" Type="http://schemas.openxmlformats.org/officeDocument/2006/relationships/hyperlink" Target="http://cometly.com" TargetMode="External"/><Relationship Id="rId1554" Type="http://schemas.openxmlformats.org/officeDocument/2006/relationships/hyperlink" Target="https://creativeformore.com/top-cross-border-marketing-agencies-helping-u-s-brands-expand-into-asia/" TargetMode="External"/><Relationship Id="rId1555" Type="http://schemas.openxmlformats.org/officeDocument/2006/relationships/hyperlink" Target="http://creativeformore.com" TargetMode="External"/><Relationship Id="rId1556" Type="http://schemas.openxmlformats.org/officeDocument/2006/relationships/hyperlink" Target="https://www.creativefrontiers.co/blog/best-creative-agency-nyc-elevate-your-brand-with-expert-solutions" TargetMode="External"/><Relationship Id="rId1557" Type="http://schemas.openxmlformats.org/officeDocument/2006/relationships/hyperlink" Target="http://creativefrontiers.co" TargetMode="External"/><Relationship Id="rId1558" Type="http://schemas.openxmlformats.org/officeDocument/2006/relationships/hyperlink" Target="https://creativemediahouse.ae/top-10-creative-agencies-in-gcc/" TargetMode="External"/><Relationship Id="rId1559" Type="http://schemas.openxmlformats.org/officeDocument/2006/relationships/hyperlink" Target="http://creativemediahouse.ae" TargetMode="External"/><Relationship Id="rId965" Type="http://schemas.openxmlformats.org/officeDocument/2006/relationships/hyperlink" Target="https://sociallyin.com/resources/top-performance-marketing-agencies-us/" TargetMode="External"/><Relationship Id="rId964" Type="http://schemas.openxmlformats.org/officeDocument/2006/relationships/hyperlink" Target="http://semfirms.com" TargetMode="External"/><Relationship Id="rId963" Type="http://schemas.openxmlformats.org/officeDocument/2006/relationships/hyperlink" Target="https://www.semfirms.com/display-advertising-firms?page=1" TargetMode="External"/><Relationship Id="rId962" Type="http://schemas.openxmlformats.org/officeDocument/2006/relationships/hyperlink" Target="http://rtslabs.com" TargetMode="External"/><Relationship Id="rId969" Type="http://schemas.openxmlformats.org/officeDocument/2006/relationships/hyperlink" Target="https://www.sortlist.com/marketing-analytics" TargetMode="External"/><Relationship Id="rId968" Type="http://schemas.openxmlformats.org/officeDocument/2006/relationships/hyperlink" Target="http://sortlist.com" TargetMode="External"/><Relationship Id="rId967" Type="http://schemas.openxmlformats.org/officeDocument/2006/relationships/hyperlink" Target="https://www.sortlist.com/display-advertising" TargetMode="External"/><Relationship Id="rId966" Type="http://schemas.openxmlformats.org/officeDocument/2006/relationships/hyperlink" Target="http://sociallyin.com" TargetMode="External"/><Relationship Id="rId961" Type="http://schemas.openxmlformats.org/officeDocument/2006/relationships/hyperlink" Target="https://rtslabs.com/ai-consulting-company-in-usa" TargetMode="External"/><Relationship Id="rId1550" Type="http://schemas.openxmlformats.org/officeDocument/2006/relationships/hyperlink" Target="http://craftandroot.com" TargetMode="External"/><Relationship Id="rId960" Type="http://schemas.openxmlformats.org/officeDocument/2006/relationships/hyperlink" Target="http://ritzherald.com" TargetMode="External"/><Relationship Id="rId1551" Type="http://schemas.openxmlformats.org/officeDocument/2006/relationships/hyperlink" Target="https://craftandroot.com/blog/web-marketing-agencies/" TargetMode="External"/><Relationship Id="rId1552" Type="http://schemas.openxmlformats.org/officeDocument/2006/relationships/hyperlink" Target="http://craftandroot.com" TargetMode="External"/><Relationship Id="rId1553" Type="http://schemas.openxmlformats.org/officeDocument/2006/relationships/hyperlink" Target="https://creatif.agency/best-branding-agencies-in-the-us/" TargetMode="External"/><Relationship Id="rId1543" Type="http://schemas.openxmlformats.org/officeDocument/2006/relationships/hyperlink" Target="https://coolnerdsmarketing.com/marketing-agencies-usa/" TargetMode="External"/><Relationship Id="rId1544" Type="http://schemas.openxmlformats.org/officeDocument/2006/relationships/hyperlink" Target="http://coolnerdsmarketing.com" TargetMode="External"/><Relationship Id="rId1545" Type="http://schemas.openxmlformats.org/officeDocument/2006/relationships/hyperlink" Target="https://coolnerdsmarketing.com/top-omnichannel-marketing-agencies/" TargetMode="External"/><Relationship Id="rId1546" Type="http://schemas.openxmlformats.org/officeDocument/2006/relationships/hyperlink" Target="http://coolnerdsmarketing.com" TargetMode="External"/><Relationship Id="rId1547" Type="http://schemas.openxmlformats.org/officeDocument/2006/relationships/hyperlink" Target="https://www.coseom.com/best-b2b-marketing-agencies-for-saas-fintech-and-cybersecurity/" TargetMode="External"/><Relationship Id="rId1548" Type="http://schemas.openxmlformats.org/officeDocument/2006/relationships/hyperlink" Target="http://coseom.com" TargetMode="External"/><Relationship Id="rId1549" Type="http://schemas.openxmlformats.org/officeDocument/2006/relationships/hyperlink" Target="https://craftandroot.com/blog/saas-tech-branding-agencies/" TargetMode="External"/><Relationship Id="rId959" Type="http://schemas.openxmlformats.org/officeDocument/2006/relationships/hyperlink" Target="https://ritzherald.com/best-marketing-agencies-ai-search-optimization/" TargetMode="External"/><Relationship Id="rId954" Type="http://schemas.openxmlformats.org/officeDocument/2006/relationships/hyperlink" Target="https://piperocket.digital/list/best-paid-social-agencies/" TargetMode="External"/><Relationship Id="rId953" Type="http://schemas.openxmlformats.org/officeDocument/2006/relationships/hyperlink" Target="http://parallel365.com" TargetMode="External"/><Relationship Id="rId952" Type="http://schemas.openxmlformats.org/officeDocument/2006/relationships/hyperlink" Target="https://parallel365.com/best-ai-search-optimization-agencies-for-b2b-companies/" TargetMode="External"/><Relationship Id="rId951" Type="http://schemas.openxmlformats.org/officeDocument/2006/relationships/hyperlink" Target="http://oxdpr.com" TargetMode="External"/><Relationship Id="rId958" Type="http://schemas.openxmlformats.org/officeDocument/2006/relationships/hyperlink" Target="http://redseo.io" TargetMode="External"/><Relationship Id="rId957" Type="http://schemas.openxmlformats.org/officeDocument/2006/relationships/hyperlink" Target="https://www.redseo.io/compare/best-ai-seo-agency" TargetMode="External"/><Relationship Id="rId956" Type="http://schemas.openxmlformats.org/officeDocument/2006/relationships/hyperlink" Target="http://pixelmojo.io" TargetMode="External"/><Relationship Id="rId955" Type="http://schemas.openxmlformats.org/officeDocument/2006/relationships/hyperlink" Target="https://www.pixelmojo.io/best-ai-visibility-agencies" TargetMode="External"/><Relationship Id="rId950" Type="http://schemas.openxmlformats.org/officeDocument/2006/relationships/hyperlink" Target="https://oxdpr.com/creative-strategy-agencies/" TargetMode="External"/><Relationship Id="rId1540" Type="http://schemas.openxmlformats.org/officeDocument/2006/relationships/hyperlink" Target="http://contently.com" TargetMode="External"/><Relationship Id="rId1541" Type="http://schemas.openxmlformats.org/officeDocument/2006/relationships/hyperlink" Target="https://coolnerdsmarketing.com/best-integrated-marketing-agencies/" TargetMode="External"/><Relationship Id="rId1542" Type="http://schemas.openxmlformats.org/officeDocument/2006/relationships/hyperlink" Target="http://coolnerdsmarketing.com" TargetMode="External"/><Relationship Id="rId2027" Type="http://schemas.openxmlformats.org/officeDocument/2006/relationships/hyperlink" Target="http://responsify.com" TargetMode="External"/><Relationship Id="rId2028" Type="http://schemas.openxmlformats.org/officeDocument/2006/relationships/hyperlink" Target="https://www.resultfirst.com/blog/ecommerce-seo/top-ecommerce-seo-agencies/" TargetMode="External"/><Relationship Id="rId2029" Type="http://schemas.openxmlformats.org/officeDocument/2006/relationships/hyperlink" Target="http://resultfirst.com" TargetMode="External"/><Relationship Id="rId107" Type="http://schemas.openxmlformats.org/officeDocument/2006/relationships/hyperlink" Target="http://sortlist.com" TargetMode="External"/><Relationship Id="rId106" Type="http://schemas.openxmlformats.org/officeDocument/2006/relationships/hyperlink" Target="https://www.sortlist.com/s/display-advertising/united-states-us" TargetMode="External"/><Relationship Id="rId105" Type="http://schemas.openxmlformats.org/officeDocument/2006/relationships/hyperlink" Target="http://percepture.com" TargetMode="External"/><Relationship Id="rId104" Type="http://schemas.openxmlformats.org/officeDocument/2006/relationships/hyperlink" Target="https://percepture.com/geo-insights/best-ai-seo-agencies-usa/" TargetMode="External"/><Relationship Id="rId109" Type="http://schemas.openxmlformats.org/officeDocument/2006/relationships/hyperlink" Target="http://agencycluster.com" TargetMode="External"/><Relationship Id="rId108" Type="http://schemas.openxmlformats.org/officeDocument/2006/relationships/hyperlink" Target="https://www.agencycluster.com/top-50/branding-creative-agencies" TargetMode="External"/><Relationship Id="rId2020" Type="http://schemas.openxmlformats.org/officeDocument/2006/relationships/hyperlink" Target="https://www.reddit.com/r/digital_marketing/comments/1rpmtmy/what_are_the_top_5_ai_visibility_agencies_in_2026/" TargetMode="External"/><Relationship Id="rId2021" Type="http://schemas.openxmlformats.org/officeDocument/2006/relationships/hyperlink" Target="http://reddit.com" TargetMode="External"/><Relationship Id="rId2022" Type="http://schemas.openxmlformats.org/officeDocument/2006/relationships/hyperlink" Target="https://www.reddit.com/r/u_ThoughtMetric/comments/1t4mvsi/we_put_together_a_comparison_of_the_top_shopify/" TargetMode="External"/><Relationship Id="rId103" Type="http://schemas.openxmlformats.org/officeDocument/2006/relationships/hyperlink" Target="http://linkedin.com" TargetMode="External"/><Relationship Id="rId2023" Type="http://schemas.openxmlformats.org/officeDocument/2006/relationships/hyperlink" Target="http://reddit.com" TargetMode="External"/><Relationship Id="rId102" Type="http://schemas.openxmlformats.org/officeDocument/2006/relationships/hyperlink" Target="https://www.linkedin.com/pulse/top-10-aeo-agencies-usa-2026-best-answer-engine-companies-sam-israel-pgcwc" TargetMode="External"/><Relationship Id="rId2024" Type="http://schemas.openxmlformats.org/officeDocument/2006/relationships/hyperlink" Target="https://www.reddit.com/r/u_ThoughtMetric/comments/1tdbr6w/top_hyros_alternatives_updated_may_2026/" TargetMode="External"/><Relationship Id="rId101" Type="http://schemas.openxmlformats.org/officeDocument/2006/relationships/hyperlink" Target="http://directiveconsulting.com" TargetMode="External"/><Relationship Id="rId2025" Type="http://schemas.openxmlformats.org/officeDocument/2006/relationships/hyperlink" Target="http://reddit.com" TargetMode="External"/><Relationship Id="rId100" Type="http://schemas.openxmlformats.org/officeDocument/2006/relationships/hyperlink" Target="https://directiveconsulting.com/blog/best-marketing-data-agency/" TargetMode="External"/><Relationship Id="rId2026" Type="http://schemas.openxmlformats.org/officeDocument/2006/relationships/hyperlink" Target="https://www.responsify.com/b2b-content-marketing-agencies" TargetMode="External"/><Relationship Id="rId2016" Type="http://schemas.openxmlformats.org/officeDocument/2006/relationships/hyperlink" Target="https://www.reddit.com/r/SaaS/comments/1rd9bem/whats_the_best_marketing_agency_youve_worked_with/" TargetMode="External"/><Relationship Id="rId2017" Type="http://schemas.openxmlformats.org/officeDocument/2006/relationships/hyperlink" Target="http://reddit.com" TargetMode="External"/><Relationship Id="rId2018" Type="http://schemas.openxmlformats.org/officeDocument/2006/relationships/hyperlink" Target="https://www.reddit.com/r/TheTopAgencies/comments/1m6imy5/the_best_digital_marketing_agencies_in_seattle/" TargetMode="External"/><Relationship Id="rId2019" Type="http://schemas.openxmlformats.org/officeDocument/2006/relationships/hyperlink" Target="http://reddit.com" TargetMode="External"/><Relationship Id="rId2010" Type="http://schemas.openxmlformats.org/officeDocument/2006/relationships/hyperlink" Target="https://red-engage.com/blog/best-ai-seo-agencies" TargetMode="External"/><Relationship Id="rId2011" Type="http://schemas.openxmlformats.org/officeDocument/2006/relationships/hyperlink" Target="http://red-engage.com" TargetMode="External"/><Relationship Id="rId2012" Type="http://schemas.openxmlformats.org/officeDocument/2006/relationships/hyperlink" Target="https://www.reddit.com/r/Agentic_Marketing/comments/1ue8msc/top_ai_consulting_firms_in_the_usa_driving/" TargetMode="External"/><Relationship Id="rId2013" Type="http://schemas.openxmlformats.org/officeDocument/2006/relationships/hyperlink" Target="http://reddit.com" TargetMode="External"/><Relationship Id="rId2014" Type="http://schemas.openxmlformats.org/officeDocument/2006/relationships/hyperlink" Target="https://www.reddit.com/r/GenEngineOptimization/comments/1qab4rt/what_are_the_top_geo_agencies_and_what_softwares/" TargetMode="External"/><Relationship Id="rId2015" Type="http://schemas.openxmlformats.org/officeDocument/2006/relationships/hyperlink" Target="http://reddit.com" TargetMode="External"/><Relationship Id="rId2049" Type="http://schemas.openxmlformats.org/officeDocument/2006/relationships/hyperlink" Target="http://segmetrics.io" TargetMode="External"/><Relationship Id="rId129" Type="http://schemas.openxmlformats.org/officeDocument/2006/relationships/hyperlink" Target="http://revvgrowth.com" TargetMode="External"/><Relationship Id="rId128" Type="http://schemas.openxmlformats.org/officeDocument/2006/relationships/hyperlink" Target="https://www.revvgrowth.com/aeo/aeo-agency-in-usa" TargetMode="External"/><Relationship Id="rId127" Type="http://schemas.openxmlformats.org/officeDocument/2006/relationships/hyperlink" Target="http://nogood.io" TargetMode="External"/><Relationship Id="rId126" Type="http://schemas.openxmlformats.org/officeDocument/2006/relationships/hyperlink" Target="https://nogood.io/blog/marketing-agencies-usa/" TargetMode="External"/><Relationship Id="rId2040" Type="http://schemas.openxmlformats.org/officeDocument/2006/relationships/hyperlink" Target="https://scopicstudios.com/blog/best-geo-agencies-ai-search-visibility-2026/" TargetMode="External"/><Relationship Id="rId121" Type="http://schemas.openxmlformats.org/officeDocument/2006/relationships/hyperlink" Target="http://agencycluster.com" TargetMode="External"/><Relationship Id="rId2041" Type="http://schemas.openxmlformats.org/officeDocument/2006/relationships/hyperlink" Target="http://scopicstudios.com" TargetMode="External"/><Relationship Id="rId120" Type="http://schemas.openxmlformats.org/officeDocument/2006/relationships/hyperlink" Target="https://www.agencycluster.com/top-25/branding-creative-agencies" TargetMode="External"/><Relationship Id="rId2042" Type="http://schemas.openxmlformats.org/officeDocument/2006/relationships/hyperlink" Target="https://scopicstudios.com/blog/top-ai-marketing-agencies/" TargetMode="External"/><Relationship Id="rId2043" Type="http://schemas.openxmlformats.org/officeDocument/2006/relationships/hyperlink" Target="http://scopicstudios.com" TargetMode="External"/><Relationship Id="rId2044" Type="http://schemas.openxmlformats.org/officeDocument/2006/relationships/hyperlink" Target="https://searchconversions.com/the-10-best-answer-engine-optimization-aeo-agencies/" TargetMode="External"/><Relationship Id="rId125" Type="http://schemas.openxmlformats.org/officeDocument/2006/relationships/hyperlink" Target="http://clutch.co" TargetMode="External"/><Relationship Id="rId2045" Type="http://schemas.openxmlformats.org/officeDocument/2006/relationships/hyperlink" Target="http://searchconversions.com" TargetMode="External"/><Relationship Id="rId124" Type="http://schemas.openxmlformats.org/officeDocument/2006/relationships/hyperlink" Target="https://clutch.co/agencies/performance-marketing" TargetMode="External"/><Relationship Id="rId2046" Type="http://schemas.openxmlformats.org/officeDocument/2006/relationships/hyperlink" Target="https://segmentstream.com/blog/articles/best-marketing-intelligence-tools" TargetMode="External"/><Relationship Id="rId123" Type="http://schemas.openxmlformats.org/officeDocument/2006/relationships/hyperlink" Target="http://alphaapexgroup.com" TargetMode="External"/><Relationship Id="rId2047" Type="http://schemas.openxmlformats.org/officeDocument/2006/relationships/hyperlink" Target="http://segmentstream.com" TargetMode="External"/><Relationship Id="rId122" Type="http://schemas.openxmlformats.org/officeDocument/2006/relationships/hyperlink" Target="https://www.alphaapexgroup.com/blog/top-ai-consulting-firms" TargetMode="External"/><Relationship Id="rId2048" Type="http://schemas.openxmlformats.org/officeDocument/2006/relationships/hyperlink" Target="https://segmetrics.io/articles/the-best-marketing-attribution-tools-for-2026-and-how-to-choose-the-right-one/" TargetMode="External"/><Relationship Id="rId2038" Type="http://schemas.openxmlformats.org/officeDocument/2006/relationships/hyperlink" Target="https://salesduo.com/blog/amazon-product-ads-management-agencies-comparison/" TargetMode="External"/><Relationship Id="rId2039" Type="http://schemas.openxmlformats.org/officeDocument/2006/relationships/hyperlink" Target="http://salesduo.com" TargetMode="External"/><Relationship Id="rId118" Type="http://schemas.openxmlformats.org/officeDocument/2006/relationships/hyperlink" Target="https://clutch.co/agencies/ppc/display" TargetMode="External"/><Relationship Id="rId117" Type="http://schemas.openxmlformats.org/officeDocument/2006/relationships/hyperlink" Target="http://webtonic.io" TargetMode="External"/><Relationship Id="rId116" Type="http://schemas.openxmlformats.org/officeDocument/2006/relationships/hyperlink" Target="https://www.webtonic.io/blog/top-performance-marketing-agencies-us" TargetMode="External"/><Relationship Id="rId115" Type="http://schemas.openxmlformats.org/officeDocument/2006/relationships/hyperlink" Target="http://thesocialshepherd.com" TargetMode="External"/><Relationship Id="rId119" Type="http://schemas.openxmlformats.org/officeDocument/2006/relationships/hyperlink" Target="http://clutch.co" TargetMode="External"/><Relationship Id="rId110" Type="http://schemas.openxmlformats.org/officeDocument/2006/relationships/hyperlink" Target="https://clutch.co/agencies" TargetMode="External"/><Relationship Id="rId2030" Type="http://schemas.openxmlformats.org/officeDocument/2006/relationships/hyperlink" Target="https://www.revvgrowth.com/geo/enterprise-geo-agency" TargetMode="External"/><Relationship Id="rId2031" Type="http://schemas.openxmlformats.org/officeDocument/2006/relationships/hyperlink" Target="http://revvgrowth.com" TargetMode="External"/><Relationship Id="rId2032" Type="http://schemas.openxmlformats.org/officeDocument/2006/relationships/hyperlink" Target="https://www.rightsideup.com/blog/top-fractional-marketing-agencies" TargetMode="External"/><Relationship Id="rId2033" Type="http://schemas.openxmlformats.org/officeDocument/2006/relationships/hyperlink" Target="http://rightsideup.com" TargetMode="External"/><Relationship Id="rId114" Type="http://schemas.openxmlformats.org/officeDocument/2006/relationships/hyperlink" Target="https://thesocialshepherd.com/blog/top-paid-social-agencies-us" TargetMode="External"/><Relationship Id="rId2034" Type="http://schemas.openxmlformats.org/officeDocument/2006/relationships/hyperlink" Target="https://riverjournalonline.com/news/best-amazon-ppc-agencies-to-lower-acos-in-2026/300535/" TargetMode="External"/><Relationship Id="rId113" Type="http://schemas.openxmlformats.org/officeDocument/2006/relationships/hyperlink" Target="http://digitalagencynetwork.com" TargetMode="External"/><Relationship Id="rId2035" Type="http://schemas.openxmlformats.org/officeDocument/2006/relationships/hyperlink" Target="http://riverjournalonline.com" TargetMode="External"/><Relationship Id="rId112" Type="http://schemas.openxmlformats.org/officeDocument/2006/relationships/hyperlink" Target="https://digitalagencynetwork.com/agencies/usa/creative/" TargetMode="External"/><Relationship Id="rId2036" Type="http://schemas.openxmlformats.org/officeDocument/2006/relationships/hyperlink" Target="https://s3da-design.com/guest-contribution/best-remodeling-digital-marketing-agencies-in-2025/" TargetMode="External"/><Relationship Id="rId111" Type="http://schemas.openxmlformats.org/officeDocument/2006/relationships/hyperlink" Target="http://clutch.co" TargetMode="External"/><Relationship Id="rId2037" Type="http://schemas.openxmlformats.org/officeDocument/2006/relationships/hyperlink" Target="http://s3da-design.com" TargetMode="External"/><Relationship Id="rId2005" Type="http://schemas.openxmlformats.org/officeDocument/2006/relationships/hyperlink" Target="http://rankz.co" TargetMode="External"/><Relationship Id="rId2006" Type="http://schemas.openxmlformats.org/officeDocument/2006/relationships/hyperlink" Target="https://www.rebootonline.com/data-marketing/best-data-marketing-agencies/" TargetMode="External"/><Relationship Id="rId2007" Type="http://schemas.openxmlformats.org/officeDocument/2006/relationships/hyperlink" Target="http://rebootonline.com" TargetMode="External"/><Relationship Id="rId2008" Type="http://schemas.openxmlformats.org/officeDocument/2006/relationships/hyperlink" Target="https://www.rebootonline.com/seo/best-seo-agencies/" TargetMode="External"/><Relationship Id="rId2009" Type="http://schemas.openxmlformats.org/officeDocument/2006/relationships/hyperlink" Target="http://rebootonline.com" TargetMode="External"/><Relationship Id="rId2000" Type="http://schemas.openxmlformats.org/officeDocument/2006/relationships/hyperlink" Target="https://rankz.co/blog/best-agencies-for-ai-search-optimization/" TargetMode="External"/><Relationship Id="rId2001" Type="http://schemas.openxmlformats.org/officeDocument/2006/relationships/hyperlink" Target="http://rankz.co" TargetMode="External"/><Relationship Id="rId2002" Type="http://schemas.openxmlformats.org/officeDocument/2006/relationships/hyperlink" Target="https://rankz.co/blog/best-ai-marketing-agencies/" TargetMode="External"/><Relationship Id="rId2003" Type="http://schemas.openxmlformats.org/officeDocument/2006/relationships/hyperlink" Target="http://rankz.co" TargetMode="External"/><Relationship Id="rId2004" Type="http://schemas.openxmlformats.org/officeDocument/2006/relationships/hyperlink" Target="https://rankz.co/blog/top-ai-marketing-agencies/" TargetMode="External"/><Relationship Id="rId2090" Type="http://schemas.openxmlformats.org/officeDocument/2006/relationships/hyperlink" Target="https://socialander.com/top-digital-marketing-companies-in-usa/" TargetMode="External"/><Relationship Id="rId2091" Type="http://schemas.openxmlformats.org/officeDocument/2006/relationships/hyperlink" Target="http://socialander.com" TargetMode="External"/><Relationship Id="rId2092" Type="http://schemas.openxmlformats.org/officeDocument/2006/relationships/hyperlink" Target="https://sociallyin.com/resources/top-creative-strategy-agencies-us/" TargetMode="External"/><Relationship Id="rId2093" Type="http://schemas.openxmlformats.org/officeDocument/2006/relationships/hyperlink" Target="http://sociallyin.com" TargetMode="External"/><Relationship Id="rId2094" Type="http://schemas.openxmlformats.org/officeDocument/2006/relationships/hyperlink" Target="https://sociallyin.com/resources/top-social-media-agencies-in-us/" TargetMode="External"/><Relationship Id="rId2095" Type="http://schemas.openxmlformats.org/officeDocument/2006/relationships/hyperlink" Target="http://sociallyin.com" TargetMode="External"/><Relationship Id="rId2096" Type="http://schemas.openxmlformats.org/officeDocument/2006/relationships/hyperlink" Target="https://sociallypowerful.com/post/top-international-marketing-agencies" TargetMode="External"/><Relationship Id="rId2097" Type="http://schemas.openxmlformats.org/officeDocument/2006/relationships/hyperlink" Target="http://sociallypowerful.com" TargetMode="External"/><Relationship Id="rId2098" Type="http://schemas.openxmlformats.org/officeDocument/2006/relationships/hyperlink" Target="https://sociallypowerful.com/post/top-retail-marketing-agencies" TargetMode="External"/><Relationship Id="rId2099" Type="http://schemas.openxmlformats.org/officeDocument/2006/relationships/hyperlink" Target="http://sociallypowerful.com" TargetMode="External"/><Relationship Id="rId2060" Type="http://schemas.openxmlformats.org/officeDocument/2006/relationships/hyperlink" Target="https://seostrategylab.com/blog/best-technical-seo-agencies-usa/" TargetMode="External"/><Relationship Id="rId2061" Type="http://schemas.openxmlformats.org/officeDocument/2006/relationships/hyperlink" Target="http://seostrategylab.com" TargetMode="External"/><Relationship Id="rId2062" Type="http://schemas.openxmlformats.org/officeDocument/2006/relationships/hyperlink" Target="https://www.sianamarketing.com/resources/the-top-geo-agencies-2026" TargetMode="External"/><Relationship Id="rId2063" Type="http://schemas.openxmlformats.org/officeDocument/2006/relationships/hyperlink" Target="http://sianamarketing.com" TargetMode="External"/><Relationship Id="rId2064" Type="http://schemas.openxmlformats.org/officeDocument/2006/relationships/hyperlink" Target="https://www.siegemedia.com/strategy/best-link-building-services" TargetMode="External"/><Relationship Id="rId2065" Type="http://schemas.openxmlformats.org/officeDocument/2006/relationships/hyperlink" Target="http://siegemedia.com" TargetMode="External"/><Relationship Id="rId2066" Type="http://schemas.openxmlformats.org/officeDocument/2006/relationships/hyperlink" Target="https://www.siegemedia.com/strategy/content-strategy-agency" TargetMode="External"/><Relationship Id="rId2067" Type="http://schemas.openxmlformats.org/officeDocument/2006/relationships/hyperlink" Target="http://siegemedia.com" TargetMode="External"/><Relationship Id="rId2068" Type="http://schemas.openxmlformats.org/officeDocument/2006/relationships/hyperlink" Target="https://www.signitysolutions.com/blog/top-ai-consulting-firms" TargetMode="External"/><Relationship Id="rId2069" Type="http://schemas.openxmlformats.org/officeDocument/2006/relationships/hyperlink" Target="http://signitysolutions.com" TargetMode="External"/><Relationship Id="rId2050" Type="http://schemas.openxmlformats.org/officeDocument/2006/relationships/hyperlink" Target="https://selectedfirms.co/companies/aeo-companies" TargetMode="External"/><Relationship Id="rId2051" Type="http://schemas.openxmlformats.org/officeDocument/2006/relationships/hyperlink" Target="http://selectedfirms.co" TargetMode="External"/><Relationship Id="rId2052" Type="http://schemas.openxmlformats.org/officeDocument/2006/relationships/hyperlink" Target="https://selectedfirms.co/companies/digital-marketing-agencies/usa" TargetMode="External"/><Relationship Id="rId2053" Type="http://schemas.openxmlformats.org/officeDocument/2006/relationships/hyperlink" Target="http://selectedfirms.co" TargetMode="External"/><Relationship Id="rId2054" Type="http://schemas.openxmlformats.org/officeDocument/2006/relationships/hyperlink" Target="https://semnexus.com/top-ai-powered-marketing-agencies-in-2026-ranked-by-innovation-performance/" TargetMode="External"/><Relationship Id="rId2055" Type="http://schemas.openxmlformats.org/officeDocument/2006/relationships/hyperlink" Target="http://semnexus.com" TargetMode="External"/><Relationship Id="rId2056" Type="http://schemas.openxmlformats.org/officeDocument/2006/relationships/hyperlink" Target="https://www.semrush.com/agencies/list/display-advertising/information-technology/united-states/" TargetMode="External"/><Relationship Id="rId2057" Type="http://schemas.openxmlformats.org/officeDocument/2006/relationships/hyperlink" Target="http://semrush.com" TargetMode="External"/><Relationship Id="rId2058" Type="http://schemas.openxmlformats.org/officeDocument/2006/relationships/hyperlink" Target="https://seostrategylab.com/blog/best-llm-seo-agencies-usa/" TargetMode="External"/><Relationship Id="rId2059" Type="http://schemas.openxmlformats.org/officeDocument/2006/relationships/hyperlink" Target="http://seostrategylab.com" TargetMode="External"/><Relationship Id="rId2080" Type="http://schemas.openxmlformats.org/officeDocument/2006/relationships/hyperlink" Target="https://slashdot.org/software/incrementality-testing/" TargetMode="External"/><Relationship Id="rId2081" Type="http://schemas.openxmlformats.org/officeDocument/2006/relationships/hyperlink" Target="http://slashdot.org" TargetMode="External"/><Relationship Id="rId2082" Type="http://schemas.openxmlformats.org/officeDocument/2006/relationships/hyperlink" Target="https://slashdot.org/software/incrementality-testing/in-usa/" TargetMode="External"/><Relationship Id="rId2083" Type="http://schemas.openxmlformats.org/officeDocument/2006/relationships/hyperlink" Target="http://slashdot.org" TargetMode="External"/><Relationship Id="rId2084" Type="http://schemas.openxmlformats.org/officeDocument/2006/relationships/hyperlink" Target="https://www.smartosc.com/10-best-ai-services-in-japan/" TargetMode="External"/><Relationship Id="rId2085" Type="http://schemas.openxmlformats.org/officeDocument/2006/relationships/hyperlink" Target="http://smartosc.com" TargetMode="External"/><Relationship Id="rId2086" Type="http://schemas.openxmlformats.org/officeDocument/2006/relationships/hyperlink" Target="https://www.smartsites.com/ppc-marketing/display-advertising/" TargetMode="External"/><Relationship Id="rId2087" Type="http://schemas.openxmlformats.org/officeDocument/2006/relationships/hyperlink" Target="http://smartsites.com" TargetMode="External"/><Relationship Id="rId2088" Type="http://schemas.openxmlformats.org/officeDocument/2006/relationships/hyperlink" Target="https://snov.io/blog/best-digital-marketing-platforms/" TargetMode="External"/><Relationship Id="rId2089" Type="http://schemas.openxmlformats.org/officeDocument/2006/relationships/hyperlink" Target="http://snov.io" TargetMode="External"/><Relationship Id="rId2070" Type="http://schemas.openxmlformats.org/officeDocument/2006/relationships/hyperlink" Target="https://www.silverbackstrategies.com/lists/best-ecommerce-agencies-in-the-us-ranked-reviewed/" TargetMode="External"/><Relationship Id="rId2071" Type="http://schemas.openxmlformats.org/officeDocument/2006/relationships/hyperlink" Target="http://silverbackstrategies.com" TargetMode="External"/><Relationship Id="rId2072" Type="http://schemas.openxmlformats.org/officeDocument/2006/relationships/hyperlink" Target="https://simplythebestdigital.com/best-digital-marketing-agencies-usa/" TargetMode="External"/><Relationship Id="rId2073" Type="http://schemas.openxmlformats.org/officeDocument/2006/relationships/hyperlink" Target="http://simplythebestdigital.com" TargetMode="External"/><Relationship Id="rId2074" Type="http://schemas.openxmlformats.org/officeDocument/2006/relationships/hyperlink" Target="https://www.singlegrain.com/?p=69243" TargetMode="External"/><Relationship Id="rId2075" Type="http://schemas.openxmlformats.org/officeDocument/2006/relationships/hyperlink" Target="http://singlegrain.com" TargetMode="External"/><Relationship Id="rId2076" Type="http://schemas.openxmlformats.org/officeDocument/2006/relationships/hyperlink" Target="https://www.singlegrain.com/?p=69273" TargetMode="External"/><Relationship Id="rId2077" Type="http://schemas.openxmlformats.org/officeDocument/2006/relationships/hyperlink" Target="http://singlegrain.com" TargetMode="External"/><Relationship Id="rId2078" Type="http://schemas.openxmlformats.org/officeDocument/2006/relationships/hyperlink" Target="https://www.singlestoneconsulting.com/blog/best-data-modernization-services" TargetMode="External"/><Relationship Id="rId2079" Type="http://schemas.openxmlformats.org/officeDocument/2006/relationships/hyperlink" Target="http://singlestoneconsulting.com" TargetMode="External"/><Relationship Id="rId1610" Type="http://schemas.openxmlformats.org/officeDocument/2006/relationships/hyperlink" Target="https://disruptiveadvertising.com/blog/marketing/top-generative-engine-optimization-geo-agencies-in-2026/" TargetMode="External"/><Relationship Id="rId1611" Type="http://schemas.openxmlformats.org/officeDocument/2006/relationships/hyperlink" Target="http://disruptiveadvertising.com" TargetMode="External"/><Relationship Id="rId1612" Type="http://schemas.openxmlformats.org/officeDocument/2006/relationships/hyperlink" Target="https://www.dslxcontent.com/blog/saas-marketing-agencies" TargetMode="External"/><Relationship Id="rId1613" Type="http://schemas.openxmlformats.org/officeDocument/2006/relationships/hyperlink" Target="http://dslxcontent.com" TargetMode="External"/><Relationship Id="rId1614" Type="http://schemas.openxmlformats.org/officeDocument/2006/relationships/hyperlink" Target="https://www.ebaqdesign.com/blog/top-branding-agencies" TargetMode="External"/><Relationship Id="rId1615" Type="http://schemas.openxmlformats.org/officeDocument/2006/relationships/hyperlink" Target="http://ebaqdesign.com" TargetMode="External"/><Relationship Id="rId1616" Type="http://schemas.openxmlformats.org/officeDocument/2006/relationships/hyperlink" Target="https://echo-factory.com/the-12-best-pr-agencies-in-los-angeles/" TargetMode="External"/><Relationship Id="rId907" Type="http://schemas.openxmlformats.org/officeDocument/2006/relationships/hyperlink" Target="http://deployflow.co" TargetMode="External"/><Relationship Id="rId1617" Type="http://schemas.openxmlformats.org/officeDocument/2006/relationships/hyperlink" Target="http://echo-factory.com" TargetMode="External"/><Relationship Id="rId906" Type="http://schemas.openxmlformats.org/officeDocument/2006/relationships/hyperlink" Target="https://deployflow.co/blog/top-ai-consulting-companies-worldwide/" TargetMode="External"/><Relationship Id="rId1618" Type="http://schemas.openxmlformats.org/officeDocument/2006/relationships/hyperlink" Target="https://ecommercefastlane.com/best-amazon-brand-management-agencies/" TargetMode="External"/><Relationship Id="rId905" Type="http://schemas.openxmlformats.org/officeDocument/2006/relationships/hyperlink" Target="http://coolnerdsmarketing.com" TargetMode="External"/><Relationship Id="rId1619" Type="http://schemas.openxmlformats.org/officeDocument/2006/relationships/hyperlink" Target="http://ecommercefastlane.com" TargetMode="External"/><Relationship Id="rId904" Type="http://schemas.openxmlformats.org/officeDocument/2006/relationships/hyperlink" Target="https://coolnerdsmarketing.com/best-creative-marketing-agencies-2025/" TargetMode="External"/><Relationship Id="rId909" Type="http://schemas.openxmlformats.org/officeDocument/2006/relationships/hyperlink" Target="http://designrush.com" TargetMode="External"/><Relationship Id="rId908" Type="http://schemas.openxmlformats.org/officeDocument/2006/relationships/hyperlink" Target="https://www.designrush.com/agency/creative-agencies" TargetMode="External"/><Relationship Id="rId903" Type="http://schemas.openxmlformats.org/officeDocument/2006/relationships/hyperlink" Target="http://commercepundit.com" TargetMode="External"/><Relationship Id="rId902" Type="http://schemas.openxmlformats.org/officeDocument/2006/relationships/hyperlink" Target="https://www.commercepundit.com/blog/top-10-ai-consulting-companies-in-2026/" TargetMode="External"/><Relationship Id="rId901" Type="http://schemas.openxmlformats.org/officeDocument/2006/relationships/hyperlink" Target="http://cometly.com" TargetMode="External"/><Relationship Id="rId900" Type="http://schemas.openxmlformats.org/officeDocument/2006/relationships/hyperlink" Target="https://www.cometly.com/post/marketing-attribution-platform-for-agencies" TargetMode="External"/><Relationship Id="rId1600" Type="http://schemas.openxmlformats.org/officeDocument/2006/relationships/hyperlink" Target="https://www.digitalreference.co/insights/marketing-professionals/best-marketing-companies-firms-in-the-usa" TargetMode="External"/><Relationship Id="rId1601" Type="http://schemas.openxmlformats.org/officeDocument/2006/relationships/hyperlink" Target="http://digitalreference.co" TargetMode="External"/><Relationship Id="rId1602" Type="http://schemas.openxmlformats.org/officeDocument/2006/relationships/hyperlink" Target="https://www.digitalsilk.com/branding-agency/branding-trends/best-branding-agencies/" TargetMode="External"/><Relationship Id="rId1603" Type="http://schemas.openxmlformats.org/officeDocument/2006/relationships/hyperlink" Target="http://digitalsilk.com" TargetMode="External"/><Relationship Id="rId1604" Type="http://schemas.openxmlformats.org/officeDocument/2006/relationships/hyperlink" Target="https://directiveconsulting.com/blog/27-seo-agencies-built-for-b2b-growth-2026/" TargetMode="External"/><Relationship Id="rId1605" Type="http://schemas.openxmlformats.org/officeDocument/2006/relationships/hyperlink" Target="http://directiveconsulting.com" TargetMode="External"/><Relationship Id="rId1606" Type="http://schemas.openxmlformats.org/officeDocument/2006/relationships/hyperlink" Target="https://directiveconsulting.com/blog/performance-marketing-agencies/" TargetMode="External"/><Relationship Id="rId1607" Type="http://schemas.openxmlformats.org/officeDocument/2006/relationships/hyperlink" Target="http://directiveconsulting.com" TargetMode="External"/><Relationship Id="rId1608" Type="http://schemas.openxmlformats.org/officeDocument/2006/relationships/hyperlink" Target="https://disruptiveadvertising.com/blog/business/top-digital-marketing-agencies-in-utah/" TargetMode="External"/><Relationship Id="rId1609" Type="http://schemas.openxmlformats.org/officeDocument/2006/relationships/hyperlink" Target="http://disruptiveadvertising.com" TargetMode="External"/><Relationship Id="rId1631" Type="http://schemas.openxmlformats.org/officeDocument/2006/relationships/hyperlink" Target="https://epinium.com/en/best-amazon-agencies/" TargetMode="External"/><Relationship Id="rId1632" Type="http://schemas.openxmlformats.org/officeDocument/2006/relationships/hyperlink" Target="http://epinium.com" TargetMode="External"/><Relationship Id="rId1633" Type="http://schemas.openxmlformats.org/officeDocument/2006/relationships/hyperlink" Target="https://evincedev.com/blog/best-display-ad-networks/" TargetMode="External"/><Relationship Id="rId1634" Type="http://schemas.openxmlformats.org/officeDocument/2006/relationships/hyperlink" Target="http://evincedev.com" TargetMode="External"/><Relationship Id="rId1635" Type="http://schemas.openxmlformats.org/officeDocument/2006/relationships/hyperlink" Target="https://www.f6s.com/software/category/first-party-data-activation" TargetMode="External"/><Relationship Id="rId1636" Type="http://schemas.openxmlformats.org/officeDocument/2006/relationships/hyperlink" Target="http://f6s.com" TargetMode="External"/><Relationship Id="rId1637" Type="http://schemas.openxmlformats.org/officeDocument/2006/relationships/hyperlink" Target="https://www.factors.ai/blog/top-7-marketing-attribution-tools" TargetMode="External"/><Relationship Id="rId1638" Type="http://schemas.openxmlformats.org/officeDocument/2006/relationships/hyperlink" Target="http://factors.ai" TargetMode="External"/><Relationship Id="rId929" Type="http://schemas.openxmlformats.org/officeDocument/2006/relationships/hyperlink" Target="http://improvado.io" TargetMode="External"/><Relationship Id="rId1639" Type="http://schemas.openxmlformats.org/officeDocument/2006/relationships/hyperlink" Target="https://www.featuredcustomers.com/services/digital-marketing-agencies" TargetMode="External"/><Relationship Id="rId928" Type="http://schemas.openxmlformats.org/officeDocument/2006/relationships/hyperlink" Target="https://improvado.io/blog/marketing-mix-modeling-providers" TargetMode="External"/><Relationship Id="rId927" Type="http://schemas.openxmlformats.org/officeDocument/2006/relationships/hyperlink" Target="http://hashmeta.com" TargetMode="External"/><Relationship Id="rId926" Type="http://schemas.openxmlformats.org/officeDocument/2006/relationships/hyperlink" Target="https://hashmeta.com/blog/10-best-aeo-geo-agencies-for-ai-search-optimization/" TargetMode="External"/><Relationship Id="rId921" Type="http://schemas.openxmlformats.org/officeDocument/2006/relationships/hyperlink" Target="http://goodfirms.co" TargetMode="External"/><Relationship Id="rId920" Type="http://schemas.openxmlformats.org/officeDocument/2006/relationships/hyperlink" Target="https://www.goodfirms.co/directory/country/top-digital-marketing-companies/us?sid=3943" TargetMode="External"/><Relationship Id="rId925" Type="http://schemas.openxmlformats.org/officeDocument/2006/relationships/hyperlink" Target="http://growwithvysta.com" TargetMode="External"/><Relationship Id="rId924" Type="http://schemas.openxmlformats.org/officeDocument/2006/relationships/hyperlink" Target="https://growwithvysta.com/blog/best-youtube-ads-agencies-in-the-us-2026/" TargetMode="External"/><Relationship Id="rId923" Type="http://schemas.openxmlformats.org/officeDocument/2006/relationships/hyperlink" Target="http://growthspreeofficial.com" TargetMode="External"/><Relationship Id="rId922" Type="http://schemas.openxmlformats.org/officeDocument/2006/relationships/hyperlink" Target="https://www.growthspreeofficial.com/blogs/top-5-agencies-best-for-large-scale-b2b-demand-generation" TargetMode="External"/><Relationship Id="rId1630" Type="http://schemas.openxmlformats.org/officeDocument/2006/relationships/hyperlink" Target="https://www.epicslope.partners/buyers-guide/generative-engine-optimization-agencies" TargetMode="External"/><Relationship Id="rId1620" Type="http://schemas.openxmlformats.org/officeDocument/2006/relationships/hyperlink" Target="https://elementor.com/blog/best-seo-geo-agencies/" TargetMode="External"/><Relationship Id="rId1621" Type="http://schemas.openxmlformats.org/officeDocument/2006/relationships/hyperlink" Target="http://elementor.com" TargetMode="External"/><Relationship Id="rId1622" Type="http://schemas.openxmlformats.org/officeDocument/2006/relationships/hyperlink" Target="https://www.elsner.com/top-answer-engine-optimization-companies/" TargetMode="External"/><Relationship Id="rId1623" Type="http://schemas.openxmlformats.org/officeDocument/2006/relationships/hyperlink" Target="http://elsner.com" TargetMode="External"/><Relationship Id="rId1624" Type="http://schemas.openxmlformats.org/officeDocument/2006/relationships/hyperlink" Target="https://www.embarque.io/post/we-found-30-ai-seo-agencies-for-ranking-ai-results-2026" TargetMode="External"/><Relationship Id="rId1625" Type="http://schemas.openxmlformats.org/officeDocument/2006/relationships/hyperlink" Target="http://embarque.io" TargetMode="External"/><Relationship Id="rId1626" Type="http://schemas.openxmlformats.org/officeDocument/2006/relationships/hyperlink" Target="https://www.emrgmedia.com/best-experiential-marketing-agencies/" TargetMode="External"/><Relationship Id="rId1627" Type="http://schemas.openxmlformats.org/officeDocument/2006/relationships/hyperlink" Target="http://emrgmedia.com" TargetMode="External"/><Relationship Id="rId918" Type="http://schemas.openxmlformats.org/officeDocument/2006/relationships/hyperlink" Target="https://www.goodfirms.co/directory/country/top-digital-marketing-companies/us?sid=3931" TargetMode="External"/><Relationship Id="rId1628" Type="http://schemas.openxmlformats.org/officeDocument/2006/relationships/hyperlink" Target="https://ensun.io/search/geospatial-gis/united-states" TargetMode="External"/><Relationship Id="rId917" Type="http://schemas.openxmlformats.org/officeDocument/2006/relationships/hyperlink" Target="http://equinoxitsol.com" TargetMode="External"/><Relationship Id="rId1629" Type="http://schemas.openxmlformats.org/officeDocument/2006/relationships/hyperlink" Target="http://ensun.io" TargetMode="External"/><Relationship Id="rId916" Type="http://schemas.openxmlformats.org/officeDocument/2006/relationships/hyperlink" Target="https://www.equinoxitsol.com/blog/top-10-performance-marketing-agencies-in-the-us/" TargetMode="External"/><Relationship Id="rId915" Type="http://schemas.openxmlformats.org/officeDocument/2006/relationships/hyperlink" Target="http://directiveconsulting.com" TargetMode="External"/><Relationship Id="rId919" Type="http://schemas.openxmlformats.org/officeDocument/2006/relationships/hyperlink" Target="http://goodfirms.co" TargetMode="External"/><Relationship Id="rId910" Type="http://schemas.openxmlformats.org/officeDocument/2006/relationships/hyperlink" Target="https://digitalstrategyforce.com/top-10-aeo-agencies-2026/" TargetMode="External"/><Relationship Id="rId914" Type="http://schemas.openxmlformats.org/officeDocument/2006/relationships/hyperlink" Target="https://directiveconsulting.com/blog/the-best-b2b-marketing-agencies-for-technology-companies-in-2026/" TargetMode="External"/><Relationship Id="rId913" Type="http://schemas.openxmlformats.org/officeDocument/2006/relationships/hyperlink" Target="http://directiveconsulting.com" TargetMode="External"/><Relationship Id="rId912" Type="http://schemas.openxmlformats.org/officeDocument/2006/relationships/hyperlink" Target="https://directiveconsulting.com/blog/best-programmatic-ad-agencies/" TargetMode="External"/><Relationship Id="rId911" Type="http://schemas.openxmlformats.org/officeDocument/2006/relationships/hyperlink" Target="http://digitalstrategyforce.com" TargetMode="External"/><Relationship Id="rId1697" Type="http://schemas.openxmlformats.org/officeDocument/2006/relationships/hyperlink" Target="http://gogloby.com" TargetMode="External"/><Relationship Id="rId1698" Type="http://schemas.openxmlformats.org/officeDocument/2006/relationships/hyperlink" Target="https://www.gomega.ai/blog/ai-marketing-agency/" TargetMode="External"/><Relationship Id="rId1699" Type="http://schemas.openxmlformats.org/officeDocument/2006/relationships/hyperlink" Target="http://gomega.ai" TargetMode="External"/><Relationship Id="rId866" Type="http://schemas.openxmlformats.org/officeDocument/2006/relationships/hyperlink" Target="https://www.webtonic.io/blog/top-enterprise-digital-marketing-agencies" TargetMode="External"/><Relationship Id="rId865" Type="http://schemas.openxmlformats.org/officeDocument/2006/relationships/hyperlink" Target="http://uforocks.com" TargetMode="External"/><Relationship Id="rId864" Type="http://schemas.openxmlformats.org/officeDocument/2006/relationships/hyperlink" Target="https://www.uforocks.com/blog/top-ppc-agencies-in-the-u-s/" TargetMode="External"/><Relationship Id="rId863" Type="http://schemas.openxmlformats.org/officeDocument/2006/relationships/hyperlink" Target="http://todaymade.com" TargetMode="External"/><Relationship Id="rId869" Type="http://schemas.openxmlformats.org/officeDocument/2006/relationships/hyperlink" Target="http://webtonic.io" TargetMode="External"/><Relationship Id="rId868" Type="http://schemas.openxmlformats.org/officeDocument/2006/relationships/hyperlink" Target="https://www.webtonic.io/blog/top-paid-media-agencies" TargetMode="External"/><Relationship Id="rId867" Type="http://schemas.openxmlformats.org/officeDocument/2006/relationships/hyperlink" Target="http://webtonic.io" TargetMode="External"/><Relationship Id="rId1690" Type="http://schemas.openxmlformats.org/officeDocument/2006/relationships/hyperlink" Target="https://gitnux.org/service/ai-adoption/" TargetMode="External"/><Relationship Id="rId1691" Type="http://schemas.openxmlformats.org/officeDocument/2006/relationships/hyperlink" Target="http://gitnux.org" TargetMode="External"/><Relationship Id="rId1692" Type="http://schemas.openxmlformats.org/officeDocument/2006/relationships/hyperlink" Target="https://gitnux.org/service/automotive-data-marketing/" TargetMode="External"/><Relationship Id="rId862" Type="http://schemas.openxmlformats.org/officeDocument/2006/relationships/hyperlink" Target="https://www.todaymade.com/blog/top-creative-agencies" TargetMode="External"/><Relationship Id="rId1693" Type="http://schemas.openxmlformats.org/officeDocument/2006/relationships/hyperlink" Target="http://gitnux.org" TargetMode="External"/><Relationship Id="rId861" Type="http://schemas.openxmlformats.org/officeDocument/2006/relationships/hyperlink" Target="http://themanifest.com" TargetMode="External"/><Relationship Id="rId1694" Type="http://schemas.openxmlformats.org/officeDocument/2006/relationships/hyperlink" Target="https://gogloby.com/insights/best-ai-consulting-companies/" TargetMode="External"/><Relationship Id="rId860" Type="http://schemas.openxmlformats.org/officeDocument/2006/relationships/hyperlink" Target="https://themanifest.com/us/ppc/agencies" TargetMode="External"/><Relationship Id="rId1695" Type="http://schemas.openxmlformats.org/officeDocument/2006/relationships/hyperlink" Target="http://gogloby.com" TargetMode="External"/><Relationship Id="rId1696" Type="http://schemas.openxmlformats.org/officeDocument/2006/relationships/hyperlink" Target="https://gogloby.com/insights/best-ai-recruiting-companies/" TargetMode="External"/><Relationship Id="rId1686" Type="http://schemas.openxmlformats.org/officeDocument/2006/relationships/hyperlink" Target="https://gigawattgroup.com/insights/best-geo-agencies-in-2026-who-actually-drives-ai-visibility-and-citations/" TargetMode="External"/><Relationship Id="rId1687" Type="http://schemas.openxmlformats.org/officeDocument/2006/relationships/hyperlink" Target="http://gigawattgroup.com" TargetMode="External"/><Relationship Id="rId1688" Type="http://schemas.openxmlformats.org/officeDocument/2006/relationships/hyperlink" Target="https://www.girikon.com/blog/top-15-salesforce-revenue-cloud-cpq-billing-consultants-in-united-states/" TargetMode="External"/><Relationship Id="rId1689" Type="http://schemas.openxmlformats.org/officeDocument/2006/relationships/hyperlink" Target="http://girikon.com" TargetMode="External"/><Relationship Id="rId855" Type="http://schemas.openxmlformats.org/officeDocument/2006/relationships/hyperlink" Target="http://thegrowthsyndicate.com" TargetMode="External"/><Relationship Id="rId854" Type="http://schemas.openxmlformats.org/officeDocument/2006/relationships/hyperlink" Target="https://www.thegrowthsyndicate.com/agencies/best-b2b-google-ads-agencies-us" TargetMode="External"/><Relationship Id="rId853" Type="http://schemas.openxmlformats.org/officeDocument/2006/relationships/hyperlink" Target="http://strategyeye.com" TargetMode="External"/><Relationship Id="rId852" Type="http://schemas.openxmlformats.org/officeDocument/2006/relationships/hyperlink" Target="https://www.strategyeye.com/top-13-performance-marketing-agencies/" TargetMode="External"/><Relationship Id="rId859" Type="http://schemas.openxmlformats.org/officeDocument/2006/relationships/hyperlink" Target="http://thekeenfolks.com" TargetMode="External"/><Relationship Id="rId858" Type="http://schemas.openxmlformats.org/officeDocument/2006/relationships/hyperlink" Target="https://www.thekeenfolks.com/blog-article/best-performance-marketing-agencies" TargetMode="External"/><Relationship Id="rId857" Type="http://schemas.openxmlformats.org/officeDocument/2006/relationships/hyperlink" Target="http://theinklusive.com" TargetMode="External"/><Relationship Id="rId856" Type="http://schemas.openxmlformats.org/officeDocument/2006/relationships/hyperlink" Target="https://theinklusive.com/blog/best-creative-marketing-agency-partners-for-your-brand/" TargetMode="External"/><Relationship Id="rId1680" Type="http://schemas.openxmlformats.org/officeDocument/2006/relationships/hyperlink" Target="https://generatemore.ai/blog/top-generative-engine-optimization-agencies" TargetMode="External"/><Relationship Id="rId1681" Type="http://schemas.openxmlformats.org/officeDocument/2006/relationships/hyperlink" Target="http://generatemore.ai" TargetMode="External"/><Relationship Id="rId851" Type="http://schemas.openxmlformats.org/officeDocument/2006/relationships/hyperlink" Target="http://sortlist.com" TargetMode="External"/><Relationship Id="rId1682" Type="http://schemas.openxmlformats.org/officeDocument/2006/relationships/hyperlink" Target="https://www.genevate.co/best-aso-agencies-2026/" TargetMode="External"/><Relationship Id="rId850" Type="http://schemas.openxmlformats.org/officeDocument/2006/relationships/hyperlink" Target="https://www.sortlist.com/advertising/united-states-us" TargetMode="External"/><Relationship Id="rId1683" Type="http://schemas.openxmlformats.org/officeDocument/2006/relationships/hyperlink" Target="http://genevate.co" TargetMode="External"/><Relationship Id="rId1684" Type="http://schemas.openxmlformats.org/officeDocument/2006/relationships/hyperlink" Target="https://www.getcrux.ai/discover/marketing-attribution-tools" TargetMode="External"/><Relationship Id="rId1685" Type="http://schemas.openxmlformats.org/officeDocument/2006/relationships/hyperlink" Target="http://getcrux.ai" TargetMode="External"/><Relationship Id="rId888" Type="http://schemas.openxmlformats.org/officeDocument/2006/relationships/hyperlink" Target="https://www.cleverly.co/blog/best-marketing-attribution-software" TargetMode="External"/><Relationship Id="rId887" Type="http://schemas.openxmlformats.org/officeDocument/2006/relationships/hyperlink" Target="http://avenuez.com" TargetMode="External"/><Relationship Id="rId886" Type="http://schemas.openxmlformats.org/officeDocument/2006/relationships/hyperlink" Target="https://avenuez.com/blog/top-paid-ads-agencies-in-the-u-s/" TargetMode="External"/><Relationship Id="rId885" Type="http://schemas.openxmlformats.org/officeDocument/2006/relationships/hyperlink" Target="http://avenuez.com" TargetMode="External"/><Relationship Id="rId889" Type="http://schemas.openxmlformats.org/officeDocument/2006/relationships/hyperlink" Target="http://cleverly.co" TargetMode="External"/><Relationship Id="rId880" Type="http://schemas.openxmlformats.org/officeDocument/2006/relationships/hyperlink" Target="https://agencies.semrush.com/list/display-advertising/ecommerce/united-states/" TargetMode="External"/><Relationship Id="rId884" Type="http://schemas.openxmlformats.org/officeDocument/2006/relationships/hyperlink" Target="https://avenuez.com/blog/top-answer-engine-optimization-aeo-agencies/" TargetMode="External"/><Relationship Id="rId883" Type="http://schemas.openxmlformats.org/officeDocument/2006/relationships/hyperlink" Target="http://aiinsiderdaily.com" TargetMode="External"/><Relationship Id="rId882" Type="http://schemas.openxmlformats.org/officeDocument/2006/relationships/hyperlink" Target="https://aiinsiderdaily.com/ai-tools-reviews/ai-agency-guide-2025/" TargetMode="External"/><Relationship Id="rId881" Type="http://schemas.openxmlformats.org/officeDocument/2006/relationships/hyperlink" Target="http://semrush.com" TargetMode="External"/><Relationship Id="rId877" Type="http://schemas.openxmlformats.org/officeDocument/2006/relationships/hyperlink" Target="http://adogy.com" TargetMode="External"/><Relationship Id="rId876" Type="http://schemas.openxmlformats.org/officeDocument/2006/relationships/hyperlink" Target="https://www.adogy.com/the-top-generative-engine-optimization-geo-agencies/" TargetMode="External"/><Relationship Id="rId875" Type="http://schemas.openxmlformats.org/officeDocument/2006/relationships/hyperlink" Target="http://accuracast.com" TargetMode="External"/><Relationship Id="rId874" Type="http://schemas.openxmlformats.org/officeDocument/2006/relationships/hyperlink" Target="https://www.accuracast.com/articles/multilingual-7471/top-10-international-digital-marketing-agencies-2026/" TargetMode="External"/><Relationship Id="rId879" Type="http://schemas.openxmlformats.org/officeDocument/2006/relationships/hyperlink" Target="http://semrush.com" TargetMode="External"/><Relationship Id="rId878" Type="http://schemas.openxmlformats.org/officeDocument/2006/relationships/hyperlink" Target="https://agencies.semrush.com/list/analytics-data-science/business-professional-services/united-states/" TargetMode="External"/><Relationship Id="rId873" Type="http://schemas.openxmlformats.org/officeDocument/2006/relationships/hyperlink" Target="http://zipdo.co" TargetMode="External"/><Relationship Id="rId872" Type="http://schemas.openxmlformats.org/officeDocument/2006/relationships/hyperlink" Target="https://zipdo.co/service/display-advertising/" TargetMode="External"/><Relationship Id="rId871" Type="http://schemas.openxmlformats.org/officeDocument/2006/relationships/hyperlink" Target="http://youtube.com" TargetMode="External"/><Relationship Id="rId870" Type="http://schemas.openxmlformats.org/officeDocument/2006/relationships/hyperlink" Target="https://www.youtube.com/watch?v=Zyd_x8Z9J7I&amp;t=92" TargetMode="External"/><Relationship Id="rId1653" Type="http://schemas.openxmlformats.org/officeDocument/2006/relationships/hyperlink" Target="http://firstpagesage.com" TargetMode="External"/><Relationship Id="rId1654" Type="http://schemas.openxmlformats.org/officeDocument/2006/relationships/hyperlink" Target="https://firstpagesage.com/seo-blog/the-top-seo-companies-in-the-us/" TargetMode="External"/><Relationship Id="rId1655" Type="http://schemas.openxmlformats.org/officeDocument/2006/relationships/hyperlink" Target="http://firstpagesage.com" TargetMode="External"/><Relationship Id="rId1656" Type="http://schemas.openxmlformats.org/officeDocument/2006/relationships/hyperlink" Target="https://firstpagesage.com/seo-blog/top-b2b-seo-agencies-us/" TargetMode="External"/><Relationship Id="rId1657" Type="http://schemas.openxmlformats.org/officeDocument/2006/relationships/hyperlink" Target="http://firstpagesage.com" TargetMode="External"/><Relationship Id="rId1658" Type="http://schemas.openxmlformats.org/officeDocument/2006/relationships/hyperlink" Target="https://www.firstquery.ai/blog/top-10-ai-search-agencies-to-boost-rankings" TargetMode="External"/><Relationship Id="rId1659" Type="http://schemas.openxmlformats.org/officeDocument/2006/relationships/hyperlink" Target="http://firstquery.ai" TargetMode="External"/><Relationship Id="rId829" Type="http://schemas.openxmlformats.org/officeDocument/2006/relationships/hyperlink" Target="http://onely.com" TargetMode="External"/><Relationship Id="rId828" Type="http://schemas.openxmlformats.org/officeDocument/2006/relationships/hyperlink" Target="https://www.onely.com/blog/best-digital-marketing-agencies/" TargetMode="External"/><Relationship Id="rId827" Type="http://schemas.openxmlformats.org/officeDocument/2006/relationships/hyperlink" Target="https://www.o8.agency/blog/ai/best-ai-marketing-agencies-2026-honest-comparison" TargetMode="External"/><Relationship Id="rId822" Type="http://schemas.openxmlformats.org/officeDocument/2006/relationships/hyperlink" Target="http://modernmarketingpartners.com" TargetMode="External"/><Relationship Id="rId821" Type="http://schemas.openxmlformats.org/officeDocument/2006/relationships/hyperlink" Target="https://www.modernmarketingpartners.com/2026/03/19/14-best-answer-engine-optimization-agencies-aeo-insights-company-rankings-for-2026/" TargetMode="External"/><Relationship Id="rId820" Type="http://schemas.openxmlformats.org/officeDocument/2006/relationships/hyperlink" Target="http://linkedin.com" TargetMode="External"/><Relationship Id="rId826" Type="http://schemas.openxmlformats.org/officeDocument/2006/relationships/hyperlink" Target="http://nuoptima.com" TargetMode="External"/><Relationship Id="rId825" Type="http://schemas.openxmlformats.org/officeDocument/2006/relationships/hyperlink" Target="https://nuoptima.com/ai-search-answer-engine-optimization-companies-usa" TargetMode="External"/><Relationship Id="rId824" Type="http://schemas.openxmlformats.org/officeDocument/2006/relationships/hyperlink" Target="http://modernmarketingpartners.com" TargetMode="External"/><Relationship Id="rId823" Type="http://schemas.openxmlformats.org/officeDocument/2006/relationships/hyperlink" Target="https://www.modernmarketingpartners.com/2026/03/19/15-best-answer-engine-optimization-agencies-aeo-insights-company-rankings-for-2026/" TargetMode="External"/><Relationship Id="rId1650" Type="http://schemas.openxmlformats.org/officeDocument/2006/relationships/hyperlink" Target="https://firstpagesage.com/seo-blog/the-top-ecommerce-agentic-search-optimization-aso-agencies" TargetMode="External"/><Relationship Id="rId1651" Type="http://schemas.openxmlformats.org/officeDocument/2006/relationships/hyperlink" Target="http://firstpagesage.com" TargetMode="External"/><Relationship Id="rId1652" Type="http://schemas.openxmlformats.org/officeDocument/2006/relationships/hyperlink" Target="https://firstpagesage.com/seo-blog/the-top-ecommerce-geo-aeo-agencies/" TargetMode="External"/><Relationship Id="rId1642" Type="http://schemas.openxmlformats.org/officeDocument/2006/relationships/hyperlink" Target="http://featuredcustomers.com" TargetMode="External"/><Relationship Id="rId1643" Type="http://schemas.openxmlformats.org/officeDocument/2006/relationships/hyperlink" Target="https://www.featuredcustomers.com/software/first-party-data-solutions" TargetMode="External"/><Relationship Id="rId1644" Type="http://schemas.openxmlformats.org/officeDocument/2006/relationships/hyperlink" Target="http://featuredcustomers.com" TargetMode="External"/><Relationship Id="rId1645" Type="http://schemas.openxmlformats.org/officeDocument/2006/relationships/hyperlink" Target="https://fibr.ai/geo/best-generative-engine-optimization-brands-for-ai" TargetMode="External"/><Relationship Id="rId1646" Type="http://schemas.openxmlformats.org/officeDocument/2006/relationships/hyperlink" Target="http://fibr.ai" TargetMode="External"/><Relationship Id="rId1647" Type="http://schemas.openxmlformats.org/officeDocument/2006/relationships/hyperlink" Target="https://www.fieldtrip.agency/post/top-enterprise-growth-marketing-agencies" TargetMode="External"/><Relationship Id="rId1648" Type="http://schemas.openxmlformats.org/officeDocument/2006/relationships/hyperlink" Target="https://finance.yahoo.com/news/designrush-recognizes-top-10-digital-114500778.html" TargetMode="External"/><Relationship Id="rId1649" Type="http://schemas.openxmlformats.org/officeDocument/2006/relationships/hyperlink" Target="http://yahoo.com" TargetMode="External"/><Relationship Id="rId819" Type="http://schemas.openxmlformats.org/officeDocument/2006/relationships/hyperlink" Target="https://www.linkedin.com/pulse/top-5-geo-agencies-usa-2026-yash-kumar-m4v6c" TargetMode="External"/><Relationship Id="rId818" Type="http://schemas.openxmlformats.org/officeDocument/2006/relationships/hyperlink" Target="http://jake-jorgovan.com" TargetMode="External"/><Relationship Id="rId817" Type="http://schemas.openxmlformats.org/officeDocument/2006/relationships/hyperlink" Target="https://jake-jorgovan.com/blog/top-ai-marketing-agencies" TargetMode="External"/><Relationship Id="rId816" Type="http://schemas.openxmlformats.org/officeDocument/2006/relationships/hyperlink" Target="http://indatalabs.com" TargetMode="External"/><Relationship Id="rId811" Type="http://schemas.openxmlformats.org/officeDocument/2006/relationships/hyperlink" Target="https://www.hockeystack.com/blog-posts/best-marketing-analytics-platforms" TargetMode="External"/><Relationship Id="rId810" Type="http://schemas.openxmlformats.org/officeDocument/2006/relationships/hyperlink" Target="http://growthmarketingpro.com" TargetMode="External"/><Relationship Id="rId815" Type="http://schemas.openxmlformats.org/officeDocument/2006/relationships/hyperlink" Target="https://indatalabs.com/blog/marketing-analytics-companies" TargetMode="External"/><Relationship Id="rId814" Type="http://schemas.openxmlformats.org/officeDocument/2006/relationships/hyperlink" Target="http://inbeat.co" TargetMode="External"/><Relationship Id="rId813" Type="http://schemas.openxmlformats.org/officeDocument/2006/relationships/hyperlink" Target="https://www.inbeat.co/articles/top-performance-marketing-agencies/" TargetMode="External"/><Relationship Id="rId812" Type="http://schemas.openxmlformats.org/officeDocument/2006/relationships/hyperlink" Target="http://hockeystack.com" TargetMode="External"/><Relationship Id="rId1640" Type="http://schemas.openxmlformats.org/officeDocument/2006/relationships/hyperlink" Target="http://featuredcustomers.com" TargetMode="External"/><Relationship Id="rId1641" Type="http://schemas.openxmlformats.org/officeDocument/2006/relationships/hyperlink" Target="https://www.featuredcustomers.com/software/customer-data-audience-activation" TargetMode="External"/><Relationship Id="rId1675" Type="http://schemas.openxmlformats.org/officeDocument/2006/relationships/hyperlink" Target="http://g2.com" TargetMode="External"/><Relationship Id="rId1676" Type="http://schemas.openxmlformats.org/officeDocument/2006/relationships/hyperlink" Target="https://www.gen-optima.com/geo/top-7-generative-engine-optimization-service-providers-ranked/" TargetMode="External"/><Relationship Id="rId1677" Type="http://schemas.openxmlformats.org/officeDocument/2006/relationships/hyperlink" Target="http://gen-optima.com" TargetMode="External"/><Relationship Id="rId1678" Type="http://schemas.openxmlformats.org/officeDocument/2006/relationships/hyperlink" Target="https://www.gen-optima.com/geo/top-generative-ai-search-engine-optimization-agencies-2026/" TargetMode="External"/><Relationship Id="rId1679" Type="http://schemas.openxmlformats.org/officeDocument/2006/relationships/hyperlink" Target="http://gen-optima.com" TargetMode="External"/><Relationship Id="rId849" Type="http://schemas.openxmlformats.org/officeDocument/2006/relationships/hyperlink" Target="http://silverbackstrategies.com" TargetMode="External"/><Relationship Id="rId844" Type="http://schemas.openxmlformats.org/officeDocument/2006/relationships/hyperlink" Target="https://www.semfirms.com/digital-marketing-firms" TargetMode="External"/><Relationship Id="rId843" Type="http://schemas.openxmlformats.org/officeDocument/2006/relationships/hyperlink" Target="http://segmentstream.com" TargetMode="External"/><Relationship Id="rId842" Type="http://schemas.openxmlformats.org/officeDocument/2006/relationships/hyperlink" Target="https://segmentstream.com/blog/articles/best-attribution-tools" TargetMode="External"/><Relationship Id="rId841" Type="http://schemas.openxmlformats.org/officeDocument/2006/relationships/hyperlink" Target="http://scopicstudios.com" TargetMode="External"/><Relationship Id="rId848" Type="http://schemas.openxmlformats.org/officeDocument/2006/relationships/hyperlink" Target="https://www.silverbackstrategies.com/lists/best-digital-marketing-agencies-in-the-us-rank-reviewed/" TargetMode="External"/><Relationship Id="rId847" Type="http://schemas.openxmlformats.org/officeDocument/2006/relationships/hyperlink" Target="http://seoworks.com" TargetMode="External"/><Relationship Id="rId846" Type="http://schemas.openxmlformats.org/officeDocument/2006/relationships/hyperlink" Target="https://www.seoworks.com/lists/top-b2b-geo-and-aeo-agencies/" TargetMode="External"/><Relationship Id="rId845" Type="http://schemas.openxmlformats.org/officeDocument/2006/relationships/hyperlink" Target="http://semfirms.com" TargetMode="External"/><Relationship Id="rId1670" Type="http://schemas.openxmlformats.org/officeDocument/2006/relationships/hyperlink" Target="https://fueler.io/blog/best-performance-marketing-agencies-in-the-usa" TargetMode="External"/><Relationship Id="rId840" Type="http://schemas.openxmlformats.org/officeDocument/2006/relationships/hyperlink" Target="https://scopicstudios.com/blog/top-performance-marketing-agencies/" TargetMode="External"/><Relationship Id="rId1671" Type="http://schemas.openxmlformats.org/officeDocument/2006/relationships/hyperlink" Target="http://fueler.io" TargetMode="External"/><Relationship Id="rId1672" Type="http://schemas.openxmlformats.org/officeDocument/2006/relationships/hyperlink" Target="https://fueler.io/blog/top-us-advertising-and-marketing-agencies" TargetMode="External"/><Relationship Id="rId1673" Type="http://schemas.openxmlformats.org/officeDocument/2006/relationships/hyperlink" Target="http://fueler.io" TargetMode="External"/><Relationship Id="rId1674" Type="http://schemas.openxmlformats.org/officeDocument/2006/relationships/hyperlink" Target="https://www.g2.com/categories/data-governance-tools" TargetMode="External"/><Relationship Id="rId1664" Type="http://schemas.openxmlformats.org/officeDocument/2006/relationships/hyperlink" Target="https://www.flyingvgroup.com/programmatic-agency/" TargetMode="External"/><Relationship Id="rId1665" Type="http://schemas.openxmlformats.org/officeDocument/2006/relationships/hyperlink" Target="http://flyingvgroup.com" TargetMode="External"/><Relationship Id="rId1666" Type="http://schemas.openxmlformats.org/officeDocument/2006/relationships/hyperlink" Target="https://flypix.ai/geospatial-intelligence-companies-usa/" TargetMode="External"/><Relationship Id="rId1667" Type="http://schemas.openxmlformats.org/officeDocument/2006/relationships/hyperlink" Target="http://flypix.ai" TargetMode="External"/><Relationship Id="rId1668" Type="http://schemas.openxmlformats.org/officeDocument/2006/relationships/hyperlink" Target="https://fntmanagement.com/top-marketing-agencies/" TargetMode="External"/><Relationship Id="rId1669" Type="http://schemas.openxmlformats.org/officeDocument/2006/relationships/hyperlink" Target="http://fntmanagement.com" TargetMode="External"/><Relationship Id="rId839" Type="http://schemas.openxmlformats.org/officeDocument/2006/relationships/hyperlink" Target="http://rtslabs.com" TargetMode="External"/><Relationship Id="rId838" Type="http://schemas.openxmlformats.org/officeDocument/2006/relationships/hyperlink" Target="https://rtslabs.com/top-ai-consulting-firms/" TargetMode="External"/><Relationship Id="rId833" Type="http://schemas.openxmlformats.org/officeDocument/2006/relationships/hyperlink" Target="http://phable.io" TargetMode="External"/><Relationship Id="rId832" Type="http://schemas.openxmlformats.org/officeDocument/2006/relationships/hyperlink" Target="https://www.phable.io/top-creative-agencies/top-creative-agencies-in-the-world-masters-of-branding-content-creation-and-innovation" TargetMode="External"/><Relationship Id="rId831" Type="http://schemas.openxmlformats.org/officeDocument/2006/relationships/hyperlink" Target="http://pearllemon.com" TargetMode="External"/><Relationship Id="rId830" Type="http://schemas.openxmlformats.org/officeDocument/2006/relationships/hyperlink" Target="https://pearllemon.com/top-performance-marketing-agencies-usa/" TargetMode="External"/><Relationship Id="rId837" Type="http://schemas.openxmlformats.org/officeDocument/2006/relationships/hyperlink" Target="http://reddit.com" TargetMode="External"/><Relationship Id="rId836" Type="http://schemas.openxmlformats.org/officeDocument/2006/relationships/hyperlink" Target="https://www.reddit.com/r/Superframeworks/comments/1twfxf1/10_best_ai_seo_geoaeo_agencies_for_2026_no/" TargetMode="External"/><Relationship Id="rId835" Type="http://schemas.openxmlformats.org/officeDocument/2006/relationships/hyperlink" Target="http://prescientai.com" TargetMode="External"/><Relationship Id="rId834" Type="http://schemas.openxmlformats.org/officeDocument/2006/relationships/hyperlink" Target="https://prescientai.com/blog/top-marketing-attribution-software-solutions" TargetMode="External"/><Relationship Id="rId1660" Type="http://schemas.openxmlformats.org/officeDocument/2006/relationships/hyperlink" Target="https://fixnhour.com/blog/top-advertising-agencies-marketing-companies" TargetMode="External"/><Relationship Id="rId1661" Type="http://schemas.openxmlformats.org/officeDocument/2006/relationships/hyperlink" Target="http://fixnhour.com" TargetMode="External"/><Relationship Id="rId1662" Type="http://schemas.openxmlformats.org/officeDocument/2006/relationships/hyperlink" Target="https://www.flyingvgroup.com/ai-marketing-agency/" TargetMode="External"/><Relationship Id="rId1663" Type="http://schemas.openxmlformats.org/officeDocument/2006/relationships/hyperlink" Target="http://flyingvgroup.com" TargetMode="External"/><Relationship Id="rId2148" Type="http://schemas.openxmlformats.org/officeDocument/2006/relationships/hyperlink" Target="http://thebusinessrover.com" TargetMode="External"/><Relationship Id="rId2149" Type="http://schemas.openxmlformats.org/officeDocument/2006/relationships/hyperlink" Target="https://www.thebusinessrover.com/sv/blog/growth-marketing-agencies" TargetMode="External"/><Relationship Id="rId2140" Type="http://schemas.openxmlformats.org/officeDocument/2006/relationships/hyperlink" Target="http://techradiant.co" TargetMode="External"/><Relationship Id="rId2141" Type="http://schemas.openxmlformats.org/officeDocument/2006/relationships/hyperlink" Target="https://techreviewer.co/digital-marketing" TargetMode="External"/><Relationship Id="rId2142" Type="http://schemas.openxmlformats.org/officeDocument/2006/relationships/hyperlink" Target="http://techreviewer.co" TargetMode="External"/><Relationship Id="rId2143" Type="http://schemas.openxmlformats.org/officeDocument/2006/relationships/hyperlink" Target="https://www.tenspeed.io/blog/best-content-marketing-agencies" TargetMode="External"/><Relationship Id="rId2144" Type="http://schemas.openxmlformats.org/officeDocument/2006/relationships/hyperlink" Target="http://tenspeed.io" TargetMode="External"/><Relationship Id="rId2145" Type="http://schemas.openxmlformats.org/officeDocument/2006/relationships/hyperlink" Target="https://theb2bplaybook.com/best-google-ads-agencies-for-b2b" TargetMode="External"/><Relationship Id="rId2146" Type="http://schemas.openxmlformats.org/officeDocument/2006/relationships/hyperlink" Target="http://theb2bplaybook.com" TargetMode="External"/><Relationship Id="rId2147" Type="http://schemas.openxmlformats.org/officeDocument/2006/relationships/hyperlink" Target="https://www.thebusinessrover.com/blog/best-ppc-agencies" TargetMode="External"/><Relationship Id="rId2137" Type="http://schemas.openxmlformats.org/officeDocument/2006/relationships/hyperlink" Target="http://sweatpantsagency.com" TargetMode="External"/><Relationship Id="rId2138" Type="http://schemas.openxmlformats.org/officeDocument/2006/relationships/hyperlink" Target="https://taqwah.agency/blog/top-saas-landing-page-design-agencies" TargetMode="External"/><Relationship Id="rId2139" Type="http://schemas.openxmlformats.org/officeDocument/2006/relationships/hyperlink" Target="https://techradiant.co/agencies/social-media-marketing/" TargetMode="External"/><Relationship Id="rId2130" Type="http://schemas.openxmlformats.org/officeDocument/2006/relationships/hyperlink" Target="https://superbcompanies.com/categories/media-planning-buying-agencies-in-the-usa/" TargetMode="External"/><Relationship Id="rId2131" Type="http://schemas.openxmlformats.org/officeDocument/2006/relationships/hyperlink" Target="http://superbcompanies.com" TargetMode="External"/><Relationship Id="rId2132" Type="http://schemas.openxmlformats.org/officeDocument/2006/relationships/hyperlink" Target="https://www.superside.com/blog/financial-services-creative-agencies" TargetMode="External"/><Relationship Id="rId2133" Type="http://schemas.openxmlformats.org/officeDocument/2006/relationships/hyperlink" Target="http://superside.com" TargetMode="External"/><Relationship Id="rId2134" Type="http://schemas.openxmlformats.org/officeDocument/2006/relationships/hyperlink" Target="https://www.superside.com/blog/omnichannel-design-partners" TargetMode="External"/><Relationship Id="rId2135" Type="http://schemas.openxmlformats.org/officeDocument/2006/relationships/hyperlink" Target="http://superside.com" TargetMode="External"/><Relationship Id="rId2136" Type="http://schemas.openxmlformats.org/officeDocument/2006/relationships/hyperlink" Target="https://sweatpantsagency.com/the-top-9-digital-marketing-agencies" TargetMode="External"/><Relationship Id="rId2160" Type="http://schemas.openxmlformats.org/officeDocument/2006/relationships/hyperlink" Target="http://thegrowthsyndicate.com" TargetMode="External"/><Relationship Id="rId2161" Type="http://schemas.openxmlformats.org/officeDocument/2006/relationships/hyperlink" Target="https://theinklusive.com/blog/12-best-branding-agencies/" TargetMode="External"/><Relationship Id="rId2162" Type="http://schemas.openxmlformats.org/officeDocument/2006/relationships/hyperlink" Target="http://theinklusive.com" TargetMode="External"/><Relationship Id="rId2163" Type="http://schemas.openxmlformats.org/officeDocument/2006/relationships/hyperlink" Target="https://www.thekeenfolks.com/blog-article/top-ai-marketing-companies" TargetMode="External"/><Relationship Id="rId2164" Type="http://schemas.openxmlformats.org/officeDocument/2006/relationships/hyperlink" Target="http://thekeenfolks.com" TargetMode="External"/><Relationship Id="rId2165" Type="http://schemas.openxmlformats.org/officeDocument/2006/relationships/hyperlink" Target="https://www.thekeenfolks.com/solutions/20-the-best-ai-marketing-companies-for-large-enterprises" TargetMode="External"/><Relationship Id="rId2166" Type="http://schemas.openxmlformats.org/officeDocument/2006/relationships/hyperlink" Target="http://thekeenfolks.com" TargetMode="External"/><Relationship Id="rId2167" Type="http://schemas.openxmlformats.org/officeDocument/2006/relationships/hyperlink" Target="https://themanifest.com/media-buying/agencies" TargetMode="External"/><Relationship Id="rId2168" Type="http://schemas.openxmlformats.org/officeDocument/2006/relationships/hyperlink" Target="http://themanifest.com" TargetMode="External"/><Relationship Id="rId2169" Type="http://schemas.openxmlformats.org/officeDocument/2006/relationships/hyperlink" Target="https://themanifest.com/us/creative/agencies?page=1" TargetMode="External"/><Relationship Id="rId2159" Type="http://schemas.openxmlformats.org/officeDocument/2006/relationships/hyperlink" Target="https://www.thegrowthsyndicate.com/agencies/best-linkedin-ads-agencies-us" TargetMode="External"/><Relationship Id="rId2150" Type="http://schemas.openxmlformats.org/officeDocument/2006/relationships/hyperlink" Target="http://thebusinessrover.com" TargetMode="External"/><Relationship Id="rId2151" Type="http://schemas.openxmlformats.org/officeDocument/2006/relationships/hyperlink" Target="https://thecmo.com/services/best-digital-marketing-agency/" TargetMode="External"/><Relationship Id="rId2152" Type="http://schemas.openxmlformats.org/officeDocument/2006/relationships/hyperlink" Target="http://thecmo.com" TargetMode="External"/><Relationship Id="rId2153" Type="http://schemas.openxmlformats.org/officeDocument/2006/relationships/hyperlink" Target="https://thecrunch.io/ai-software-sales/" TargetMode="External"/><Relationship Id="rId2154" Type="http://schemas.openxmlformats.org/officeDocument/2006/relationships/hyperlink" Target="http://thecrunch.io" TargetMode="External"/><Relationship Id="rId2155" Type="http://schemas.openxmlformats.org/officeDocument/2006/relationships/hyperlink" Target="https://www.thedrum.com/news/world-creative-rankings-the-top-100-most-awarded-agencies-the-us" TargetMode="External"/><Relationship Id="rId2156" Type="http://schemas.openxmlformats.org/officeDocument/2006/relationships/hyperlink" Target="http://thedrum.com" TargetMode="External"/><Relationship Id="rId2157" Type="http://schemas.openxmlformats.org/officeDocument/2006/relationships/hyperlink" Target="https://www.thegrowthsyndicate.com/agencies/best-b2b-marketing-agencies-us" TargetMode="External"/><Relationship Id="rId2158" Type="http://schemas.openxmlformats.org/officeDocument/2006/relationships/hyperlink" Target="http://thegrowthsyndicate.com" TargetMode="External"/><Relationship Id="rId2104" Type="http://schemas.openxmlformats.org/officeDocument/2006/relationships/hyperlink" Target="https://www.sortlist.com/paid-media" TargetMode="External"/><Relationship Id="rId2105" Type="http://schemas.openxmlformats.org/officeDocument/2006/relationships/hyperlink" Target="http://sortlist.com" TargetMode="External"/><Relationship Id="rId2106" Type="http://schemas.openxmlformats.org/officeDocument/2006/relationships/hyperlink" Target="https://www.sortlist.com/performance-marketing" TargetMode="External"/><Relationship Id="rId2107" Type="http://schemas.openxmlformats.org/officeDocument/2006/relationships/hyperlink" Target="http://sortlist.com" TargetMode="External"/><Relationship Id="rId2108" Type="http://schemas.openxmlformats.org/officeDocument/2006/relationships/hyperlink" Target="https://www.sortlist.com/s/artificial-intelligence/united-states-us" TargetMode="External"/><Relationship Id="rId2109" Type="http://schemas.openxmlformats.org/officeDocument/2006/relationships/hyperlink" Target="http://sortlist.com" TargetMode="External"/><Relationship Id="rId2100" Type="http://schemas.openxmlformats.org/officeDocument/2006/relationships/hyperlink" Target="https://sociolabs.in/top-indian-generative-engine-optimization-companies/" TargetMode="External"/><Relationship Id="rId2101" Type="http://schemas.openxmlformats.org/officeDocument/2006/relationships/hyperlink" Target="http://sociolabs.in" TargetMode="External"/><Relationship Id="rId2102" Type="http://schemas.openxmlformats.org/officeDocument/2006/relationships/hyperlink" Target="https://www.sortlist.com/digital-marketing/doha-qa" TargetMode="External"/><Relationship Id="rId2103" Type="http://schemas.openxmlformats.org/officeDocument/2006/relationships/hyperlink" Target="http://sortlist.com" TargetMode="External"/><Relationship Id="rId899" Type="http://schemas.openxmlformats.org/officeDocument/2006/relationships/hyperlink" Target="http://cometly.com" TargetMode="External"/><Relationship Id="rId898" Type="http://schemas.openxmlformats.org/officeDocument/2006/relationships/hyperlink" Target="https://www.cometly.com/post/attribution-tools-for-digital-marketing-agencies" TargetMode="External"/><Relationship Id="rId897" Type="http://schemas.openxmlformats.org/officeDocument/2006/relationships/hyperlink" Target="http://clutch.co" TargetMode="External"/><Relationship Id="rId896" Type="http://schemas.openxmlformats.org/officeDocument/2006/relationships/hyperlink" Target="https://clutch.co/us/agencies/ppc/display?page=6" TargetMode="External"/><Relationship Id="rId891" Type="http://schemas.openxmlformats.org/officeDocument/2006/relationships/hyperlink" Target="http://clutch.co" TargetMode="External"/><Relationship Id="rId890" Type="http://schemas.openxmlformats.org/officeDocument/2006/relationships/hyperlink" Target="https://clutch.co/agencies/ppc/display/indiana" TargetMode="External"/><Relationship Id="rId895" Type="http://schemas.openxmlformats.org/officeDocument/2006/relationships/hyperlink" Target="http://clutch.co" TargetMode="External"/><Relationship Id="rId894" Type="http://schemas.openxmlformats.org/officeDocument/2006/relationships/hyperlink" Target="https://clutch.co/us/agencies/branding/corporate" TargetMode="External"/><Relationship Id="rId893" Type="http://schemas.openxmlformats.org/officeDocument/2006/relationships/hyperlink" Target="http://clutch.co" TargetMode="External"/><Relationship Id="rId892" Type="http://schemas.openxmlformats.org/officeDocument/2006/relationships/hyperlink" Target="https://clutch.co/agencies/ppc?geona_id=47171&amp;page=1" TargetMode="External"/><Relationship Id="rId2126" Type="http://schemas.openxmlformats.org/officeDocument/2006/relationships/hyperlink" Target="https://stridec.com/blog/best-geo-tools-ai-search/" TargetMode="External"/><Relationship Id="rId2127" Type="http://schemas.openxmlformats.org/officeDocument/2006/relationships/hyperlink" Target="http://stridec.com" TargetMode="External"/><Relationship Id="rId2128" Type="http://schemas.openxmlformats.org/officeDocument/2006/relationships/hyperlink" Target="https://www.stryde.com/best-ecommerce-paid-search-agencies-in-the-us/" TargetMode="External"/><Relationship Id="rId2129" Type="http://schemas.openxmlformats.org/officeDocument/2006/relationships/hyperlink" Target="http://stryde.com" TargetMode="External"/><Relationship Id="rId2120" Type="http://schemas.openxmlformats.org/officeDocument/2006/relationships/hyperlink" Target="https://www.spicymargarita.co/blog/top-ai-seo-agencies-for-b2b" TargetMode="External"/><Relationship Id="rId2121" Type="http://schemas.openxmlformats.org/officeDocument/2006/relationships/hyperlink" Target="http://spicymargarita.co" TargetMode="External"/><Relationship Id="rId2122" Type="http://schemas.openxmlformats.org/officeDocument/2006/relationships/hyperlink" Target="https://www.stackmatix.com/blog/best-facebook-ads-agencies" TargetMode="External"/><Relationship Id="rId2123" Type="http://schemas.openxmlformats.org/officeDocument/2006/relationships/hyperlink" Target="http://stackmatix.com" TargetMode="External"/><Relationship Id="rId2124" Type="http://schemas.openxmlformats.org/officeDocument/2006/relationships/hyperlink" Target="https://stridec.com/blog/best-ai-seo-agencies/" TargetMode="External"/><Relationship Id="rId2125" Type="http://schemas.openxmlformats.org/officeDocument/2006/relationships/hyperlink" Target="http://stridec.com" TargetMode="External"/><Relationship Id="rId2115" Type="http://schemas.openxmlformats.org/officeDocument/2006/relationships/hyperlink" Target="http://sortlist.com" TargetMode="External"/><Relationship Id="rId2116" Type="http://schemas.openxmlformats.org/officeDocument/2006/relationships/hyperlink" Target="https://sourceforge.net/software/incrementality-testing/usa/" TargetMode="External"/><Relationship Id="rId2117" Type="http://schemas.openxmlformats.org/officeDocument/2006/relationships/hyperlink" Target="http://sourceforge.net" TargetMode="External"/><Relationship Id="rId2118" Type="http://schemas.openxmlformats.org/officeDocument/2006/relationships/hyperlink" Target="https://www.sparkouttech.com/ui-ux-design-agencies-usa/" TargetMode="External"/><Relationship Id="rId2119" Type="http://schemas.openxmlformats.org/officeDocument/2006/relationships/hyperlink" Target="http://sparkouttech.com" TargetMode="External"/><Relationship Id="rId2110" Type="http://schemas.openxmlformats.org/officeDocument/2006/relationships/hyperlink" Target="https://www.sortlist.com/s/display-advertising/los-angeles-ca-us" TargetMode="External"/><Relationship Id="rId2111" Type="http://schemas.openxmlformats.org/officeDocument/2006/relationships/hyperlink" Target="http://sortlist.com" TargetMode="External"/><Relationship Id="rId2112" Type="http://schemas.openxmlformats.org/officeDocument/2006/relationships/hyperlink" Target="https://www.sortlist.com/s/display-advertising/nashville-tn-us" TargetMode="External"/><Relationship Id="rId2113" Type="http://schemas.openxmlformats.org/officeDocument/2006/relationships/hyperlink" Target="http://sortlist.com" TargetMode="External"/><Relationship Id="rId2114" Type="http://schemas.openxmlformats.org/officeDocument/2006/relationships/hyperlink" Target="https://www.sortlist.com/s/performance-marketing/atlanta-ga-us"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youtube.com/watch?v=XuM7q15_u04" TargetMode="External"/><Relationship Id="rId42" Type="http://schemas.openxmlformats.org/officeDocument/2006/relationships/hyperlink" Target="https://www.youtube.com/watch?v=YVG_HfB0Dpw&amp;t=604" TargetMode="External"/><Relationship Id="rId41" Type="http://schemas.openxmlformats.org/officeDocument/2006/relationships/hyperlink" Target="http://youtube.com" TargetMode="External"/><Relationship Id="rId44" Type="http://schemas.openxmlformats.org/officeDocument/2006/relationships/hyperlink" Target="https://www.youtube.com/watch?v=a_Q3LpltO8I&amp;t=2" TargetMode="External"/><Relationship Id="rId43" Type="http://schemas.openxmlformats.org/officeDocument/2006/relationships/hyperlink" Target="http://youtube.com" TargetMode="External"/><Relationship Id="rId46" Type="http://schemas.openxmlformats.org/officeDocument/2006/relationships/hyperlink" Target="https://www.youtube.com/watch?v=yIAxLp4yY3E" TargetMode="External"/><Relationship Id="rId45" Type="http://schemas.openxmlformats.org/officeDocument/2006/relationships/hyperlink" Target="http://youtube.com" TargetMode="External"/><Relationship Id="rId48" Type="http://schemas.openxmlformats.org/officeDocument/2006/relationships/hyperlink" Target="https://www.youtube.com/watch?v=ytsrFDab4QQ" TargetMode="External"/><Relationship Id="rId47" Type="http://schemas.openxmlformats.org/officeDocument/2006/relationships/hyperlink" Target="http://youtube.com" TargetMode="External"/><Relationship Id="rId49" Type="http://schemas.openxmlformats.org/officeDocument/2006/relationships/hyperlink" Target="http://youtube.com" TargetMode="External"/><Relationship Id="rId31" Type="http://schemas.openxmlformats.org/officeDocument/2006/relationships/hyperlink" Target="http://youtube.com" TargetMode="External"/><Relationship Id="rId30" Type="http://schemas.openxmlformats.org/officeDocument/2006/relationships/hyperlink" Target="https://www.youtube.com/watch?v=LPvRUxJ5J1E" TargetMode="External"/><Relationship Id="rId33" Type="http://schemas.openxmlformats.org/officeDocument/2006/relationships/hyperlink" Target="http://youtube.com" TargetMode="External"/><Relationship Id="rId32" Type="http://schemas.openxmlformats.org/officeDocument/2006/relationships/hyperlink" Target="https://www.youtube.com/watch?v=NXkXQbQ9-kk&amp;vl=en&amp;t=332" TargetMode="External"/><Relationship Id="rId35" Type="http://schemas.openxmlformats.org/officeDocument/2006/relationships/hyperlink" Target="http://youtube.com" TargetMode="External"/><Relationship Id="rId34" Type="http://schemas.openxmlformats.org/officeDocument/2006/relationships/hyperlink" Target="https://www.youtube.com/watch?v=OvrST0uq8uk" TargetMode="External"/><Relationship Id="rId37" Type="http://schemas.openxmlformats.org/officeDocument/2006/relationships/hyperlink" Target="http://youtube.com" TargetMode="External"/><Relationship Id="rId36" Type="http://schemas.openxmlformats.org/officeDocument/2006/relationships/hyperlink" Target="https://www.youtube.com/watch?v=VQQ_1ODhyvo&amp;vl=en" TargetMode="External"/><Relationship Id="rId39" Type="http://schemas.openxmlformats.org/officeDocument/2006/relationships/hyperlink" Target="http://youtube.com" TargetMode="External"/><Relationship Id="rId38" Type="http://schemas.openxmlformats.org/officeDocument/2006/relationships/hyperlink" Target="https://www.youtube.com/watch?v=XhMbeN7cH34&amp;t=707" TargetMode="External"/><Relationship Id="rId20" Type="http://schemas.openxmlformats.org/officeDocument/2006/relationships/hyperlink" Target="https://www.youtube.com/watch?v=3KVWXIXXyJo" TargetMode="External"/><Relationship Id="rId22" Type="http://schemas.openxmlformats.org/officeDocument/2006/relationships/hyperlink" Target="https://www.youtube.com/watch?v=AF_p3QnDcNE&amp;t=358" TargetMode="External"/><Relationship Id="rId21" Type="http://schemas.openxmlformats.org/officeDocument/2006/relationships/hyperlink" Target="http://youtube.com" TargetMode="External"/><Relationship Id="rId24" Type="http://schemas.openxmlformats.org/officeDocument/2006/relationships/hyperlink" Target="https://www.youtube.com/watch?v=DKfcaxbRHcQ&amp;t=331" TargetMode="External"/><Relationship Id="rId23" Type="http://schemas.openxmlformats.org/officeDocument/2006/relationships/hyperlink" Target="http://youtube.com" TargetMode="External"/><Relationship Id="rId26" Type="http://schemas.openxmlformats.org/officeDocument/2006/relationships/hyperlink" Target="https://www.youtube.com/watch?v=GBZzmnhPh4U&amp;t=5" TargetMode="External"/><Relationship Id="rId25" Type="http://schemas.openxmlformats.org/officeDocument/2006/relationships/hyperlink" Target="http://youtube.com" TargetMode="External"/><Relationship Id="rId28" Type="http://schemas.openxmlformats.org/officeDocument/2006/relationships/hyperlink" Target="https://www.youtube.com/watch?v=IjasEPvA-K4" TargetMode="External"/><Relationship Id="rId27" Type="http://schemas.openxmlformats.org/officeDocument/2006/relationships/hyperlink" Target="http://youtube.com" TargetMode="External"/><Relationship Id="rId29" Type="http://schemas.openxmlformats.org/officeDocument/2006/relationships/hyperlink" Target="http://youtube.com" TargetMode="External"/><Relationship Id="rId11" Type="http://schemas.openxmlformats.org/officeDocument/2006/relationships/hyperlink" Target="http://youtube.com" TargetMode="External"/><Relationship Id="rId10" Type="http://schemas.openxmlformats.org/officeDocument/2006/relationships/hyperlink" Target="https://www.youtube.com/watch?v=fdPFLXFJlwo&amp;t=30" TargetMode="External"/><Relationship Id="rId13" Type="http://schemas.openxmlformats.org/officeDocument/2006/relationships/hyperlink" Target="http://youtube.com" TargetMode="External"/><Relationship Id="rId12" Type="http://schemas.openxmlformats.org/officeDocument/2006/relationships/hyperlink" Target="https://www.youtube.com/watch?v=jA6Bn5bI298&amp;t=242" TargetMode="External"/><Relationship Id="rId15" Type="http://schemas.openxmlformats.org/officeDocument/2006/relationships/hyperlink" Target="http://youtube.com" TargetMode="External"/><Relationship Id="rId14" Type="http://schemas.openxmlformats.org/officeDocument/2006/relationships/hyperlink" Target="https://www.youtube.com/watch?v=OR58Odpst7Q" TargetMode="External"/><Relationship Id="rId17" Type="http://schemas.openxmlformats.org/officeDocument/2006/relationships/hyperlink" Target="http://youtube.com" TargetMode="External"/><Relationship Id="rId16" Type="http://schemas.openxmlformats.org/officeDocument/2006/relationships/hyperlink" Target="https://www.youtube.com/watch?v=dtlZTULGX4A" TargetMode="External"/><Relationship Id="rId19" Type="http://schemas.openxmlformats.org/officeDocument/2006/relationships/hyperlink" Target="http://youtube.com" TargetMode="External"/><Relationship Id="rId18" Type="http://schemas.openxmlformats.org/officeDocument/2006/relationships/hyperlink" Target="https://www.youtube.com/shorts/-1J3sczOLNs" TargetMode="External"/><Relationship Id="rId50" Type="http://schemas.openxmlformats.org/officeDocument/2006/relationships/drawing" Target="../drawings/drawing4.xml"/><Relationship Id="rId1" Type="http://schemas.openxmlformats.org/officeDocument/2006/relationships/hyperlink" Target="http://youtube.com" TargetMode="External"/><Relationship Id="rId2" Type="http://schemas.openxmlformats.org/officeDocument/2006/relationships/hyperlink" Target="https://www.youtube.com/watch?v=wDQs41e1F_Y&amp;t=144" TargetMode="External"/><Relationship Id="rId3" Type="http://schemas.openxmlformats.org/officeDocument/2006/relationships/hyperlink" Target="http://youtube.com" TargetMode="External"/><Relationship Id="rId4" Type="http://schemas.openxmlformats.org/officeDocument/2006/relationships/hyperlink" Target="https://www.youtube.com/watch?v=Zyd_x8Z9J7I&amp;t=92" TargetMode="External"/><Relationship Id="rId9" Type="http://schemas.openxmlformats.org/officeDocument/2006/relationships/hyperlink" Target="http://youtube.com" TargetMode="External"/><Relationship Id="rId5" Type="http://schemas.openxmlformats.org/officeDocument/2006/relationships/hyperlink" Target="http://youtube.com" TargetMode="External"/><Relationship Id="rId6" Type="http://schemas.openxmlformats.org/officeDocument/2006/relationships/hyperlink" Target="https://growwithvysta.com/blog/best-youtube-ads-agencies-in-the-us-2026/" TargetMode="External"/><Relationship Id="rId7" Type="http://schemas.openxmlformats.org/officeDocument/2006/relationships/hyperlink" Target="http://growwithvysta.com" TargetMode="External"/><Relationship Id="rId8" Type="http://schemas.openxmlformats.org/officeDocument/2006/relationships/hyperlink" Target="https://www.youtube.com/watch?v=YFmHk-nNoNg&amp;t=4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ortlist.com/s/performance-marketing/atlanta-ga-us" TargetMode="External"/><Relationship Id="rId42" Type="http://schemas.openxmlformats.org/officeDocument/2006/relationships/drawing" Target="../drawings/drawing6.xml"/><Relationship Id="rId41" Type="http://schemas.openxmlformats.org/officeDocument/2006/relationships/hyperlink" Target="http://sortlist.com" TargetMode="External"/><Relationship Id="rId31" Type="http://schemas.openxmlformats.org/officeDocument/2006/relationships/hyperlink" Target="http://sortlist.com" TargetMode="External"/><Relationship Id="rId30" Type="http://schemas.openxmlformats.org/officeDocument/2006/relationships/hyperlink" Target="https://www.sortlist.com/paid-media" TargetMode="External"/><Relationship Id="rId33" Type="http://schemas.openxmlformats.org/officeDocument/2006/relationships/hyperlink" Target="http://sortlist.com" TargetMode="External"/><Relationship Id="rId32" Type="http://schemas.openxmlformats.org/officeDocument/2006/relationships/hyperlink" Target="https://www.sortlist.com/performance-marketing" TargetMode="External"/><Relationship Id="rId35" Type="http://schemas.openxmlformats.org/officeDocument/2006/relationships/hyperlink" Target="http://sortlist.com" TargetMode="External"/><Relationship Id="rId34" Type="http://schemas.openxmlformats.org/officeDocument/2006/relationships/hyperlink" Target="https://www.sortlist.com/s/artificial-intelligence/united-states-us" TargetMode="External"/><Relationship Id="rId37" Type="http://schemas.openxmlformats.org/officeDocument/2006/relationships/hyperlink" Target="http://sortlist.com" TargetMode="External"/><Relationship Id="rId36" Type="http://schemas.openxmlformats.org/officeDocument/2006/relationships/hyperlink" Target="https://www.sortlist.com/s/display-advertising/los-angeles-ca-us" TargetMode="External"/><Relationship Id="rId39" Type="http://schemas.openxmlformats.org/officeDocument/2006/relationships/hyperlink" Target="http://sortlist.com" TargetMode="External"/><Relationship Id="rId38" Type="http://schemas.openxmlformats.org/officeDocument/2006/relationships/hyperlink" Target="https://www.sortlist.com/s/display-advertising/nashville-tn-us" TargetMode="External"/><Relationship Id="rId20" Type="http://schemas.openxmlformats.org/officeDocument/2006/relationships/hyperlink" Target="https://www.sortlist.com/display-advertising" TargetMode="External"/><Relationship Id="rId22" Type="http://schemas.openxmlformats.org/officeDocument/2006/relationships/hyperlink" Target="https://www.sortlist.com/marketing-analytics" TargetMode="External"/><Relationship Id="rId21" Type="http://schemas.openxmlformats.org/officeDocument/2006/relationships/hyperlink" Target="http://sortlist.com" TargetMode="External"/><Relationship Id="rId24" Type="http://schemas.openxmlformats.org/officeDocument/2006/relationships/hyperlink" Target="https://www.sortlist.com/s/data-driven-marketing/united-states-us" TargetMode="External"/><Relationship Id="rId23" Type="http://schemas.openxmlformats.org/officeDocument/2006/relationships/hyperlink" Target="http://sortlist.com" TargetMode="External"/><Relationship Id="rId26" Type="http://schemas.openxmlformats.org/officeDocument/2006/relationships/hyperlink" Target="https://www.sortlist.com/s/creative/united-states-us" TargetMode="External"/><Relationship Id="rId25" Type="http://schemas.openxmlformats.org/officeDocument/2006/relationships/hyperlink" Target="http://sortlist.com" TargetMode="External"/><Relationship Id="rId28" Type="http://schemas.openxmlformats.org/officeDocument/2006/relationships/hyperlink" Target="https://www.sortlist.com/digital-marketing/doha-qa" TargetMode="External"/><Relationship Id="rId27" Type="http://schemas.openxmlformats.org/officeDocument/2006/relationships/hyperlink" Target="http://sortlist.com" TargetMode="External"/><Relationship Id="rId29" Type="http://schemas.openxmlformats.org/officeDocument/2006/relationships/hyperlink" Target="http://sortlist.com" TargetMode="External"/><Relationship Id="rId11" Type="http://schemas.openxmlformats.org/officeDocument/2006/relationships/hyperlink" Target="http://sortlist.com" TargetMode="External"/><Relationship Id="rId10" Type="http://schemas.openxmlformats.org/officeDocument/2006/relationships/hyperlink" Target="https://www.sortlist.com/s/ai-marketing/united-states-us" TargetMode="External"/><Relationship Id="rId13" Type="http://schemas.openxmlformats.org/officeDocument/2006/relationships/hyperlink" Target="http://sortlist.com" TargetMode="External"/><Relationship Id="rId12" Type="http://schemas.openxmlformats.org/officeDocument/2006/relationships/hyperlink" Target="https://www.sortlist.com/s/international-marketing/united-states-us" TargetMode="External"/><Relationship Id="rId15" Type="http://schemas.openxmlformats.org/officeDocument/2006/relationships/hyperlink" Target="http://sortlist.com" TargetMode="External"/><Relationship Id="rId14" Type="http://schemas.openxmlformats.org/officeDocument/2006/relationships/hyperlink" Target="https://www.sortlist.com/s/programmatic-advertising/united-states-us" TargetMode="External"/><Relationship Id="rId17" Type="http://schemas.openxmlformats.org/officeDocument/2006/relationships/hyperlink" Target="http://sortlist.com" TargetMode="External"/><Relationship Id="rId16" Type="http://schemas.openxmlformats.org/officeDocument/2006/relationships/hyperlink" Target="https://www.sortlist.com/digital-marketing/united-states-us" TargetMode="External"/><Relationship Id="rId19" Type="http://schemas.openxmlformats.org/officeDocument/2006/relationships/hyperlink" Target="http://sortlist.com" TargetMode="External"/><Relationship Id="rId18" Type="http://schemas.openxmlformats.org/officeDocument/2006/relationships/hyperlink" Target="https://www.sortlist.com/advertising/united-states-us" TargetMode="External"/><Relationship Id="rId1" Type="http://schemas.openxmlformats.org/officeDocument/2006/relationships/hyperlink" Target="http://sortlist.com" TargetMode="External"/><Relationship Id="rId2" Type="http://schemas.openxmlformats.org/officeDocument/2006/relationships/hyperlink" Target="https://www.sortlist.com/s/display-advertising/united-states-us" TargetMode="External"/><Relationship Id="rId3" Type="http://schemas.openxmlformats.org/officeDocument/2006/relationships/hyperlink" Target="http://sortlist.com" TargetMode="External"/><Relationship Id="rId4" Type="http://schemas.openxmlformats.org/officeDocument/2006/relationships/hyperlink" Target="https://www.sortlist.com/s/performance-marketing/united-states-us"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sortlist.com/s/marketing-analytics/united-states-us" TargetMode="External"/><Relationship Id="rId7" Type="http://schemas.openxmlformats.org/officeDocument/2006/relationships/hyperlink" Target="http://sortlist.com" TargetMode="External"/><Relationship Id="rId8" Type="http://schemas.openxmlformats.org/officeDocument/2006/relationships/hyperlink" Target="https://www.sortlist.com/attribution-marketin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clutch.co/us/agencies/ppc/display?page=8" TargetMode="External"/><Relationship Id="rId42" Type="http://schemas.openxmlformats.org/officeDocument/2006/relationships/hyperlink" Target="https://clutch.co/us/agencies/programmatic" TargetMode="External"/><Relationship Id="rId41" Type="http://schemas.openxmlformats.org/officeDocument/2006/relationships/hyperlink" Target="http://clutch.co" TargetMode="External"/><Relationship Id="rId44" Type="http://schemas.openxmlformats.org/officeDocument/2006/relationships/hyperlink" Target="https://clutch.co/consulting/ai/strategy" TargetMode="External"/><Relationship Id="rId43" Type="http://schemas.openxmlformats.org/officeDocument/2006/relationships/hyperlink" Target="http://clutch.co" TargetMode="External"/><Relationship Id="rId46" Type="http://schemas.openxmlformats.org/officeDocument/2006/relationships/hyperlink" Target="https://clutch.co/seo-firms/generative-engine-optimization" TargetMode="External"/><Relationship Id="rId45" Type="http://schemas.openxmlformats.org/officeDocument/2006/relationships/hyperlink" Target="http://clutch.co" TargetMode="External"/><Relationship Id="rId48" Type="http://schemas.openxmlformats.org/officeDocument/2006/relationships/hyperlink" Target="https://clutch.co/agencies/ppc/display%3Fpage%3D0"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us/consulting/ai" TargetMode="External"/><Relationship Id="rId33" Type="http://schemas.openxmlformats.org/officeDocument/2006/relationships/hyperlink" Target="http://clutch.co" TargetMode="External"/><Relationship Id="rId32" Type="http://schemas.openxmlformats.org/officeDocument/2006/relationships/hyperlink" Target="https://clutch.co/agencies/digital-marketing" TargetMode="External"/><Relationship Id="rId35" Type="http://schemas.openxmlformats.org/officeDocument/2006/relationships/hyperlink" Target="http://clutch.co" TargetMode="External"/><Relationship Id="rId34" Type="http://schemas.openxmlformats.org/officeDocument/2006/relationships/hyperlink" Target="https://clutch.co/us/agencies/ppc/google-adwords" TargetMode="External"/><Relationship Id="rId37" Type="http://schemas.openxmlformats.org/officeDocument/2006/relationships/hyperlink" Target="http://clutch.co" TargetMode="External"/><Relationship Id="rId36" Type="http://schemas.openxmlformats.org/officeDocument/2006/relationships/hyperlink" Target="https://clutch.co/agencies/ppc/google-adwords" TargetMode="External"/><Relationship Id="rId39" Type="http://schemas.openxmlformats.org/officeDocument/2006/relationships/hyperlink" Target="http://clutch.co" TargetMode="External"/><Relationship Id="rId38" Type="http://schemas.openxmlformats.org/officeDocument/2006/relationships/hyperlink" Target="https://clutch.co/us/agencies/ppc/display?page=2" TargetMode="External"/><Relationship Id="rId20" Type="http://schemas.openxmlformats.org/officeDocument/2006/relationships/hyperlink" Target="https://clutch.co/us/seo-firms/generative-engine-optimization" TargetMode="External"/><Relationship Id="rId22" Type="http://schemas.openxmlformats.org/officeDocument/2006/relationships/hyperlink" Target="https://clutch.co/us/consulting/ai/strategy" TargetMode="External"/><Relationship Id="rId21" Type="http://schemas.openxmlformats.org/officeDocument/2006/relationships/hyperlink" Target="http://clutch.co" TargetMode="External"/><Relationship Id="rId24" Type="http://schemas.openxmlformats.org/officeDocument/2006/relationships/hyperlink" Target="https://clutch.co/agencies/social-media-marketing" TargetMode="External"/><Relationship Id="rId23" Type="http://schemas.openxmlformats.org/officeDocument/2006/relationships/hyperlink" Target="http://clutch.co" TargetMode="External"/><Relationship Id="rId26" Type="http://schemas.openxmlformats.org/officeDocument/2006/relationships/hyperlink" Target="https://clutch.co/agencies/creative" TargetMode="External"/><Relationship Id="rId25" Type="http://schemas.openxmlformats.org/officeDocument/2006/relationships/hyperlink" Target="http://clutch.co" TargetMode="External"/><Relationship Id="rId28" Type="http://schemas.openxmlformats.org/officeDocument/2006/relationships/hyperlink" Target="https://clutch.co/us/agencies/media-buying"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us/agencies/social-media-marketing" TargetMode="External"/><Relationship Id="rId13" Type="http://schemas.openxmlformats.org/officeDocument/2006/relationships/hyperlink" Target="http://clutch.co" TargetMode="External"/><Relationship Id="rId12" Type="http://schemas.openxmlformats.org/officeDocument/2006/relationships/hyperlink" Target="https://clutch.co/us/agencies/ppc/advertising-industry" TargetMode="External"/><Relationship Id="rId15" Type="http://schemas.openxmlformats.org/officeDocument/2006/relationships/hyperlink" Target="http://clutch.co" TargetMode="External"/><Relationship Id="rId14" Type="http://schemas.openxmlformats.org/officeDocument/2006/relationships/hyperlink" Target="https://clutch.co/agencies" TargetMode="External"/><Relationship Id="rId17" Type="http://schemas.openxmlformats.org/officeDocument/2006/relationships/hyperlink" Target="http://clutch.co" TargetMode="External"/><Relationship Id="rId16" Type="http://schemas.openxmlformats.org/officeDocument/2006/relationships/hyperlink" Target="https://clutch.co/agencies/ppc/display" TargetMode="External"/><Relationship Id="rId19" Type="http://schemas.openxmlformats.org/officeDocument/2006/relationships/hyperlink" Target="http://clutch.co" TargetMode="External"/><Relationship Id="rId18" Type="http://schemas.openxmlformats.org/officeDocument/2006/relationships/hyperlink" Target="https://clutch.co/agencies/performance-marketing" TargetMode="External"/><Relationship Id="rId84" Type="http://schemas.openxmlformats.org/officeDocument/2006/relationships/hyperlink" Target="https://clutch.co/agencies/sem?geona_id=25338&amp;page=1" TargetMode="External"/><Relationship Id="rId83" Type="http://schemas.openxmlformats.org/officeDocument/2006/relationships/hyperlink" Target="http://clutch.co" TargetMode="External"/><Relationship Id="rId86" Type="http://schemas.openxmlformats.org/officeDocument/2006/relationships/hyperlink" Target="https://clutch.co/press-releases/Best-of-Clutch-winners-2025" TargetMode="External"/><Relationship Id="rId85" Type="http://schemas.openxmlformats.org/officeDocument/2006/relationships/hyperlink" Target="http://clutch.co" TargetMode="External"/><Relationship Id="rId88" Type="http://schemas.openxmlformats.org/officeDocument/2006/relationships/hyperlink" Target="https://clutch.co/us/agencies/digital" TargetMode="External"/><Relationship Id="rId87" Type="http://schemas.openxmlformats.org/officeDocument/2006/relationships/hyperlink" Target="http://clutch.co" TargetMode="External"/><Relationship Id="rId89" Type="http://schemas.openxmlformats.org/officeDocument/2006/relationships/hyperlink" Target="http://clutch.co" TargetMode="External"/><Relationship Id="rId80" Type="http://schemas.openxmlformats.org/officeDocument/2006/relationships/hyperlink" Target="https://clutch.co/us/agencies/ppc/display?page=6" TargetMode="External"/><Relationship Id="rId82" Type="http://schemas.openxmlformats.org/officeDocument/2006/relationships/hyperlink" Target="https://clutch.co/agencies/performance-marketing%3Fpage%3D0"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us/consulting/ai/strategy%3Fpage%3D3" TargetMode="External"/><Relationship Id="rId75" Type="http://schemas.openxmlformats.org/officeDocument/2006/relationships/hyperlink" Target="http://clutch.co" TargetMode="External"/><Relationship Id="rId74" Type="http://schemas.openxmlformats.org/officeDocument/2006/relationships/hyperlink" Target="https://clutch.co/agencies/ppc/display/indiana" TargetMode="External"/><Relationship Id="rId77" Type="http://schemas.openxmlformats.org/officeDocument/2006/relationships/hyperlink" Target="http://clutch.co" TargetMode="External"/><Relationship Id="rId76" Type="http://schemas.openxmlformats.org/officeDocument/2006/relationships/hyperlink" Target="https://clutch.co/agencies/ppc?geona_id=47171&amp;page=1" TargetMode="External"/><Relationship Id="rId79" Type="http://schemas.openxmlformats.org/officeDocument/2006/relationships/hyperlink" Target="http://clutch.co" TargetMode="External"/><Relationship Id="rId78" Type="http://schemas.openxmlformats.org/officeDocument/2006/relationships/hyperlink" Target="https://clutch.co/us/agencies/branding/corporate" TargetMode="External"/><Relationship Id="rId71" Type="http://schemas.openxmlformats.org/officeDocument/2006/relationships/hyperlink" Target="http://clutch.co" TargetMode="External"/><Relationship Id="rId70" Type="http://schemas.openxmlformats.org/officeDocument/2006/relationships/hyperlink" Target="https://clutch.co/us/agencies/social-media-marketing/facebook" TargetMode="External"/><Relationship Id="rId62" Type="http://schemas.openxmlformats.org/officeDocument/2006/relationships/hyperlink" Target="https://clutch.co/us/agencies/ppc/display?page=5" TargetMode="External"/><Relationship Id="rId61" Type="http://schemas.openxmlformats.org/officeDocument/2006/relationships/hyperlink" Target="http://clutch.co" TargetMode="External"/><Relationship Id="rId64" Type="http://schemas.openxmlformats.org/officeDocument/2006/relationships/hyperlink" Target="https://clutch.co/us/agencies?page=1" TargetMode="External"/><Relationship Id="rId63" Type="http://schemas.openxmlformats.org/officeDocument/2006/relationships/hyperlink" Target="http://clutch.co" TargetMode="External"/><Relationship Id="rId66" Type="http://schemas.openxmlformats.org/officeDocument/2006/relationships/hyperlink" Target="https://clutch.co/us/consulting/ai/maturation" TargetMode="External"/><Relationship Id="rId65" Type="http://schemas.openxmlformats.org/officeDocument/2006/relationships/hyperlink" Target="http://clutch.co" TargetMode="External"/><Relationship Id="rId68" Type="http://schemas.openxmlformats.org/officeDocument/2006/relationships/hyperlink" Target="https://clutch.co/us/consulting/ai/maturation%3Fpage%3D2" TargetMode="External"/><Relationship Id="rId67" Type="http://schemas.openxmlformats.org/officeDocument/2006/relationships/hyperlink" Target="http://clutch.co" TargetMode="External"/><Relationship Id="rId60" Type="http://schemas.openxmlformats.org/officeDocument/2006/relationships/hyperlink" Target="https://clutch.co/us/agencies/market-research"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us/agencies/digital-marketing/enterprise" TargetMode="External"/><Relationship Id="rId53" Type="http://schemas.openxmlformats.org/officeDocument/2006/relationships/hyperlink" Target="http://clutch.co" TargetMode="External"/><Relationship Id="rId52" Type="http://schemas.openxmlformats.org/officeDocument/2006/relationships/hyperlink" Target="https://clutch.co/us/seo-firms/generative-engine-optimization%3Fpage%3D2" TargetMode="External"/><Relationship Id="rId55" Type="http://schemas.openxmlformats.org/officeDocument/2006/relationships/hyperlink" Target="http://clutch.co" TargetMode="External"/><Relationship Id="rId54" Type="http://schemas.openxmlformats.org/officeDocument/2006/relationships/hyperlink" Target="https://clutch.co/us/seo-firms/generative-engine-optimization%3Fpage%3D4" TargetMode="External"/><Relationship Id="rId57" Type="http://schemas.openxmlformats.org/officeDocument/2006/relationships/hyperlink" Target="http://clutch.co" TargetMode="External"/><Relationship Id="rId56" Type="http://schemas.openxmlformats.org/officeDocument/2006/relationships/hyperlink" Target="https://clutch.co/us/agencies/ppc/display%3Fpage%3D2" TargetMode="External"/><Relationship Id="rId59" Type="http://schemas.openxmlformats.org/officeDocument/2006/relationships/hyperlink" Target="http://clutch.co" TargetMode="External"/><Relationship Id="rId58" Type="http://schemas.openxmlformats.org/officeDocument/2006/relationships/hyperlink" Target="https://clutch.co/it-services/analytics/marketing" TargetMode="External"/><Relationship Id="rId95" Type="http://schemas.openxmlformats.org/officeDocument/2006/relationships/hyperlink" Target="http://clutch.co" TargetMode="External"/><Relationship Id="rId94" Type="http://schemas.openxmlformats.org/officeDocument/2006/relationships/hyperlink" Target="https://clutch.co/us/agencies/ppc%3Fpage%3D2" TargetMode="External"/><Relationship Id="rId97" Type="http://schemas.openxmlformats.org/officeDocument/2006/relationships/hyperlink" Target="http://clutch.co" TargetMode="External"/><Relationship Id="rId96" Type="http://schemas.openxmlformats.org/officeDocument/2006/relationships/hyperlink" Target="https://clutch.co/us/agencies/ppc/display%3Fpage%3D5" TargetMode="External"/><Relationship Id="rId99" Type="http://schemas.openxmlformats.org/officeDocument/2006/relationships/hyperlink" Target="http://clutch.co" TargetMode="External"/><Relationship Id="rId98" Type="http://schemas.openxmlformats.org/officeDocument/2006/relationships/hyperlink" Target="https://clutch.co/agencies/conversion-optimization/research" TargetMode="External"/><Relationship Id="rId91" Type="http://schemas.openxmlformats.org/officeDocument/2006/relationships/hyperlink" Target="http://clutch.co" TargetMode="External"/><Relationship Id="rId90" Type="http://schemas.openxmlformats.org/officeDocument/2006/relationships/hyperlink" Target="https://clutch.co/us/agencies/digital-marketing%3Fpage%3D2" TargetMode="External"/><Relationship Id="rId93" Type="http://schemas.openxmlformats.org/officeDocument/2006/relationships/hyperlink" Target="http://clutch.co" TargetMode="External"/><Relationship Id="rId92" Type="http://schemas.openxmlformats.org/officeDocument/2006/relationships/hyperlink" Target="https://clutch.co/us/agencies/ecommerce-marketing" TargetMode="External"/><Relationship Id="rId1" Type="http://schemas.openxmlformats.org/officeDocument/2006/relationships/hyperlink" Target="http://clutch.co" TargetMode="External"/><Relationship Id="rId2" Type="http://schemas.openxmlformats.org/officeDocument/2006/relationships/hyperlink" Target="https://clutch.co/us/agencies/digital-marketing" TargetMode="External"/><Relationship Id="rId3" Type="http://schemas.openxmlformats.org/officeDocument/2006/relationships/hyperlink" Target="http://clutch.co" TargetMode="External"/><Relationship Id="rId4" Type="http://schemas.openxmlformats.org/officeDocument/2006/relationships/hyperlink" Target="https://clutch.co/us/agencies/creative"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us/agencies/ppc/display" TargetMode="External"/><Relationship Id="rId7" Type="http://schemas.openxmlformats.org/officeDocument/2006/relationships/hyperlink" Target="http://clutch.co" TargetMode="External"/><Relationship Id="rId8" Type="http://schemas.openxmlformats.org/officeDocument/2006/relationships/hyperlink" Target="https://clutch.co/us/agencies/ppc" TargetMode="External"/><Relationship Id="rId150" Type="http://schemas.openxmlformats.org/officeDocument/2006/relationships/hyperlink" Target="https://clutch.co/us/seo-firms/media-industry" TargetMode="External"/><Relationship Id="rId149" Type="http://schemas.openxmlformats.org/officeDocument/2006/relationships/hyperlink" Target="http://clutch.co" TargetMode="External"/><Relationship Id="rId148" Type="http://schemas.openxmlformats.org/officeDocument/2006/relationships/hyperlink" Target="https://clutch.co/us/seo-firms/international" TargetMode="External"/><Relationship Id="rId143" Type="http://schemas.openxmlformats.org/officeDocument/2006/relationships/hyperlink" Target="http://clutch.co" TargetMode="External"/><Relationship Id="rId142" Type="http://schemas.openxmlformats.org/officeDocument/2006/relationships/hyperlink" Target="https://clutch.co/us/consulting/ai/maturation?page=6" TargetMode="External"/><Relationship Id="rId141" Type="http://schemas.openxmlformats.org/officeDocument/2006/relationships/hyperlink" Target="http://clutch.co" TargetMode="External"/><Relationship Id="rId140" Type="http://schemas.openxmlformats.org/officeDocument/2006/relationships/hyperlink" Target="https://clutch.co/us/agencies/social-media-marketing/tik-tok" TargetMode="External"/><Relationship Id="rId147" Type="http://schemas.openxmlformats.org/officeDocument/2006/relationships/hyperlink" Target="http://clutch.co" TargetMode="External"/><Relationship Id="rId146" Type="http://schemas.openxmlformats.org/officeDocument/2006/relationships/hyperlink" Target="https://clutch.co/us/seo-firms" TargetMode="External"/><Relationship Id="rId145" Type="http://schemas.openxmlformats.org/officeDocument/2006/relationships/hyperlink" Target="http://clutch.co" TargetMode="External"/><Relationship Id="rId144" Type="http://schemas.openxmlformats.org/officeDocument/2006/relationships/hyperlink" Target="https://clutch.co/us/developers/artificial-intelligence" TargetMode="External"/><Relationship Id="rId139" Type="http://schemas.openxmlformats.org/officeDocument/2006/relationships/hyperlink" Target="http://clutch.co" TargetMode="External"/><Relationship Id="rId138" Type="http://schemas.openxmlformats.org/officeDocument/2006/relationships/hyperlink" Target="https://clutch.co/us/agencies/social-media-marketing/influencer/tiktok" TargetMode="External"/><Relationship Id="rId137" Type="http://schemas.openxmlformats.org/officeDocument/2006/relationships/hyperlink" Target="http://clutch.co" TargetMode="External"/><Relationship Id="rId132" Type="http://schemas.openxmlformats.org/officeDocument/2006/relationships/hyperlink" Target="https://clutch.co/us/agencies/programmatic%3Fpage%3D2" TargetMode="External"/><Relationship Id="rId131" Type="http://schemas.openxmlformats.org/officeDocument/2006/relationships/hyperlink" Target="http://clutch.co" TargetMode="External"/><Relationship Id="rId130" Type="http://schemas.openxmlformats.org/officeDocument/2006/relationships/hyperlink" Target="https://clutch.co/us/agencies/ppc/google-adwords%3Fpage%3D16" TargetMode="External"/><Relationship Id="rId136" Type="http://schemas.openxmlformats.org/officeDocument/2006/relationships/hyperlink" Target="https://clutch.co/us/agencies/programmatic%3Fpage%3D7" TargetMode="External"/><Relationship Id="rId135" Type="http://schemas.openxmlformats.org/officeDocument/2006/relationships/hyperlink" Target="http://clutch.co" TargetMode="External"/><Relationship Id="rId134" Type="http://schemas.openxmlformats.org/officeDocument/2006/relationships/hyperlink" Target="https://clutch.co/us/agencies/programmatic%3Fpage%3D3" TargetMode="External"/><Relationship Id="rId133" Type="http://schemas.openxmlformats.org/officeDocument/2006/relationships/hyperlink" Target="http://clutch.co" TargetMode="External"/><Relationship Id="rId154" Type="http://schemas.openxmlformats.org/officeDocument/2006/relationships/hyperlink" Target="https://www.linkedin.com/posts/clutch-co_bestofclutch-digitalmarketing-webdevelopment-activity-7323717286719090688-G6i3" TargetMode="External"/><Relationship Id="rId153" Type="http://schemas.openxmlformats.org/officeDocument/2006/relationships/hyperlink" Target="http://clutch.co" TargetMode="External"/><Relationship Id="rId152" Type="http://schemas.openxmlformats.org/officeDocument/2006/relationships/hyperlink" Target="https://clutch.co/video-production/post-production" TargetMode="External"/><Relationship Id="rId151" Type="http://schemas.openxmlformats.org/officeDocument/2006/relationships/hyperlink" Target="http://clutch.co" TargetMode="External"/><Relationship Id="rId158" Type="http://schemas.openxmlformats.org/officeDocument/2006/relationships/drawing" Target="../drawings/drawing7.xml"/><Relationship Id="rId157" Type="http://schemas.openxmlformats.org/officeDocument/2006/relationships/hyperlink" Target="http://linkedin.com" TargetMode="External"/><Relationship Id="rId156" Type="http://schemas.openxmlformats.org/officeDocument/2006/relationships/hyperlink" Target="https://www.linkedin.com/posts/clutch-co_top-15-ppc-agencies-clutch-global-fall-2025-activity-7421548745084932096-DYA_" TargetMode="External"/><Relationship Id="rId155" Type="http://schemas.openxmlformats.org/officeDocument/2006/relationships/hyperlink" Target="http://linkedin.com" TargetMode="External"/><Relationship Id="rId107" Type="http://schemas.openxmlformats.org/officeDocument/2006/relationships/hyperlink" Target="http://clutch.co" TargetMode="External"/><Relationship Id="rId106" Type="http://schemas.openxmlformats.org/officeDocument/2006/relationships/hyperlink" Target="https://clutch.co/agencies/ppc/ecommerce-industry" TargetMode="External"/><Relationship Id="rId105" Type="http://schemas.openxmlformats.org/officeDocument/2006/relationships/hyperlink" Target="http://clutch.co" TargetMode="External"/><Relationship Id="rId104" Type="http://schemas.openxmlformats.org/officeDocument/2006/relationships/hyperlink" Target="https://clutch.co/agencies/ppc" TargetMode="External"/><Relationship Id="rId109" Type="http://schemas.openxmlformats.org/officeDocument/2006/relationships/hyperlink" Target="http://clutch.co" TargetMode="External"/><Relationship Id="rId108" Type="http://schemas.openxmlformats.org/officeDocument/2006/relationships/hyperlink" Target="https://clutch.co/agencies/programmatic" TargetMode="External"/><Relationship Id="rId103" Type="http://schemas.openxmlformats.org/officeDocument/2006/relationships/hyperlink" Target="http://clutch.co" TargetMode="External"/><Relationship Id="rId102" Type="http://schemas.openxmlformats.org/officeDocument/2006/relationships/hyperlink" Target="https://clutch.co/agencies/media-buying?page=0" TargetMode="External"/><Relationship Id="rId101" Type="http://schemas.openxmlformats.org/officeDocument/2006/relationships/hyperlink" Target="http://clutch.co" TargetMode="External"/><Relationship Id="rId100" Type="http://schemas.openxmlformats.org/officeDocument/2006/relationships/hyperlink" Target="https://clutch.co/agencies/media-buying" TargetMode="External"/><Relationship Id="rId129" Type="http://schemas.openxmlformats.org/officeDocument/2006/relationships/hyperlink" Target="http://clutch.co" TargetMode="External"/><Relationship Id="rId128" Type="http://schemas.openxmlformats.org/officeDocument/2006/relationships/hyperlink" Target="https://clutch.co/us/agencies/ppc/ecommerce-industry" TargetMode="External"/><Relationship Id="rId127" Type="http://schemas.openxmlformats.org/officeDocument/2006/relationships/hyperlink" Target="http://clutch.co" TargetMode="External"/><Relationship Id="rId126" Type="http://schemas.openxmlformats.org/officeDocument/2006/relationships/hyperlink" Target="https://clutch.co/us/agencies/ppc/display?page=16" TargetMode="External"/><Relationship Id="rId121" Type="http://schemas.openxmlformats.org/officeDocument/2006/relationships/hyperlink" Target="http://clutch.co" TargetMode="External"/><Relationship Id="rId120" Type="http://schemas.openxmlformats.org/officeDocument/2006/relationships/hyperlink" Target="https://clutch.co/us/agencies/ppc/display%3Fpage%3D6" TargetMode="External"/><Relationship Id="rId125" Type="http://schemas.openxmlformats.org/officeDocument/2006/relationships/hyperlink" Target="http://clutch.co" TargetMode="External"/><Relationship Id="rId124" Type="http://schemas.openxmlformats.org/officeDocument/2006/relationships/hyperlink" Target="https://clutch.co/us/agencies/ppc/display?page=10" TargetMode="External"/><Relationship Id="rId123" Type="http://schemas.openxmlformats.org/officeDocument/2006/relationships/hyperlink" Target="http://clutch.co" TargetMode="External"/><Relationship Id="rId122" Type="http://schemas.openxmlformats.org/officeDocument/2006/relationships/hyperlink" Target="https://clutch.co/us/agencies/ppc/display%3Fpage%3D8" TargetMode="External"/><Relationship Id="rId118" Type="http://schemas.openxmlformats.org/officeDocument/2006/relationships/hyperlink" Target="https://clutch.co/us/agencies/market-research/shopper-marketing" TargetMode="External"/><Relationship Id="rId117" Type="http://schemas.openxmlformats.org/officeDocument/2006/relationships/hyperlink" Target="http://clutch.co" TargetMode="External"/><Relationship Id="rId116" Type="http://schemas.openxmlformats.org/officeDocument/2006/relationships/hyperlink" Target="https://clutch.co/us/agencies/digital-marketing/small-business" TargetMode="External"/><Relationship Id="rId115" Type="http://schemas.openxmlformats.org/officeDocument/2006/relationships/hyperlink" Target="http://clutch.co" TargetMode="External"/><Relationship Id="rId119" Type="http://schemas.openxmlformats.org/officeDocument/2006/relationships/hyperlink" Target="http://clutch.co" TargetMode="External"/><Relationship Id="rId110" Type="http://schemas.openxmlformats.org/officeDocument/2006/relationships/hyperlink" Target="https://clutch.co/profile/mutesix" TargetMode="External"/><Relationship Id="rId114" Type="http://schemas.openxmlformats.org/officeDocument/2006/relationships/hyperlink" Target="https://clutch.co/us/agencies/business-services-industry?page=1" TargetMode="External"/><Relationship Id="rId113" Type="http://schemas.openxmlformats.org/officeDocument/2006/relationships/hyperlink" Target="http://clutch.co" TargetMode="External"/><Relationship Id="rId112" Type="http://schemas.openxmlformats.org/officeDocument/2006/relationships/hyperlink" Target="https://clutch.co/us/agencies/branding" TargetMode="External"/><Relationship Id="rId111" Type="http://schemas.openxmlformats.org/officeDocument/2006/relationships/hyperlink" Target="http://clutch.co"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agencies.semrush.com/list/machine-learning-and-ai/business-professional-services/united-states/" TargetMode="External"/><Relationship Id="rId42" Type="http://schemas.openxmlformats.org/officeDocument/2006/relationships/hyperlink" Target="https://agencies.semrush.com/list/programmatic-advertising/arts-entertainment/united-states/" TargetMode="External"/><Relationship Id="rId41" Type="http://schemas.openxmlformats.org/officeDocument/2006/relationships/hyperlink" Target="http://semrush.com" TargetMode="External"/><Relationship Id="rId44" Type="http://schemas.openxmlformats.org/officeDocument/2006/relationships/hyperlink" Target="https://www.semrush.com/agencies/list/display-advertising/information-technology/united-states/" TargetMode="External"/><Relationship Id="rId43" Type="http://schemas.openxmlformats.org/officeDocument/2006/relationships/hyperlink" Target="http://semrush.com" TargetMode="External"/><Relationship Id="rId46" Type="http://schemas.openxmlformats.org/officeDocument/2006/relationships/drawing" Target="../drawings/drawing8.xml"/><Relationship Id="rId45"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www.semrush.com/agencies/list/display-advertising/united-states/" TargetMode="External"/><Relationship Id="rId33" Type="http://schemas.openxmlformats.org/officeDocument/2006/relationships/hyperlink" Target="http://semrush.com" TargetMode="External"/><Relationship Id="rId32" Type="http://schemas.openxmlformats.org/officeDocument/2006/relationships/hyperlink" Target="https://agencies.semrush.com/list/" TargetMode="External"/><Relationship Id="rId35" Type="http://schemas.openxmlformats.org/officeDocument/2006/relationships/hyperlink" Target="http://semrush.com" TargetMode="External"/><Relationship Id="rId34" Type="http://schemas.openxmlformats.org/officeDocument/2006/relationships/hyperlink" Target="https://agencies.semrush.com/list/advertising/united-states/" TargetMode="External"/><Relationship Id="rId37" Type="http://schemas.openxmlformats.org/officeDocument/2006/relationships/hyperlink" Target="http://semrush.com" TargetMode="External"/><Relationship Id="rId36" Type="http://schemas.openxmlformats.org/officeDocument/2006/relationships/hyperlink" Target="https://agencies.semrush.com/list/ai-optimization/united-states/small-business/" TargetMode="External"/><Relationship Id="rId39" Type="http://schemas.openxmlformats.org/officeDocument/2006/relationships/hyperlink" Target="http://semrush.com" TargetMode="External"/><Relationship Id="rId38" Type="http://schemas.openxmlformats.org/officeDocument/2006/relationships/hyperlink" Target="https://agencies.semrush.com/list/los-angeles/" TargetMode="External"/><Relationship Id="rId20" Type="http://schemas.openxmlformats.org/officeDocument/2006/relationships/hyperlink" Target="https://agencies.semrush.com/list/analytics-data-science/business-professional-services/united-states/" TargetMode="External"/><Relationship Id="rId22" Type="http://schemas.openxmlformats.org/officeDocument/2006/relationships/hyperlink" Target="https://agencies.semrush.com/list/display-advertising/ecommerce/united-states/" TargetMode="External"/><Relationship Id="rId21" Type="http://schemas.openxmlformats.org/officeDocument/2006/relationships/hyperlink" Target="http://semrush.com" TargetMode="External"/><Relationship Id="rId24" Type="http://schemas.openxmlformats.org/officeDocument/2006/relationships/hyperlink" Target="https://agencies.semrush.com/list/display-advertising/new-york/" TargetMode="External"/><Relationship Id="rId23" Type="http://schemas.openxmlformats.org/officeDocument/2006/relationships/hyperlink" Target="http://semrush.com" TargetMode="External"/><Relationship Id="rId26" Type="http://schemas.openxmlformats.org/officeDocument/2006/relationships/hyperlink" Target="https://agencies.semrush.com/list/display-advertising/united-states/small-business/" TargetMode="External"/><Relationship Id="rId25" Type="http://schemas.openxmlformats.org/officeDocument/2006/relationships/hyperlink" Target="http://semrush.com" TargetMode="External"/><Relationship Id="rId28" Type="http://schemas.openxmlformats.org/officeDocument/2006/relationships/hyperlink" Target="https://agencies.semrush.com/list/programmatic-advertising/information-technology/united-states/"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united-states/enterprise-business/" TargetMode="External"/><Relationship Id="rId13" Type="http://schemas.openxmlformats.org/officeDocument/2006/relationships/hyperlink" Target="http://semrush.com" TargetMode="External"/><Relationship Id="rId12" Type="http://schemas.openxmlformats.org/officeDocument/2006/relationships/hyperlink" Target="https://agencies.semrush.com/list/display-advertising/united-states/mid-business/" TargetMode="External"/><Relationship Id="rId15" Type="http://schemas.openxmlformats.org/officeDocument/2006/relationships/hyperlink" Target="http://semrush.com" TargetMode="External"/><Relationship Id="rId14" Type="http://schemas.openxmlformats.org/officeDocument/2006/relationships/hyperlink" Target="https://agencies.semrush.com/list/programmatic-advertising/united-states/" TargetMode="External"/><Relationship Id="rId17" Type="http://schemas.openxmlformats.org/officeDocument/2006/relationships/hyperlink" Target="http://semrush.com" TargetMode="External"/><Relationship Id="rId16" Type="http://schemas.openxmlformats.org/officeDocument/2006/relationships/hyperlink" Target="https://agencies.semrush.com/list/analytics-data-science/united-states/" TargetMode="External"/><Relationship Id="rId19" Type="http://schemas.openxmlformats.org/officeDocument/2006/relationships/hyperlink" Target="http://semrush.com" TargetMode="External"/><Relationship Id="rId18" Type="http://schemas.openxmlformats.org/officeDocument/2006/relationships/hyperlink" Target="https://agencies.semrush.com/list/ppc/united-states/" TargetMode="External"/><Relationship Id="rId1" Type="http://schemas.openxmlformats.org/officeDocument/2006/relationships/hyperlink" Target="http://semrush.com" TargetMode="External"/><Relationship Id="rId2" Type="http://schemas.openxmlformats.org/officeDocument/2006/relationships/hyperlink" Target="https://agencies.semrush.com/list/united-states/" TargetMode="External"/><Relationship Id="rId3" Type="http://schemas.openxmlformats.org/officeDocument/2006/relationships/hyperlink" Target="http://semrush.com" TargetMode="External"/><Relationship Id="rId4" Type="http://schemas.openxmlformats.org/officeDocument/2006/relationships/hyperlink" Target="https://agencies.semrush.com/list/smm/united-states/"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ai-optimization/united-states/" TargetMode="External"/><Relationship Id="rId7" Type="http://schemas.openxmlformats.org/officeDocument/2006/relationships/hyperlink" Target="http://semrush.com" TargetMode="External"/><Relationship Id="rId8" Type="http://schemas.openxmlformats.org/officeDocument/2006/relationships/hyperlink" Target="https://agencies.semrush.com/list/display-advertising/"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directiveconsulting.com" TargetMode="External"/><Relationship Id="rId30" Type="http://schemas.openxmlformats.org/officeDocument/2006/relationships/hyperlink" Target="https://directiveconsulting.com/wp-content/uploads/2019/08/MediaKit.pdf" TargetMode="External"/><Relationship Id="rId32" Type="http://schemas.openxmlformats.org/officeDocument/2006/relationships/drawing" Target="../drawings/drawing9.xml"/><Relationship Id="rId20" Type="http://schemas.openxmlformats.org/officeDocument/2006/relationships/hyperlink" Target="https://directiveconsulting.com/blog/10-ai-marketing-agencies-outperforming-the-market/" TargetMode="External"/><Relationship Id="rId22" Type="http://schemas.openxmlformats.org/officeDocument/2006/relationships/hyperlink" Target="https://directiveconsulting.com/blog/top-25-b2b-enterprise-marketing-agencies/" TargetMode="External"/><Relationship Id="rId21" Type="http://schemas.openxmlformats.org/officeDocument/2006/relationships/hyperlink" Target="http://directiveconsulting.com" TargetMode="External"/><Relationship Id="rId24" Type="http://schemas.openxmlformats.org/officeDocument/2006/relationships/hyperlink" Target="https://directiveconsulting.com/uk/blog/25-best-paid-media-agencies-that-turn-ad-spend-into-revenue/" TargetMode="External"/><Relationship Id="rId23" Type="http://schemas.openxmlformats.org/officeDocument/2006/relationships/hyperlink" Target="http://directiveconsulting.com" TargetMode="External"/><Relationship Id="rId26" Type="http://schemas.openxmlformats.org/officeDocument/2006/relationships/hyperlink" Target="https://directiveconsulting.com/blog/27-seo-agencies-built-for-b2b-growth-2026/" TargetMode="External"/><Relationship Id="rId25" Type="http://schemas.openxmlformats.org/officeDocument/2006/relationships/hyperlink" Target="http://directiveconsulting.com" TargetMode="External"/><Relationship Id="rId28" Type="http://schemas.openxmlformats.org/officeDocument/2006/relationships/hyperlink" Target="https://directiveconsulting.com/blog/performance-marketing-agencies/" TargetMode="External"/><Relationship Id="rId27" Type="http://schemas.openxmlformats.org/officeDocument/2006/relationships/hyperlink" Target="http://directiveconsulting.com" TargetMode="External"/><Relationship Id="rId29" Type="http://schemas.openxmlformats.org/officeDocument/2006/relationships/hyperlink" Target="http://directiveconsulting.com" TargetMode="External"/><Relationship Id="rId11" Type="http://schemas.openxmlformats.org/officeDocument/2006/relationships/hyperlink" Target="http://directiveconsulting.com" TargetMode="External"/><Relationship Id="rId10" Type="http://schemas.openxmlformats.org/officeDocument/2006/relationships/hyperlink" Target="https://directiveconsulting.com/blog/best-google-ads-agencies/" TargetMode="External"/><Relationship Id="rId13" Type="http://schemas.openxmlformats.org/officeDocument/2006/relationships/hyperlink" Target="http://directiveconsulting.com" TargetMode="External"/><Relationship Id="rId12" Type="http://schemas.openxmlformats.org/officeDocument/2006/relationships/hyperlink" Target="https://directiveconsulting.com/blog/20-best-paid-social-agencies-turning-scrolls-into-sales/" TargetMode="External"/><Relationship Id="rId15" Type="http://schemas.openxmlformats.org/officeDocument/2006/relationships/hyperlink" Target="http://directiveconsulting.com" TargetMode="External"/><Relationship Id="rId14" Type="http://schemas.openxmlformats.org/officeDocument/2006/relationships/hyperlink" Target="https://directiveconsulting.com/blog/25-best-advertising-agencies-built-for-media-momentum/" TargetMode="External"/><Relationship Id="rId17" Type="http://schemas.openxmlformats.org/officeDocument/2006/relationships/hyperlink" Target="http://directiveconsulting.com" TargetMode="External"/><Relationship Id="rId16" Type="http://schemas.openxmlformats.org/officeDocument/2006/relationships/hyperlink" Target="https://directiveconsulting.com/blog/best-programmatic-ad-agencies/" TargetMode="External"/><Relationship Id="rId19" Type="http://schemas.openxmlformats.org/officeDocument/2006/relationships/hyperlink" Target="http://directiveconsulting.com" TargetMode="External"/><Relationship Id="rId18" Type="http://schemas.openxmlformats.org/officeDocument/2006/relationships/hyperlink" Target="https://directiveconsulting.com/blog/the-best-b2b-marketing-agencies-for-technology-companies-in-2026/" TargetMode="External"/><Relationship Id="rId1" Type="http://schemas.openxmlformats.org/officeDocument/2006/relationships/hyperlink" Target="http://directiveconsulting.com" TargetMode="External"/><Relationship Id="rId2" Type="http://schemas.openxmlformats.org/officeDocument/2006/relationships/hyperlink" Target="https://directiveconsulting.com/blog/top-performance-marketing-agencies/" TargetMode="External"/><Relationship Id="rId3" Type="http://schemas.openxmlformats.org/officeDocument/2006/relationships/hyperlink" Target="http://directiveconsulting.com" TargetMode="External"/><Relationship Id="rId4" Type="http://schemas.openxmlformats.org/officeDocument/2006/relationships/hyperlink" Target="https://directiveconsulting.com/blog/best-marketing-data-agency/" TargetMode="External"/><Relationship Id="rId9" Type="http://schemas.openxmlformats.org/officeDocument/2006/relationships/hyperlink" Target="http://directiveconsulting.com" TargetMode="External"/><Relationship Id="rId5" Type="http://schemas.openxmlformats.org/officeDocument/2006/relationships/hyperlink" Target="http://directiveconsulting.com" TargetMode="External"/><Relationship Id="rId6" Type="http://schemas.openxmlformats.org/officeDocument/2006/relationships/hyperlink" Target="https://directiveconsulting.com/blog/best-geo-agencies/" TargetMode="External"/><Relationship Id="rId7" Type="http://schemas.openxmlformats.org/officeDocument/2006/relationships/hyperlink" Target="http://directiveconsulting.com" TargetMode="External"/><Relationship Id="rId8" Type="http://schemas.openxmlformats.org/officeDocument/2006/relationships/hyperlink" Target="https://directiveconsulting.com/uk/blog/best-geo-agencies/" TargetMode="External"/></Relationships>
</file>

<file path=xl/worksheets/_rels/sheet10.xml.rels><?xml version="1.0" encoding="UTF-8" standalone="yes"?><Relationships xmlns="http://schemas.openxmlformats.org/package/2006/relationships"><Relationship Id="rId40" Type="http://schemas.openxmlformats.org/officeDocument/2006/relationships/drawing" Target="../drawings/drawing10.xml"/><Relationship Id="rId31" Type="http://schemas.openxmlformats.org/officeDocument/2006/relationships/hyperlink" Target="http://designrush.com" TargetMode="External"/><Relationship Id="rId30" Type="http://schemas.openxmlformats.org/officeDocument/2006/relationships/hyperlink" Target="https://www.designrush.com/agency/digital-marketing/analytics?page=2" TargetMode="External"/><Relationship Id="rId33" Type="http://schemas.openxmlformats.org/officeDocument/2006/relationships/hyperlink" Target="http://designrush.com" TargetMode="External"/><Relationship Id="rId32" Type="http://schemas.openxmlformats.org/officeDocument/2006/relationships/hyperlink" Target="https://www.designrush.com/agency/ad-agencies/missouri/kansas-city" TargetMode="External"/><Relationship Id="rId35" Type="http://schemas.openxmlformats.org/officeDocument/2006/relationships/hyperlink" Target="http://designrush.com" TargetMode="External"/><Relationship Id="rId34" Type="http://schemas.openxmlformats.org/officeDocument/2006/relationships/hyperlink" Target="https://www.designrush.com/agency/digital-marketing/digital-advertising/us" TargetMode="External"/><Relationship Id="rId37" Type="http://schemas.openxmlformats.org/officeDocument/2006/relationships/hyperlink" Target="http://designrush.com" TargetMode="External"/><Relationship Id="rId36" Type="http://schemas.openxmlformats.org/officeDocument/2006/relationships/hyperlink" Target="https://www.designrush.com/agency/media-buying-agencies/us" TargetMode="External"/><Relationship Id="rId39" Type="http://schemas.openxmlformats.org/officeDocument/2006/relationships/hyperlink" Target="http://designrush.com" TargetMode="External"/><Relationship Id="rId38" Type="http://schemas.openxmlformats.org/officeDocument/2006/relationships/hyperlink" Target="https://www.designrush.com/agency/paid-media-pay-per-click/trends/display-ads" TargetMode="External"/><Relationship Id="rId20" Type="http://schemas.openxmlformats.org/officeDocument/2006/relationships/hyperlink" Target="https://www.designrush.com/agency/digital-marketing/trends/incrementality-testing" TargetMode="External"/><Relationship Id="rId22" Type="http://schemas.openxmlformats.org/officeDocument/2006/relationships/hyperlink" Target="https://www.designrush.com/agency/digital-marketing" TargetMode="External"/><Relationship Id="rId21" Type="http://schemas.openxmlformats.org/officeDocument/2006/relationships/hyperlink" Target="http://designrush.com" TargetMode="External"/><Relationship Id="rId24" Type="http://schemas.openxmlformats.org/officeDocument/2006/relationships/hyperlink" Target="https://www.designrush.com/agency/paid-media-pay-per-click/google-adwords" TargetMode="External"/><Relationship Id="rId23" Type="http://schemas.openxmlformats.org/officeDocument/2006/relationships/hyperlink" Target="http://designrush.com" TargetMode="External"/><Relationship Id="rId26" Type="http://schemas.openxmlformats.org/officeDocument/2006/relationships/hyperlink" Target="https://www.designrush.com/agency/creative-agencies" TargetMode="External"/><Relationship Id="rId25" Type="http://schemas.openxmlformats.org/officeDocument/2006/relationships/hyperlink" Target="http://designrush.com" TargetMode="External"/><Relationship Id="rId28" Type="http://schemas.openxmlformats.org/officeDocument/2006/relationships/hyperlink" Target="https://www.designrush.com/agency/digital-marketing/analytics/us?page=2" TargetMode="External"/><Relationship Id="rId27" Type="http://schemas.openxmlformats.org/officeDocument/2006/relationships/hyperlink" Target="http://designrush.com" TargetMode="External"/><Relationship Id="rId29" Type="http://schemas.openxmlformats.org/officeDocument/2006/relationships/hyperlink" Target="http://designrush.com" TargetMode="External"/><Relationship Id="rId11" Type="http://schemas.openxmlformats.org/officeDocument/2006/relationships/hyperlink" Target="http://designrush.com" TargetMode="External"/><Relationship Id="rId10" Type="http://schemas.openxmlformats.org/officeDocument/2006/relationships/hyperlink" Target="https://www.designrush.com/agency/digital-marketing/artificial-intelligence"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paid-media-pay-per-click/display-advertising-agency"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digital-marketing/analytics/us?page=23" TargetMode="External"/><Relationship Id="rId17" Type="http://schemas.openxmlformats.org/officeDocument/2006/relationships/hyperlink" Target="http://designrush.com" TargetMode="External"/><Relationship Id="rId16" Type="http://schemas.openxmlformats.org/officeDocument/2006/relationships/hyperlink" Target="https://www.designrush.com/agency/digital-marketing/analytics/us?page=24"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paid-media-pay-per-click/google-adwords/us" TargetMode="External"/><Relationship Id="rId1" Type="http://schemas.openxmlformats.org/officeDocument/2006/relationships/hyperlink" Target="http://designrush.com" TargetMode="External"/><Relationship Id="rId2" Type="http://schemas.openxmlformats.org/officeDocument/2006/relationships/hyperlink" Target="https://www.designrush.com/agency/digital-marketing/us"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digital-marketing/analytics"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digital-marketing/performance-marketing-agencies"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creative-agencies/u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reddit.com/r/DigitalMarketing/comments/1rwxybs/which_agencies_are_actually_wellknown_worldwide/" TargetMode="External"/><Relationship Id="rId42" Type="http://schemas.openxmlformats.org/officeDocument/2006/relationships/hyperlink" Target="https://www.reddit.com/r/DigitalMarketing/comments/1tdfcjb/every_seo_agency_now_lists_ai_search_optimization/" TargetMode="External"/><Relationship Id="rId41" Type="http://schemas.openxmlformats.org/officeDocument/2006/relationships/hyperlink" Target="http://reddit.com" TargetMode="External"/><Relationship Id="rId44" Type="http://schemas.openxmlformats.org/officeDocument/2006/relationships/hyperlink" Target="https://www.reddit.com/r/DigitalMarketing/comments/1tpb0sw/mmm_tools_for_50k200kmo_ad_spend_brands_recast_vs/" TargetMode="External"/><Relationship Id="rId43" Type="http://schemas.openxmlformats.org/officeDocument/2006/relationships/hyperlink" Target="http://reddit.com" TargetMode="External"/><Relationship Id="rId46" Type="http://schemas.openxmlformats.org/officeDocument/2006/relationships/hyperlink" Target="https://www.reddit.com/r/FacebookAds/comments/1nhohty/meta_insights_based_on_640_incrementality_tests/" TargetMode="External"/><Relationship Id="rId45" Type="http://schemas.openxmlformats.org/officeDocument/2006/relationships/hyperlink" Target="http://reddit.com" TargetMode="External"/><Relationship Id="rId48" Type="http://schemas.openxmlformats.org/officeDocument/2006/relationships/hyperlink" Target="https://www.reddit.com/r/GenEngineOptimization/comments/1qab4rt/what_are_the_top_geo_agencies_and_what_softwares/" TargetMode="External"/><Relationship Id="rId47" Type="http://schemas.openxmlformats.org/officeDocument/2006/relationships/hyperlink" Target="http://reddit.com" TargetMode="External"/><Relationship Id="rId49" Type="http://schemas.openxmlformats.org/officeDocument/2006/relationships/hyperlink" Target="http://reddit.com" TargetMode="External"/><Relationship Id="rId31" Type="http://schemas.openxmlformats.org/officeDocument/2006/relationships/hyperlink" Target="http://reddit.com" TargetMode="External"/><Relationship Id="rId30" Type="http://schemas.openxmlformats.org/officeDocument/2006/relationships/hyperlink" Target="https://www.reddit.com/r/hiredevelopers_/comments/1n84jms/list_of_best_ai_consulting_companies_in_usa/" TargetMode="External"/><Relationship Id="rId33" Type="http://schemas.openxmlformats.org/officeDocument/2006/relationships/hyperlink" Target="http://reddit.com" TargetMode="External"/><Relationship Id="rId32" Type="http://schemas.openxmlformats.org/officeDocument/2006/relationships/hyperlink" Target="https://www.reddit.com/r/u_Temporary_Meeting182/comments/1tp4iah/best_saas_geo_agencies_in_2026_who_should/" TargetMode="External"/><Relationship Id="rId35" Type="http://schemas.openxmlformats.org/officeDocument/2006/relationships/hyperlink" Target="http://reddit.com" TargetMode="External"/><Relationship Id="rId34" Type="http://schemas.openxmlformats.org/officeDocument/2006/relationships/hyperlink" Target="https://www.reddit.com/r/u_ThoughtMetric/comments/1udm00v/best_improvado_alternatives_updated_june_2026/" TargetMode="External"/><Relationship Id="rId37" Type="http://schemas.openxmlformats.org/officeDocument/2006/relationships/hyperlink" Target="http://reddit.com" TargetMode="External"/><Relationship Id="rId36" Type="http://schemas.openxmlformats.org/officeDocument/2006/relationships/hyperlink" Target="https://www.reddit.com/r/Agentic_Marketing/comments/1ue8msc/top_ai_consulting_firms_in_the_usa_driving/" TargetMode="External"/><Relationship Id="rId39" Type="http://schemas.openxmlformats.org/officeDocument/2006/relationships/hyperlink" Target="http://reddit.com" TargetMode="External"/><Relationship Id="rId38" Type="http://schemas.openxmlformats.org/officeDocument/2006/relationships/hyperlink" Target="https://www.reddit.com/r/AskMarketing/comments/1jwyn6z/a_client_is_looking_for_a_cheaper_incrementality/" TargetMode="External"/><Relationship Id="rId20" Type="http://schemas.openxmlformats.org/officeDocument/2006/relationships/hyperlink" Target="https://www.reddit.com/r/b2bmarketing/comments/1t546si/the_7_leading_ai_seo_agencies_for_modern_search/" TargetMode="External"/><Relationship Id="rId22" Type="http://schemas.openxmlformats.org/officeDocument/2006/relationships/hyperlink" Target="https://www.reddit.com/r/Superframeworks/comments/1twfxf1/10_best_ai_seo_geoaeo_agencies_for_2026_no/" TargetMode="External"/><Relationship Id="rId21" Type="http://schemas.openxmlformats.org/officeDocument/2006/relationships/hyperlink" Target="http://reddit.com" TargetMode="External"/><Relationship Id="rId24" Type="http://schemas.openxmlformats.org/officeDocument/2006/relationships/hyperlink" Target="https://www.reddit.com/r/AISEOTricks/comments/1t9xk64/what_are_the_best_seo_agencies_right_now/" TargetMode="External"/><Relationship Id="rId23" Type="http://schemas.openxmlformats.org/officeDocument/2006/relationships/hyperlink" Target="http://reddit.com" TargetMode="External"/><Relationship Id="rId26" Type="http://schemas.openxmlformats.org/officeDocument/2006/relationships/hyperlink" Target="https://www.reddit.com/r/LLMTraffic/comments/1t44tn7/which_geo_marketing_agencies_are_actually_worth/" TargetMode="External"/><Relationship Id="rId25" Type="http://schemas.openxmlformats.org/officeDocument/2006/relationships/hyperlink" Target="http://reddit.com" TargetMode="External"/><Relationship Id="rId28" Type="http://schemas.openxmlformats.org/officeDocument/2006/relationships/hyperlink" Target="https://www.reddit.com/r/SocialMediaMarketing/comments/18gblts/what_are_some_trusted_legit_a_social_media/"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TheTopAgencies/comments/1me9pid/the_best_digital_marketing_agencies_in_the_united/" TargetMode="External"/><Relationship Id="rId13" Type="http://schemas.openxmlformats.org/officeDocument/2006/relationships/hyperlink" Target="http://reddit.com" TargetMode="External"/><Relationship Id="rId12" Type="http://schemas.openxmlformats.org/officeDocument/2006/relationships/hyperlink" Target="https://www.reddit.com/r/agency/comments/1ok212i/performance_marketing_incrementality/" TargetMode="External"/><Relationship Id="rId15" Type="http://schemas.openxmlformats.org/officeDocument/2006/relationships/hyperlink" Target="http://reddit.com" TargetMode="External"/><Relationship Id="rId14" Type="http://schemas.openxmlformats.org/officeDocument/2006/relationships/hyperlink" Target="https://www.reddit.com/r/b2bmarketing/comments/1rl47cr/the_10_best_visibility_companies_and_agencies_for/" TargetMode="External"/><Relationship Id="rId17" Type="http://schemas.openxmlformats.org/officeDocument/2006/relationships/hyperlink" Target="http://reddit.com" TargetMode="External"/><Relationship Id="rId16" Type="http://schemas.openxmlformats.org/officeDocument/2006/relationships/hyperlink" Target="https://www.reddit.com/r/ecommerce/comments/1c4too8/best_tools_for_paid_marketing_attribution/" TargetMode="External"/><Relationship Id="rId19" Type="http://schemas.openxmlformats.org/officeDocument/2006/relationships/hyperlink" Target="http://reddit.com" TargetMode="External"/><Relationship Id="rId18" Type="http://schemas.openxmlformats.org/officeDocument/2006/relationships/hyperlink" Target="https://www.reddit.com/r/SearchTides/comments/1uu5d0d/10_best_geo_agencies_for_brands_that_want_to_win/" TargetMode="External"/><Relationship Id="rId62" Type="http://schemas.openxmlformats.org/officeDocument/2006/relationships/drawing" Target="../drawings/drawing12.xml"/><Relationship Id="rId61" Type="http://schemas.openxmlformats.org/officeDocument/2006/relationships/hyperlink" Target="http://reddit.com" TargetMode="External"/><Relationship Id="rId60" Type="http://schemas.openxmlformats.org/officeDocument/2006/relationships/hyperlink" Target="https://www.reddit.com/r/u_ThoughtMetric/comments/1tdbr6w/top_hyros_alternatives_updated_may_2026/" TargetMode="External"/><Relationship Id="rId51" Type="http://schemas.openxmlformats.org/officeDocument/2006/relationships/hyperlink" Target="http://reddit.com" TargetMode="External"/><Relationship Id="rId50" Type="http://schemas.openxmlformats.org/officeDocument/2006/relationships/hyperlink" Target="https://www.reddit.com/r/GrowthHacking/comments/1rri9ch/searching_for_10_ai_visibility_agency_brands_are/" TargetMode="External"/><Relationship Id="rId53" Type="http://schemas.openxmlformats.org/officeDocument/2006/relationships/hyperlink" Target="http://reddit.com" TargetMode="External"/><Relationship Id="rId52" Type="http://schemas.openxmlformats.org/officeDocument/2006/relationships/hyperlink" Target="https://www.reddit.com/r/SaaS/comments/1rd9bem/whats_the_best_marketing_agency_youve_worked_with/" TargetMode="External"/><Relationship Id="rId55" Type="http://schemas.openxmlformats.org/officeDocument/2006/relationships/hyperlink" Target="http://reddit.com" TargetMode="External"/><Relationship Id="rId54" Type="http://schemas.openxmlformats.org/officeDocument/2006/relationships/hyperlink" Target="https://www.reddit.com/r/TheTopAgencies/comments/1m6imy5/the_best_digital_marketing_agencies_in_seattle/" TargetMode="External"/><Relationship Id="rId57" Type="http://schemas.openxmlformats.org/officeDocument/2006/relationships/hyperlink" Target="http://reddit.com" TargetMode="External"/><Relationship Id="rId56" Type="http://schemas.openxmlformats.org/officeDocument/2006/relationships/hyperlink" Target="https://www.reddit.com/r/digital_marketing/comments/1rpmtmy/what_are_the_top_5_ai_visibility_agencies_in_2026/" TargetMode="External"/><Relationship Id="rId59" Type="http://schemas.openxmlformats.org/officeDocument/2006/relationships/hyperlink" Target="http://reddit.com" TargetMode="External"/><Relationship Id="rId58" Type="http://schemas.openxmlformats.org/officeDocument/2006/relationships/hyperlink" Target="https://www.reddit.com/r/u_ThoughtMetric/comments/1t4mvsi/we_put_together_a_comparison_of_the_top_shopify/" TargetMode="External"/><Relationship Id="rId1" Type="http://schemas.openxmlformats.org/officeDocument/2006/relationships/hyperlink" Target="http://reddit.com" TargetMode="External"/><Relationship Id="rId2" Type="http://schemas.openxmlformats.org/officeDocument/2006/relationships/hyperlink" Target="https://www.reddit.com/r/TheTopAgencies/comments/1mjdxiv/the_best_generative_engine_optimization_agencies/" TargetMode="External"/><Relationship Id="rId3" Type="http://schemas.openxmlformats.org/officeDocument/2006/relationships/hyperlink" Target="http://reddit.com" TargetMode="External"/><Relationship Id="rId4" Type="http://schemas.openxmlformats.org/officeDocument/2006/relationships/hyperlink" Target="https://www.reddit.com/r/SaaS/comments/1scwc2o/who_is_the_best_answer_engine_optimization_aeo/"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ecommerce/comments/1qusfa4/looking_for_best_incrementality_testing_tools/" TargetMode="External"/><Relationship Id="rId7" Type="http://schemas.openxmlformats.org/officeDocument/2006/relationships/hyperlink" Target="http://reddit.com" TargetMode="External"/><Relationship Id="rId8" Type="http://schemas.openxmlformats.org/officeDocument/2006/relationships/hyperlink" Target="https://www.reddit.com/r/u_Large_Let1715/comments/1tdt8px/best_marketing_analytics_firms_a_complet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quora.com" TargetMode="External"/><Relationship Id="rId2" Type="http://schemas.openxmlformats.org/officeDocument/2006/relationships/hyperlink" Target="https://www.quora.com/What-are-some-AI-SEO-agencies" TargetMode="External"/><Relationship Id="rId3" Type="http://schemas.openxmlformats.org/officeDocument/2006/relationships/hyperlink" Target="http://quora.com" TargetMode="External"/><Relationship Id="rId4" Type="http://schemas.openxmlformats.org/officeDocument/2006/relationships/hyperlink" Target="https://www.quora.com/Which-are-the-best-social-media-marketing-agencies-in-USA" TargetMode="External"/><Relationship Id="rId5" Type="http://schemas.openxmlformats.org/officeDocument/2006/relationships/hyperlink" Target="http://quora.com"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medium.com" TargetMode="External"/><Relationship Id="rId2" Type="http://schemas.openxmlformats.org/officeDocument/2006/relationships/hyperlink" Target="https://medium.com/data-science-at-microsoft/how-do-you-know-your-ai-actually-works-b1a380a07825" TargetMode="External"/><Relationship Id="rId3" Type="http://schemas.openxmlformats.org/officeDocument/2006/relationships/hyperlink" Target="http://medium.com"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businessinsider.com" TargetMode="External"/><Relationship Id="rId2" Type="http://schemas.openxmlformats.org/officeDocument/2006/relationships/hyperlink" Target="https://pipeline.zoominfo.com/marketing/digital-marketing-tools" TargetMode="External"/><Relationship Id="rId3" Type="http://schemas.openxmlformats.org/officeDocument/2006/relationships/hyperlink" Target="http://zoominfo.com" TargetMode="External"/><Relationship Id="rId4" Type="http://schemas.openxmlformats.org/officeDocument/2006/relationships/hyperlink" Target="https://www.trustpilot.com/review/www.mutesix.com" TargetMode="External"/><Relationship Id="rId5" Type="http://schemas.openxmlformats.org/officeDocument/2006/relationships/hyperlink" Target="http://trustpilot.com"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facebook.com" TargetMode="External"/><Relationship Id="rId2" Type="http://schemas.openxmlformats.org/officeDocument/2006/relationships/hyperlink" Target="https://www.facebook.com/tinuiti1/" TargetMode="External"/><Relationship Id="rId3" Type="http://schemas.openxmlformats.org/officeDocument/2006/relationships/hyperlink" Target="http://facebook.com"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1" Type="http://schemas.openxmlformats.org/officeDocument/2006/relationships/hyperlink" Target="http://thegrowthsyndicate.com" TargetMode="External"/><Relationship Id="rId30" Type="http://schemas.openxmlformats.org/officeDocument/2006/relationships/hyperlink" Target="https://www.thegrowthsyndicate.com/agencies/best-linkedin-ads-agencies-us" TargetMode="External"/><Relationship Id="rId32" Type="http://schemas.openxmlformats.org/officeDocument/2006/relationships/drawing" Target="../drawings/drawing17.xml"/><Relationship Id="rId20" Type="http://schemas.openxmlformats.org/officeDocument/2006/relationships/hyperlink" Target="https://www.linkedin.com/posts/clutch-co_top-15-ppc-agencies-clutch-global-fall-2025-activity-7421548745084932096-DYA_" TargetMode="External"/><Relationship Id="rId22" Type="http://schemas.openxmlformats.org/officeDocument/2006/relationships/hyperlink" Target="https://www.linkedin.com/pulse/10-best-answer-engine-optimization-aeo-agencies-2026-nick-malekos-tkzqf" TargetMode="External"/><Relationship Id="rId21" Type="http://schemas.openxmlformats.org/officeDocument/2006/relationships/hyperlink" Target="http://linkedin.com" TargetMode="External"/><Relationship Id="rId24" Type="http://schemas.openxmlformats.org/officeDocument/2006/relationships/hyperlink" Target="https://www.linkedin.com/pulse/30-leading-graphic-design-companies-making-global-impact-lti6f" TargetMode="External"/><Relationship Id="rId23" Type="http://schemas.openxmlformats.org/officeDocument/2006/relationships/hyperlink" Target="http://linkedin.com" TargetMode="External"/><Relationship Id="rId26" Type="http://schemas.openxmlformats.org/officeDocument/2006/relationships/hyperlink" Target="https://www.linkedin.com/pulse/ai-seo-agencies-softtrix-web-solutions-zaxtc" TargetMode="External"/><Relationship Id="rId25" Type="http://schemas.openxmlformats.org/officeDocument/2006/relationships/hyperlink" Target="http://linkedin.com" TargetMode="External"/><Relationship Id="rId28" Type="http://schemas.openxmlformats.org/officeDocument/2006/relationships/hyperlink" Target="https://www.linkedin.com/pulse/deconstructing-common-solutions-first-party-data-pierre-cholet-booce"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linkedin.com" TargetMode="External"/><Relationship Id="rId10" Type="http://schemas.openxmlformats.org/officeDocument/2006/relationships/hyperlink" Target="https://www.linkedin.com/company/analytics-pros" TargetMode="External"/><Relationship Id="rId13" Type="http://schemas.openxmlformats.org/officeDocument/2006/relationships/hyperlink" Target="http://linkedin.com" TargetMode="External"/><Relationship Id="rId12" Type="http://schemas.openxmlformats.org/officeDocument/2006/relationships/hyperlink" Target="https://www.linkedin.com/company/artefact-global" TargetMode="External"/><Relationship Id="rId15" Type="http://schemas.openxmlformats.org/officeDocument/2006/relationships/hyperlink" Target="http://linkedin.com" TargetMode="External"/><Relationship Id="rId14" Type="http://schemas.openxmlformats.org/officeDocument/2006/relationships/hyperlink" Target="https://www.linkedin.com/company/the-social-shepherd" TargetMode="External"/><Relationship Id="rId17" Type="http://schemas.openxmlformats.org/officeDocument/2006/relationships/hyperlink" Target="http://linkedin.com" TargetMode="External"/><Relationship Id="rId16" Type="http://schemas.openxmlformats.org/officeDocument/2006/relationships/hyperlink" Target="https://www.linkedin.com/company/vaynermedia" TargetMode="External"/><Relationship Id="rId19" Type="http://schemas.openxmlformats.org/officeDocument/2006/relationships/hyperlink" Target="http://linkedin.com" TargetMode="External"/><Relationship Id="rId18" Type="http://schemas.openxmlformats.org/officeDocument/2006/relationships/hyperlink" Target="https://www.linkedin.com/posts/clutch-co_bestofclutch-digitalmarketing-webdevelopment-activity-7323717286719090688-G6i3" TargetMode="External"/><Relationship Id="rId1" Type="http://schemas.openxmlformats.org/officeDocument/2006/relationships/hyperlink" Target="http://linkedin.com" TargetMode="External"/><Relationship Id="rId2" Type="http://schemas.openxmlformats.org/officeDocument/2006/relationships/hyperlink" Target="https://www.linkedin.com/pulse/top-10-aeo-agencies-usa-2026-best-answer-engine-companies-sam-israel-pgcwc" TargetMode="External"/><Relationship Id="rId3" Type="http://schemas.openxmlformats.org/officeDocument/2006/relationships/hyperlink" Target="http://linkedin.com" TargetMode="External"/><Relationship Id="rId4" Type="http://schemas.openxmlformats.org/officeDocument/2006/relationships/hyperlink" Target="https://directiveconsulting.com/blog/20-best-paid-social-agencies-turning-scrolls-into-sales/" TargetMode="External"/><Relationship Id="rId9" Type="http://schemas.openxmlformats.org/officeDocument/2006/relationships/hyperlink" Target="http://linkedin.com" TargetMode="External"/><Relationship Id="rId5" Type="http://schemas.openxmlformats.org/officeDocument/2006/relationships/hyperlink" Target="http://directiveconsulting.com" TargetMode="External"/><Relationship Id="rId6" Type="http://schemas.openxmlformats.org/officeDocument/2006/relationships/hyperlink" Target="https://www.linkedin.com/pulse/top-5-geo-agencies-usa-2026-yash-kumar-m4v6c" TargetMode="External"/><Relationship Id="rId7" Type="http://schemas.openxmlformats.org/officeDocument/2006/relationships/hyperlink" Target="http://linkedin.com" TargetMode="External"/><Relationship Id="rId8" Type="http://schemas.openxmlformats.org/officeDocument/2006/relationships/hyperlink" Target="https://www.linkedin.com/company/mutesix" TargetMode="External"/></Relationships>
</file>

<file path=xl/worksheets/_rels/sheet18.xml.rels><?xml version="1.0" encoding="UTF-8" standalone="yes"?><Relationships xmlns="http://schemas.openxmlformats.org/package/2006/relationships"><Relationship Id="rId11" Type="http://schemas.openxmlformats.org/officeDocument/2006/relationships/hyperlink" Target="http://wikipedia.org" TargetMode="External"/><Relationship Id="rId10" Type="http://schemas.openxmlformats.org/officeDocument/2006/relationships/hyperlink" Target="https://en.wikipedia.org/wiki/The_Interpublic_Group_of_Companies" TargetMode="External"/><Relationship Id="rId12" Type="http://schemas.openxmlformats.org/officeDocument/2006/relationships/drawing" Target="../drawings/drawing18.xml"/><Relationship Id="rId1" Type="http://schemas.openxmlformats.org/officeDocument/2006/relationships/hyperlink" Target="http://wikipedia.org" TargetMode="External"/><Relationship Id="rId2" Type="http://schemas.openxmlformats.org/officeDocument/2006/relationships/hyperlink" Target="https://en.wikipedia.org/wiki/Advertising_agency" TargetMode="External"/><Relationship Id="rId3" Type="http://schemas.openxmlformats.org/officeDocument/2006/relationships/hyperlink" Target="http://wikipedia.org" TargetMode="External"/><Relationship Id="rId4" Type="http://schemas.openxmlformats.org/officeDocument/2006/relationships/hyperlink" Target="https://en.wikipedia.org/wiki/Big_Six_advertising_agencies" TargetMode="External"/><Relationship Id="rId9" Type="http://schemas.openxmlformats.org/officeDocument/2006/relationships/hyperlink" Target="http://wikipedia.org" TargetMode="External"/><Relationship Id="rId5" Type="http://schemas.openxmlformats.org/officeDocument/2006/relationships/hyperlink" Target="http://wikipedia.org" TargetMode="External"/><Relationship Id="rId6" Type="http://schemas.openxmlformats.org/officeDocument/2006/relationships/hyperlink" Target="https://en.wikipedia.org/wiki/Ogilvy_%28agency%29" TargetMode="External"/><Relationship Id="rId7" Type="http://schemas.openxmlformats.org/officeDocument/2006/relationships/hyperlink" Target="http://wikipedia.org" TargetMode="External"/><Relationship Id="rId8" Type="http://schemas.openxmlformats.org/officeDocument/2006/relationships/hyperlink" Target="https://en.wikipedia.org/wiki/Ogilvy_(agenc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egmentstream.com" TargetMode="External"/><Relationship Id="rId2" Type="http://schemas.openxmlformats.org/officeDocument/2006/relationships/hyperlink" Target="https://segmentstream.com/blog/articles/top-haus-io-alternatives-for-geo-lift-incrementality-testing" TargetMode="External"/><Relationship Id="rId3" Type="http://schemas.openxmlformats.org/officeDocument/2006/relationships/hyperlink" Target="http://segmentstream.com"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40" Type="http://schemas.openxmlformats.org/officeDocument/2006/relationships/hyperlink" Target="http://thedrum.com" TargetMode="External"/><Relationship Id="rId42" Type="http://schemas.openxmlformats.org/officeDocument/2006/relationships/hyperlink" Target="http://theverge.com" TargetMode="External"/><Relationship Id="rId41" Type="http://schemas.openxmlformats.org/officeDocument/2006/relationships/hyperlink" Target="https://www.theverge.com/podcast/959792/digitas-ceo-amy-lanzi-cannes-ad-industry-marketing-ai-creators" TargetMode="External"/><Relationship Id="rId44" Type="http://schemas.openxmlformats.org/officeDocument/2006/relationships/hyperlink" Target="http://wsj.com" TargetMode="External"/><Relationship Id="rId43" Type="http://schemas.openxmlformats.org/officeDocument/2006/relationships/hyperlink" Target="https://www.wsj.com/tech/ai/ai-what-is-geo-aeo-5c452500" TargetMode="External"/><Relationship Id="rId46" Type="http://schemas.openxmlformats.org/officeDocument/2006/relationships/hyperlink" Target="http://aitworldwide.com" TargetMode="External"/><Relationship Id="rId45" Type="http://schemas.openxmlformats.org/officeDocument/2006/relationships/hyperlink" Target="https://www.aitworldwide.com/risk-management/authorized-economic-operator/" TargetMode="External"/><Relationship Id="rId48" Type="http://schemas.openxmlformats.org/officeDocument/2006/relationships/hyperlink" Target="http://measured.com" TargetMode="External"/><Relationship Id="rId47" Type="http://schemas.openxmlformats.org/officeDocument/2006/relationships/hyperlink" Target="https://www.measured.com/faq/what-is-incrementality-testing/" TargetMode="External"/><Relationship Id="rId49" Type="http://schemas.openxmlformats.org/officeDocument/2006/relationships/hyperlink" Target="https://support.google.com/google-ads/answer/9029203?hl=en" TargetMode="External"/><Relationship Id="rId31" Type="http://schemas.openxmlformats.org/officeDocument/2006/relationships/hyperlink" Target="https://www.businessinsider.com/ai-adoption-strategies-companies-2026-7" TargetMode="External"/><Relationship Id="rId30" Type="http://schemas.openxmlformats.org/officeDocument/2006/relationships/hyperlink" Target="http://arxiv.org" TargetMode="External"/><Relationship Id="rId33" Type="http://schemas.openxmlformats.org/officeDocument/2006/relationships/hyperlink" Target="https://www.businessinsider.com/bain-cmo-erika-serow-cannes-lions-2026-7" TargetMode="External"/><Relationship Id="rId32" Type="http://schemas.openxmlformats.org/officeDocument/2006/relationships/hyperlink" Target="http://businessinsider.com" TargetMode="External"/><Relationship Id="rId35" Type="http://schemas.openxmlformats.org/officeDocument/2006/relationships/hyperlink" Target="https://www.reuters.com/business/publicis-raises-growth-target-ai-driven-marketing-demand-stays-strong-2026-07-16/" TargetMode="External"/><Relationship Id="rId34" Type="http://schemas.openxmlformats.org/officeDocument/2006/relationships/hyperlink" Target="http://businessinsider.com" TargetMode="External"/><Relationship Id="rId37" Type="http://schemas.openxmlformats.org/officeDocument/2006/relationships/hyperlink" Target="https://www.techradar.com/pro/hubspot-increased-leads-by-1850-percent-and-we-asked-them-how-the-aeo-playbook" TargetMode="External"/><Relationship Id="rId36" Type="http://schemas.openxmlformats.org/officeDocument/2006/relationships/hyperlink" Target="http://reuters.com" TargetMode="External"/><Relationship Id="rId39" Type="http://schemas.openxmlformats.org/officeDocument/2006/relationships/hyperlink" Target="https://www.thedrum.com/news/world-creative-rankings-2023-the-top-holding-companies-and-networks-revealed" TargetMode="External"/><Relationship Id="rId38" Type="http://schemas.openxmlformats.org/officeDocument/2006/relationships/hyperlink" Target="http://techradar.com" TargetMode="External"/><Relationship Id="rId20" Type="http://schemas.openxmlformats.org/officeDocument/2006/relationships/hyperlink" Target="http://einpresswire.com" TargetMode="External"/><Relationship Id="rId22" Type="http://schemas.openxmlformats.org/officeDocument/2006/relationships/hyperlink" Target="http://theverge.com" TargetMode="External"/><Relationship Id="rId21" Type="http://schemas.openxmlformats.org/officeDocument/2006/relationships/hyperlink" Target="https://www.theverge.com/tech/900302/ai-seo-industry-google-search-chatgpt-gemini-marketing" TargetMode="External"/><Relationship Id="rId24" Type="http://schemas.openxmlformats.org/officeDocument/2006/relationships/hyperlink" Target="http://arxiv.org" TargetMode="External"/><Relationship Id="rId23" Type="http://schemas.openxmlformats.org/officeDocument/2006/relationships/hyperlink" Target="https://arxiv.org/abs/2606.16878" TargetMode="External"/><Relationship Id="rId26" Type="http://schemas.openxmlformats.org/officeDocument/2006/relationships/hyperlink" Target="http://emarketer.com" TargetMode="External"/><Relationship Id="rId25" Type="http://schemas.openxmlformats.org/officeDocument/2006/relationships/hyperlink" Target="https://www.emarketer.com/content/faq-on-incrementality-how-prove-your-ads-actually-work-2026" TargetMode="External"/><Relationship Id="rId28" Type="http://schemas.openxmlformats.org/officeDocument/2006/relationships/hyperlink" Target="http://aismedia.com" TargetMode="External"/><Relationship Id="rId27" Type="http://schemas.openxmlformats.org/officeDocument/2006/relationships/hyperlink" Target="https://aismedia.com/global-100-awards-2026/" TargetMode="External"/><Relationship Id="rId29" Type="http://schemas.openxmlformats.org/officeDocument/2006/relationships/hyperlink" Target="https://arxiv.org/abs/2509.08919" TargetMode="External"/><Relationship Id="rId11" Type="http://schemas.openxmlformats.org/officeDocument/2006/relationships/hyperlink" Target="https://www.forrester.com/press-newsroom/forrester-nine-in-10-us-marketing-agencies-use-ai-to-cut-costs-at-the-expense-of-creativity/" TargetMode="External"/><Relationship Id="rId10" Type="http://schemas.openxmlformats.org/officeDocument/2006/relationships/hyperlink" Target="http://xponent21.com" TargetMode="External"/><Relationship Id="rId13" Type="http://schemas.openxmlformats.org/officeDocument/2006/relationships/hyperlink" Target="https://www.architecturaldigest.com/story/is-your-business-ready-for-the-ai-overview-era" TargetMode="External"/><Relationship Id="rId12" Type="http://schemas.openxmlformats.org/officeDocument/2006/relationships/hyperlink" Target="http://forrester.com" TargetMode="External"/><Relationship Id="rId15" Type="http://schemas.openxmlformats.org/officeDocument/2006/relationships/hyperlink" Target="https://www.ragan.com/press-releases/ragans-center-for-ai-strategy-launches-ai-team-readiness-assessment/" TargetMode="External"/><Relationship Id="rId14" Type="http://schemas.openxmlformats.org/officeDocument/2006/relationships/hyperlink" Target="http://architecturaldigest.com" TargetMode="External"/><Relationship Id="rId17" Type="http://schemas.openxmlformats.org/officeDocument/2006/relationships/hyperlink" Target="https://www.designrush.com/agency/digital-marketing/trends/incrementality-testing" TargetMode="External"/><Relationship Id="rId16" Type="http://schemas.openxmlformats.org/officeDocument/2006/relationships/hyperlink" Target="http://ragan.com" TargetMode="External"/><Relationship Id="rId19" Type="http://schemas.openxmlformats.org/officeDocument/2006/relationships/hyperlink" Target="https://www.einpresswire.com/article/845296836/digital-agency-network-s-comprehensive-ai-agency-directory-to-spotlight-the-future-of-marketing-in-the-usa" TargetMode="External"/><Relationship Id="rId18" Type="http://schemas.openxmlformats.org/officeDocument/2006/relationships/hyperlink" Target="http://designrush.com" TargetMode="External"/><Relationship Id="rId84" Type="http://schemas.openxmlformats.org/officeDocument/2006/relationships/hyperlink" Target="https://www.techradar.com/pro/the-gap-between-ai-potential-and-ai-reality-is-a-leadership-problem" TargetMode="External"/><Relationship Id="rId83" Type="http://schemas.openxmlformats.org/officeDocument/2006/relationships/hyperlink" Target="http://techradar.com" TargetMode="External"/><Relationship Id="rId86" Type="http://schemas.openxmlformats.org/officeDocument/2006/relationships/hyperlink" Target="https://www.thedrum.com/news/as-holdcos-reinvent-themselves-here-are-the-notes-indies-should-be-taking" TargetMode="External"/><Relationship Id="rId85" Type="http://schemas.openxmlformats.org/officeDocument/2006/relationships/hyperlink" Target="http://techradar.com" TargetMode="External"/><Relationship Id="rId88" Type="http://schemas.openxmlformats.org/officeDocument/2006/relationships/hyperlink" Target="https://www.wsj.com/cio-journal/the-ai-superfans-companies-count-on-to-convert-the-skeptics-5b301a90" TargetMode="External"/><Relationship Id="rId87" Type="http://schemas.openxmlformats.org/officeDocument/2006/relationships/hyperlink" Target="http://thedrum.com" TargetMode="External"/><Relationship Id="rId89" Type="http://schemas.openxmlformats.org/officeDocument/2006/relationships/hyperlink" Target="http://wsj.com" TargetMode="External"/><Relationship Id="rId80" Type="http://schemas.openxmlformats.org/officeDocument/2006/relationships/hyperlink" Target="https://www.incrmntal.com/faq/what-is-incrementality-testing" TargetMode="External"/><Relationship Id="rId82" Type="http://schemas.openxmlformats.org/officeDocument/2006/relationships/hyperlink" Target="https://www.techradar.com/pro/agentic-search-optimization-reshapes-brand-visibility-in-ai-search" TargetMode="External"/><Relationship Id="rId81" Type="http://schemas.openxmlformats.org/officeDocument/2006/relationships/hyperlink" Target="http://incrmntal.com" TargetMode="External"/><Relationship Id="rId73" Type="http://schemas.openxmlformats.org/officeDocument/2006/relationships/hyperlink" Target="http://campaignlive.com" TargetMode="External"/><Relationship Id="rId72" Type="http://schemas.openxmlformats.org/officeDocument/2006/relationships/hyperlink" Target="https://www.campaignlive.com/article/digitas-phd-climb-us-agency-rankings-publicis-groupe-extends-holding-company-lead/1929569" TargetMode="External"/><Relationship Id="rId75" Type="http://schemas.openxmlformats.org/officeDocument/2006/relationships/hyperlink" Target="http://collegian.com" TargetMode="External"/><Relationship Id="rId74" Type="http://schemas.openxmlformats.org/officeDocument/2006/relationships/hyperlink" Target="https://collegian.com/sponsored/2025/09/top-10-geo-marketing-agencies-for-improving-ai-search-2025/" TargetMode="External"/><Relationship Id="rId77" Type="http://schemas.openxmlformats.org/officeDocument/2006/relationships/hyperlink" Target="http://dontpaniclondon.com" TargetMode="External"/><Relationship Id="rId76" Type="http://schemas.openxmlformats.org/officeDocument/2006/relationships/hyperlink" Target="https://www.dontpaniclondon.com/blog/what-is-a-creative-agency/" TargetMode="External"/><Relationship Id="rId79" Type="http://schemas.openxmlformats.org/officeDocument/2006/relationships/hyperlink" Target="http://yahoo.com" TargetMode="External"/><Relationship Id="rId78" Type="http://schemas.openxmlformats.org/officeDocument/2006/relationships/hyperlink" Target="https://finance.yahoo.com/sectors/technology/articles/adswerve-named-north-american-partner-150000804.html" TargetMode="External"/><Relationship Id="rId71" Type="http://schemas.openxmlformats.org/officeDocument/2006/relationships/hyperlink" Target="http://campaignlive.com" TargetMode="External"/><Relationship Id="rId70" Type="http://schemas.openxmlformats.org/officeDocument/2006/relationships/hyperlink" Target="https://www.campaignlive.com/article/agency-performance-review-2025-accenture-song/1913469" TargetMode="External"/><Relationship Id="rId62" Type="http://schemas.openxmlformats.org/officeDocument/2006/relationships/hyperlink" Target="http://arxiv.org" TargetMode="External"/><Relationship Id="rId61" Type="http://schemas.openxmlformats.org/officeDocument/2006/relationships/hyperlink" Target="https://arxiv.org/abs/2403.14674" TargetMode="External"/><Relationship Id="rId64" Type="http://schemas.openxmlformats.org/officeDocument/2006/relationships/hyperlink" Target="http://arxiv.org" TargetMode="External"/><Relationship Id="rId63" Type="http://schemas.openxmlformats.org/officeDocument/2006/relationships/hyperlink" Target="https://arxiv.org/abs/2604.16369" TargetMode="External"/><Relationship Id="rId66" Type="http://schemas.openxmlformats.org/officeDocument/2006/relationships/hyperlink" Target="https://www.brafton.com/blog/paid-search-blog/programmatic-ad-mediation/" TargetMode="External"/><Relationship Id="rId65" Type="http://schemas.openxmlformats.org/officeDocument/2006/relationships/hyperlink" Target="https://blog.google/products/marketingplatform/360/introducing-google-marketing-platform-partners/" TargetMode="External"/><Relationship Id="rId68" Type="http://schemas.openxmlformats.org/officeDocument/2006/relationships/hyperlink" Target="https://www.businesswire.com/news/home/20240307034583/en/Barkley-and-OKRP-to-Merge" TargetMode="External"/><Relationship Id="rId67" Type="http://schemas.openxmlformats.org/officeDocument/2006/relationships/hyperlink" Target="http://brafton.com" TargetMode="External"/><Relationship Id="rId60" Type="http://schemas.openxmlformats.org/officeDocument/2006/relationships/hyperlink" Target="http://wsj.com" TargetMode="External"/><Relationship Id="rId69" Type="http://schemas.openxmlformats.org/officeDocument/2006/relationships/hyperlink" Target="http://businesswire.com" TargetMode="External"/><Relationship Id="rId51" Type="http://schemas.openxmlformats.org/officeDocument/2006/relationships/hyperlink" Target="https://transparent.partners/2023/03/15/unlock-revenue-with-incrementality-measurement-and-scale-testing/" TargetMode="External"/><Relationship Id="rId50" Type="http://schemas.openxmlformats.org/officeDocument/2006/relationships/hyperlink" Target="http://google.com" TargetMode="External"/><Relationship Id="rId53" Type="http://schemas.openxmlformats.org/officeDocument/2006/relationships/hyperlink" Target="https://www.itpro.com/business/business-strategy/ai-projects-are-stalling-at-mid-market-firms-google-cloud-and-accenture-want-to-solve-that" TargetMode="External"/><Relationship Id="rId52" Type="http://schemas.openxmlformats.org/officeDocument/2006/relationships/hyperlink" Target="https://indieagency.news/congratulations-to-our-member-adweek-agency-of-the-year-winners/" TargetMode="External"/><Relationship Id="rId55" Type="http://schemas.openxmlformats.org/officeDocument/2006/relationships/hyperlink" Target="https://www.marketingdive.com/news/barkley-okrp-merger-big-indie-independent-agency-trend/709869/" TargetMode="External"/><Relationship Id="rId54" Type="http://schemas.openxmlformats.org/officeDocument/2006/relationships/hyperlink" Target="http://itpro.com" TargetMode="External"/><Relationship Id="rId57" Type="http://schemas.openxmlformats.org/officeDocument/2006/relationships/hyperlink" Target="https://www.thedrum.com/news/how-agencies-are-finding-power-the-middle-independent-networks-reshape-the-market" TargetMode="External"/><Relationship Id="rId56" Type="http://schemas.openxmlformats.org/officeDocument/2006/relationships/hyperlink" Target="http://marketingdive.com" TargetMode="External"/><Relationship Id="rId59" Type="http://schemas.openxmlformats.org/officeDocument/2006/relationships/hyperlink" Target="https://www.wsj.com/business/earnings/publicis-raises-guidance-citing-new-business-wins-ad4f0d98" TargetMode="External"/><Relationship Id="rId58" Type="http://schemas.openxmlformats.org/officeDocument/2006/relationships/hyperlink" Target="http://thedrum.com" TargetMode="External"/><Relationship Id="rId95" Type="http://schemas.openxmlformats.org/officeDocument/2006/relationships/hyperlink" Target="http://abry.com" TargetMode="External"/><Relationship Id="rId94" Type="http://schemas.openxmlformats.org/officeDocument/2006/relationships/hyperlink" Target="https://abry.com/news-article/abry-partners-backed-adswerve-acquires-analytics-pros/" TargetMode="External"/><Relationship Id="rId97" Type="http://schemas.openxmlformats.org/officeDocument/2006/relationships/hyperlink" Target="http://aidigital.com" TargetMode="External"/><Relationship Id="rId96" Type="http://schemas.openxmlformats.org/officeDocument/2006/relationships/hyperlink" Target="https://www.aidigital.com/blog/unified-marketing-measurement" TargetMode="External"/><Relationship Id="rId99" Type="http://schemas.openxmlformats.org/officeDocument/2006/relationships/hyperlink" Target="http://aidigital.com" TargetMode="External"/><Relationship Id="rId98" Type="http://schemas.openxmlformats.org/officeDocument/2006/relationships/hyperlink" Target="https://www.aidigital.com/blog/what-is-incrementality-testing-in-marketing" TargetMode="External"/><Relationship Id="rId91" Type="http://schemas.openxmlformats.org/officeDocument/2006/relationships/hyperlink" Target="http://wsj.com" TargetMode="External"/><Relationship Id="rId90" Type="http://schemas.openxmlformats.org/officeDocument/2006/relationships/hyperlink" Target="https://www.wsj.com/tech/ai/ai-needs-management-consultants-after-all-bd28ecb9" TargetMode="External"/><Relationship Id="rId93" Type="http://schemas.openxmlformats.org/officeDocument/2006/relationships/hyperlink" Target="http://zymr.com" TargetMode="External"/><Relationship Id="rId92" Type="http://schemas.openxmlformats.org/officeDocument/2006/relationships/hyperlink" Target="https://www.zymr.com/blog/how-to-choose-the-right-ai-consulting-company-in-the-usa" TargetMode="External"/><Relationship Id="rId228" Type="http://schemas.openxmlformats.org/officeDocument/2006/relationships/hyperlink" Target="https://www.youtube.com/watch?v=LPvRUxJ5J1E" TargetMode="External"/><Relationship Id="rId227" Type="http://schemas.openxmlformats.org/officeDocument/2006/relationships/hyperlink" Target="http://wsj.com" TargetMode="External"/><Relationship Id="rId226" Type="http://schemas.openxmlformats.org/officeDocument/2006/relationships/hyperlink" Target="https://www.wsj.com/articles/big-ad-agencies-hope-to-gain-edge-by-buying-data-companies-11560823201" TargetMode="External"/><Relationship Id="rId225" Type="http://schemas.openxmlformats.org/officeDocument/2006/relationships/hyperlink" Target="http://worldcomgroup.com" TargetMode="External"/><Relationship Id="rId229" Type="http://schemas.openxmlformats.org/officeDocument/2006/relationships/hyperlink" Target="http://youtube.com" TargetMode="External"/><Relationship Id="rId220" Type="http://schemas.openxmlformats.org/officeDocument/2006/relationships/hyperlink" Target="https://www.vdigitalservices.com/press-releases/v-digital-services-earns-google-premier-partner-status-for-fifth-consecutive-year/" TargetMode="External"/><Relationship Id="rId224" Type="http://schemas.openxmlformats.org/officeDocument/2006/relationships/hyperlink" Target="https://worldcomgroup.com/insights/ai-visibility-and-new-era-of-pr/" TargetMode="External"/><Relationship Id="rId223" Type="http://schemas.openxmlformats.org/officeDocument/2006/relationships/hyperlink" Target="http://whitehat-seo.co.uk" TargetMode="External"/><Relationship Id="rId222" Type="http://schemas.openxmlformats.org/officeDocument/2006/relationships/hyperlink" Target="https://whitehat-seo.co.uk/blog/ai-impact-on-consulting" TargetMode="External"/><Relationship Id="rId221" Type="http://schemas.openxmlformats.org/officeDocument/2006/relationships/hyperlink" Target="http://vdigitalservices.com" TargetMode="External"/><Relationship Id="rId217" Type="http://schemas.openxmlformats.org/officeDocument/2006/relationships/hyperlink" Target="http://tradingview.com" TargetMode="External"/><Relationship Id="rId216" Type="http://schemas.openxmlformats.org/officeDocument/2006/relationships/hyperlink" Target="https://www.tradingview.com/news/zacks:213c37a79094b:0-ai-powered-earth-observation-drives-planet-labs-growth/" TargetMode="External"/><Relationship Id="rId215" Type="http://schemas.openxmlformats.org/officeDocument/2006/relationships/hyperlink" Target="http://thegutenberg.com" TargetMode="External"/><Relationship Id="rId214" Type="http://schemas.openxmlformats.org/officeDocument/2006/relationships/hyperlink" Target="https://www.thegutenberg.com/blog/measuring-marketing-roi-in-the-tech-industry-key-metrics-and-tools/" TargetMode="External"/><Relationship Id="rId219" Type="http://schemas.openxmlformats.org/officeDocument/2006/relationships/hyperlink" Target="http://omnicommedia.com" TargetMode="External"/><Relationship Id="rId218" Type="http://schemas.openxmlformats.org/officeDocument/2006/relationships/hyperlink" Target="https://transform.omnicommedia.com/report-confirms-omnicom-media-leads-global-media-management-following-omg-mediabrands-integration/" TargetMode="External"/><Relationship Id="rId213" Type="http://schemas.openxmlformats.org/officeDocument/2006/relationships/hyperlink" Target="http://theaustralian.com.au" TargetMode="External"/><Relationship Id="rId212" Type="http://schemas.openxmlformats.org/officeDocument/2006/relationships/hyperlink" Target="https://www.theaustralian.com.au/sponsored-content/beyond-ai-pilots-the-organisations-turning-ai-ambition-into-action/news-story/415e261ad0bf616e51c3b7b79b17a86f" TargetMode="External"/><Relationship Id="rId211" Type="http://schemas.openxmlformats.org/officeDocument/2006/relationships/hyperlink" Target="http://superside.com" TargetMode="External"/><Relationship Id="rId210" Type="http://schemas.openxmlformats.org/officeDocument/2006/relationships/hyperlink" Target="https://www.superside.com/blog/creative-at-scale" TargetMode="External"/><Relationship Id="rId242" Type="http://schemas.openxmlformats.org/officeDocument/2006/relationships/hyperlink" Target="https://zetaglobal.com/resource-center/ai-first-party-data-agency-growth/" TargetMode="External"/><Relationship Id="rId241" Type="http://schemas.openxmlformats.org/officeDocument/2006/relationships/hyperlink" Target="http://youtube.com" TargetMode="External"/><Relationship Id="rId240" Type="http://schemas.openxmlformats.org/officeDocument/2006/relationships/hyperlink" Target="https://www.youtube.com/watch?v=ytsrFDab4QQ" TargetMode="External"/><Relationship Id="rId244" Type="http://schemas.openxmlformats.org/officeDocument/2006/relationships/drawing" Target="../drawings/drawing20.xml"/><Relationship Id="rId243" Type="http://schemas.openxmlformats.org/officeDocument/2006/relationships/hyperlink" Target="http://zetaglobal.com" TargetMode="External"/><Relationship Id="rId239" Type="http://schemas.openxmlformats.org/officeDocument/2006/relationships/hyperlink" Target="http://youtube.com" TargetMode="External"/><Relationship Id="rId238" Type="http://schemas.openxmlformats.org/officeDocument/2006/relationships/hyperlink" Target="https://www.youtube.com/watch?v=a_Q3LpltO8I&amp;t=2" TargetMode="External"/><Relationship Id="rId237" Type="http://schemas.openxmlformats.org/officeDocument/2006/relationships/hyperlink" Target="http://youtube.com" TargetMode="External"/><Relationship Id="rId236" Type="http://schemas.openxmlformats.org/officeDocument/2006/relationships/hyperlink" Target="https://www.youtube.com/watch?v=YVG_HfB0Dpw&amp;t=604" TargetMode="External"/><Relationship Id="rId231" Type="http://schemas.openxmlformats.org/officeDocument/2006/relationships/hyperlink" Target="http://youtube.com" TargetMode="External"/><Relationship Id="rId230" Type="http://schemas.openxmlformats.org/officeDocument/2006/relationships/hyperlink" Target="https://www.youtube.com/watch?v=OvrST0uq8uk" TargetMode="External"/><Relationship Id="rId235" Type="http://schemas.openxmlformats.org/officeDocument/2006/relationships/hyperlink" Target="http://youtube.com" TargetMode="External"/><Relationship Id="rId234" Type="http://schemas.openxmlformats.org/officeDocument/2006/relationships/hyperlink" Target="https://www.youtube.com/watch?v=XuM7q15_u04" TargetMode="External"/><Relationship Id="rId233" Type="http://schemas.openxmlformats.org/officeDocument/2006/relationships/hyperlink" Target="http://youtube.com" TargetMode="External"/><Relationship Id="rId232" Type="http://schemas.openxmlformats.org/officeDocument/2006/relationships/hyperlink" Target="https://www.youtube.com/watch?v=XhMbeN7cH34&amp;t=707" TargetMode="External"/><Relationship Id="rId206" Type="http://schemas.openxmlformats.org/officeDocument/2006/relationships/hyperlink" Target="https://setupad.com/blog/display-advertising-guide/" TargetMode="External"/><Relationship Id="rId205" Type="http://schemas.openxmlformats.org/officeDocument/2006/relationships/hyperlink" Target="http://seerinteractive.com" TargetMode="External"/><Relationship Id="rId204" Type="http://schemas.openxmlformats.org/officeDocument/2006/relationships/hyperlink" Target="https://www.seerinteractive.com/news/seer-interactive-named-a-2026-google-premier-partner" TargetMode="External"/><Relationship Id="rId203" Type="http://schemas.openxmlformats.org/officeDocument/2006/relationships/hyperlink" Target="http://rokt.com" TargetMode="External"/><Relationship Id="rId209" Type="http://schemas.openxmlformats.org/officeDocument/2006/relationships/hyperlink" Target="http://smartosc.com" TargetMode="External"/><Relationship Id="rId208" Type="http://schemas.openxmlformats.org/officeDocument/2006/relationships/hyperlink" Target="https://www.smartosc.com/10-best-ai-services-in-japan/" TargetMode="External"/><Relationship Id="rId207" Type="http://schemas.openxmlformats.org/officeDocument/2006/relationships/hyperlink" Target="http://setupad.com" TargetMode="External"/><Relationship Id="rId202" Type="http://schemas.openxmlformats.org/officeDocument/2006/relationships/hyperlink" Target="https://www.rokt.com/blog/incrementality-performance-standard-rokt-haus-transaction-moment" TargetMode="External"/><Relationship Id="rId201" Type="http://schemas.openxmlformats.org/officeDocument/2006/relationships/hyperlink" Target="http://rockerbox.com" TargetMode="External"/><Relationship Id="rId200" Type="http://schemas.openxmlformats.org/officeDocument/2006/relationships/hyperlink" Target="https://www.rockerbox.com/faq/what-is-incrementality-analysis" TargetMode="External"/><Relationship Id="rId1" Type="http://schemas.openxmlformats.org/officeDocument/2006/relationships/hyperlink" Target="http://ie.edu" TargetMode="External"/><Relationship Id="rId2" Type="http://schemas.openxmlformats.org/officeDocument/2006/relationships/hyperlink" Target="https://supermetrics.com/blog/incrementality-testing" TargetMode="External"/><Relationship Id="rId3" Type="http://schemas.openxmlformats.org/officeDocument/2006/relationships/hyperlink" Target="http://supermetrics.com" TargetMode="External"/><Relationship Id="rId4" Type="http://schemas.openxmlformats.org/officeDocument/2006/relationships/hyperlink" Target="https://business.google.com/us/support/work-with-a-partner/" TargetMode="External"/><Relationship Id="rId9" Type="http://schemas.openxmlformats.org/officeDocument/2006/relationships/hyperlink" Target="https://xponent21.com/insights/10-leading-seo-companies-helping-brands-rank-in-ai-search-and-beyond/" TargetMode="External"/><Relationship Id="rId5" Type="http://schemas.openxmlformats.org/officeDocument/2006/relationships/hyperlink" Target="http://google.com" TargetMode="External"/><Relationship Id="rId6" Type="http://schemas.openxmlformats.org/officeDocument/2006/relationships/hyperlink" Target="https://inbeat.agency/blog/incrementality-testing" TargetMode="External"/><Relationship Id="rId7" Type="http://schemas.openxmlformats.org/officeDocument/2006/relationships/hyperlink" Target="https://www.appsflyer.com/blog/tips-strategy/incrementality-testing-for-marketers/" TargetMode="External"/><Relationship Id="rId8" Type="http://schemas.openxmlformats.org/officeDocument/2006/relationships/hyperlink" Target="http://appsflyer.com" TargetMode="External"/><Relationship Id="rId190" Type="http://schemas.openxmlformats.org/officeDocument/2006/relationships/hyperlink" Target="https://netpeak.us/cases/" TargetMode="External"/><Relationship Id="rId194" Type="http://schemas.openxmlformats.org/officeDocument/2006/relationships/hyperlink" Target="https://www.prnewswire.com/news-releases/measured-announces-2-million-finance-facility-from-timia-capital-corporation-301036413.html" TargetMode="External"/><Relationship Id="rId193" Type="http://schemas.openxmlformats.org/officeDocument/2006/relationships/hyperlink" Target="http://ogilvy.com" TargetMode="External"/><Relationship Id="rId192" Type="http://schemas.openxmlformats.org/officeDocument/2006/relationships/hyperlink" Target="https://www.ogilvy.com/ideas/ogilvy-recognized-worlds-most-creative-agency-network-warc-5th-consecutive-year" TargetMode="External"/><Relationship Id="rId191" Type="http://schemas.openxmlformats.org/officeDocument/2006/relationships/hyperlink" Target="http://netpeak.us" TargetMode="External"/><Relationship Id="rId187" Type="http://schemas.openxmlformats.org/officeDocument/2006/relationships/hyperlink" Target="http://mikekhorev.com" TargetMode="External"/><Relationship Id="rId186" Type="http://schemas.openxmlformats.org/officeDocument/2006/relationships/hyperlink" Target="https://mikekhorev.com/ai-seo-agency-for-software" TargetMode="External"/><Relationship Id="rId185" Type="http://schemas.openxmlformats.org/officeDocument/2006/relationships/hyperlink" Target="http://merkle.com" TargetMode="External"/><Relationship Id="rId184" Type="http://schemas.openxmlformats.org/officeDocument/2006/relationships/hyperlink" Target="https://www.merkle.com/en/merkle-now/press-releases/2023/merkle-launches-uk-s-largest-and-first-ai-enabled-google-technol.html" TargetMode="External"/><Relationship Id="rId189" Type="http://schemas.openxmlformats.org/officeDocument/2006/relationships/hyperlink" Target="http://neilpatel.com" TargetMode="External"/><Relationship Id="rId188" Type="http://schemas.openxmlformats.org/officeDocument/2006/relationships/hyperlink" Target="https://neilpatel.com/blog/challenge-of-marketing-attribution/" TargetMode="External"/><Relationship Id="rId183" Type="http://schemas.openxmlformats.org/officeDocument/2006/relationships/hyperlink" Target="http://mediapost.com" TargetMode="External"/><Relationship Id="rId182" Type="http://schemas.openxmlformats.org/officeDocument/2006/relationships/hyperlink" Target="https://www.mediapost.com/publications/article/407384/omd-repeats-as-top-ranked-us-media-agency-by-billi.html" TargetMode="External"/><Relationship Id="rId181" Type="http://schemas.openxmlformats.org/officeDocument/2006/relationships/hyperlink" Target="http://measured.com" TargetMode="External"/><Relationship Id="rId180" Type="http://schemas.openxmlformats.org/officeDocument/2006/relationships/hyperlink" Target="https://www.measured.com/faq/ad-measurement-the-complete-2026-guide-to-accurate-actionable-marketing-analytics/" TargetMode="External"/><Relationship Id="rId176" Type="http://schemas.openxmlformats.org/officeDocument/2006/relationships/hyperlink" Target="https://www.manilatimes.net/2026/07/15/tmt-newswire/globenewswire/avalon-globocare-expands-ai-product-portfolio-with-planned-launch-of-beacon-an-agentic-generative-engine-optimization-platform-for-small-businesses/2385137" TargetMode="External"/><Relationship Id="rId175" Type="http://schemas.openxmlformats.org/officeDocument/2006/relationships/hyperlink" Target="http://makingscience.com" TargetMode="External"/><Relationship Id="rId174" Type="http://schemas.openxmlformats.org/officeDocument/2006/relationships/hyperlink" Target="https://www.makingscience.com/blog/making-science-expands-us-service-offerings-with-new-google-marketing-platform-sales-partner-certification/" TargetMode="External"/><Relationship Id="rId173" Type="http://schemas.openxmlformats.org/officeDocument/2006/relationships/hyperlink" Target="http://economictimes.com" TargetMode="External"/><Relationship Id="rId179" Type="http://schemas.openxmlformats.org/officeDocument/2006/relationships/hyperlink" Target="http://marketingdive.com" TargetMode="External"/><Relationship Id="rId178" Type="http://schemas.openxmlformats.org/officeDocument/2006/relationships/hyperlink" Target="https://www.marketingdive.com/news/barkleyokrp-acquires-adlucent-performance-marketing-capabilities/715249/" TargetMode="External"/><Relationship Id="rId177" Type="http://schemas.openxmlformats.org/officeDocument/2006/relationships/hyperlink" Target="http://manilatimes.net" TargetMode="External"/><Relationship Id="rId198" Type="http://schemas.openxmlformats.org/officeDocument/2006/relationships/hyperlink" Target="https://www.reuters.com/business/openai-deepens-partnerships-with-consulting-giants-push-enterprise-ai-beyond-2026-02-23/" TargetMode="External"/><Relationship Id="rId197" Type="http://schemas.openxmlformats.org/officeDocument/2006/relationships/hyperlink" Target="http://puremarketing.ai" TargetMode="External"/><Relationship Id="rId196" Type="http://schemas.openxmlformats.org/officeDocument/2006/relationships/hyperlink" Target="https://puremarketing.ai/aeo-agency-montclair/" TargetMode="External"/><Relationship Id="rId195" Type="http://schemas.openxmlformats.org/officeDocument/2006/relationships/hyperlink" Target="http://prnewswire.com" TargetMode="External"/><Relationship Id="rId199" Type="http://schemas.openxmlformats.org/officeDocument/2006/relationships/hyperlink" Target="http://reuters.com" TargetMode="External"/><Relationship Id="rId150" Type="http://schemas.openxmlformats.org/officeDocument/2006/relationships/hyperlink" Target="https://www.experian.com/blogs/marketing-forward/first-party-data-activation-2026/" TargetMode="External"/><Relationship Id="rId149" Type="http://schemas.openxmlformats.org/officeDocument/2006/relationships/hyperlink" Target="http://wikipedia.org" TargetMode="External"/><Relationship Id="rId148" Type="http://schemas.openxmlformats.org/officeDocument/2006/relationships/hyperlink" Target="https://en.wikipedia.org/wiki/The_Interpublic_Group_of_Companies" TargetMode="External"/><Relationship Id="rId143" Type="http://schemas.openxmlformats.org/officeDocument/2006/relationships/hyperlink" Target="http://digitalagencynetwork.com" TargetMode="External"/><Relationship Id="rId142" Type="http://schemas.openxmlformats.org/officeDocument/2006/relationships/hyperlink" Target="https://digitalagencynetwork.com/geo-agency/" TargetMode="External"/><Relationship Id="rId141" Type="http://schemas.openxmlformats.org/officeDocument/2006/relationships/hyperlink" Target="http://wsj.com" TargetMode="External"/><Relationship Id="rId140" Type="http://schemas.openxmlformats.org/officeDocument/2006/relationships/hyperlink" Target="https://deloitte.wsj.com/cmo/the-ai-ready-marketing-organization-4-pillars-for-transformation-b859dc67" TargetMode="External"/><Relationship Id="rId147" Type="http://schemas.openxmlformats.org/officeDocument/2006/relationships/hyperlink" Target="http://wikipedia.org" TargetMode="External"/><Relationship Id="rId146" Type="http://schemas.openxmlformats.org/officeDocument/2006/relationships/hyperlink" Target="https://en.wikipedia.org/wiki/Big_Six_advertising_agencies" TargetMode="External"/><Relationship Id="rId145" Type="http://schemas.openxmlformats.org/officeDocument/2006/relationships/hyperlink" Target="http://effy.ai" TargetMode="External"/><Relationship Id="rId144" Type="http://schemas.openxmlformats.org/officeDocument/2006/relationships/hyperlink" Target="https://www.effy.ai/faq/who-are-the-big-4-ai-agents" TargetMode="External"/><Relationship Id="rId139" Type="http://schemas.openxmlformats.org/officeDocument/2006/relationships/hyperlink" Target="http://wsj.com" TargetMode="External"/><Relationship Id="rId138" Type="http://schemas.openxmlformats.org/officeDocument/2006/relationships/hyperlink" Target="https://deloitte.wsj.com/cmo/is-your-customer-data-ai-ready-5e75b9ac" TargetMode="External"/><Relationship Id="rId137" Type="http://schemas.openxmlformats.org/officeDocument/2006/relationships/hyperlink" Target="http://datafeedwatch.com" TargetMode="External"/><Relationship Id="rId132" Type="http://schemas.openxmlformats.org/officeDocument/2006/relationships/hyperlink" Target="https://www.crowley.com/oea-recertification/" TargetMode="External"/><Relationship Id="rId131" Type="http://schemas.openxmlformats.org/officeDocument/2006/relationships/hyperlink" Target="http://coolnerdsmarketing.com" TargetMode="External"/><Relationship Id="rId130" Type="http://schemas.openxmlformats.org/officeDocument/2006/relationships/hyperlink" Target="https://coolnerdsmarketing.com/marketing-agencies-usa/" TargetMode="External"/><Relationship Id="rId136" Type="http://schemas.openxmlformats.org/officeDocument/2006/relationships/hyperlink" Target="https://www.datafeedwatch.com/blog/cross-channel-attribution" TargetMode="External"/><Relationship Id="rId135" Type="http://schemas.openxmlformats.org/officeDocument/2006/relationships/hyperlink" Target="http://customssupport.com" TargetMode="External"/><Relationship Id="rId134" Type="http://schemas.openxmlformats.org/officeDocument/2006/relationships/hyperlink" Target="https://www.customssupport.com/everything-you-need-know-about-getting-aeo-certified/" TargetMode="External"/><Relationship Id="rId133" Type="http://schemas.openxmlformats.org/officeDocument/2006/relationships/hyperlink" Target="http://crowley.com" TargetMode="External"/><Relationship Id="rId172" Type="http://schemas.openxmlformats.org/officeDocument/2006/relationships/hyperlink" Target="https://m.economictimes.com/industry/services/advertising/bcg-sees-wider-ai-execution-gap-in-india-as-marketers-prepare-for-agentic-ai/articleshow/132398248.cms" TargetMode="External"/><Relationship Id="rId171" Type="http://schemas.openxmlformats.org/officeDocument/2006/relationships/hyperlink" Target="http://linkedin.com" TargetMode="External"/><Relationship Id="rId170" Type="http://schemas.openxmlformats.org/officeDocument/2006/relationships/hyperlink" Target="https://www.linkedin.com/pulse/deconstructing-common-solutions-first-party-data-pierre-cholet-booce" TargetMode="External"/><Relationship Id="rId165" Type="http://schemas.openxmlformats.org/officeDocument/2006/relationships/hyperlink" Target="http://ipsos.com" TargetMode="External"/><Relationship Id="rId164" Type="http://schemas.openxmlformats.org/officeDocument/2006/relationships/hyperlink" Target="https://www.ipsos.com/en-us/leader-mmos-q1-2026-forrester-wave-announcement" TargetMode="External"/><Relationship Id="rId163" Type="http://schemas.openxmlformats.org/officeDocument/2006/relationships/hyperlink" Target="http://choicehotels.com" TargetMode="External"/><Relationship Id="rId162" Type="http://schemas.openxmlformats.org/officeDocument/2006/relationships/hyperlink" Target="https://investor.choicehotels.com/news/news-details/2024/Choice-Hotels-International-Engages-Top-Tier-Agencies-72andSunny-New-York-for-Creative-and-dentsu-X-for-Digital-Media-to-Continue-Taking-Its-Consumer-Marketing-to-the-Next-Level/default.aspx" TargetMode="External"/><Relationship Id="rId169" Type="http://schemas.openxmlformats.org/officeDocument/2006/relationships/hyperlink" Target="http://lineardesign.com" TargetMode="External"/><Relationship Id="rId168" Type="http://schemas.openxmlformats.org/officeDocument/2006/relationships/hyperlink" Target="https://lineardesign.com/blog/pay-per-click-advertising-company/" TargetMode="External"/><Relationship Id="rId167" Type="http://schemas.openxmlformats.org/officeDocument/2006/relationships/hyperlink" Target="http://justuno.com" TargetMode="External"/><Relationship Id="rId166" Type="http://schemas.openxmlformats.org/officeDocument/2006/relationships/hyperlink" Target="https://www.justuno.com/case-studies/mutesix-powers-full-funnel-marketing/" TargetMode="External"/><Relationship Id="rId161" Type="http://schemas.openxmlformats.org/officeDocument/2006/relationships/hyperlink" Target="http://impressiondigital.com" TargetMode="External"/><Relationship Id="rId160" Type="http://schemas.openxmlformats.org/officeDocument/2006/relationships/hyperlink" Target="https://www.impressiondigital.com/blog/incrementality-testing/" TargetMode="External"/><Relationship Id="rId159" Type="http://schemas.openxmlformats.org/officeDocument/2006/relationships/hyperlink" Target="http://haus.io" TargetMode="External"/><Relationship Id="rId154" Type="http://schemas.openxmlformats.org/officeDocument/2006/relationships/hyperlink" Target="https://getcredo.com/roi-for-marketing/" TargetMode="External"/><Relationship Id="rId153" Type="http://schemas.openxmlformats.org/officeDocument/2006/relationships/hyperlink" Target="http://fortismedia.com" TargetMode="External"/><Relationship Id="rId152" Type="http://schemas.openxmlformats.org/officeDocument/2006/relationships/hyperlink" Target="https://www.fortismedia.com/en/articles/roi-marketing-agency/" TargetMode="External"/><Relationship Id="rId151" Type="http://schemas.openxmlformats.org/officeDocument/2006/relationships/hyperlink" Target="http://experian.com" TargetMode="External"/><Relationship Id="rId158" Type="http://schemas.openxmlformats.org/officeDocument/2006/relationships/hyperlink" Target="https://www.haus.io/customer/tally" TargetMode="External"/><Relationship Id="rId157" Type="http://schemas.openxmlformats.org/officeDocument/2006/relationships/hyperlink" Target="http://haus.io" TargetMode="External"/><Relationship Id="rId156" Type="http://schemas.openxmlformats.org/officeDocument/2006/relationships/hyperlink" Target="https://www.haus.io/blog/incrementality-fundamentals" TargetMode="External"/><Relationship Id="rId155" Type="http://schemas.openxmlformats.org/officeDocument/2006/relationships/hyperlink" Target="http://getcredo.com" TargetMode="External"/><Relationship Id="rId107" Type="http://schemas.openxmlformats.org/officeDocument/2006/relationships/hyperlink" Target="http://arxiv.org" TargetMode="External"/><Relationship Id="rId106" Type="http://schemas.openxmlformats.org/officeDocument/2006/relationships/hyperlink" Target="https://arxiv.org/abs/2605.25517" TargetMode="External"/><Relationship Id="rId105" Type="http://schemas.openxmlformats.org/officeDocument/2006/relationships/hyperlink" Target="http://arxiv.org" TargetMode="External"/><Relationship Id="rId104" Type="http://schemas.openxmlformats.org/officeDocument/2006/relationships/hyperlink" Target="https://arxiv.org/abs/2201.07055" TargetMode="External"/><Relationship Id="rId109" Type="http://schemas.openxmlformats.org/officeDocument/2006/relationships/hyperlink" Target="http://arxiv.org" TargetMode="External"/><Relationship Id="rId108" Type="http://schemas.openxmlformats.org/officeDocument/2006/relationships/hyperlink" Target="https://arxiv.org/abs/2607.14035" TargetMode="External"/><Relationship Id="rId103" Type="http://schemas.openxmlformats.org/officeDocument/2006/relationships/hyperlink" Target="http://als-cs.com" TargetMode="External"/><Relationship Id="rId102" Type="http://schemas.openxmlformats.org/officeDocument/2006/relationships/hyperlink" Target="https://www.als-cs.com/glossary/a/authorized-economic-operator-aeo-trusted-trader-programs/" TargetMode="External"/><Relationship Id="rId101" Type="http://schemas.openxmlformats.org/officeDocument/2006/relationships/hyperlink" Target="http://aimediagroup.com" TargetMode="External"/><Relationship Id="rId100" Type="http://schemas.openxmlformats.org/officeDocument/2006/relationships/hyperlink" Target="https://www.aimediagroup.com/post/how-ai-is-revolutionizing-media-buying-smarter-bids-better-results" TargetMode="External"/><Relationship Id="rId129" Type="http://schemas.openxmlformats.org/officeDocument/2006/relationships/hyperlink" Target="http://cmswire.com" TargetMode="External"/><Relationship Id="rId128" Type="http://schemas.openxmlformats.org/officeDocument/2006/relationships/hyperlink" Target="https://www.cmswire.com/customer-experience/what-is-customer-journey-analytics-software/" TargetMode="External"/><Relationship Id="rId127" Type="http://schemas.openxmlformats.org/officeDocument/2006/relationships/hyperlink" Target="http://cimm-us.org" TargetMode="External"/><Relationship Id="rId126" Type="http://schemas.openxmlformats.org/officeDocument/2006/relationships/hyperlink" Target="https://cimm-us.org/comprehensive-comparison-of-attribution-measurement-providers-unveiled-at-7th-annual-cimm-summit/" TargetMode="External"/><Relationship Id="rId121" Type="http://schemas.openxmlformats.org/officeDocument/2006/relationships/hyperlink" Target="http://businessinsider.com" TargetMode="External"/><Relationship Id="rId120" Type="http://schemas.openxmlformats.org/officeDocument/2006/relationships/hyperlink" Target="https://www.businessinsider.com/top-geo-tips-ai-search-google-microsoft-perplexity-2025-12" TargetMode="External"/><Relationship Id="rId125" Type="http://schemas.openxmlformats.org/officeDocument/2006/relationships/hyperlink" Target="http://capitala.co" TargetMode="External"/><Relationship Id="rId124" Type="http://schemas.openxmlformats.org/officeDocument/2006/relationships/hyperlink" Target="https://www.capitala.co/uncategorized/20506/futureproofing-the-power-of-digital-marking-agency-investments/" TargetMode="External"/><Relationship Id="rId123" Type="http://schemas.openxmlformats.org/officeDocument/2006/relationships/hyperlink" Target="http://campaignlive.com" TargetMode="External"/><Relationship Id="rId122" Type="http://schemas.openxmlformats.org/officeDocument/2006/relationships/hyperlink" Target="https://www.campaignlive.com/article/final-2024-us-media-agency-rankings-in-claimed-top-spot/1907166" TargetMode="External"/><Relationship Id="rId118" Type="http://schemas.openxmlformats.org/officeDocument/2006/relationships/hyperlink" Target="https://www.businessinsider.com/how-ai-is-changing-consulting-talent-at-mckinsey-pwc-deloitte-2025-12" TargetMode="External"/><Relationship Id="rId117" Type="http://schemas.openxmlformats.org/officeDocument/2006/relationships/hyperlink" Target="http://google.com" TargetMode="External"/><Relationship Id="rId116" Type="http://schemas.openxmlformats.org/officeDocument/2006/relationships/hyperlink" Target="https://business.google.com/us/think/measurement/incrementality-testing/" TargetMode="External"/><Relationship Id="rId115" Type="http://schemas.openxmlformats.org/officeDocument/2006/relationships/hyperlink" Target="http://adobe.com" TargetMode="External"/><Relationship Id="rId119" Type="http://schemas.openxmlformats.org/officeDocument/2006/relationships/hyperlink" Target="http://businessinsider.com" TargetMode="External"/><Relationship Id="rId110" Type="http://schemas.openxmlformats.org/officeDocument/2006/relationships/hyperlink" Target="https://aspiremarketers.com/top-performance-marketing-companies/" TargetMode="External"/><Relationship Id="rId114" Type="http://schemas.openxmlformats.org/officeDocument/2006/relationships/hyperlink" Target="https://business.adobe.com/blog/basics/marketing-attribution" TargetMode="External"/><Relationship Id="rId113" Type="http://schemas.openxmlformats.org/officeDocument/2006/relationships/hyperlink" Target="http://barkleyokrp.com" TargetMode="External"/><Relationship Id="rId112" Type="http://schemas.openxmlformats.org/officeDocument/2006/relationships/hyperlink" Target="https://barkleyokrp.com/barkleyokrps-adlucent-are-now-google-marketing-platform-certified-partners/" TargetMode="External"/><Relationship Id="rId111" Type="http://schemas.openxmlformats.org/officeDocument/2006/relationships/hyperlink" Target="http://aspiremarketers.com" TargetMode="External"/></Relationships>
</file>

<file path=xl/worksheets/_rels/sheet21.xml.rels><?xml version="1.0" encoding="UTF-8" standalone="yes"?><Relationships xmlns="http://schemas.openxmlformats.org/package/2006/relationships"><Relationship Id="rId379" Type="http://schemas.openxmlformats.org/officeDocument/2006/relationships/drawing" Target="../drawings/drawing21.xml"/><Relationship Id="rId374" Type="http://schemas.openxmlformats.org/officeDocument/2006/relationships/hyperlink" Target="http://tinuiti.com" TargetMode="External"/><Relationship Id="rId373" Type="http://schemas.openxmlformats.org/officeDocument/2006/relationships/hyperlink" Target="https://tinuiti.com/services/" TargetMode="External"/><Relationship Id="rId372" Type="http://schemas.openxmlformats.org/officeDocument/2006/relationships/hyperlink" Target="http://themanifest.com" TargetMode="External"/><Relationship Id="rId371" Type="http://schemas.openxmlformats.org/officeDocument/2006/relationships/hyperlink" Target="https://themanifest.com/us/social-media/instagram/agencies" TargetMode="External"/><Relationship Id="rId378" Type="http://schemas.openxmlformats.org/officeDocument/2006/relationships/hyperlink" Target="http://weblystudio.com" TargetMode="External"/><Relationship Id="rId377" Type="http://schemas.openxmlformats.org/officeDocument/2006/relationships/hyperlink" Target="https://weblystudio.com/work/" TargetMode="External"/><Relationship Id="rId376" Type="http://schemas.openxmlformats.org/officeDocument/2006/relationships/hyperlink" Target="http://topmarketingagencies.com" TargetMode="External"/><Relationship Id="rId375" Type="http://schemas.openxmlformats.org/officeDocument/2006/relationships/hyperlink" Target="https://topmarketingagencies.com/case-studies/" TargetMode="External"/><Relationship Id="rId40" Type="http://schemas.openxmlformats.org/officeDocument/2006/relationships/hyperlink" Target="https://clutch.co/us/seo-firms/generative-engine-optimization" TargetMode="External"/><Relationship Id="rId42" Type="http://schemas.openxmlformats.org/officeDocument/2006/relationships/hyperlink" Target="https://www.g2.com/categories/marketing-analytics-services" TargetMode="External"/><Relationship Id="rId41" Type="http://schemas.openxmlformats.org/officeDocument/2006/relationships/hyperlink" Target="http://clutch.co" TargetMode="External"/><Relationship Id="rId44" Type="http://schemas.openxmlformats.org/officeDocument/2006/relationships/hyperlink" Target="https://agencies.semrush.com/list/smm/united-states/" TargetMode="External"/><Relationship Id="rId43" Type="http://schemas.openxmlformats.org/officeDocument/2006/relationships/hyperlink" Target="http://g2.com" TargetMode="External"/><Relationship Id="rId46" Type="http://schemas.openxmlformats.org/officeDocument/2006/relationships/hyperlink" Target="https://agencies.semrush.com/list/ai-optimization/united-states/" TargetMode="External"/><Relationship Id="rId45" Type="http://schemas.openxmlformats.org/officeDocument/2006/relationships/hyperlink" Target="http://semrush.com" TargetMode="External"/><Relationship Id="rId48" Type="http://schemas.openxmlformats.org/officeDocument/2006/relationships/hyperlink" Target="https://www.gartner.com/reviews/market/advanced-analytics-service-providers-for-marketing" TargetMode="External"/><Relationship Id="rId47" Type="http://schemas.openxmlformats.org/officeDocument/2006/relationships/hyperlink" Target="http://semrush.com" TargetMode="External"/><Relationship Id="rId49" Type="http://schemas.openxmlformats.org/officeDocument/2006/relationships/hyperlink" Target="http://gartner.com" TargetMode="External"/><Relationship Id="rId31" Type="http://schemas.openxmlformats.org/officeDocument/2006/relationships/hyperlink" Target="http://agencyvista.com" TargetMode="External"/><Relationship Id="rId30" Type="http://schemas.openxmlformats.org/officeDocument/2006/relationships/hyperlink" Target="https://agencyvista.com/lists/google-marketing-platform-sales-partners/" TargetMode="External"/><Relationship Id="rId33" Type="http://schemas.openxmlformats.org/officeDocument/2006/relationships/hyperlink" Target="http://clutch.co" TargetMode="External"/><Relationship Id="rId32" Type="http://schemas.openxmlformats.org/officeDocument/2006/relationships/hyperlink" Target="https://clutch.co/agencies/ppc/display" TargetMode="External"/><Relationship Id="rId35" Type="http://schemas.openxmlformats.org/officeDocument/2006/relationships/hyperlink" Target="http://clutch.co" TargetMode="External"/><Relationship Id="rId34" Type="http://schemas.openxmlformats.org/officeDocument/2006/relationships/hyperlink" Target="https://clutch.co/agencies/performance-marketing" TargetMode="External"/><Relationship Id="rId37" Type="http://schemas.openxmlformats.org/officeDocument/2006/relationships/hyperlink" Target="http://designrush.com" TargetMode="External"/><Relationship Id="rId36" Type="http://schemas.openxmlformats.org/officeDocument/2006/relationships/hyperlink" Target="https://www.designrush.com/agency/digital-marketing/analytics" TargetMode="External"/><Relationship Id="rId39" Type="http://schemas.openxmlformats.org/officeDocument/2006/relationships/hyperlink" Target="http://sortlist.com" TargetMode="External"/><Relationship Id="rId38" Type="http://schemas.openxmlformats.org/officeDocument/2006/relationships/hyperlink" Target="https://www.sortlist.com/s/performance-marketing/united-states-us" TargetMode="External"/><Relationship Id="rId20" Type="http://schemas.openxmlformats.org/officeDocument/2006/relationships/hyperlink" Target="https://clutch.co/us/agencies/ppc/advertising-industry" TargetMode="External"/><Relationship Id="rId22" Type="http://schemas.openxmlformats.org/officeDocument/2006/relationships/hyperlink" Target="https://www.sortlist.com/s/display-advertising/united-states-us" TargetMode="External"/><Relationship Id="rId21" Type="http://schemas.openxmlformats.org/officeDocument/2006/relationships/hyperlink" Target="http://clutch.co" TargetMode="External"/><Relationship Id="rId24" Type="http://schemas.openxmlformats.org/officeDocument/2006/relationships/hyperlink" Target="https://www.agencycluster.com/top-50/branding-creative-agencies" TargetMode="External"/><Relationship Id="rId23" Type="http://schemas.openxmlformats.org/officeDocument/2006/relationships/hyperlink" Target="http://sortlist.com" TargetMode="External"/><Relationship Id="rId26" Type="http://schemas.openxmlformats.org/officeDocument/2006/relationships/hyperlink" Target="https://clutch.co/agencies" TargetMode="External"/><Relationship Id="rId25" Type="http://schemas.openxmlformats.org/officeDocument/2006/relationships/hyperlink" Target="http://agencycluster.com" TargetMode="External"/><Relationship Id="rId28" Type="http://schemas.openxmlformats.org/officeDocument/2006/relationships/hyperlink" Target="https://digitalagencynetwork.com/agencies/usa/creative/" TargetMode="External"/><Relationship Id="rId27" Type="http://schemas.openxmlformats.org/officeDocument/2006/relationships/hyperlink" Target="http://clutch.co" TargetMode="External"/><Relationship Id="rId29" Type="http://schemas.openxmlformats.org/officeDocument/2006/relationships/hyperlink" Target="http://digitalagencynetwork.com" TargetMode="External"/><Relationship Id="rId11" Type="http://schemas.openxmlformats.org/officeDocument/2006/relationships/hyperlink" Target="http://designrush.com" TargetMode="External"/><Relationship Id="rId10" Type="http://schemas.openxmlformats.org/officeDocument/2006/relationships/hyperlink" Target="https://www.designrush.com/agency/digital-marketing/analytics/us" TargetMode="External"/><Relationship Id="rId13" Type="http://schemas.openxmlformats.org/officeDocument/2006/relationships/hyperlink" Target="http://agencycluster.com" TargetMode="External"/><Relationship Id="rId12" Type="http://schemas.openxmlformats.org/officeDocument/2006/relationships/hyperlink" Target="https://www.agencycluster.com/top-50/ppc-performance-marketing-agencies" TargetMode="External"/><Relationship Id="rId15" Type="http://schemas.openxmlformats.org/officeDocument/2006/relationships/hyperlink" Target="http://clutch.co" TargetMode="External"/><Relationship Id="rId14" Type="http://schemas.openxmlformats.org/officeDocument/2006/relationships/hyperlink" Target="https://clutch.co/us/agencies/ppc" TargetMode="External"/><Relationship Id="rId17" Type="http://schemas.openxmlformats.org/officeDocument/2006/relationships/hyperlink" Target="http://goodfirms.co" TargetMode="External"/><Relationship Id="rId16" Type="http://schemas.openxmlformats.org/officeDocument/2006/relationships/hyperlink" Target="https://www.goodfirms.co/directory/country/top-digital-marketing-companies/us" TargetMode="External"/><Relationship Id="rId19" Type="http://schemas.openxmlformats.org/officeDocument/2006/relationships/hyperlink" Target="http://clutch.co" TargetMode="External"/><Relationship Id="rId18" Type="http://schemas.openxmlformats.org/officeDocument/2006/relationships/hyperlink" Target="https://clutch.co/us/agencies/social-media-marketing" TargetMode="External"/><Relationship Id="rId84" Type="http://schemas.openxmlformats.org/officeDocument/2006/relationships/hyperlink" Target="http://gartner.com" TargetMode="External"/><Relationship Id="rId83" Type="http://schemas.openxmlformats.org/officeDocument/2006/relationships/hyperlink" Target="https://www.gartner.com/reviews/market/incrementality-measurement-platforms" TargetMode="External"/><Relationship Id="rId86" Type="http://schemas.openxmlformats.org/officeDocument/2006/relationships/hyperlink" Target="http://google.com" TargetMode="External"/><Relationship Id="rId85" Type="http://schemas.openxmlformats.org/officeDocument/2006/relationships/hyperlink" Target="https://www.google.com/ads/publisher/partners/find-a-partner/" TargetMode="External"/><Relationship Id="rId88" Type="http://schemas.openxmlformats.org/officeDocument/2006/relationships/hyperlink" Target="http://scopicstudios.com" TargetMode="External"/><Relationship Id="rId87" Type="http://schemas.openxmlformats.org/officeDocument/2006/relationships/hyperlink" Target="https://scopicstudios.com/blog/best-incrementality-testing-tools-2026/" TargetMode="External"/><Relationship Id="rId89" Type="http://schemas.openxmlformats.org/officeDocument/2006/relationships/hyperlink" Target="https://www.50pros.com/hire/advertising/attribution-and-measurement" TargetMode="External"/><Relationship Id="rId80" Type="http://schemas.openxmlformats.org/officeDocument/2006/relationships/hyperlink" Target="http://clutch.co" TargetMode="External"/><Relationship Id="rId82" Type="http://schemas.openxmlformats.org/officeDocument/2006/relationships/hyperlink" Target="http://semrush.com" TargetMode="External"/><Relationship Id="rId81" Type="http://schemas.openxmlformats.org/officeDocument/2006/relationships/hyperlink" Target="https://agencies.semrush.com/list/display-advertising/united-states/mid-business/" TargetMode="External"/><Relationship Id="rId73" Type="http://schemas.openxmlformats.org/officeDocument/2006/relationships/hyperlink" Target="https://agencies.semrush.com/list/display-advertising/united-states/enterprise-business/" TargetMode="External"/><Relationship Id="rId72" Type="http://schemas.openxmlformats.org/officeDocument/2006/relationships/hyperlink" Target="https://enterprisemarketingportal.google/find-a-partner" TargetMode="External"/><Relationship Id="rId75" Type="http://schemas.openxmlformats.org/officeDocument/2006/relationships/hyperlink" Target="https://clutch.co/agencies/ppc/google-adwords" TargetMode="External"/><Relationship Id="rId74" Type="http://schemas.openxmlformats.org/officeDocument/2006/relationships/hyperlink" Target="http://semrush.com" TargetMode="External"/><Relationship Id="rId77" Type="http://schemas.openxmlformats.org/officeDocument/2006/relationships/hyperlink" Target="https://clutch.co/us/agencies/ppc/display?page=2" TargetMode="External"/><Relationship Id="rId76" Type="http://schemas.openxmlformats.org/officeDocument/2006/relationships/hyperlink" Target="http://clutch.co" TargetMode="External"/><Relationship Id="rId79" Type="http://schemas.openxmlformats.org/officeDocument/2006/relationships/hyperlink" Target="https://clutch.co/us/agencies/ppc/display?page=8" TargetMode="External"/><Relationship Id="rId78" Type="http://schemas.openxmlformats.org/officeDocument/2006/relationships/hyperlink" Target="http://clutch.co" TargetMode="External"/><Relationship Id="rId71" Type="http://schemas.openxmlformats.org/officeDocument/2006/relationships/hyperlink" Target="http://clutch.co" TargetMode="External"/><Relationship Id="rId70" Type="http://schemas.openxmlformats.org/officeDocument/2006/relationships/hyperlink" Target="https://clutch.co/us/agencies/ppc/google-adwords" TargetMode="External"/><Relationship Id="rId62" Type="http://schemas.openxmlformats.org/officeDocument/2006/relationships/hyperlink" Target="https://agencies.semrush.com/list/display-advertising/" TargetMode="External"/><Relationship Id="rId61" Type="http://schemas.openxmlformats.org/officeDocument/2006/relationships/hyperlink" Target="http://digitalagencynetwork.com" TargetMode="External"/><Relationship Id="rId64" Type="http://schemas.openxmlformats.org/officeDocument/2006/relationships/hyperlink" Target="https://clutch.co/us/consulting/ai" TargetMode="External"/><Relationship Id="rId63" Type="http://schemas.openxmlformats.org/officeDocument/2006/relationships/hyperlink" Target="http://semrush.com" TargetMode="External"/><Relationship Id="rId66" Type="http://schemas.openxmlformats.org/officeDocument/2006/relationships/hyperlink" Target="https://www.sortlist.com/s/marketing-analytics/united-states-us" TargetMode="External"/><Relationship Id="rId65" Type="http://schemas.openxmlformats.org/officeDocument/2006/relationships/hyperlink" Target="http://clutch.co" TargetMode="External"/><Relationship Id="rId68" Type="http://schemas.openxmlformats.org/officeDocument/2006/relationships/hyperlink" Target="https://clutch.co/agencies/digital-marketing" TargetMode="External"/><Relationship Id="rId67" Type="http://schemas.openxmlformats.org/officeDocument/2006/relationships/hyperlink" Target="http://sortlist.com" TargetMode="External"/><Relationship Id="rId60" Type="http://schemas.openxmlformats.org/officeDocument/2006/relationships/hyperlink" Target="https://digitalagencynetwork.com/agencies/usa/"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us/consulting/ai/strategy" TargetMode="External"/><Relationship Id="rId53" Type="http://schemas.openxmlformats.org/officeDocument/2006/relationships/hyperlink" Target="http://designrush.com" TargetMode="External"/><Relationship Id="rId52" Type="http://schemas.openxmlformats.org/officeDocument/2006/relationships/hyperlink" Target="https://www.designrush.com/agency/creative-agencies/us" TargetMode="External"/><Relationship Id="rId55" Type="http://schemas.openxmlformats.org/officeDocument/2006/relationships/hyperlink" Target="http://clutch.co" TargetMode="External"/><Relationship Id="rId54" Type="http://schemas.openxmlformats.org/officeDocument/2006/relationships/hyperlink" Target="https://clutch.co/agencies/social-media-marketing" TargetMode="External"/><Relationship Id="rId57" Type="http://schemas.openxmlformats.org/officeDocument/2006/relationships/hyperlink" Target="http://clutch.co" TargetMode="External"/><Relationship Id="rId56" Type="http://schemas.openxmlformats.org/officeDocument/2006/relationships/hyperlink" Target="https://clutch.co/agencies/creative" TargetMode="External"/><Relationship Id="rId59" Type="http://schemas.openxmlformats.org/officeDocument/2006/relationships/hyperlink" Target="http://clutch.co" TargetMode="External"/><Relationship Id="rId58" Type="http://schemas.openxmlformats.org/officeDocument/2006/relationships/hyperlink" Target="https://clutch.co/us/agencies/media-buying" TargetMode="External"/><Relationship Id="rId349" Type="http://schemas.openxmlformats.org/officeDocument/2006/relationships/hyperlink" Target="https://scopicstudios.com/blog/best-geo-agencies-ai-search-visibility-2026/" TargetMode="External"/><Relationship Id="rId348" Type="http://schemas.openxmlformats.org/officeDocument/2006/relationships/hyperlink" Target="http://oneclub.org" TargetMode="External"/><Relationship Id="rId347" Type="http://schemas.openxmlformats.org/officeDocument/2006/relationships/hyperlink" Target="https://www.oneclub.org/awards/adcawards/-archive/agency/2025/61/all/1/all" TargetMode="External"/><Relationship Id="rId346" Type="http://schemas.openxmlformats.org/officeDocument/2006/relationships/hyperlink" Target="http://oneclub.org" TargetMode="External"/><Relationship Id="rId341" Type="http://schemas.openxmlformats.org/officeDocument/2006/relationships/hyperlink" Target="https://itprofiles.com/services/media-planning-and-buying/united-states" TargetMode="External"/><Relationship Id="rId340" Type="http://schemas.openxmlformats.org/officeDocument/2006/relationships/hyperlink" Target="http://interodigital.com" TargetMode="External"/><Relationship Id="rId345" Type="http://schemas.openxmlformats.org/officeDocument/2006/relationships/hyperlink" Target="https://www.oneclub.org/awards/adcawards/-archive/agency/2025/38/all/1/840" TargetMode="External"/><Relationship Id="rId344" Type="http://schemas.openxmlformats.org/officeDocument/2006/relationships/hyperlink" Target="http://newcombin.com" TargetMode="External"/><Relationship Id="rId343" Type="http://schemas.openxmlformats.org/officeDocument/2006/relationships/hyperlink" Target="https://newcombin.com/success-stories/" TargetMode="External"/><Relationship Id="rId342" Type="http://schemas.openxmlformats.org/officeDocument/2006/relationships/hyperlink" Target="http://itprofiles.com" TargetMode="External"/><Relationship Id="rId338" Type="http://schemas.openxmlformats.org/officeDocument/2006/relationships/hyperlink" Target="http://intellibright.com" TargetMode="External"/><Relationship Id="rId337" Type="http://schemas.openxmlformats.org/officeDocument/2006/relationships/hyperlink" Target="https://www.intellibright.com/all-case-studies/" TargetMode="External"/><Relationship Id="rId336" Type="http://schemas.openxmlformats.org/officeDocument/2006/relationships/hyperlink" Target="http://infotrust.com" TargetMode="External"/><Relationship Id="rId335" Type="http://schemas.openxmlformats.org/officeDocument/2006/relationships/hyperlink" Target="https://infotrust.com/articles/category/marketing/google-marketing-platform-gmp/" TargetMode="External"/><Relationship Id="rId339" Type="http://schemas.openxmlformats.org/officeDocument/2006/relationships/hyperlink" Target="https://www.interodigital.com/case-studies/" TargetMode="External"/><Relationship Id="rId330" Type="http://schemas.openxmlformats.org/officeDocument/2006/relationships/hyperlink" Target="http://goodfirms.co" TargetMode="External"/><Relationship Id="rId334" Type="http://schemas.openxmlformats.org/officeDocument/2006/relationships/hyperlink" Target="http://greenbook.org" TargetMode="External"/><Relationship Id="rId333" Type="http://schemas.openxmlformats.org/officeDocument/2006/relationships/hyperlink" Target="https://www.greenbook.org/market-research-firms/tracking" TargetMode="External"/><Relationship Id="rId332" Type="http://schemas.openxmlformats.org/officeDocument/2006/relationships/hyperlink" Target="http://goodfirms.co" TargetMode="External"/><Relationship Id="rId331" Type="http://schemas.openxmlformats.org/officeDocument/2006/relationships/hyperlink" Target="https://www.goodfirms.co/directory/marketing-services/top-digital-marketing-companies/generative-engine-optimization" TargetMode="External"/><Relationship Id="rId370" Type="http://schemas.openxmlformats.org/officeDocument/2006/relationships/hyperlink" Target="http://sortlist.com" TargetMode="External"/><Relationship Id="rId369" Type="http://schemas.openxmlformats.org/officeDocument/2006/relationships/hyperlink" Target="https://www.sortlist.com/s/performance-marketing/atlanta-ga-us" TargetMode="External"/><Relationship Id="rId368" Type="http://schemas.openxmlformats.org/officeDocument/2006/relationships/hyperlink" Target="http://sortlist.com" TargetMode="External"/><Relationship Id="rId363" Type="http://schemas.openxmlformats.org/officeDocument/2006/relationships/hyperlink" Target="https://www.sortlist.com/s/artificial-intelligence/united-states-us" TargetMode="External"/><Relationship Id="rId362" Type="http://schemas.openxmlformats.org/officeDocument/2006/relationships/hyperlink" Target="http://sortlist.com" TargetMode="External"/><Relationship Id="rId361" Type="http://schemas.openxmlformats.org/officeDocument/2006/relationships/hyperlink" Target="https://www.sortlist.com/performance-marketing" TargetMode="External"/><Relationship Id="rId360" Type="http://schemas.openxmlformats.org/officeDocument/2006/relationships/hyperlink" Target="http://sortlist.com" TargetMode="External"/><Relationship Id="rId367" Type="http://schemas.openxmlformats.org/officeDocument/2006/relationships/hyperlink" Target="https://www.sortlist.com/s/display-advertising/nashville-tn-us" TargetMode="External"/><Relationship Id="rId366" Type="http://schemas.openxmlformats.org/officeDocument/2006/relationships/hyperlink" Target="http://sortlist.com" TargetMode="External"/><Relationship Id="rId365" Type="http://schemas.openxmlformats.org/officeDocument/2006/relationships/hyperlink" Target="https://www.sortlist.com/s/display-advertising/los-angeles-ca-us" TargetMode="External"/><Relationship Id="rId364" Type="http://schemas.openxmlformats.org/officeDocument/2006/relationships/hyperlink" Target="http://sortlist.com" TargetMode="External"/><Relationship Id="rId95" Type="http://schemas.openxmlformats.org/officeDocument/2006/relationships/hyperlink" Target="https://agencylist.com/services/programmatic-display-and-video/us/" TargetMode="External"/><Relationship Id="rId94" Type="http://schemas.openxmlformats.org/officeDocument/2006/relationships/hyperlink" Target="http://semrush.com" TargetMode="External"/><Relationship Id="rId97" Type="http://schemas.openxmlformats.org/officeDocument/2006/relationships/hyperlink" Target="https://clutch.co/consulting/ai/strategy" TargetMode="External"/><Relationship Id="rId96" Type="http://schemas.openxmlformats.org/officeDocument/2006/relationships/hyperlink" Target="http://agencylist.com" TargetMode="External"/><Relationship Id="rId99" Type="http://schemas.openxmlformats.org/officeDocument/2006/relationships/hyperlink" Target="https://clutch.co/seo-firms/generative-engine-optimization" TargetMode="External"/><Relationship Id="rId98" Type="http://schemas.openxmlformats.org/officeDocument/2006/relationships/hyperlink" Target="http://clutch.co" TargetMode="External"/><Relationship Id="rId91" Type="http://schemas.openxmlformats.org/officeDocument/2006/relationships/hyperlink" Target="https://www.50pros.com/hire/digital-marketing/marketing-attribution" TargetMode="External"/><Relationship Id="rId90" Type="http://schemas.openxmlformats.org/officeDocument/2006/relationships/hyperlink" Target="http://50pros.com" TargetMode="External"/><Relationship Id="rId93" Type="http://schemas.openxmlformats.org/officeDocument/2006/relationships/hyperlink" Target="https://agencies.semrush.com/list/programmatic-advertising/united-states/" TargetMode="External"/><Relationship Id="rId92" Type="http://schemas.openxmlformats.org/officeDocument/2006/relationships/hyperlink" Target="http://50pros.com" TargetMode="External"/><Relationship Id="rId359" Type="http://schemas.openxmlformats.org/officeDocument/2006/relationships/hyperlink" Target="https://www.sortlist.com/paid-media" TargetMode="External"/><Relationship Id="rId358" Type="http://schemas.openxmlformats.org/officeDocument/2006/relationships/hyperlink" Target="http://sortlist.com" TargetMode="External"/><Relationship Id="rId357" Type="http://schemas.openxmlformats.org/officeDocument/2006/relationships/hyperlink" Target="https://www.sortlist.com/digital-marketing/doha-qa" TargetMode="External"/><Relationship Id="rId352" Type="http://schemas.openxmlformats.org/officeDocument/2006/relationships/hyperlink" Target="http://selectedfirms.co" TargetMode="External"/><Relationship Id="rId351" Type="http://schemas.openxmlformats.org/officeDocument/2006/relationships/hyperlink" Target="https://selectedfirms.co/companies/digital-marketing-agencies/usa" TargetMode="External"/><Relationship Id="rId350" Type="http://schemas.openxmlformats.org/officeDocument/2006/relationships/hyperlink" Target="http://scopicstudios.com" TargetMode="External"/><Relationship Id="rId356" Type="http://schemas.openxmlformats.org/officeDocument/2006/relationships/hyperlink" Target="http://slashdot.org" TargetMode="External"/><Relationship Id="rId355" Type="http://schemas.openxmlformats.org/officeDocument/2006/relationships/hyperlink" Target="https://slashdot.org/software/incrementality-testing/in-usa/" TargetMode="External"/><Relationship Id="rId354" Type="http://schemas.openxmlformats.org/officeDocument/2006/relationships/hyperlink" Target="http://slashdot.org" TargetMode="External"/><Relationship Id="rId353" Type="http://schemas.openxmlformats.org/officeDocument/2006/relationships/hyperlink" Target="https://slashdot.org/software/incrementality-testing/" TargetMode="External"/><Relationship Id="rId305" Type="http://schemas.openxmlformats.org/officeDocument/2006/relationships/hyperlink" Target="https://www.columnfivemedia.com/top-b2b-marketing-agency-for-ai-saas/" TargetMode="External"/><Relationship Id="rId304" Type="http://schemas.openxmlformats.org/officeDocument/2006/relationships/hyperlink" Target="http://clutch.co" TargetMode="External"/><Relationship Id="rId303" Type="http://schemas.openxmlformats.org/officeDocument/2006/relationships/hyperlink" Target="https://clutch.co/video-production/post-production" TargetMode="External"/><Relationship Id="rId302" Type="http://schemas.openxmlformats.org/officeDocument/2006/relationships/hyperlink" Target="http://clutch.co" TargetMode="External"/><Relationship Id="rId309" Type="http://schemas.openxmlformats.org/officeDocument/2006/relationships/hyperlink" Target="https://www.designrush.com/agency/digital-marketing/digital-advertising/us" TargetMode="External"/><Relationship Id="rId308" Type="http://schemas.openxmlformats.org/officeDocument/2006/relationships/hyperlink" Target="http://designrush.com" TargetMode="External"/><Relationship Id="rId307" Type="http://schemas.openxmlformats.org/officeDocument/2006/relationships/hyperlink" Target="https://www.designrush.com/agency/ad-agencies/missouri/kansas-city" TargetMode="External"/><Relationship Id="rId306" Type="http://schemas.openxmlformats.org/officeDocument/2006/relationships/hyperlink" Target="http://columnfivemedia.com" TargetMode="External"/><Relationship Id="rId301" Type="http://schemas.openxmlformats.org/officeDocument/2006/relationships/hyperlink" Target="https://clutch.co/us/seo-firms/media-industry" TargetMode="External"/><Relationship Id="rId300" Type="http://schemas.openxmlformats.org/officeDocument/2006/relationships/hyperlink" Target="http://clutch.co" TargetMode="External"/><Relationship Id="rId327" Type="http://schemas.openxmlformats.org/officeDocument/2006/relationships/hyperlink" Target="https://www.goodfirms.co/advertising-companies/usa" TargetMode="External"/><Relationship Id="rId326" Type="http://schemas.openxmlformats.org/officeDocument/2006/relationships/hyperlink" Target="http://goodfirms.co" TargetMode="External"/><Relationship Id="rId325" Type="http://schemas.openxmlformats.org/officeDocument/2006/relationships/hyperlink" Target="https://www.goodfirms.co/advertising-companies/creative/usa?page=6" TargetMode="External"/><Relationship Id="rId324" Type="http://schemas.openxmlformats.org/officeDocument/2006/relationships/hyperlink" Target="http://g2.com" TargetMode="External"/><Relationship Id="rId329" Type="http://schemas.openxmlformats.org/officeDocument/2006/relationships/hyperlink" Target="https://www.goodfirms.co/directory/marketing-services/top-digital-marketing-companies" TargetMode="External"/><Relationship Id="rId328" Type="http://schemas.openxmlformats.org/officeDocument/2006/relationships/hyperlink" Target="http://goodfirms.co" TargetMode="External"/><Relationship Id="rId323" Type="http://schemas.openxmlformats.org/officeDocument/2006/relationships/hyperlink" Target="https://www.g2.com/categories/data-governance-tools" TargetMode="External"/><Relationship Id="rId322" Type="http://schemas.openxmlformats.org/officeDocument/2006/relationships/hyperlink" Target="http://featuredcustomers.com" TargetMode="External"/><Relationship Id="rId321" Type="http://schemas.openxmlformats.org/officeDocument/2006/relationships/hyperlink" Target="https://www.featuredcustomers.com/software/first-party-data-solutions" TargetMode="External"/><Relationship Id="rId320" Type="http://schemas.openxmlformats.org/officeDocument/2006/relationships/hyperlink" Target="http://featuredcustomers.com" TargetMode="External"/><Relationship Id="rId316" Type="http://schemas.openxmlformats.org/officeDocument/2006/relationships/hyperlink" Target="http://digitalagencynetwork.com" TargetMode="External"/><Relationship Id="rId315" Type="http://schemas.openxmlformats.org/officeDocument/2006/relationships/hyperlink" Target="https://digitalagencynetwork.com/agencies/usa/industry/travel-tourism/" TargetMode="External"/><Relationship Id="rId314" Type="http://schemas.openxmlformats.org/officeDocument/2006/relationships/hyperlink" Target="http://digitalagencynetwork.com" TargetMode="External"/><Relationship Id="rId313" Type="http://schemas.openxmlformats.org/officeDocument/2006/relationships/hyperlink" Target="https://digitalagencynetwork.com/agencies/san-diego/" TargetMode="External"/><Relationship Id="rId319" Type="http://schemas.openxmlformats.org/officeDocument/2006/relationships/hyperlink" Target="https://www.featuredcustomers.com/software/customer-data-audience-activation" TargetMode="External"/><Relationship Id="rId318" Type="http://schemas.openxmlformats.org/officeDocument/2006/relationships/hyperlink" Target="http://featuredcustomers.com" TargetMode="External"/><Relationship Id="rId317" Type="http://schemas.openxmlformats.org/officeDocument/2006/relationships/hyperlink" Target="https://www.featuredcustomers.com/services/digital-marketing-agencies" TargetMode="External"/><Relationship Id="rId312" Type="http://schemas.openxmlformats.org/officeDocument/2006/relationships/hyperlink" Target="http://designrush.com" TargetMode="External"/><Relationship Id="rId311" Type="http://schemas.openxmlformats.org/officeDocument/2006/relationships/hyperlink" Target="https://www.designrush.com/agency/media-buying-agencies/us" TargetMode="External"/><Relationship Id="rId310" Type="http://schemas.openxmlformats.org/officeDocument/2006/relationships/hyperlink" Target="http://designrush.com" TargetMode="External"/><Relationship Id="rId297" Type="http://schemas.openxmlformats.org/officeDocument/2006/relationships/hyperlink" Target="https://clutch.co/us/seo-firms" TargetMode="External"/><Relationship Id="rId296" Type="http://schemas.openxmlformats.org/officeDocument/2006/relationships/hyperlink" Target="http://clutch.co" TargetMode="External"/><Relationship Id="rId295" Type="http://schemas.openxmlformats.org/officeDocument/2006/relationships/hyperlink" Target="https://clutch.co/us/developers/artificial-intelligence" TargetMode="External"/><Relationship Id="rId294" Type="http://schemas.openxmlformats.org/officeDocument/2006/relationships/hyperlink" Target="http://clutch.co" TargetMode="External"/><Relationship Id="rId299" Type="http://schemas.openxmlformats.org/officeDocument/2006/relationships/hyperlink" Target="https://clutch.co/us/seo-firms/international" TargetMode="External"/><Relationship Id="rId298" Type="http://schemas.openxmlformats.org/officeDocument/2006/relationships/hyperlink" Target="http://clutch.co" TargetMode="External"/><Relationship Id="rId271" Type="http://schemas.openxmlformats.org/officeDocument/2006/relationships/hyperlink" Target="https://clutch.co/us/agencies/business-services-industry?page=1" TargetMode="External"/><Relationship Id="rId270" Type="http://schemas.openxmlformats.org/officeDocument/2006/relationships/hyperlink" Target="http://clutch.co" TargetMode="External"/><Relationship Id="rId269" Type="http://schemas.openxmlformats.org/officeDocument/2006/relationships/hyperlink" Target="https://clutch.co/us/agencies/branding" TargetMode="External"/><Relationship Id="rId264" Type="http://schemas.openxmlformats.org/officeDocument/2006/relationships/hyperlink" Target="http://clutch.co" TargetMode="External"/><Relationship Id="rId263" Type="http://schemas.openxmlformats.org/officeDocument/2006/relationships/hyperlink" Target="https://clutch.co/agencies/media-buying" TargetMode="External"/><Relationship Id="rId262" Type="http://schemas.openxmlformats.org/officeDocument/2006/relationships/hyperlink" Target="http://clutch.co" TargetMode="External"/><Relationship Id="rId261" Type="http://schemas.openxmlformats.org/officeDocument/2006/relationships/hyperlink" Target="https://clutch.co/agencies/conversion-optimization/research" TargetMode="External"/><Relationship Id="rId268" Type="http://schemas.openxmlformats.org/officeDocument/2006/relationships/hyperlink" Target="http://clutch.co" TargetMode="External"/><Relationship Id="rId267" Type="http://schemas.openxmlformats.org/officeDocument/2006/relationships/hyperlink" Target="https://clutch.co/agencies/ppc/ecommerce-industry" TargetMode="External"/><Relationship Id="rId266" Type="http://schemas.openxmlformats.org/officeDocument/2006/relationships/hyperlink" Target="http://clutch.co" TargetMode="External"/><Relationship Id="rId265" Type="http://schemas.openxmlformats.org/officeDocument/2006/relationships/hyperlink" Target="https://clutch.co/agencies/ppc" TargetMode="External"/><Relationship Id="rId260" Type="http://schemas.openxmlformats.org/officeDocument/2006/relationships/hyperlink" Target="http://google.com" TargetMode="External"/><Relationship Id="rId259" Type="http://schemas.openxmlformats.org/officeDocument/2006/relationships/hyperlink" Target="https://cloud.google.com/find-a-partner/?search=marketing+agency" TargetMode="External"/><Relationship Id="rId258" Type="http://schemas.openxmlformats.org/officeDocument/2006/relationships/hyperlink" Target="http://capterra.com.au" TargetMode="External"/><Relationship Id="rId253" Type="http://schemas.openxmlformats.org/officeDocument/2006/relationships/hyperlink" Target="https://agencyvista.com/lists/google-marketing-platform-certified/page/2/" TargetMode="External"/><Relationship Id="rId252" Type="http://schemas.openxmlformats.org/officeDocument/2006/relationships/hyperlink" Target="http://agencyvista.com" TargetMode="External"/><Relationship Id="rId251" Type="http://schemas.openxmlformats.org/officeDocument/2006/relationships/hyperlink" Target="https://agencyvista.com/lists/google-marketing-platform-certified/" TargetMode="External"/><Relationship Id="rId250" Type="http://schemas.openxmlformats.org/officeDocument/2006/relationships/hyperlink" Target="http://agencyspotter.com" TargetMode="External"/><Relationship Id="rId257" Type="http://schemas.openxmlformats.org/officeDocument/2006/relationships/hyperlink" Target="https://www.capterra.com.au/directory/34136/ai-marketing-tools/software" TargetMode="External"/><Relationship Id="rId256" Type="http://schemas.openxmlformats.org/officeDocument/2006/relationships/hyperlink" Target="http://ahrefs.com" TargetMode="External"/><Relationship Id="rId255" Type="http://schemas.openxmlformats.org/officeDocument/2006/relationships/hyperlink" Target="https://ahrefs.com/agencies/united-states" TargetMode="External"/><Relationship Id="rId254" Type="http://schemas.openxmlformats.org/officeDocument/2006/relationships/hyperlink" Target="http://agencyvista.com" TargetMode="External"/><Relationship Id="rId293" Type="http://schemas.openxmlformats.org/officeDocument/2006/relationships/hyperlink" Target="https://clutch.co/us/consulting/ai/maturation?page=6" TargetMode="External"/><Relationship Id="rId292" Type="http://schemas.openxmlformats.org/officeDocument/2006/relationships/hyperlink" Target="http://clutch.co" TargetMode="External"/><Relationship Id="rId291" Type="http://schemas.openxmlformats.org/officeDocument/2006/relationships/hyperlink" Target="https://clutch.co/us/agencies/social-media-marketing/tik-tok" TargetMode="External"/><Relationship Id="rId290" Type="http://schemas.openxmlformats.org/officeDocument/2006/relationships/hyperlink" Target="http://clutch.co" TargetMode="External"/><Relationship Id="rId286" Type="http://schemas.openxmlformats.org/officeDocument/2006/relationships/hyperlink" Target="http://clutch.co" TargetMode="External"/><Relationship Id="rId285" Type="http://schemas.openxmlformats.org/officeDocument/2006/relationships/hyperlink" Target="https://clutch.co/us/agencies/programmatic%3Fpage%3D3" TargetMode="External"/><Relationship Id="rId284" Type="http://schemas.openxmlformats.org/officeDocument/2006/relationships/hyperlink" Target="http://clutch.co" TargetMode="External"/><Relationship Id="rId283" Type="http://schemas.openxmlformats.org/officeDocument/2006/relationships/hyperlink" Target="https://clutch.co/us/agencies/programmatic%3Fpage%3D2" TargetMode="External"/><Relationship Id="rId289" Type="http://schemas.openxmlformats.org/officeDocument/2006/relationships/hyperlink" Target="https://clutch.co/us/agencies/social-media-marketing/influencer/tiktok" TargetMode="External"/><Relationship Id="rId288" Type="http://schemas.openxmlformats.org/officeDocument/2006/relationships/hyperlink" Target="http://clutch.co" TargetMode="External"/><Relationship Id="rId287" Type="http://schemas.openxmlformats.org/officeDocument/2006/relationships/hyperlink" Target="https://clutch.co/us/agencies/programmatic%3Fpage%3D7" TargetMode="External"/><Relationship Id="rId282" Type="http://schemas.openxmlformats.org/officeDocument/2006/relationships/hyperlink" Target="http://clutch.co" TargetMode="External"/><Relationship Id="rId281" Type="http://schemas.openxmlformats.org/officeDocument/2006/relationships/hyperlink" Target="https://clutch.co/us/agencies/ppc/google-adwords%3Fpage%3D16" TargetMode="External"/><Relationship Id="rId280" Type="http://schemas.openxmlformats.org/officeDocument/2006/relationships/hyperlink" Target="http://clutch.co" TargetMode="External"/><Relationship Id="rId275" Type="http://schemas.openxmlformats.org/officeDocument/2006/relationships/hyperlink" Target="https://clutch.co/us/agencies/ppc/display%3Fpage%3D8" TargetMode="External"/><Relationship Id="rId274" Type="http://schemas.openxmlformats.org/officeDocument/2006/relationships/hyperlink" Target="http://clutch.co" TargetMode="External"/><Relationship Id="rId273" Type="http://schemas.openxmlformats.org/officeDocument/2006/relationships/hyperlink" Target="https://clutch.co/us/agencies/market-research/shopper-marketing" TargetMode="External"/><Relationship Id="rId272" Type="http://schemas.openxmlformats.org/officeDocument/2006/relationships/hyperlink" Target="http://clutch.co" TargetMode="External"/><Relationship Id="rId279" Type="http://schemas.openxmlformats.org/officeDocument/2006/relationships/hyperlink" Target="https://clutch.co/us/agencies/ppc/ecommerce-industry" TargetMode="External"/><Relationship Id="rId278" Type="http://schemas.openxmlformats.org/officeDocument/2006/relationships/hyperlink" Target="http://clutch.co" TargetMode="External"/><Relationship Id="rId277" Type="http://schemas.openxmlformats.org/officeDocument/2006/relationships/hyperlink" Target="https://clutch.co/us/agencies/ppc/display?page=16" TargetMode="External"/><Relationship Id="rId276" Type="http://schemas.openxmlformats.org/officeDocument/2006/relationships/hyperlink" Target="http://clutch.co" TargetMode="External"/><Relationship Id="rId228" Type="http://schemas.openxmlformats.org/officeDocument/2006/relationships/hyperlink" Target="http://sourceforge.net" TargetMode="External"/><Relationship Id="rId227" Type="http://schemas.openxmlformats.org/officeDocument/2006/relationships/hyperlink" Target="https://sourceforge.net/software/incrementality-testing/" TargetMode="External"/><Relationship Id="rId226" Type="http://schemas.openxmlformats.org/officeDocument/2006/relationships/hyperlink" Target="http://sortlist.com" TargetMode="External"/><Relationship Id="rId225" Type="http://schemas.openxmlformats.org/officeDocument/2006/relationships/hyperlink" Target="https://www.sortlist.com/s/creative/united-states-us" TargetMode="External"/><Relationship Id="rId229" Type="http://schemas.openxmlformats.org/officeDocument/2006/relationships/hyperlink" Target="https://www.statista.com/topics/12476/%25E2%2580%259Cbig-six%25E2%2580%259D-ad-agency-groups-worldwide/" TargetMode="External"/><Relationship Id="rId220" Type="http://schemas.openxmlformats.org/officeDocument/2006/relationships/hyperlink" Target="http://oneclub.org" TargetMode="External"/><Relationship Id="rId224" Type="http://schemas.openxmlformats.org/officeDocument/2006/relationships/hyperlink" Target="http://scopicstudios.com" TargetMode="External"/><Relationship Id="rId223" Type="http://schemas.openxmlformats.org/officeDocument/2006/relationships/hyperlink" Target="https://scopicstudios.com/blog/best-enterprise-marketing-data-analytics-consulting-firms-2026/" TargetMode="External"/><Relationship Id="rId222" Type="http://schemas.openxmlformats.org/officeDocument/2006/relationships/hyperlink" Target="http://winmo.com" TargetMode="External"/><Relationship Id="rId221" Type="http://schemas.openxmlformats.org/officeDocument/2006/relationships/hyperlink" Target="https://open.winmo.com/agencies/" TargetMode="External"/><Relationship Id="rId217" Type="http://schemas.openxmlformats.org/officeDocument/2006/relationships/hyperlink" Target="https://mmaglobal.com/smarties/business-impact-index?category=Media+Agency&amp;region=North+America&amp;year=2025" TargetMode="External"/><Relationship Id="rId216" Type="http://schemas.openxmlformats.org/officeDocument/2006/relationships/hyperlink" Target="http://mckinsey.com" TargetMode="External"/><Relationship Id="rId215" Type="http://schemas.openxmlformats.org/officeDocument/2006/relationships/hyperlink" Target="https://www.mckinsey.com/capabilities/tech-and-ai/how-we-help-clients" TargetMode="External"/><Relationship Id="rId214" Type="http://schemas.openxmlformats.org/officeDocument/2006/relationships/hyperlink" Target="http://wikipedia.org" TargetMode="External"/><Relationship Id="rId219" Type="http://schemas.openxmlformats.org/officeDocument/2006/relationships/hyperlink" Target="https://www.oneclub.org/awards/adcawards/-archive/agency/2025/61/all/1/840" TargetMode="External"/><Relationship Id="rId218" Type="http://schemas.openxmlformats.org/officeDocument/2006/relationships/hyperlink" Target="http://mmaglobal.com" TargetMode="External"/><Relationship Id="rId213" Type="http://schemas.openxmlformats.org/officeDocument/2006/relationships/hyperlink" Target="https://en.wikipedia.org/wiki/Advertising_agency" TargetMode="External"/><Relationship Id="rId212" Type="http://schemas.openxmlformats.org/officeDocument/2006/relationships/hyperlink" Target="http://digitalagencynetwork.com" TargetMode="External"/><Relationship Id="rId211" Type="http://schemas.openxmlformats.org/officeDocument/2006/relationships/hyperlink" Target="https://digitalagencynetwork.com/agencies/" TargetMode="External"/><Relationship Id="rId210" Type="http://schemas.openxmlformats.org/officeDocument/2006/relationships/hyperlink" Target="http://designrush.com" TargetMode="External"/><Relationship Id="rId249" Type="http://schemas.openxmlformats.org/officeDocument/2006/relationships/hyperlink" Target="https://www.agencyspotter.com/top/digital-marketing-agencies" TargetMode="External"/><Relationship Id="rId248" Type="http://schemas.openxmlformats.org/officeDocument/2006/relationships/hyperlink" Target="http://semrush.com" TargetMode="External"/><Relationship Id="rId247" Type="http://schemas.openxmlformats.org/officeDocument/2006/relationships/hyperlink" Target="https://agencies.semrush.com/list/programmatic-advertising/arts-entertainment/united-states/" TargetMode="External"/><Relationship Id="rId242" Type="http://schemas.openxmlformats.org/officeDocument/2006/relationships/hyperlink" Target="http://semrush.com" TargetMode="External"/><Relationship Id="rId241" Type="http://schemas.openxmlformats.org/officeDocument/2006/relationships/hyperlink" Target="https://agencies.semrush.com/list/ai-optimization/united-states/small-business/" TargetMode="External"/><Relationship Id="rId240" Type="http://schemas.openxmlformats.org/officeDocument/2006/relationships/hyperlink" Target="http://semrush.com" TargetMode="External"/><Relationship Id="rId246" Type="http://schemas.openxmlformats.org/officeDocument/2006/relationships/hyperlink" Target="http://semrush.com" TargetMode="External"/><Relationship Id="rId245" Type="http://schemas.openxmlformats.org/officeDocument/2006/relationships/hyperlink" Target="https://agencies.semrush.com/list/machine-learning-and-ai/business-professional-services/united-states/" TargetMode="External"/><Relationship Id="rId244" Type="http://schemas.openxmlformats.org/officeDocument/2006/relationships/hyperlink" Target="http://semrush.com" TargetMode="External"/><Relationship Id="rId243" Type="http://schemas.openxmlformats.org/officeDocument/2006/relationships/hyperlink" Target="https://agencies.semrush.com/list/los-angeles/" TargetMode="External"/><Relationship Id="rId239" Type="http://schemas.openxmlformats.org/officeDocument/2006/relationships/hyperlink" Target="https://agencies.semrush.com/list/advertising/united-states/" TargetMode="External"/><Relationship Id="rId238" Type="http://schemas.openxmlformats.org/officeDocument/2006/relationships/hyperlink" Target="http://semrush.com" TargetMode="External"/><Relationship Id="rId237" Type="http://schemas.openxmlformats.org/officeDocument/2006/relationships/hyperlink" Target="https://agencies.semrush.com/list/" TargetMode="External"/><Relationship Id="rId236" Type="http://schemas.openxmlformats.org/officeDocument/2006/relationships/hyperlink" Target="http://50pros.com" TargetMode="External"/><Relationship Id="rId231" Type="http://schemas.openxmlformats.org/officeDocument/2006/relationships/hyperlink" Target="https://www.webfx.com/digital-advertising/services/" TargetMode="External"/><Relationship Id="rId230" Type="http://schemas.openxmlformats.org/officeDocument/2006/relationships/hyperlink" Target="http://statista.com" TargetMode="External"/><Relationship Id="rId235" Type="http://schemas.openxmlformats.org/officeDocument/2006/relationships/hyperlink" Target="https://www.50pros.com/hire/digital-marketing/marketing-analytics-and-reporting" TargetMode="External"/><Relationship Id="rId234" Type="http://schemas.openxmlformats.org/officeDocument/2006/relationships/hyperlink" Target="http://50pros.com" TargetMode="External"/><Relationship Id="rId233" Type="http://schemas.openxmlformats.org/officeDocument/2006/relationships/hyperlink" Target="https://www.50pros.com/hire/conversion-rate-optimization/ab-and-multivariate-testing" TargetMode="External"/><Relationship Id="rId232" Type="http://schemas.openxmlformats.org/officeDocument/2006/relationships/hyperlink" Target="http://webfx.com" TargetMode="External"/><Relationship Id="rId206" Type="http://schemas.openxmlformats.org/officeDocument/2006/relationships/hyperlink" Target="https://clutch.co/us/agencies/ppc%3Fpage%3D2" TargetMode="External"/><Relationship Id="rId205" Type="http://schemas.openxmlformats.org/officeDocument/2006/relationships/hyperlink" Target="http://clutch.co" TargetMode="External"/><Relationship Id="rId204" Type="http://schemas.openxmlformats.org/officeDocument/2006/relationships/hyperlink" Target="https://clutch.co/us/agencies/ecommerce-marketing" TargetMode="External"/><Relationship Id="rId203" Type="http://schemas.openxmlformats.org/officeDocument/2006/relationships/hyperlink" Target="http://clutch.co" TargetMode="External"/><Relationship Id="rId209" Type="http://schemas.openxmlformats.org/officeDocument/2006/relationships/hyperlink" Target="https://www.designrush.com/agency/digital-marketing/analytics/us?page=2" TargetMode="External"/><Relationship Id="rId208" Type="http://schemas.openxmlformats.org/officeDocument/2006/relationships/hyperlink" Target="https://delivix.digital/seo/marketing-agencies/" TargetMode="External"/><Relationship Id="rId207" Type="http://schemas.openxmlformats.org/officeDocument/2006/relationships/hyperlink" Target="http://clutch.co" TargetMode="External"/><Relationship Id="rId202" Type="http://schemas.openxmlformats.org/officeDocument/2006/relationships/hyperlink" Target="https://clutch.co/us/agencies/digital-marketing%3Fpage%3D2" TargetMode="External"/><Relationship Id="rId201" Type="http://schemas.openxmlformats.org/officeDocument/2006/relationships/hyperlink" Target="http://clutch.co" TargetMode="External"/><Relationship Id="rId200" Type="http://schemas.openxmlformats.org/officeDocument/2006/relationships/hyperlink" Target="https://clutch.co/us/agencies/digital" TargetMode="External"/><Relationship Id="rId1" Type="http://schemas.openxmlformats.org/officeDocument/2006/relationships/hyperlink" Target="http://clutch.co" TargetMode="External"/><Relationship Id="rId2" Type="http://schemas.openxmlformats.org/officeDocument/2006/relationships/hyperlink" Target="https://clutch.co/us/agencies/digital-marketing" TargetMode="External"/><Relationship Id="rId3" Type="http://schemas.openxmlformats.org/officeDocument/2006/relationships/hyperlink" Target="http://clutch.co" TargetMode="External"/><Relationship Id="rId4" Type="http://schemas.openxmlformats.org/officeDocument/2006/relationships/hyperlink" Target="https://www.sortlist.com/s/paid-media/united-states-us" TargetMode="External"/><Relationship Id="rId9" Type="http://schemas.openxmlformats.org/officeDocument/2006/relationships/hyperlink" Target="http://clutch.co" TargetMode="External"/><Relationship Id="rId5" Type="http://schemas.openxmlformats.org/officeDocument/2006/relationships/hyperlink" Target="http://sortlist.com" TargetMode="External"/><Relationship Id="rId6" Type="http://schemas.openxmlformats.org/officeDocument/2006/relationships/hyperlink" Target="https://agencies.semrush.com/list/display-advertising/united-states/" TargetMode="External"/><Relationship Id="rId7" Type="http://schemas.openxmlformats.org/officeDocument/2006/relationships/hyperlink" Target="http://semrush.com" TargetMode="External"/><Relationship Id="rId8" Type="http://schemas.openxmlformats.org/officeDocument/2006/relationships/hyperlink" Target="https://clutch.co/us/agencies/creative" TargetMode="External"/><Relationship Id="rId190" Type="http://schemas.openxmlformats.org/officeDocument/2006/relationships/hyperlink" Target="https://zyppy.com/companies/c/generative-ai-seo/united-states/" TargetMode="External"/><Relationship Id="rId194" Type="http://schemas.openxmlformats.org/officeDocument/2006/relationships/hyperlink" Target="https://agencies.semrush.com/list/display-advertising/united-states/small-business/" TargetMode="External"/><Relationship Id="rId193" Type="http://schemas.openxmlformats.org/officeDocument/2006/relationships/hyperlink" Target="http://50pros.com" TargetMode="External"/><Relationship Id="rId192" Type="http://schemas.openxmlformats.org/officeDocument/2006/relationships/hyperlink" Target="https://www.50pros.com/hire/digital-marketing/marketing-analytics" TargetMode="External"/><Relationship Id="rId191" Type="http://schemas.openxmlformats.org/officeDocument/2006/relationships/hyperlink" Target="http://zyppy.com" TargetMode="External"/><Relationship Id="rId187" Type="http://schemas.openxmlformats.org/officeDocument/2006/relationships/hyperlink" Target="http://incremental.com" TargetMode="External"/><Relationship Id="rId186" Type="http://schemas.openxmlformats.org/officeDocument/2006/relationships/hyperlink" Target="https://www.incremental.com/solutions" TargetMode="External"/><Relationship Id="rId185" Type="http://schemas.openxmlformats.org/officeDocument/2006/relationships/hyperlink" Target="https://enterprisemarketingportal.google/work-with-partners" TargetMode="External"/><Relationship Id="rId184" Type="http://schemas.openxmlformats.org/officeDocument/2006/relationships/hyperlink" Target="http://clutch.co" TargetMode="External"/><Relationship Id="rId189" Type="http://schemas.openxmlformats.org/officeDocument/2006/relationships/hyperlink" Target="http://sortlist.com" TargetMode="External"/><Relationship Id="rId188" Type="http://schemas.openxmlformats.org/officeDocument/2006/relationships/hyperlink" Target="https://www.sortlist.com/marketing-analytics" TargetMode="External"/><Relationship Id="rId183" Type="http://schemas.openxmlformats.org/officeDocument/2006/relationships/hyperlink" Target="https://clutch.co/us/agencies/ppc/display?page=6" TargetMode="External"/><Relationship Id="rId182" Type="http://schemas.openxmlformats.org/officeDocument/2006/relationships/hyperlink" Target="http://clutch.co" TargetMode="External"/><Relationship Id="rId181" Type="http://schemas.openxmlformats.org/officeDocument/2006/relationships/hyperlink" Target="https://clutch.co/us/agencies/branding/corporate" TargetMode="External"/><Relationship Id="rId180" Type="http://schemas.openxmlformats.org/officeDocument/2006/relationships/hyperlink" Target="http://clutch.co" TargetMode="External"/><Relationship Id="rId176" Type="http://schemas.openxmlformats.org/officeDocument/2006/relationships/hyperlink" Target="http://semrush.com" TargetMode="External"/><Relationship Id="rId175" Type="http://schemas.openxmlformats.org/officeDocument/2006/relationships/hyperlink" Target="https://agencies.semrush.com/list/display-advertising/ecommerce/united-states/" TargetMode="External"/><Relationship Id="rId174" Type="http://schemas.openxmlformats.org/officeDocument/2006/relationships/hyperlink" Target="http://semrush.com" TargetMode="External"/><Relationship Id="rId173" Type="http://schemas.openxmlformats.org/officeDocument/2006/relationships/hyperlink" Target="https://agencies.semrush.com/list/analytics-data-science/business-professional-services/united-states/" TargetMode="External"/><Relationship Id="rId179" Type="http://schemas.openxmlformats.org/officeDocument/2006/relationships/hyperlink" Target="https://clutch.co/agencies/ppc?geona_id=47171&amp;page=1" TargetMode="External"/><Relationship Id="rId178" Type="http://schemas.openxmlformats.org/officeDocument/2006/relationships/hyperlink" Target="http://clutch.co" TargetMode="External"/><Relationship Id="rId177" Type="http://schemas.openxmlformats.org/officeDocument/2006/relationships/hyperlink" Target="https://clutch.co/agencies/ppc/display/indiana" TargetMode="External"/><Relationship Id="rId198" Type="http://schemas.openxmlformats.org/officeDocument/2006/relationships/hyperlink" Target="https://clutch.co/agencies/sem?geona_id=25338&amp;page=1" TargetMode="External"/><Relationship Id="rId197" Type="http://schemas.openxmlformats.org/officeDocument/2006/relationships/hyperlink" Target="http://semrush.com" TargetMode="External"/><Relationship Id="rId196" Type="http://schemas.openxmlformats.org/officeDocument/2006/relationships/hyperlink" Target="https://agencies.semrush.com/list/programmatic-advertising/information-technology/united-states/" TargetMode="External"/><Relationship Id="rId195" Type="http://schemas.openxmlformats.org/officeDocument/2006/relationships/hyperlink" Target="http://semrush.com" TargetMode="External"/><Relationship Id="rId199" Type="http://schemas.openxmlformats.org/officeDocument/2006/relationships/hyperlink" Target="http://clutch.co" TargetMode="External"/><Relationship Id="rId150" Type="http://schemas.openxmlformats.org/officeDocument/2006/relationships/hyperlink" Target="http://clutch.co" TargetMode="External"/><Relationship Id="rId149" Type="http://schemas.openxmlformats.org/officeDocument/2006/relationships/hyperlink" Target="https://clutch.co/us/agencies?page=1" TargetMode="External"/><Relationship Id="rId148" Type="http://schemas.openxmlformats.org/officeDocument/2006/relationships/hyperlink" Target="http://clutch.co" TargetMode="External"/><Relationship Id="rId143" Type="http://schemas.openxmlformats.org/officeDocument/2006/relationships/hyperlink" Target="https://clutch.co/it-services/analytics/marketing" TargetMode="External"/><Relationship Id="rId142" Type="http://schemas.openxmlformats.org/officeDocument/2006/relationships/hyperlink" Target="http://agencyspotter.com" TargetMode="External"/><Relationship Id="rId141" Type="http://schemas.openxmlformats.org/officeDocument/2006/relationships/hyperlink" Target="https://www.agencyspotter.com/top/social-media-marketing-agencies" TargetMode="External"/><Relationship Id="rId140" Type="http://schemas.openxmlformats.org/officeDocument/2006/relationships/hyperlink" Target="http://50pros.com" TargetMode="External"/><Relationship Id="rId147" Type="http://schemas.openxmlformats.org/officeDocument/2006/relationships/hyperlink" Target="https://clutch.co/us/agencies/ppc/display?page=5" TargetMode="External"/><Relationship Id="rId146" Type="http://schemas.openxmlformats.org/officeDocument/2006/relationships/hyperlink" Target="http://clutch.co" TargetMode="External"/><Relationship Id="rId145" Type="http://schemas.openxmlformats.org/officeDocument/2006/relationships/hyperlink" Target="https://clutch.co/us/agencies/market-research" TargetMode="External"/><Relationship Id="rId144" Type="http://schemas.openxmlformats.org/officeDocument/2006/relationships/hyperlink" Target="http://clutch.co" TargetMode="External"/><Relationship Id="rId139" Type="http://schemas.openxmlformats.org/officeDocument/2006/relationships/hyperlink" Target="https://www.50pros.com/hire/advertising" TargetMode="External"/><Relationship Id="rId138" Type="http://schemas.openxmlformats.org/officeDocument/2006/relationships/hyperlink" Target="http://clutch.co" TargetMode="External"/><Relationship Id="rId137" Type="http://schemas.openxmlformats.org/officeDocument/2006/relationships/hyperlink" Target="https://clutch.co/us/agencies/ppc/display%3Fpage%3D2" TargetMode="External"/><Relationship Id="rId132" Type="http://schemas.openxmlformats.org/officeDocument/2006/relationships/hyperlink" Target="http://semrush.com" TargetMode="External"/><Relationship Id="rId131" Type="http://schemas.openxmlformats.org/officeDocument/2006/relationships/hyperlink" Target="https://agencies.semrush.com/list/analytics-data-science/united-states/" TargetMode="External"/><Relationship Id="rId130" Type="http://schemas.openxmlformats.org/officeDocument/2006/relationships/hyperlink" Target="http://techradiant.co" TargetMode="External"/><Relationship Id="rId136" Type="http://schemas.openxmlformats.org/officeDocument/2006/relationships/hyperlink" Target="http://businessofapps.com" TargetMode="External"/><Relationship Id="rId135" Type="http://schemas.openxmlformats.org/officeDocument/2006/relationships/hyperlink" Target="https://www.businessofapps.com/marketplace/performance-marketing/" TargetMode="External"/><Relationship Id="rId134" Type="http://schemas.openxmlformats.org/officeDocument/2006/relationships/hyperlink" Target="http://semrush.com" TargetMode="External"/><Relationship Id="rId133" Type="http://schemas.openxmlformats.org/officeDocument/2006/relationships/hyperlink" Target="https://agencies.semrush.com/list/ppc/united-states/" TargetMode="External"/><Relationship Id="rId172" Type="http://schemas.openxmlformats.org/officeDocument/2006/relationships/hyperlink" Target="http://themanifest.com" TargetMode="External"/><Relationship Id="rId171" Type="http://schemas.openxmlformats.org/officeDocument/2006/relationships/hyperlink" Target="https://themanifest.com/us/ppc/agencies" TargetMode="External"/><Relationship Id="rId170" Type="http://schemas.openxmlformats.org/officeDocument/2006/relationships/hyperlink" Target="http://sortlist.com" TargetMode="External"/><Relationship Id="rId165" Type="http://schemas.openxmlformats.org/officeDocument/2006/relationships/hyperlink" Target="https://digitalagencynetwork.com/agencies/usa/online-advertising/" TargetMode="External"/><Relationship Id="rId164" Type="http://schemas.openxmlformats.org/officeDocument/2006/relationships/hyperlink" Target="http://dexigner.com" TargetMode="External"/><Relationship Id="rId163" Type="http://schemas.openxmlformats.org/officeDocument/2006/relationships/hyperlink" Target="https://www.dexigner.com/directory/cat/Advertising-Design/Agencies/loc/United-States" TargetMode="External"/><Relationship Id="rId162" Type="http://schemas.openxmlformats.org/officeDocument/2006/relationships/hyperlink" Target="http://clutch.co" TargetMode="External"/><Relationship Id="rId169" Type="http://schemas.openxmlformats.org/officeDocument/2006/relationships/hyperlink" Target="https://www.sortlist.com/advertising/united-states-us" TargetMode="External"/><Relationship Id="rId168" Type="http://schemas.openxmlformats.org/officeDocument/2006/relationships/hyperlink" Target="http://google.com" TargetMode="External"/><Relationship Id="rId167" Type="http://schemas.openxmlformats.org/officeDocument/2006/relationships/hyperlink" Target="https://marketingplatform.google.com/about/partners/?authuser=1" TargetMode="External"/><Relationship Id="rId166" Type="http://schemas.openxmlformats.org/officeDocument/2006/relationships/hyperlink" Target="http://digitalagencynetwork.com" TargetMode="External"/><Relationship Id="rId161" Type="http://schemas.openxmlformats.org/officeDocument/2006/relationships/hyperlink" Target="https://clutch.co/us/agencies/social-media-marketing/facebook" TargetMode="External"/><Relationship Id="rId160" Type="http://schemas.openxmlformats.org/officeDocument/2006/relationships/hyperlink" Target="http://barchart.com" TargetMode="External"/><Relationship Id="rId159" Type="http://schemas.openxmlformats.org/officeDocument/2006/relationships/hyperlink" Target="https://www.barchart.com/story/news/2450048/best-ai-search-agencies-in-2026-which-company-to-choose-for-building-brand-visibility-in-ai" TargetMode="External"/><Relationship Id="rId154" Type="http://schemas.openxmlformats.org/officeDocument/2006/relationships/hyperlink" Target="http://gartner.com" TargetMode="External"/><Relationship Id="rId153" Type="http://schemas.openxmlformats.org/officeDocument/2006/relationships/hyperlink" Target="https://www.gartner.com/reviews/market/marketing-mix-modeling-solutions" TargetMode="External"/><Relationship Id="rId152" Type="http://schemas.openxmlformats.org/officeDocument/2006/relationships/hyperlink" Target="http://clutch.co" TargetMode="External"/><Relationship Id="rId151" Type="http://schemas.openxmlformats.org/officeDocument/2006/relationships/hyperlink" Target="https://clutch.co/us/consulting/ai/maturation%3Fpage%3D2" TargetMode="External"/><Relationship Id="rId158" Type="http://schemas.openxmlformats.org/officeDocument/2006/relationships/hyperlink" Target="http://50pros.com" TargetMode="External"/><Relationship Id="rId157" Type="http://schemas.openxmlformats.org/officeDocument/2006/relationships/hyperlink" Target="https://www.50pros.com/hire/artificial-intelligence/ai-powered-search" TargetMode="External"/><Relationship Id="rId156" Type="http://schemas.openxmlformats.org/officeDocument/2006/relationships/hyperlink" Target="http://sortlist.com" TargetMode="External"/><Relationship Id="rId155" Type="http://schemas.openxmlformats.org/officeDocument/2006/relationships/hyperlink" Target="https://www.sortlist.com/digital-marketing/united-states-us" TargetMode="External"/><Relationship Id="rId107" Type="http://schemas.openxmlformats.org/officeDocument/2006/relationships/hyperlink" Target="https://www.krowdbase.com/top-marketing-analytics-companies" TargetMode="External"/><Relationship Id="rId106" Type="http://schemas.openxmlformats.org/officeDocument/2006/relationships/hyperlink" Target="http://goodfirms.co" TargetMode="External"/><Relationship Id="rId105" Type="http://schemas.openxmlformats.org/officeDocument/2006/relationships/hyperlink" Target="https://www.goodfirms.co/advertising-companies/creative/usa" TargetMode="External"/><Relationship Id="rId104" Type="http://schemas.openxmlformats.org/officeDocument/2006/relationships/hyperlink" Target="http://gartner.com" TargetMode="External"/><Relationship Id="rId109" Type="http://schemas.openxmlformats.org/officeDocument/2006/relationships/hyperlink" Target="https://www.mordorintelligence.com/industry-reports/united-states-marketing-analytics-market/companies" TargetMode="External"/><Relationship Id="rId108" Type="http://schemas.openxmlformats.org/officeDocument/2006/relationships/hyperlink" Target="http://krowdbase.com" TargetMode="External"/><Relationship Id="rId103" Type="http://schemas.openxmlformats.org/officeDocument/2006/relationships/hyperlink" Target="https://www.gartner.com/reviews/market/b2b-multitouch-attribution-tools" TargetMode="External"/><Relationship Id="rId102" Type="http://schemas.openxmlformats.org/officeDocument/2006/relationships/hyperlink" Target="http://designrush.com" TargetMode="External"/><Relationship Id="rId101" Type="http://schemas.openxmlformats.org/officeDocument/2006/relationships/hyperlink" Target="https://www.designrush.com/agency/paid-media-pay-per-click/google-adwords/us" TargetMode="External"/><Relationship Id="rId100" Type="http://schemas.openxmlformats.org/officeDocument/2006/relationships/hyperlink" Target="http://clutch.co" TargetMode="External"/><Relationship Id="rId129" Type="http://schemas.openxmlformats.org/officeDocument/2006/relationships/hyperlink" Target="https://techradiant.co/agencies/generative-engine-optimization/" TargetMode="External"/><Relationship Id="rId128" Type="http://schemas.openxmlformats.org/officeDocument/2006/relationships/hyperlink" Target="http://sortlist.com" TargetMode="External"/><Relationship Id="rId127" Type="http://schemas.openxmlformats.org/officeDocument/2006/relationships/hyperlink" Target="https://www.sortlist.com/s/programmatic-advertising/united-states-us" TargetMode="External"/><Relationship Id="rId126" Type="http://schemas.openxmlformats.org/officeDocument/2006/relationships/hyperlink" Target="http://clutch.co" TargetMode="External"/><Relationship Id="rId121" Type="http://schemas.openxmlformats.org/officeDocument/2006/relationships/hyperlink" Target="https://www.sortlist.com/s/international-marketing/united-states-us" TargetMode="External"/><Relationship Id="rId120" Type="http://schemas.openxmlformats.org/officeDocument/2006/relationships/hyperlink" Target="http://goodfirms.co" TargetMode="External"/><Relationship Id="rId125" Type="http://schemas.openxmlformats.org/officeDocument/2006/relationships/hyperlink" Target="https://clutch.co/us/seo-firms/generative-engine-optimization%3Fpage%3D4" TargetMode="External"/><Relationship Id="rId124" Type="http://schemas.openxmlformats.org/officeDocument/2006/relationships/hyperlink" Target="http://clutch.co" TargetMode="External"/><Relationship Id="rId123" Type="http://schemas.openxmlformats.org/officeDocument/2006/relationships/hyperlink" Target="https://clutch.co/us/seo-firms/generative-engine-optimization%3Fpage%3D2" TargetMode="External"/><Relationship Id="rId122" Type="http://schemas.openxmlformats.org/officeDocument/2006/relationships/hyperlink" Target="http://sortlist.com" TargetMode="External"/><Relationship Id="rId118" Type="http://schemas.openxmlformats.org/officeDocument/2006/relationships/hyperlink" Target="http://goodfirms.co" TargetMode="External"/><Relationship Id="rId117" Type="http://schemas.openxmlformats.org/officeDocument/2006/relationships/hyperlink" Target="https://www.goodfirms.co/directory/country/top-digital-marketing-companies/advertising-ppc/usa" TargetMode="External"/><Relationship Id="rId116" Type="http://schemas.openxmlformats.org/officeDocument/2006/relationships/hyperlink" Target="http://goodfirms.co" TargetMode="External"/><Relationship Id="rId115" Type="http://schemas.openxmlformats.org/officeDocument/2006/relationships/hyperlink" Target="https://www.goodfirms.co/advertising-companies/programmatic" TargetMode="External"/><Relationship Id="rId119" Type="http://schemas.openxmlformats.org/officeDocument/2006/relationships/hyperlink" Target="https://www.goodfirms.co/directory/country/top-digital-marketing-companies/media-planning-buying/usa" TargetMode="External"/><Relationship Id="rId110" Type="http://schemas.openxmlformats.org/officeDocument/2006/relationships/hyperlink" Target="http://mordorintelligence.com" TargetMode="External"/><Relationship Id="rId114" Type="http://schemas.openxmlformats.org/officeDocument/2006/relationships/hyperlink" Target="http://clutch.co" TargetMode="External"/><Relationship Id="rId113" Type="http://schemas.openxmlformats.org/officeDocument/2006/relationships/hyperlink" Target="https://clutch.co/us/agencies/digital-marketing/enterprise" TargetMode="External"/><Relationship Id="rId112" Type="http://schemas.openxmlformats.org/officeDocument/2006/relationships/hyperlink" Target="http://sortlist.com" TargetMode="External"/><Relationship Id="rId111" Type="http://schemas.openxmlformats.org/officeDocument/2006/relationships/hyperlink" Target="https://www.sortlist.com/s/ai-marketing/united-states-us"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www.hamstergarage.com/article/best-partner-marketing-agency-guide" TargetMode="External"/><Relationship Id="rId42" Type="http://schemas.openxmlformats.org/officeDocument/2006/relationships/hyperlink" Target="https://marrinadecisions.com/mmm-vs-attribution-in-2026-which-one-drives-revenue-when-you-need-both/" TargetMode="External"/><Relationship Id="rId41" Type="http://schemas.openxmlformats.org/officeDocument/2006/relationships/hyperlink" Target="http://hamstergarage.com" TargetMode="External"/><Relationship Id="rId44" Type="http://schemas.openxmlformats.org/officeDocument/2006/relationships/hyperlink" Target="https://www.medianug.com/blog/paid-social-advertising-agency-vs-performance-marketing-agency-which-does-your-business-actually-need" TargetMode="External"/><Relationship Id="rId43" Type="http://schemas.openxmlformats.org/officeDocument/2006/relationships/hyperlink" Target="http://marrinadecisions.com" TargetMode="External"/><Relationship Id="rId46" Type="http://schemas.openxmlformats.org/officeDocument/2006/relationships/hyperlink" Target="https://medium.com/data-science-at-microsoft/how-do-you-know-your-ai-actually-works-b1a380a07825" TargetMode="External"/><Relationship Id="rId45" Type="http://schemas.openxmlformats.org/officeDocument/2006/relationships/hyperlink" Target="http://medianug.com" TargetMode="External"/><Relationship Id="rId48" Type="http://schemas.openxmlformats.org/officeDocument/2006/relationships/hyperlink" Target="https://www.meioemensagem.com.br/comunicacao/agency-report-omnicom-lidera-e-publicis-ultrapassa-wpp" TargetMode="External"/><Relationship Id="rId47" Type="http://schemas.openxmlformats.org/officeDocument/2006/relationships/hyperlink" Target="http://medium.com" TargetMode="External"/><Relationship Id="rId49" Type="http://schemas.openxmlformats.org/officeDocument/2006/relationships/hyperlink" Target="http://meioemensagem.com.br" TargetMode="External"/><Relationship Id="rId31" Type="http://schemas.openxmlformats.org/officeDocument/2006/relationships/hyperlink" Target="http://aiadvantageagency.com" TargetMode="External"/><Relationship Id="rId30" Type="http://schemas.openxmlformats.org/officeDocument/2006/relationships/hyperlink" Target="https://aiadvantageagency.com/facebook-ads-agency/" TargetMode="External"/><Relationship Id="rId33" Type="http://schemas.openxmlformats.org/officeDocument/2006/relationships/hyperlink" Target="http://aidigital.com" TargetMode="External"/><Relationship Id="rId32" Type="http://schemas.openxmlformats.org/officeDocument/2006/relationships/hyperlink" Target="https://www.aidigital.com/blog/marketing-measurement-and-attribution-vs-mmm" TargetMode="External"/><Relationship Id="rId35" Type="http://schemas.openxmlformats.org/officeDocument/2006/relationships/hyperlink" Target="http://bloggingtips.com" TargetMode="External"/><Relationship Id="rId34" Type="http://schemas.openxmlformats.org/officeDocument/2006/relationships/hyperlink" Target="https://www.bloggingtips.com/assets/outsourcing/seo" TargetMode="External"/><Relationship Id="rId37" Type="http://schemas.openxmlformats.org/officeDocument/2006/relationships/hyperlink" Target="http://disruptiveadvertising.com" TargetMode="External"/><Relationship Id="rId36" Type="http://schemas.openxmlformats.org/officeDocument/2006/relationships/hyperlink" Target="https://disruptiveadvertising.com/blog/ppc/display-vs-search-ads/" TargetMode="External"/><Relationship Id="rId39" Type="http://schemas.openxmlformats.org/officeDocument/2006/relationships/hyperlink" Target="http://gomega.ai" TargetMode="External"/><Relationship Id="rId38" Type="http://schemas.openxmlformats.org/officeDocument/2006/relationships/hyperlink" Target="https://www.gomega.ai/blog/ai-marketing-agency/" TargetMode="External"/><Relationship Id="rId20" Type="http://schemas.openxmlformats.org/officeDocument/2006/relationships/hyperlink" Target="https://www.youtube.com/watch?v=jA6Bn5bI298&amp;t=242" TargetMode="External"/><Relationship Id="rId22" Type="http://schemas.openxmlformats.org/officeDocument/2006/relationships/hyperlink" Target="https://liftlab.com/blog/marketing-mix-modeling-platforms/" TargetMode="External"/><Relationship Id="rId21" Type="http://schemas.openxmlformats.org/officeDocument/2006/relationships/hyperlink" Target="http://youtube.com" TargetMode="External"/><Relationship Id="rId24" Type="http://schemas.openxmlformats.org/officeDocument/2006/relationships/hyperlink" Target="https://sellforte.com/blog/best-ai-tools-for-mmm-and-incrementality-testing" TargetMode="External"/><Relationship Id="rId23" Type="http://schemas.openxmlformats.org/officeDocument/2006/relationships/hyperlink" Target="http://liftlab.com" TargetMode="External"/><Relationship Id="rId26" Type="http://schemas.openxmlformats.org/officeDocument/2006/relationships/hyperlink" Target="https://www.shuttergen.com/research/attribution-platforms-compared" TargetMode="External"/><Relationship Id="rId25" Type="http://schemas.openxmlformats.org/officeDocument/2006/relationships/hyperlink" Target="http://sellforte.com" TargetMode="External"/><Relationship Id="rId28" Type="http://schemas.openxmlformats.org/officeDocument/2006/relationships/hyperlink" Target="https://12amagency.com/blog/digital-marketing-agency-for-small-business-comparison/" TargetMode="External"/><Relationship Id="rId27" Type="http://schemas.openxmlformats.org/officeDocument/2006/relationships/hyperlink" Target="http://shuttergen.com" TargetMode="External"/><Relationship Id="rId29" Type="http://schemas.openxmlformats.org/officeDocument/2006/relationships/hyperlink" Target="http://12amagency.com" TargetMode="External"/><Relationship Id="rId11" Type="http://schemas.openxmlformats.org/officeDocument/2006/relationships/hyperlink" Target="http://presenc.ai" TargetMode="External"/><Relationship Id="rId10" Type="http://schemas.openxmlformats.org/officeDocument/2006/relationships/hyperlink" Target="https://presenc.ai/compare/measured-vs-haus-vs-statsig" TargetMode="External"/><Relationship Id="rId13" Type="http://schemas.openxmlformats.org/officeDocument/2006/relationships/hyperlink" Target="http://campaignlive.com" TargetMode="External"/><Relationship Id="rId12" Type="http://schemas.openxmlformats.org/officeDocument/2006/relationships/hyperlink" Target="https://www.campaignlive.com/article/horizon-media-battles-publicis-new-business-supremacy-may-us-media-agency-rankings/1918167" TargetMode="External"/><Relationship Id="rId15" Type="http://schemas.openxmlformats.org/officeDocument/2006/relationships/hyperlink" Target="http://prescientai.com" TargetMode="External"/><Relationship Id="rId14" Type="http://schemas.openxmlformats.org/officeDocument/2006/relationships/hyperlink" Target="https://prescientai.com/blog/top-marketing-attribution-software-solutions" TargetMode="External"/><Relationship Id="rId17" Type="http://schemas.openxmlformats.org/officeDocument/2006/relationships/hyperlink" Target="http://clickz.com" TargetMode="External"/><Relationship Id="rId16" Type="http://schemas.openxmlformats.org/officeDocument/2006/relationships/hyperlink" Target="https://clickz.com/faq/mmm-vs-mta-vs-incrementality-measurement-stack/" TargetMode="External"/><Relationship Id="rId19" Type="http://schemas.openxmlformats.org/officeDocument/2006/relationships/hyperlink" Target="http://objectiveplatform.com" TargetMode="External"/><Relationship Id="rId18" Type="http://schemas.openxmlformats.org/officeDocument/2006/relationships/hyperlink" Target="https://www.objectiveplatform.com/blog/marketing-mix-modelling-solutions-compared" TargetMode="External"/><Relationship Id="rId51" Type="http://schemas.openxmlformats.org/officeDocument/2006/relationships/hyperlink" Target="http://royaldigitalagency.com" TargetMode="External"/><Relationship Id="rId50" Type="http://schemas.openxmlformats.org/officeDocument/2006/relationships/hyperlink" Target="https://royaldigitalagency.com/blogs/ai-vs-search-engine/" TargetMode="External"/><Relationship Id="rId53" Type="http://schemas.openxmlformats.org/officeDocument/2006/relationships/hyperlink" Target="http://salesduo.com" TargetMode="External"/><Relationship Id="rId52" Type="http://schemas.openxmlformats.org/officeDocument/2006/relationships/hyperlink" Target="https://salesduo.com/blog/amazon-product-ads-management-agencies-comparison/" TargetMode="External"/><Relationship Id="rId55" Type="http://schemas.openxmlformats.org/officeDocument/2006/relationships/hyperlink" Target="http://triplewhale.com" TargetMode="External"/><Relationship Id="rId54" Type="http://schemas.openxmlformats.org/officeDocument/2006/relationships/hyperlink" Target="https://www.triplewhale.com/blog/incrementality-testing" TargetMode="External"/><Relationship Id="rId57" Type="http://schemas.openxmlformats.org/officeDocument/2006/relationships/hyperlink" Target="http://youtube.com" TargetMode="External"/><Relationship Id="rId56" Type="http://schemas.openxmlformats.org/officeDocument/2006/relationships/hyperlink" Target="https://www.youtube.com/watch?v=VQQ_1ODhyvo&amp;vl=en" TargetMode="External"/><Relationship Id="rId58" Type="http://schemas.openxmlformats.org/officeDocument/2006/relationships/drawing" Target="../drawings/drawing22.xml"/><Relationship Id="rId1" Type="http://schemas.openxmlformats.org/officeDocument/2006/relationships/hyperlink" Target="http://triplewhale.com" TargetMode="External"/><Relationship Id="rId2" Type="http://schemas.openxmlformats.org/officeDocument/2006/relationships/hyperlink" Target="https://sellforte.com/blog/best-incrementality-testing-tools" TargetMode="External"/><Relationship Id="rId3" Type="http://schemas.openxmlformats.org/officeDocument/2006/relationships/hyperlink" Target="http://sellforte.com" TargetMode="External"/><Relationship Id="rId4" Type="http://schemas.openxmlformats.org/officeDocument/2006/relationships/hyperlink" Target="https://www.techradar.com/pro/aeo-vs-seo-whats-the-difference-and-do-you-need-both" TargetMode="External"/><Relationship Id="rId9" Type="http://schemas.openxmlformats.org/officeDocument/2006/relationships/hyperlink" Target="http://improvado.io" TargetMode="External"/><Relationship Id="rId5" Type="http://schemas.openxmlformats.org/officeDocument/2006/relationships/hyperlink" Target="http://techradar.com" TargetMode="External"/><Relationship Id="rId6" Type="http://schemas.openxmlformats.org/officeDocument/2006/relationships/hyperlink" Target="https://liftlab.com/blog/best-mmm-platforms-2026/" TargetMode="External"/><Relationship Id="rId7" Type="http://schemas.openxmlformats.org/officeDocument/2006/relationships/hyperlink" Target="http://liftlab.com" TargetMode="External"/><Relationship Id="rId8" Type="http://schemas.openxmlformats.org/officeDocument/2006/relationships/hyperlink" Target="https://improvado.io/blog/multi-touch-attribution-solutions"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www.quora.com/What-are-some-AI-SEO-agencies" TargetMode="External"/><Relationship Id="rId42" Type="http://schemas.openxmlformats.org/officeDocument/2006/relationships/hyperlink" Target="https://www.reddit.com/r/Agentic_Marketing/comments/1ue8msc/top_ai_consulting_firms_in_the_usa_driving/" TargetMode="External"/><Relationship Id="rId41" Type="http://schemas.openxmlformats.org/officeDocument/2006/relationships/hyperlink" Target="http://quora.com" TargetMode="External"/><Relationship Id="rId44" Type="http://schemas.openxmlformats.org/officeDocument/2006/relationships/hyperlink" Target="https://www.reddit.com/r/AskMarketing/comments/1jwyn6z/a_client_is_looking_for_a_cheaper_incrementality/" TargetMode="External"/><Relationship Id="rId43" Type="http://schemas.openxmlformats.org/officeDocument/2006/relationships/hyperlink" Target="http://reddit.com" TargetMode="External"/><Relationship Id="rId46" Type="http://schemas.openxmlformats.org/officeDocument/2006/relationships/hyperlink" Target="https://www.reddit.com/r/DigitalMarketing/comments/1rwxybs/which_agencies_are_actually_wellknown_worldwide/" TargetMode="External"/><Relationship Id="rId45" Type="http://schemas.openxmlformats.org/officeDocument/2006/relationships/hyperlink" Target="http://reddit.com" TargetMode="External"/><Relationship Id="rId48" Type="http://schemas.openxmlformats.org/officeDocument/2006/relationships/hyperlink" Target="https://www.reddit.com/r/DigitalMarketing/comments/1tdfcjb/every_seo_agency_now_lists_ai_search_optimization/" TargetMode="External"/><Relationship Id="rId47" Type="http://schemas.openxmlformats.org/officeDocument/2006/relationships/hyperlink" Target="http://reddit.com" TargetMode="External"/><Relationship Id="rId49" Type="http://schemas.openxmlformats.org/officeDocument/2006/relationships/hyperlink" Target="http://reddit.com" TargetMode="External"/><Relationship Id="rId31" Type="http://schemas.openxmlformats.org/officeDocument/2006/relationships/hyperlink" Target="http://reddit.com" TargetMode="External"/><Relationship Id="rId30" Type="http://schemas.openxmlformats.org/officeDocument/2006/relationships/hyperlink" Target="https://www.reddit.com/r/hiredevelopers_/comments/1n84jms/list_of_best_ai_consulting_companies_in_usa/" TargetMode="External"/><Relationship Id="rId33" Type="http://schemas.openxmlformats.org/officeDocument/2006/relationships/hyperlink" Target="http://reddit.com" TargetMode="External"/><Relationship Id="rId32" Type="http://schemas.openxmlformats.org/officeDocument/2006/relationships/hyperlink" Target="https://www.reddit.com/r/u_Temporary_Meeting182/comments/1tp4iah/best_saas_geo_agencies_in_2026_who_should/" TargetMode="External"/><Relationship Id="rId35" Type="http://schemas.openxmlformats.org/officeDocument/2006/relationships/hyperlink" Target="http://reddit.com" TargetMode="External"/><Relationship Id="rId34" Type="http://schemas.openxmlformats.org/officeDocument/2006/relationships/hyperlink" Target="https://www.reddit.com/r/u_ThoughtMetric/comments/1udm00v/best_improvado_alternatives_updated_june_2026/" TargetMode="External"/><Relationship Id="rId37" Type="http://schemas.openxmlformats.org/officeDocument/2006/relationships/hyperlink" Target="http://linkedin.com" TargetMode="External"/><Relationship Id="rId36" Type="http://schemas.openxmlformats.org/officeDocument/2006/relationships/hyperlink" Target="https://www.linkedin.com/posts/clutch-co_bestofclutch-digitalmarketing-webdevelopment-activity-7323717286719090688-G6i3" TargetMode="External"/><Relationship Id="rId39" Type="http://schemas.openxmlformats.org/officeDocument/2006/relationships/hyperlink" Target="http://linkedin.com" TargetMode="External"/><Relationship Id="rId38" Type="http://schemas.openxmlformats.org/officeDocument/2006/relationships/hyperlink" Target="https://www.linkedin.com/posts/clutch-co_top-15-ppc-agencies-clutch-global-fall-2025-activity-7421548745084932096-DYA_" TargetMode="External"/><Relationship Id="rId20" Type="http://schemas.openxmlformats.org/officeDocument/2006/relationships/hyperlink" Target="https://www.reddit.com/r/b2bmarketing/comments/1t546si/the_7_leading_ai_seo_agencies_for_modern_search/" TargetMode="External"/><Relationship Id="rId22" Type="http://schemas.openxmlformats.org/officeDocument/2006/relationships/hyperlink" Target="https://www.reddit.com/r/Superframeworks/comments/1twfxf1/10_best_ai_seo_geoaeo_agencies_for_2026_no/" TargetMode="External"/><Relationship Id="rId21" Type="http://schemas.openxmlformats.org/officeDocument/2006/relationships/hyperlink" Target="http://reddit.com" TargetMode="External"/><Relationship Id="rId24" Type="http://schemas.openxmlformats.org/officeDocument/2006/relationships/hyperlink" Target="https://www.reddit.com/r/AISEOTricks/comments/1t9xk64/what_are_the_best_seo_agencies_right_now/" TargetMode="External"/><Relationship Id="rId23" Type="http://schemas.openxmlformats.org/officeDocument/2006/relationships/hyperlink" Target="http://reddit.com" TargetMode="External"/><Relationship Id="rId26" Type="http://schemas.openxmlformats.org/officeDocument/2006/relationships/hyperlink" Target="https://www.reddit.com/r/LLMTraffic/comments/1t44tn7/which_geo_marketing_agencies_are_actually_worth/" TargetMode="External"/><Relationship Id="rId25" Type="http://schemas.openxmlformats.org/officeDocument/2006/relationships/hyperlink" Target="http://reddit.com" TargetMode="External"/><Relationship Id="rId28" Type="http://schemas.openxmlformats.org/officeDocument/2006/relationships/hyperlink" Target="https://www.reddit.com/r/SocialMediaMarketing/comments/18gblts/what_are_some_trusted_legit_a_social_media/"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TheTopAgencies/comments/1me9pid/the_best_digital_marketing_agencies_in_the_united/" TargetMode="External"/><Relationship Id="rId13" Type="http://schemas.openxmlformats.org/officeDocument/2006/relationships/hyperlink" Target="http://reddit.com" TargetMode="External"/><Relationship Id="rId12" Type="http://schemas.openxmlformats.org/officeDocument/2006/relationships/hyperlink" Target="https://www.reddit.com/r/agency/comments/1ok212i/performance_marketing_incrementality/" TargetMode="External"/><Relationship Id="rId15" Type="http://schemas.openxmlformats.org/officeDocument/2006/relationships/hyperlink" Target="http://reddit.com" TargetMode="External"/><Relationship Id="rId14" Type="http://schemas.openxmlformats.org/officeDocument/2006/relationships/hyperlink" Target="https://www.reddit.com/r/b2bmarketing/comments/1rl47cr/the_10_best_visibility_companies_and_agencies_for/" TargetMode="External"/><Relationship Id="rId17" Type="http://schemas.openxmlformats.org/officeDocument/2006/relationships/hyperlink" Target="http://reddit.com" TargetMode="External"/><Relationship Id="rId16" Type="http://schemas.openxmlformats.org/officeDocument/2006/relationships/hyperlink" Target="https://www.reddit.com/r/ecommerce/comments/1c4too8/best_tools_for_paid_marketing_attribution/" TargetMode="External"/><Relationship Id="rId19" Type="http://schemas.openxmlformats.org/officeDocument/2006/relationships/hyperlink" Target="http://reddit.com" TargetMode="External"/><Relationship Id="rId18" Type="http://schemas.openxmlformats.org/officeDocument/2006/relationships/hyperlink" Target="https://www.reddit.com/r/SearchTides/comments/1uu5d0d/10_best_geo_agencies_for_brands_that_want_to_win/" TargetMode="External"/><Relationship Id="rId62" Type="http://schemas.openxmlformats.org/officeDocument/2006/relationships/hyperlink" Target="https://www.reddit.com/r/digital_marketing/comments/1rpmtmy/what_are_the_top_5_ai_visibility_agencies_in_2026/" TargetMode="External"/><Relationship Id="rId61" Type="http://schemas.openxmlformats.org/officeDocument/2006/relationships/hyperlink" Target="http://reddit.com" TargetMode="External"/><Relationship Id="rId64" Type="http://schemas.openxmlformats.org/officeDocument/2006/relationships/hyperlink" Target="https://www.reddit.com/r/u_ThoughtMetric/comments/1t4mvsi/we_put_together_a_comparison_of_the_top_shopify/" TargetMode="External"/><Relationship Id="rId63" Type="http://schemas.openxmlformats.org/officeDocument/2006/relationships/hyperlink" Target="http://reddit.com" TargetMode="External"/><Relationship Id="rId66" Type="http://schemas.openxmlformats.org/officeDocument/2006/relationships/hyperlink" Target="https://www.reddit.com/r/u_ThoughtMetric/comments/1tdbr6w/top_hyros_alternatives_updated_may_2026/" TargetMode="External"/><Relationship Id="rId65" Type="http://schemas.openxmlformats.org/officeDocument/2006/relationships/hyperlink" Target="http://reddit.com" TargetMode="External"/><Relationship Id="rId68" Type="http://schemas.openxmlformats.org/officeDocument/2006/relationships/drawing" Target="../drawings/drawing23.xml"/><Relationship Id="rId67" Type="http://schemas.openxmlformats.org/officeDocument/2006/relationships/hyperlink" Target="http://reddit.com" TargetMode="External"/><Relationship Id="rId60" Type="http://schemas.openxmlformats.org/officeDocument/2006/relationships/hyperlink" Target="https://www.reddit.com/r/TheTopAgencies/comments/1m6imy5/the_best_digital_marketing_agencies_in_seattle/" TargetMode="External"/><Relationship Id="rId51" Type="http://schemas.openxmlformats.org/officeDocument/2006/relationships/hyperlink" Target="http://reddit.com" TargetMode="External"/><Relationship Id="rId50" Type="http://schemas.openxmlformats.org/officeDocument/2006/relationships/hyperlink" Target="https://www.reddit.com/r/DigitalMarketing/comments/1tpb0sw/mmm_tools_for_50k200kmo_ad_spend_brands_recast_vs/" TargetMode="External"/><Relationship Id="rId53" Type="http://schemas.openxmlformats.org/officeDocument/2006/relationships/hyperlink" Target="http://reddit.com" TargetMode="External"/><Relationship Id="rId52" Type="http://schemas.openxmlformats.org/officeDocument/2006/relationships/hyperlink" Target="https://www.reddit.com/r/FacebookAds/comments/1nhohty/meta_insights_based_on_640_incrementality_tests/" TargetMode="External"/><Relationship Id="rId55" Type="http://schemas.openxmlformats.org/officeDocument/2006/relationships/hyperlink" Target="http://reddit.com" TargetMode="External"/><Relationship Id="rId54" Type="http://schemas.openxmlformats.org/officeDocument/2006/relationships/hyperlink" Target="https://www.reddit.com/r/GenEngineOptimization/comments/1qab4rt/what_are_the_top_geo_agencies_and_what_softwares/" TargetMode="External"/><Relationship Id="rId57" Type="http://schemas.openxmlformats.org/officeDocument/2006/relationships/hyperlink" Target="http://reddit.com" TargetMode="External"/><Relationship Id="rId56" Type="http://schemas.openxmlformats.org/officeDocument/2006/relationships/hyperlink" Target="https://www.reddit.com/r/GrowthHacking/comments/1rri9ch/searching_for_10_ai_visibility_agency_brands_are/" TargetMode="External"/><Relationship Id="rId59" Type="http://schemas.openxmlformats.org/officeDocument/2006/relationships/hyperlink" Target="http://reddit.com" TargetMode="External"/><Relationship Id="rId58" Type="http://schemas.openxmlformats.org/officeDocument/2006/relationships/hyperlink" Target="https://www.reddit.com/r/SaaS/comments/1rd9bem/whats_the_best_marketing_agency_youve_worked_with/" TargetMode="External"/><Relationship Id="rId1" Type="http://schemas.openxmlformats.org/officeDocument/2006/relationships/hyperlink" Target="http://reddit.com" TargetMode="External"/><Relationship Id="rId2" Type="http://schemas.openxmlformats.org/officeDocument/2006/relationships/hyperlink" Target="https://www.reddit.com/r/TheTopAgencies/comments/1mjdxiv/the_best_generative_engine_optimization_agencies/" TargetMode="External"/><Relationship Id="rId3" Type="http://schemas.openxmlformats.org/officeDocument/2006/relationships/hyperlink" Target="http://reddit.com" TargetMode="External"/><Relationship Id="rId4" Type="http://schemas.openxmlformats.org/officeDocument/2006/relationships/hyperlink" Target="https://www.reddit.com/r/SaaS/comments/1scwc2o/who_is_the_best_answer_engine_optimization_aeo/"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ecommerce/comments/1qusfa4/looking_for_best_incrementality_testing_tools/" TargetMode="External"/><Relationship Id="rId7" Type="http://schemas.openxmlformats.org/officeDocument/2006/relationships/hyperlink" Target="http://reddit.com" TargetMode="External"/><Relationship Id="rId8" Type="http://schemas.openxmlformats.org/officeDocument/2006/relationships/hyperlink" Target="https://www.reddit.com/r/u_Large_Let1715/comments/1tdt8px/best_marketing_analytics_firms_a_complete/"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wearesocial.com/us/" TargetMode="External"/><Relationship Id="rId42" Type="http://schemas.openxmlformats.org/officeDocument/2006/relationships/hyperlink" Target="https://disruptiveadvertising.com/" TargetMode="External"/><Relationship Id="rId41" Type="http://schemas.openxmlformats.org/officeDocument/2006/relationships/hyperlink" Target="http://wearesocial.com" TargetMode="External"/><Relationship Id="rId44" Type="http://schemas.openxmlformats.org/officeDocument/2006/relationships/hyperlink" Target="https://pinemarsh.com/" TargetMode="External"/><Relationship Id="rId43" Type="http://schemas.openxmlformats.org/officeDocument/2006/relationships/hyperlink" Target="http://disruptiveadvertising.com" TargetMode="External"/><Relationship Id="rId46" Type="http://schemas.openxmlformats.org/officeDocument/2006/relationships/hyperlink" Target="https://www.adcountable.com/" TargetMode="External"/><Relationship Id="rId45" Type="http://schemas.openxmlformats.org/officeDocument/2006/relationships/hyperlink" Target="http://pinemarsh.com" TargetMode="External"/><Relationship Id="rId48" Type="http://schemas.openxmlformats.org/officeDocument/2006/relationships/hyperlink" Target="https://search.agency/" TargetMode="External"/><Relationship Id="rId47" Type="http://schemas.openxmlformats.org/officeDocument/2006/relationships/hyperlink" Target="http://adcountable.com" TargetMode="External"/><Relationship Id="rId49" Type="http://schemas.openxmlformats.org/officeDocument/2006/relationships/hyperlink" Target="https://stratevaai.com/" TargetMode="External"/><Relationship Id="rId31" Type="http://schemas.openxmlformats.org/officeDocument/2006/relationships/hyperlink" Target="http://strategylinc.com" TargetMode="External"/><Relationship Id="rId30" Type="http://schemas.openxmlformats.org/officeDocument/2006/relationships/hyperlink" Target="https://strategylinc.com/" TargetMode="External"/><Relationship Id="rId33" Type="http://schemas.openxmlformats.org/officeDocument/2006/relationships/hyperlink" Target="http://thekeenfolks.com" TargetMode="External"/><Relationship Id="rId32" Type="http://schemas.openxmlformats.org/officeDocument/2006/relationships/hyperlink" Target="https://www.thekeenfolks.com/" TargetMode="External"/><Relationship Id="rId35" Type="http://schemas.openxmlformats.org/officeDocument/2006/relationships/hyperlink" Target="http://airconsulting.ai" TargetMode="External"/><Relationship Id="rId34" Type="http://schemas.openxmlformats.org/officeDocument/2006/relationships/hyperlink" Target="https://www.airconsulting.ai/" TargetMode="External"/><Relationship Id="rId37" Type="http://schemas.openxmlformats.org/officeDocument/2006/relationships/hyperlink" Target="http://amos-os.com" TargetMode="External"/><Relationship Id="rId36" Type="http://schemas.openxmlformats.org/officeDocument/2006/relationships/hyperlink" Target="https://www.amos-os.com/" TargetMode="External"/><Relationship Id="rId39" Type="http://schemas.openxmlformats.org/officeDocument/2006/relationships/hyperlink" Target="http://lifesight.io" TargetMode="External"/><Relationship Id="rId38" Type="http://schemas.openxmlformats.org/officeDocument/2006/relationships/hyperlink" Target="https://lifesight.io/" TargetMode="External"/><Relationship Id="rId20" Type="http://schemas.openxmlformats.org/officeDocument/2006/relationships/hyperlink" Target="https://www.bconic.com/" TargetMode="External"/><Relationship Id="rId22" Type="http://schemas.openxmlformats.org/officeDocument/2006/relationships/hyperlink" Target="https://aimadethisbrand.com/" TargetMode="External"/><Relationship Id="rId21" Type="http://schemas.openxmlformats.org/officeDocument/2006/relationships/hyperlink" Target="http://bconic.com" TargetMode="External"/><Relationship Id="rId24" Type="http://schemas.openxmlformats.org/officeDocument/2006/relationships/hyperlink" Target="https://www.chiefoutsiders.com/ai" TargetMode="External"/><Relationship Id="rId23" Type="http://schemas.openxmlformats.org/officeDocument/2006/relationships/hyperlink" Target="http://aimadethisbrand.com" TargetMode="External"/><Relationship Id="rId26" Type="http://schemas.openxmlformats.org/officeDocument/2006/relationships/hyperlink" Target="https://compass-360.ai/" TargetMode="External"/><Relationship Id="rId25" Type="http://schemas.openxmlformats.org/officeDocument/2006/relationships/hyperlink" Target="http://chiefoutsiders.com" TargetMode="External"/><Relationship Id="rId28" Type="http://schemas.openxmlformats.org/officeDocument/2006/relationships/hyperlink" Target="https://www.intlda.com/" TargetMode="External"/><Relationship Id="rId27" Type="http://schemas.openxmlformats.org/officeDocument/2006/relationships/hyperlink" Target="http://compass-360.ai" TargetMode="External"/><Relationship Id="rId29" Type="http://schemas.openxmlformats.org/officeDocument/2006/relationships/hyperlink" Target="http://intlda.com" TargetMode="External"/><Relationship Id="rId11" Type="http://schemas.openxmlformats.org/officeDocument/2006/relationships/hyperlink" Target="http://inflectionpointe.com" TargetMode="External"/><Relationship Id="rId10" Type="http://schemas.openxmlformats.org/officeDocument/2006/relationships/hyperlink" Target="https://inflectionpointe.com/" TargetMode="External"/><Relationship Id="rId13" Type="http://schemas.openxmlformats.org/officeDocument/2006/relationships/hyperlink" Target="http://measured.com" TargetMode="External"/><Relationship Id="rId12" Type="http://schemas.openxmlformats.org/officeDocument/2006/relationships/hyperlink" Target="https://www.measured.com/" TargetMode="External"/><Relationship Id="rId15" Type="http://schemas.openxmlformats.org/officeDocument/2006/relationships/hyperlink" Target="http://sellforte.com" TargetMode="External"/><Relationship Id="rId14" Type="http://schemas.openxmlformats.org/officeDocument/2006/relationships/hyperlink" Target="https://sellforte.com/" TargetMode="External"/><Relationship Id="rId17" Type="http://schemas.openxmlformats.org/officeDocument/2006/relationships/hyperlink" Target="http://deducive.com" TargetMode="External"/><Relationship Id="rId16" Type="http://schemas.openxmlformats.org/officeDocument/2006/relationships/hyperlink" Target="https://www.deducive.com/" TargetMode="External"/><Relationship Id="rId19" Type="http://schemas.openxmlformats.org/officeDocument/2006/relationships/hyperlink" Target="http://incremental.com" TargetMode="External"/><Relationship Id="rId18" Type="http://schemas.openxmlformats.org/officeDocument/2006/relationships/hyperlink" Target="https://www.incremental.com/" TargetMode="External"/><Relationship Id="rId84" Type="http://schemas.openxmlformats.org/officeDocument/2006/relationships/hyperlink" Target="http://617collective.com" TargetMode="External"/><Relationship Id="rId83" Type="http://schemas.openxmlformats.org/officeDocument/2006/relationships/hyperlink" Target="https://www.617collective.com/" TargetMode="External"/><Relationship Id="rId86" Type="http://schemas.openxmlformats.org/officeDocument/2006/relationships/hyperlink" Target="http://72andsunny.com" TargetMode="External"/><Relationship Id="rId85" Type="http://schemas.openxmlformats.org/officeDocument/2006/relationships/hyperlink" Target="https://www.72andsunny.com/" TargetMode="External"/><Relationship Id="rId88" Type="http://schemas.openxmlformats.org/officeDocument/2006/relationships/hyperlink" Target="http://accentmarketing.com" TargetMode="External"/><Relationship Id="rId87" Type="http://schemas.openxmlformats.org/officeDocument/2006/relationships/hyperlink" Target="https://www.accentmarketing.com/" TargetMode="External"/><Relationship Id="rId89" Type="http://schemas.openxmlformats.org/officeDocument/2006/relationships/hyperlink" Target="https://adagealist.secure-platform.com/" TargetMode="External"/><Relationship Id="rId80" Type="http://schemas.openxmlformats.org/officeDocument/2006/relationships/hyperlink" Target="http://signaldepth.com" TargetMode="External"/><Relationship Id="rId82" Type="http://schemas.openxmlformats.org/officeDocument/2006/relationships/hyperlink" Target="http://wk.com" TargetMode="External"/><Relationship Id="rId81" Type="http://schemas.openxmlformats.org/officeDocument/2006/relationships/hyperlink" Target="https://www.wk.com/" TargetMode="External"/><Relationship Id="rId73" Type="http://schemas.openxmlformats.org/officeDocument/2006/relationships/hyperlink" Target="https://www.nga.mil/" TargetMode="External"/><Relationship Id="rId72" Type="http://schemas.openxmlformats.org/officeDocument/2006/relationships/hyperlink" Target="http://marketingattribution.com" TargetMode="External"/><Relationship Id="rId75" Type="http://schemas.openxmlformats.org/officeDocument/2006/relationships/hyperlink" Target="https://www.shiftelevates.com/" TargetMode="External"/><Relationship Id="rId74" Type="http://schemas.openxmlformats.org/officeDocument/2006/relationships/hyperlink" Target="http://nga.mil" TargetMode="External"/><Relationship Id="rId77" Type="http://schemas.openxmlformats.org/officeDocument/2006/relationships/hyperlink" Target="https://www.siegemedia.com/" TargetMode="External"/><Relationship Id="rId76" Type="http://schemas.openxmlformats.org/officeDocument/2006/relationships/hyperlink" Target="http://shiftelevates.com" TargetMode="External"/><Relationship Id="rId79" Type="http://schemas.openxmlformats.org/officeDocument/2006/relationships/hyperlink" Target="https://www.signaldepth.com/" TargetMode="External"/><Relationship Id="rId78" Type="http://schemas.openxmlformats.org/officeDocument/2006/relationships/hyperlink" Target="http://siegemedia.com" TargetMode="External"/><Relationship Id="rId71" Type="http://schemas.openxmlformats.org/officeDocument/2006/relationships/hyperlink" Target="https://www.marketingattribution.com/" TargetMode="External"/><Relationship Id="rId70" Type="http://schemas.openxmlformats.org/officeDocument/2006/relationships/hyperlink" Target="http://liftlab.com" TargetMode="External"/><Relationship Id="rId62" Type="http://schemas.openxmlformats.org/officeDocument/2006/relationships/hyperlink" Target="http://cygnal.co" TargetMode="External"/><Relationship Id="rId61" Type="http://schemas.openxmlformats.org/officeDocument/2006/relationships/hyperlink" Target="https://cygnal.co/" TargetMode="External"/><Relationship Id="rId64" Type="http://schemas.openxmlformats.org/officeDocument/2006/relationships/hyperlink" Target="http://dawnmarketing.com" TargetMode="External"/><Relationship Id="rId63" Type="http://schemas.openxmlformats.org/officeDocument/2006/relationships/hyperlink" Target="https://dawnmarketing.com/" TargetMode="External"/><Relationship Id="rId66" Type="http://schemas.openxmlformats.org/officeDocument/2006/relationships/hyperlink" Target="http://hivergentai.com" TargetMode="External"/><Relationship Id="rId65" Type="http://schemas.openxmlformats.org/officeDocument/2006/relationships/hyperlink" Target="https://hivergentai.com/" TargetMode="External"/><Relationship Id="rId68" Type="http://schemas.openxmlformats.org/officeDocument/2006/relationships/hyperlink" Target="http://incrmntal.com" TargetMode="External"/><Relationship Id="rId67" Type="http://schemas.openxmlformats.org/officeDocument/2006/relationships/hyperlink" Target="https://www.incrmntal.com/" TargetMode="External"/><Relationship Id="rId60" Type="http://schemas.openxmlformats.org/officeDocument/2006/relationships/hyperlink" Target="http://slalom.com" TargetMode="External"/><Relationship Id="rId69" Type="http://schemas.openxmlformats.org/officeDocument/2006/relationships/hyperlink" Target="https://liftlab.com/" TargetMode="External"/><Relationship Id="rId51" Type="http://schemas.openxmlformats.org/officeDocument/2006/relationships/hyperlink" Target="https://www.aimediagroup.com/" TargetMode="External"/><Relationship Id="rId50" Type="http://schemas.openxmlformats.org/officeDocument/2006/relationships/hyperlink" Target="http://stratevaai.com" TargetMode="External"/><Relationship Id="rId53" Type="http://schemas.openxmlformats.org/officeDocument/2006/relationships/hyperlink" Target="https://atelligen.com/" TargetMode="External"/><Relationship Id="rId52" Type="http://schemas.openxmlformats.org/officeDocument/2006/relationships/hyperlink" Target="http://aimediagroup.com" TargetMode="External"/><Relationship Id="rId55" Type="http://schemas.openxmlformats.org/officeDocument/2006/relationships/hyperlink" Target="https://www.baselinemix.com/" TargetMode="External"/><Relationship Id="rId54" Type="http://schemas.openxmlformats.org/officeDocument/2006/relationships/hyperlink" Target="http://atelligen.com" TargetMode="External"/><Relationship Id="rId57" Type="http://schemas.openxmlformats.org/officeDocument/2006/relationships/hyperlink" Target="https://www.nexusaiconsulting.com/" TargetMode="External"/><Relationship Id="rId56" Type="http://schemas.openxmlformats.org/officeDocument/2006/relationships/hyperlink" Target="http://baselinemix.com" TargetMode="External"/><Relationship Id="rId59" Type="http://schemas.openxmlformats.org/officeDocument/2006/relationships/hyperlink" Target="https://www.slalom.com/us/en" TargetMode="External"/><Relationship Id="rId58" Type="http://schemas.openxmlformats.org/officeDocument/2006/relationships/hyperlink" Target="http://nexusaiconsulting.com" TargetMode="External"/><Relationship Id="rId95" Type="http://schemas.openxmlformats.org/officeDocument/2006/relationships/hyperlink" Target="https://www.ai360review.com/" TargetMode="External"/><Relationship Id="rId94" Type="http://schemas.openxmlformats.org/officeDocument/2006/relationships/hyperlink" Target="http://agencyranks.com" TargetMode="External"/><Relationship Id="rId97" Type="http://schemas.openxmlformats.org/officeDocument/2006/relationships/hyperlink" Target="https://www.aisyndicate.com/" TargetMode="External"/><Relationship Id="rId96" Type="http://schemas.openxmlformats.org/officeDocument/2006/relationships/hyperlink" Target="http://ai360review.com" TargetMode="External"/><Relationship Id="rId99" Type="http://schemas.openxmlformats.org/officeDocument/2006/relationships/hyperlink" Target="https://www.artefact.com/" TargetMode="External"/><Relationship Id="rId98" Type="http://schemas.openxmlformats.org/officeDocument/2006/relationships/hyperlink" Target="http://aisyndicate.com" TargetMode="External"/><Relationship Id="rId91" Type="http://schemas.openxmlformats.org/officeDocument/2006/relationships/hyperlink" Target="http://www.adlucent.a3online.com/" TargetMode="External"/><Relationship Id="rId90" Type="http://schemas.openxmlformats.org/officeDocument/2006/relationships/hyperlink" Target="http://secure-platform.com" TargetMode="External"/><Relationship Id="rId93" Type="http://schemas.openxmlformats.org/officeDocument/2006/relationships/hyperlink" Target="https://agencyranks.com/" TargetMode="External"/><Relationship Id="rId92" Type="http://schemas.openxmlformats.org/officeDocument/2006/relationships/hyperlink" Target="http://a3online.com" TargetMode="External"/><Relationship Id="rId226" Type="http://schemas.openxmlformats.org/officeDocument/2006/relationships/drawing" Target="../drawings/drawing24.xml"/><Relationship Id="rId225" Type="http://schemas.openxmlformats.org/officeDocument/2006/relationships/hyperlink" Target="http://zapshere.com" TargetMode="External"/><Relationship Id="rId220" Type="http://schemas.openxmlformats.org/officeDocument/2006/relationships/hyperlink" Target="https://weareaudiences.com/" TargetMode="External"/><Relationship Id="rId224" Type="http://schemas.openxmlformats.org/officeDocument/2006/relationships/hyperlink" Target="https://www.zapshere.com/us" TargetMode="External"/><Relationship Id="rId223" Type="http://schemas.openxmlformats.org/officeDocument/2006/relationships/hyperlink" Target="http://withagency.ai" TargetMode="External"/><Relationship Id="rId222" Type="http://schemas.openxmlformats.org/officeDocument/2006/relationships/hyperlink" Target="https://withagency.ai/" TargetMode="External"/><Relationship Id="rId221" Type="http://schemas.openxmlformats.org/officeDocument/2006/relationships/hyperlink" Target="http://weareaudiences.com" TargetMode="External"/><Relationship Id="rId217" Type="http://schemas.openxmlformats.org/officeDocument/2006/relationships/hyperlink" Target="http://vantecmarketing.com" TargetMode="External"/><Relationship Id="rId216" Type="http://schemas.openxmlformats.org/officeDocument/2006/relationships/hyperlink" Target="https://vantecmarketing.com/" TargetMode="External"/><Relationship Id="rId215" Type="http://schemas.openxmlformats.org/officeDocument/2006/relationships/hyperlink" Target="http://tridence.com" TargetMode="External"/><Relationship Id="rId214" Type="http://schemas.openxmlformats.org/officeDocument/2006/relationships/hyperlink" Target="https://tridence.com/" TargetMode="External"/><Relationship Id="rId219" Type="http://schemas.openxmlformats.org/officeDocument/2006/relationships/hyperlink" Target="http://vaynermedia.com" TargetMode="External"/><Relationship Id="rId218" Type="http://schemas.openxmlformats.org/officeDocument/2006/relationships/hyperlink" Target="https://vaynermedia.com/" TargetMode="External"/><Relationship Id="rId213" Type="http://schemas.openxmlformats.org/officeDocument/2006/relationships/hyperlink" Target="http://tinuiti.com" TargetMode="External"/><Relationship Id="rId212" Type="http://schemas.openxmlformats.org/officeDocument/2006/relationships/hyperlink" Target="https://tinuiti.com/" TargetMode="External"/><Relationship Id="rId211" Type="http://schemas.openxmlformats.org/officeDocument/2006/relationships/hyperlink" Target="http://themill.com" TargetMode="External"/><Relationship Id="rId210" Type="http://schemas.openxmlformats.org/officeDocument/2006/relationships/hyperlink" Target="https://www.themill.com/" TargetMode="External"/><Relationship Id="rId206" Type="http://schemas.openxmlformats.org/officeDocument/2006/relationships/hyperlink" Target="https://www.stellaheystella.com/" TargetMode="External"/><Relationship Id="rId205" Type="http://schemas.openxmlformats.org/officeDocument/2006/relationships/hyperlink" Target="http://skipthenoisemedia.com" TargetMode="External"/><Relationship Id="rId204" Type="http://schemas.openxmlformats.org/officeDocument/2006/relationships/hyperlink" Target="https://skipthenoisemedia.com/" TargetMode="External"/><Relationship Id="rId203" Type="http://schemas.openxmlformats.org/officeDocument/2006/relationships/hyperlink" Target="http://singlegrain.com" TargetMode="External"/><Relationship Id="rId209" Type="http://schemas.openxmlformats.org/officeDocument/2006/relationships/hyperlink" Target="http://tbwa.com" TargetMode="External"/><Relationship Id="rId208" Type="http://schemas.openxmlformats.org/officeDocument/2006/relationships/hyperlink" Target="https://tbwa.com/" TargetMode="External"/><Relationship Id="rId207" Type="http://schemas.openxmlformats.org/officeDocument/2006/relationships/hyperlink" Target="http://stellaheystella.com" TargetMode="External"/><Relationship Id="rId202" Type="http://schemas.openxmlformats.org/officeDocument/2006/relationships/hyperlink" Target="https://www.singlegrain.com/" TargetMode="External"/><Relationship Id="rId201" Type="http://schemas.openxmlformats.org/officeDocument/2006/relationships/hyperlink" Target="http://sinfa.com" TargetMode="External"/><Relationship Id="rId200" Type="http://schemas.openxmlformats.org/officeDocument/2006/relationships/hyperlink" Target="https://sinfa.com/" TargetMode="External"/><Relationship Id="rId1" Type="http://schemas.openxmlformats.org/officeDocument/2006/relationships/hyperlink" Target="http://withgoogle.com" TargetMode="External"/><Relationship Id="rId2" Type="http://schemas.openxmlformats.org/officeDocument/2006/relationships/hyperlink" Target="https://www.getapexanalytics.com/" TargetMode="External"/><Relationship Id="rId3" Type="http://schemas.openxmlformats.org/officeDocument/2006/relationships/hyperlink" Target="http://getapexanalytics.com" TargetMode="External"/><Relationship Id="rId4" Type="http://schemas.openxmlformats.org/officeDocument/2006/relationships/hyperlink" Target="https://topgeoagencies.com/" TargetMode="External"/><Relationship Id="rId9" Type="http://schemas.openxmlformats.org/officeDocument/2006/relationships/hyperlink" Target="http://nationalmarketingawards.com" TargetMode="External"/><Relationship Id="rId5" Type="http://schemas.openxmlformats.org/officeDocument/2006/relationships/hyperlink" Target="http://topgeoagencies.com" TargetMode="External"/><Relationship Id="rId6" Type="http://schemas.openxmlformats.org/officeDocument/2006/relationships/hyperlink" Target="https://aeoagency.us/" TargetMode="External"/><Relationship Id="rId7" Type="http://schemas.openxmlformats.org/officeDocument/2006/relationships/hyperlink" Target="http://aeoagency.us" TargetMode="External"/><Relationship Id="rId8" Type="http://schemas.openxmlformats.org/officeDocument/2006/relationships/hyperlink" Target="https://www.nationalmarketingawards.com/" TargetMode="External"/><Relationship Id="rId190" Type="http://schemas.openxmlformats.org/officeDocument/2006/relationships/hyperlink" Target="http://purealanalytics.co.uk" TargetMode="External"/><Relationship Id="rId194" Type="http://schemas.openxmlformats.org/officeDocument/2006/relationships/hyperlink" Target="https://rokointernational.com/" TargetMode="External"/><Relationship Id="rId193" Type="http://schemas.openxmlformats.org/officeDocument/2006/relationships/hyperlink" Target="http://roirevolution.com" TargetMode="External"/><Relationship Id="rId192" Type="http://schemas.openxmlformats.org/officeDocument/2006/relationships/hyperlink" Target="https://roirevolution.com/" TargetMode="External"/><Relationship Id="rId191" Type="http://schemas.openxmlformats.org/officeDocument/2006/relationships/hyperlink" Target="https://qs.digital/" TargetMode="External"/><Relationship Id="rId187" Type="http://schemas.openxmlformats.org/officeDocument/2006/relationships/hyperlink" Target="https://www.propellic.com/" TargetMode="External"/><Relationship Id="rId186" Type="http://schemas.openxmlformats.org/officeDocument/2006/relationships/hyperlink" Target="http://performics.com" TargetMode="External"/><Relationship Id="rId185" Type="http://schemas.openxmlformats.org/officeDocument/2006/relationships/hyperlink" Target="https://www.performics.com/" TargetMode="External"/><Relationship Id="rId184" Type="http://schemas.openxmlformats.org/officeDocument/2006/relationships/hyperlink" Target="http://paramark.com" TargetMode="External"/><Relationship Id="rId189" Type="http://schemas.openxmlformats.org/officeDocument/2006/relationships/hyperlink" Target="https://purealanalytics.co.uk/" TargetMode="External"/><Relationship Id="rId188" Type="http://schemas.openxmlformats.org/officeDocument/2006/relationships/hyperlink" Target="http://propellic.com" TargetMode="External"/><Relationship Id="rId183" Type="http://schemas.openxmlformats.org/officeDocument/2006/relationships/hyperlink" Target="https://paramark.com/" TargetMode="External"/><Relationship Id="rId182" Type="http://schemas.openxmlformats.org/officeDocument/2006/relationships/hyperlink" Target="http://ogilvy.com" TargetMode="External"/><Relationship Id="rId181" Type="http://schemas.openxmlformats.org/officeDocument/2006/relationships/hyperlink" Target="https://www.ogilvy.com/" TargetMode="External"/><Relationship Id="rId180" Type="http://schemas.openxmlformats.org/officeDocument/2006/relationships/hyperlink" Target="http://mutesix.com" TargetMode="External"/><Relationship Id="rId176" Type="http://schemas.openxmlformats.org/officeDocument/2006/relationships/hyperlink" Target="http://shopperapproved.com" TargetMode="External"/><Relationship Id="rId175" Type="http://schemas.openxmlformats.org/officeDocument/2006/relationships/hyperlink" Target="https://marketplace.shopperapproved.com/" TargetMode="External"/><Relationship Id="rId174" Type="http://schemas.openxmlformats.org/officeDocument/2006/relationships/hyperlink" Target="http://linea-analytics.com" TargetMode="External"/><Relationship Id="rId173" Type="http://schemas.openxmlformats.org/officeDocument/2006/relationships/hyperlink" Target="https://linea-analytics.com/" TargetMode="External"/><Relationship Id="rId179" Type="http://schemas.openxmlformats.org/officeDocument/2006/relationships/hyperlink" Target="https://mutesix.com/" TargetMode="External"/><Relationship Id="rId178" Type="http://schemas.openxmlformats.org/officeDocument/2006/relationships/hyperlink" Target="http://mkt-sci.com" TargetMode="External"/><Relationship Id="rId177" Type="http://schemas.openxmlformats.org/officeDocument/2006/relationships/hyperlink" Target="https://www.mkt-sci.com/" TargetMode="External"/><Relationship Id="rId198" Type="http://schemas.openxmlformats.org/officeDocument/2006/relationships/hyperlink" Target="https://seedcreativestudio.com/" TargetMode="External"/><Relationship Id="rId197" Type="http://schemas.openxmlformats.org/officeDocument/2006/relationships/hyperlink" Target="http://scaleandcompany.com" TargetMode="External"/><Relationship Id="rId196" Type="http://schemas.openxmlformats.org/officeDocument/2006/relationships/hyperlink" Target="https://www.scaleandcompany.com/" TargetMode="External"/><Relationship Id="rId195" Type="http://schemas.openxmlformats.org/officeDocument/2006/relationships/hyperlink" Target="http://rokointernational.com" TargetMode="External"/><Relationship Id="rId199" Type="http://schemas.openxmlformats.org/officeDocument/2006/relationships/hyperlink" Target="http://seedcreativestudio.com" TargetMode="External"/><Relationship Id="rId150" Type="http://schemas.openxmlformats.org/officeDocument/2006/relationships/hyperlink" Target="http://exposureninja.com" TargetMode="External"/><Relationship Id="rId149" Type="http://schemas.openxmlformats.org/officeDocument/2006/relationships/hyperlink" Target="https://exposureninja.com/" TargetMode="External"/><Relationship Id="rId148" Type="http://schemas.openxmlformats.org/officeDocument/2006/relationships/hyperlink" Target="http://evarigisconsulting.com" TargetMode="External"/><Relationship Id="rId143" Type="http://schemas.openxmlformats.org/officeDocument/2006/relationships/hyperlink" Target="https://eight26.com/" TargetMode="External"/><Relationship Id="rId142" Type="http://schemas.openxmlformats.org/officeDocument/2006/relationships/hyperlink" Target="http://digitalsurfer.com.au" TargetMode="External"/><Relationship Id="rId141" Type="http://schemas.openxmlformats.org/officeDocument/2006/relationships/hyperlink" Target="https://digitalsurfer.com.au/ai-seo" TargetMode="External"/><Relationship Id="rId140" Type="http://schemas.openxmlformats.org/officeDocument/2006/relationships/hyperlink" Target="http://dentsu.com" TargetMode="External"/><Relationship Id="rId147" Type="http://schemas.openxmlformats.org/officeDocument/2006/relationships/hyperlink" Target="https://www.evarigisconsulting.com/" TargetMode="External"/><Relationship Id="rId146" Type="http://schemas.openxmlformats.org/officeDocument/2006/relationships/hyperlink" Target="http://empireentertainment.com" TargetMode="External"/><Relationship Id="rId145" Type="http://schemas.openxmlformats.org/officeDocument/2006/relationships/hyperlink" Target="https://www.empireentertainment.com/" TargetMode="External"/><Relationship Id="rId144" Type="http://schemas.openxmlformats.org/officeDocument/2006/relationships/hyperlink" Target="http://eight26.com" TargetMode="External"/><Relationship Id="rId139" Type="http://schemas.openxmlformats.org/officeDocument/2006/relationships/hyperlink" Target="https://www.dentsu.com/us" TargetMode="External"/><Relationship Id="rId138" Type="http://schemas.openxmlformats.org/officeDocument/2006/relationships/hyperlink" Target="http://dcclicks.com" TargetMode="External"/><Relationship Id="rId137" Type="http://schemas.openxmlformats.org/officeDocument/2006/relationships/hyperlink" Target="https://dcclicks.com/" TargetMode="External"/><Relationship Id="rId132" Type="http://schemas.openxmlformats.org/officeDocument/2006/relationships/hyperlink" Target="http://createscale.co" TargetMode="External"/><Relationship Id="rId131" Type="http://schemas.openxmlformats.org/officeDocument/2006/relationships/hyperlink" Target="https://createscale.co/" TargetMode="External"/><Relationship Id="rId130" Type="http://schemas.openxmlformats.org/officeDocument/2006/relationships/hyperlink" Target="http://clearforge.ai" TargetMode="External"/><Relationship Id="rId136" Type="http://schemas.openxmlformats.org/officeDocument/2006/relationships/hyperlink" Target="http://dacmarketing.co" TargetMode="External"/><Relationship Id="rId135" Type="http://schemas.openxmlformats.org/officeDocument/2006/relationships/hyperlink" Target="https://dacmarketing.co/" TargetMode="External"/><Relationship Id="rId134" Type="http://schemas.openxmlformats.org/officeDocument/2006/relationships/hyperlink" Target="http://createscale.com" TargetMode="External"/><Relationship Id="rId133" Type="http://schemas.openxmlformats.org/officeDocument/2006/relationships/hyperlink" Target="https://createscale.com/" TargetMode="External"/><Relationship Id="rId172" Type="http://schemas.openxmlformats.org/officeDocument/2006/relationships/hyperlink" Target="http://klientboost.com" TargetMode="External"/><Relationship Id="rId171" Type="http://schemas.openxmlformats.org/officeDocument/2006/relationships/hyperlink" Target="https://www.klientboost.com/" TargetMode="External"/><Relationship Id="rId170" Type="http://schemas.openxmlformats.org/officeDocument/2006/relationships/hyperlink" Target="http://j29creative.com" TargetMode="External"/><Relationship Id="rId165" Type="http://schemas.openxmlformats.org/officeDocument/2006/relationships/hyperlink" Target="https://www.hellobigidea.com/" TargetMode="External"/><Relationship Id="rId164" Type="http://schemas.openxmlformats.org/officeDocument/2006/relationships/hyperlink" Target="http://haus.io" TargetMode="External"/><Relationship Id="rId163" Type="http://schemas.openxmlformats.org/officeDocument/2006/relationships/hyperlink" Target="https://www.haus.io/" TargetMode="External"/><Relationship Id="rId162" Type="http://schemas.openxmlformats.org/officeDocument/2006/relationships/hyperlink" Target="http://gumgum.com" TargetMode="External"/><Relationship Id="rId169" Type="http://schemas.openxmlformats.org/officeDocument/2006/relationships/hyperlink" Target="https://www.j29creative.com/" TargetMode="External"/><Relationship Id="rId168" Type="http://schemas.openxmlformats.org/officeDocument/2006/relationships/hyperlink" Target="http://humanshiftready.com" TargetMode="External"/><Relationship Id="rId167" Type="http://schemas.openxmlformats.org/officeDocument/2006/relationships/hyperlink" Target="https://humanshiftready.com/" TargetMode="External"/><Relationship Id="rId166" Type="http://schemas.openxmlformats.org/officeDocument/2006/relationships/hyperlink" Target="http://hellobigidea.com" TargetMode="External"/><Relationship Id="rId161" Type="http://schemas.openxmlformats.org/officeDocument/2006/relationships/hyperlink" Target="https://gumgum.com/" TargetMode="External"/><Relationship Id="rId160" Type="http://schemas.openxmlformats.org/officeDocument/2006/relationships/hyperlink" Target="http://goupward.com" TargetMode="External"/><Relationship Id="rId159" Type="http://schemas.openxmlformats.org/officeDocument/2006/relationships/hyperlink" Target="https://www.goupward.com/" TargetMode="External"/><Relationship Id="rId154" Type="http://schemas.openxmlformats.org/officeDocument/2006/relationships/hyperlink" Target="http://frontieraiconsulting.com" TargetMode="External"/><Relationship Id="rId153" Type="http://schemas.openxmlformats.org/officeDocument/2006/relationships/hyperlink" Target="https://www.frontieraiconsulting.com/" TargetMode="External"/><Relationship Id="rId152" Type="http://schemas.openxmlformats.org/officeDocument/2006/relationships/hyperlink" Target="http://firmcraft.ai" TargetMode="External"/><Relationship Id="rId151" Type="http://schemas.openxmlformats.org/officeDocument/2006/relationships/hyperlink" Target="https://firmcraft.ai/" TargetMode="External"/><Relationship Id="rId158" Type="http://schemas.openxmlformats.org/officeDocument/2006/relationships/hyperlink" Target="http://geoagency.net" TargetMode="External"/><Relationship Id="rId157" Type="http://schemas.openxmlformats.org/officeDocument/2006/relationships/hyperlink" Target="https://www.geoagency.net/" TargetMode="External"/><Relationship Id="rId156" Type="http://schemas.openxmlformats.org/officeDocument/2006/relationships/hyperlink" Target="http://futuresupply.io" TargetMode="External"/><Relationship Id="rId155" Type="http://schemas.openxmlformats.org/officeDocument/2006/relationships/hyperlink" Target="https://www.futuresupply.io/" TargetMode="External"/><Relationship Id="rId107" Type="http://schemas.openxmlformats.org/officeDocument/2006/relationships/hyperlink" Target="https://www.backhouse.com/" TargetMode="External"/><Relationship Id="rId106" Type="http://schemas.openxmlformats.org/officeDocument/2006/relationships/hyperlink" Target="http://austley.com" TargetMode="External"/><Relationship Id="rId105" Type="http://schemas.openxmlformats.org/officeDocument/2006/relationships/hyperlink" Target="https://www.austley.com/" TargetMode="External"/><Relationship Id="rId104" Type="http://schemas.openxmlformats.org/officeDocument/2006/relationships/hyperlink" Target="http://audigent.com" TargetMode="External"/><Relationship Id="rId109" Type="http://schemas.openxmlformats.org/officeDocument/2006/relationships/hyperlink" Target="https://bbdo.com/" TargetMode="External"/><Relationship Id="rId108" Type="http://schemas.openxmlformats.org/officeDocument/2006/relationships/hyperlink" Target="http://backhouse.com" TargetMode="External"/><Relationship Id="rId103" Type="http://schemas.openxmlformats.org/officeDocument/2006/relationships/hyperlink" Target="https://audigent.com/" TargetMode="External"/><Relationship Id="rId102" Type="http://schemas.openxmlformats.org/officeDocument/2006/relationships/hyperlink" Target="http://assemblestudio.com" TargetMode="External"/><Relationship Id="rId101" Type="http://schemas.openxmlformats.org/officeDocument/2006/relationships/hyperlink" Target="https://www.assemblestudio.com/" TargetMode="External"/><Relationship Id="rId100" Type="http://schemas.openxmlformats.org/officeDocument/2006/relationships/hyperlink" Target="http://artefact.com" TargetMode="External"/><Relationship Id="rId129" Type="http://schemas.openxmlformats.org/officeDocument/2006/relationships/hyperlink" Target="https://clearforge.ai/" TargetMode="External"/><Relationship Id="rId128" Type="http://schemas.openxmlformats.org/officeDocument/2006/relationships/hyperlink" Target="http://chiefoutsiders.com" TargetMode="External"/><Relationship Id="rId127" Type="http://schemas.openxmlformats.org/officeDocument/2006/relationships/hyperlink" Target="https://www.chiefoutsiders.com/" TargetMode="External"/><Relationship Id="rId126" Type="http://schemas.openxmlformats.org/officeDocument/2006/relationships/hyperlink" Target="http://ceamarketing.com" TargetMode="External"/><Relationship Id="rId121" Type="http://schemas.openxmlformats.org/officeDocument/2006/relationships/hyperlink" Target="https://www.busylike.com/" TargetMode="External"/><Relationship Id="rId120" Type="http://schemas.openxmlformats.org/officeDocument/2006/relationships/hyperlink" Target="http://brillmedia.co" TargetMode="External"/><Relationship Id="rId125" Type="http://schemas.openxmlformats.org/officeDocument/2006/relationships/hyperlink" Target="https://www.ceamarketing.com/" TargetMode="External"/><Relationship Id="rId124" Type="http://schemas.openxmlformats.org/officeDocument/2006/relationships/hyperlink" Target="http://caa.com" TargetMode="External"/><Relationship Id="rId123" Type="http://schemas.openxmlformats.org/officeDocument/2006/relationships/hyperlink" Target="https://www.caa.com/" TargetMode="External"/><Relationship Id="rId122" Type="http://schemas.openxmlformats.org/officeDocument/2006/relationships/hyperlink" Target="http://busylike.com" TargetMode="External"/><Relationship Id="rId118" Type="http://schemas.openxmlformats.org/officeDocument/2006/relationships/hyperlink" Target="http://braumillerconsulting.com" TargetMode="External"/><Relationship Id="rId117" Type="http://schemas.openxmlformats.org/officeDocument/2006/relationships/hyperlink" Target="https://www.braumillerconsulting.com/" TargetMode="External"/><Relationship Id="rId116" Type="http://schemas.openxmlformats.org/officeDocument/2006/relationships/hyperlink" Target="http://blackwelldigital.com" TargetMode="External"/><Relationship Id="rId115" Type="http://schemas.openxmlformats.org/officeDocument/2006/relationships/hyperlink" Target="https://www.blackwelldigital.com/" TargetMode="External"/><Relationship Id="rId119" Type="http://schemas.openxmlformats.org/officeDocument/2006/relationships/hyperlink" Target="https://brillmedia.co/" TargetMode="External"/><Relationship Id="rId110" Type="http://schemas.openxmlformats.org/officeDocument/2006/relationships/hyperlink" Target="http://bbdo.com" TargetMode="External"/><Relationship Id="rId114" Type="http://schemas.openxmlformats.org/officeDocument/2006/relationships/hyperlink" Target="http://bimodal.io" TargetMode="External"/><Relationship Id="rId113" Type="http://schemas.openxmlformats.org/officeDocument/2006/relationships/hyperlink" Target="https://www.bimodal.io/" TargetMode="External"/><Relationship Id="rId112" Type="http://schemas.openxmlformats.org/officeDocument/2006/relationships/hyperlink" Target="http://bestaiseoagencies.com" TargetMode="External"/><Relationship Id="rId111" Type="http://schemas.openxmlformats.org/officeDocument/2006/relationships/hyperlink" Target="https://bestaiseoagencies.com/"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www.growth-rocket.com/blog/what-high-performing-agencies-do-differently-with-first-party-data-strategy/" TargetMode="External"/><Relationship Id="rId42" Type="http://schemas.openxmlformats.org/officeDocument/2006/relationships/hyperlink" Target="https://www.gsdcouncil.org/blogs/what-is-generative-engine-optimization-geo-and-seo" TargetMode="External"/><Relationship Id="rId41" Type="http://schemas.openxmlformats.org/officeDocument/2006/relationships/hyperlink" Target="http://growth-rocket.com" TargetMode="External"/><Relationship Id="rId44" Type="http://schemas.openxmlformats.org/officeDocument/2006/relationships/hyperlink" Target="https://www.humanr.ai/intelligence/ai-readiness-assessment-25-person-marketing-agency" TargetMode="External"/><Relationship Id="rId43" Type="http://schemas.openxmlformats.org/officeDocument/2006/relationships/hyperlink" Target="http://gsdcouncil.org" TargetMode="External"/><Relationship Id="rId46" Type="http://schemas.openxmlformats.org/officeDocument/2006/relationships/hyperlink" Target="https://www.incrmntal.com/resources/how-to-validate-incrmntal" TargetMode="External"/><Relationship Id="rId45" Type="http://schemas.openxmlformats.org/officeDocument/2006/relationships/hyperlink" Target="http://humanr.ai" TargetMode="External"/><Relationship Id="rId48" Type="http://schemas.openxmlformats.org/officeDocument/2006/relationships/hyperlink" Target="https://www.lotame.com/resources/agency-data-strategist-guide/" TargetMode="External"/><Relationship Id="rId47" Type="http://schemas.openxmlformats.org/officeDocument/2006/relationships/hyperlink" Target="http://incrmntal.com" TargetMode="External"/><Relationship Id="rId49" Type="http://schemas.openxmlformats.org/officeDocument/2006/relationships/hyperlink" Target="http://lotame.com" TargetMode="External"/><Relationship Id="rId31" Type="http://schemas.openxmlformats.org/officeDocument/2006/relationships/hyperlink" Target="http://brillmedia.co" TargetMode="External"/><Relationship Id="rId30" Type="http://schemas.openxmlformats.org/officeDocument/2006/relationships/hyperlink" Target="https://brillmedia.co/resources/display-ads-best-practices/" TargetMode="External"/><Relationship Id="rId33" Type="http://schemas.openxmlformats.org/officeDocument/2006/relationships/hyperlink" Target="http://clicksgeek.com" TargetMode="External"/><Relationship Id="rId32" Type="http://schemas.openxmlformats.org/officeDocument/2006/relationships/hyperlink" Target="https://clicksgeek.com/best-marketing-agency-for-roi/" TargetMode="External"/><Relationship Id="rId35" Type="http://schemas.openxmlformats.org/officeDocument/2006/relationships/hyperlink" Target="http://digitalapplied.com" TargetMode="External"/><Relationship Id="rId34" Type="http://schemas.openxmlformats.org/officeDocument/2006/relationships/hyperlink" Target="https://www.digitalapplied.com/blog/first-party-data-activation-2026-server-side-tracking-playbook" TargetMode="External"/><Relationship Id="rId37" Type="http://schemas.openxmlformats.org/officeDocument/2006/relationships/hyperlink" Target="http://embertribe.com" TargetMode="External"/><Relationship Id="rId36" Type="http://schemas.openxmlformats.org/officeDocument/2006/relationships/hyperlink" Target="https://embertribe.com/blog/paid-social-agency" TargetMode="External"/><Relationship Id="rId39" Type="http://schemas.openxmlformats.org/officeDocument/2006/relationships/hyperlink" Target="http://greenbananaseo.com" TargetMode="External"/><Relationship Id="rId38" Type="http://schemas.openxmlformats.org/officeDocument/2006/relationships/hyperlink" Target="https://greenbananaseo.com/services/generative-engine-optimization-agency/" TargetMode="External"/><Relationship Id="rId20" Type="http://schemas.openxmlformats.org/officeDocument/2006/relationships/hyperlink" Target="https://aiadvantageagency.com/first-party-data-strategy/" TargetMode="External"/><Relationship Id="rId22" Type="http://schemas.openxmlformats.org/officeDocument/2006/relationships/hyperlink" Target="https://amplitude.com/blog/first-party-data-strategy" TargetMode="External"/><Relationship Id="rId21" Type="http://schemas.openxmlformats.org/officeDocument/2006/relationships/hyperlink" Target="http://aiadvantageagency.com" TargetMode="External"/><Relationship Id="rId24" Type="http://schemas.openxmlformats.org/officeDocument/2006/relationships/hyperlink" Target="https://www.attnagency.com/blog/first-party-data-activation-cdp-ad-platform-strategy" TargetMode="External"/><Relationship Id="rId23" Type="http://schemas.openxmlformats.org/officeDocument/2006/relationships/hyperlink" Target="http://amplitude.com" TargetMode="External"/><Relationship Id="rId26" Type="http://schemas.openxmlformats.org/officeDocument/2006/relationships/hyperlink" Target="https://www.avaus.com/blog/how-media-agencies-can-utilize-first-party-data-to-drive-better-results/" TargetMode="External"/><Relationship Id="rId25" Type="http://schemas.openxmlformats.org/officeDocument/2006/relationships/hyperlink" Target="http://attnagency.com" TargetMode="External"/><Relationship Id="rId28" Type="http://schemas.openxmlformats.org/officeDocument/2006/relationships/hyperlink" Target="https://www.blueduckagency.com/blog/incrementality" TargetMode="External"/><Relationship Id="rId27" Type="http://schemas.openxmlformats.org/officeDocument/2006/relationships/hyperlink" Target="http://avaus.com" TargetMode="External"/><Relationship Id="rId29" Type="http://schemas.openxmlformats.org/officeDocument/2006/relationships/hyperlink" Target="http://blueduckagency.com" TargetMode="External"/><Relationship Id="rId11" Type="http://schemas.openxmlformats.org/officeDocument/2006/relationships/hyperlink" Target="http://google.com" TargetMode="External"/><Relationship Id="rId10" Type="http://schemas.openxmlformats.org/officeDocument/2006/relationships/hyperlink" Target="https://support.google.com/google-ads/answer/11410677?hl=en" TargetMode="External"/><Relationship Id="rId13" Type="http://schemas.openxmlformats.org/officeDocument/2006/relationships/hyperlink" Target="http://techradar.com" TargetMode="External"/><Relationship Id="rId12" Type="http://schemas.openxmlformats.org/officeDocument/2006/relationships/hyperlink" Target="https://www.techradar.com/pro/how-to-use-an-aeo-tool-for-your-small-business" TargetMode="External"/><Relationship Id="rId15" Type="http://schemas.openxmlformats.org/officeDocument/2006/relationships/hyperlink" Target="http://youtube.com" TargetMode="External"/><Relationship Id="rId14" Type="http://schemas.openxmlformats.org/officeDocument/2006/relationships/hyperlink" Target="https://www.youtube.com/watch?v=dtlZTULGX4A" TargetMode="External"/><Relationship Id="rId17" Type="http://schemas.openxmlformats.org/officeDocument/2006/relationships/hyperlink" Target="http://microsoft.com" TargetMode="External"/><Relationship Id="rId16" Type="http://schemas.openxmlformats.org/officeDocument/2006/relationships/hyperlink" Target="https://adoption.microsoft.com/en-us/ai-readiness-wizard/" TargetMode="External"/><Relationship Id="rId19" Type="http://schemas.openxmlformats.org/officeDocument/2006/relationships/hyperlink" Target="http://agenticmarketingpro.com" TargetMode="External"/><Relationship Id="rId18" Type="http://schemas.openxmlformats.org/officeDocument/2006/relationships/hyperlink" Target="https://agenticmarketingpro.com/incrementality-testing/" TargetMode="External"/><Relationship Id="rId73" Type="http://schemas.openxmlformats.org/officeDocument/2006/relationships/hyperlink" Target="http://webflow.com" TargetMode="External"/><Relationship Id="rId72" Type="http://schemas.openxmlformats.org/officeDocument/2006/relationships/hyperlink" Target="https://webflow.com/blog/how-to-come-up-with-a-brand-name" TargetMode="External"/><Relationship Id="rId74" Type="http://schemas.openxmlformats.org/officeDocument/2006/relationships/drawing" Target="../drawings/drawing25.xml"/><Relationship Id="rId71" Type="http://schemas.openxmlformats.org/officeDocument/2006/relationships/hyperlink" Target="http://victoriaolsina.com" TargetMode="External"/><Relationship Id="rId70" Type="http://schemas.openxmlformats.org/officeDocument/2006/relationships/hyperlink" Target="https://victoriaolsina.com/blog/geo-startups/" TargetMode="External"/><Relationship Id="rId62" Type="http://schemas.openxmlformats.org/officeDocument/2006/relationships/hyperlink" Target="https://scrap.io/marketing-agency-email-list-guide" TargetMode="External"/><Relationship Id="rId61" Type="http://schemas.openxmlformats.org/officeDocument/2006/relationships/hyperlink" Target="http://ruleranalytics.com" TargetMode="External"/><Relationship Id="rId64" Type="http://schemas.openxmlformats.org/officeDocument/2006/relationships/hyperlink" Target="https://www.stackadapt.com/resources/blog/first-party-data-strategy" TargetMode="External"/><Relationship Id="rId63" Type="http://schemas.openxmlformats.org/officeDocument/2006/relationships/hyperlink" Target="http://scrap.io" TargetMode="External"/><Relationship Id="rId66" Type="http://schemas.openxmlformats.org/officeDocument/2006/relationships/hyperlink" Target="https://tinuiti.com/research-insights/guides/the-incrementality-playbook/" TargetMode="External"/><Relationship Id="rId65" Type="http://schemas.openxmlformats.org/officeDocument/2006/relationships/hyperlink" Target="http://stackadapt.com" TargetMode="External"/><Relationship Id="rId68" Type="http://schemas.openxmlformats.org/officeDocument/2006/relationships/hyperlink" Target="https://usercentrics.com/guides/future-of-data-in-marketing/first-party-data-marketing/" TargetMode="External"/><Relationship Id="rId67" Type="http://schemas.openxmlformats.org/officeDocument/2006/relationships/hyperlink" Target="http://tinuiti.com" TargetMode="External"/><Relationship Id="rId60" Type="http://schemas.openxmlformats.org/officeDocument/2006/relationships/hyperlink" Target="https://www.ruleranalytics.com/blog/ppc/first-party-data-activation/" TargetMode="External"/><Relationship Id="rId69" Type="http://schemas.openxmlformats.org/officeDocument/2006/relationships/hyperlink" Target="http://usercentrics.com" TargetMode="External"/><Relationship Id="rId51" Type="http://schemas.openxmlformats.org/officeDocument/2006/relationships/hyperlink" Target="http://matomo.org" TargetMode="External"/><Relationship Id="rId50" Type="http://schemas.openxmlformats.org/officeDocument/2006/relationships/hyperlink" Target="https://matomo.org/blog/2024/03/incrementality-testing/" TargetMode="External"/><Relationship Id="rId53" Type="http://schemas.openxmlformats.org/officeDocument/2006/relationships/hyperlink" Target="http://osmos.ai" TargetMode="External"/><Relationship Id="rId52" Type="http://schemas.openxmlformats.org/officeDocument/2006/relationships/hyperlink" Target="https://www.osmos.ai/blog/first-party-data-in-retail-media-the-complete-targeting-guide" TargetMode="External"/><Relationship Id="rId55" Type="http://schemas.openxmlformats.org/officeDocument/2006/relationships/hyperlink" Target="http://promoguy.nl" TargetMode="External"/><Relationship Id="rId54" Type="http://schemas.openxmlformats.org/officeDocument/2006/relationships/hyperlink" Target="https://promoguy.nl/blog/2026/02/12/incrementality-testing-for-marketing-promotion/" TargetMode="External"/><Relationship Id="rId57" Type="http://schemas.openxmlformats.org/officeDocument/2006/relationships/hyperlink" Target="http://realtimeagency.com" TargetMode="External"/><Relationship Id="rId56" Type="http://schemas.openxmlformats.org/officeDocument/2006/relationships/hyperlink" Target="https://realtimeagency.com/blog/how-to-choose-a-media-mix-modelling-partner-in-2023/" TargetMode="External"/><Relationship Id="rId59" Type="http://schemas.openxmlformats.org/officeDocument/2006/relationships/hyperlink" Target="http://rockerbox.com" TargetMode="External"/><Relationship Id="rId58" Type="http://schemas.openxmlformats.org/officeDocument/2006/relationships/hyperlink" Target="https://www.rockerbox.com/blog/everything-you-need-to-know-about-incrementality-testing-with-rockerbox" TargetMode="External"/><Relationship Id="rId1" Type="http://schemas.openxmlformats.org/officeDocument/2006/relationships/hyperlink" Target="http://rightsideup.com" TargetMode="External"/><Relationship Id="rId2" Type="http://schemas.openxmlformats.org/officeDocument/2006/relationships/hyperlink" Target="https://www.stellaheystella.com/blog/incrementality-testing-platforms-the-complete-guide-to-measuring-true-marketing-impact-2025" TargetMode="External"/><Relationship Id="rId3" Type="http://schemas.openxmlformats.org/officeDocument/2006/relationships/hyperlink" Target="http://stellaheystella.com" TargetMode="External"/><Relationship Id="rId4" Type="http://schemas.openxmlformats.org/officeDocument/2006/relationships/hyperlink" Target="https://www.triplewhale.com/blog/incrementality-testing-methods" TargetMode="External"/><Relationship Id="rId9" Type="http://schemas.openxmlformats.org/officeDocument/2006/relationships/hyperlink" Target="http://amplitude.com" TargetMode="External"/><Relationship Id="rId5" Type="http://schemas.openxmlformats.org/officeDocument/2006/relationships/hyperlink" Target="http://triplewhale.com" TargetMode="External"/><Relationship Id="rId6" Type="http://schemas.openxmlformats.org/officeDocument/2006/relationships/hyperlink" Target="https://www.youtube.com/watch?v=wDQs41e1F_Y&amp;t=144" TargetMode="External"/><Relationship Id="rId7" Type="http://schemas.openxmlformats.org/officeDocument/2006/relationships/hyperlink" Target="http://youtube.com" TargetMode="External"/><Relationship Id="rId8" Type="http://schemas.openxmlformats.org/officeDocument/2006/relationships/hyperlink" Target="https://amplitude.com/explore/experiment/incrementality-testing" TargetMode="External"/></Relationships>
</file>

<file path=xl/worksheets/_rels/sheet26.xml.rels><?xml version="1.0" encoding="UTF-8" standalone="yes"?><Relationships xmlns="http://schemas.openxmlformats.org/package/2006/relationships"><Relationship Id="rId392" Type="http://schemas.openxmlformats.org/officeDocument/2006/relationships/hyperlink" Target="https://smacient.com/top-geo-agencies-in-the-usa/" TargetMode="External"/><Relationship Id="rId391" Type="http://schemas.openxmlformats.org/officeDocument/2006/relationships/hyperlink" Target="http://moburst.com" TargetMode="External"/><Relationship Id="rId390" Type="http://schemas.openxmlformats.org/officeDocument/2006/relationships/hyperlink" Target="https://www.moburst.com/blog/best-web-marketing-agencies-usa/" TargetMode="External"/><Relationship Id="rId385" Type="http://schemas.openxmlformats.org/officeDocument/2006/relationships/hyperlink" Target="https://inbeat.agency/blog/top-digital-marketing-agencies-in-the-us" TargetMode="External"/><Relationship Id="rId384" Type="http://schemas.openxmlformats.org/officeDocument/2006/relationships/hyperlink" Target="http://firstpagesage.com" TargetMode="External"/><Relationship Id="rId383" Type="http://schemas.openxmlformats.org/officeDocument/2006/relationships/hyperlink" Target="https://firstpagesage.com/seo-blog/top-digital-marketing-agencies/" TargetMode="External"/><Relationship Id="rId382" Type="http://schemas.openxmlformats.org/officeDocument/2006/relationships/hyperlink" Target="http://firstpagesage.com" TargetMode="External"/><Relationship Id="rId389" Type="http://schemas.openxmlformats.org/officeDocument/2006/relationships/hyperlink" Target="http://lengreo.com" TargetMode="External"/><Relationship Id="rId388" Type="http://schemas.openxmlformats.org/officeDocument/2006/relationships/hyperlink" Target="https://lengreo.com/ai-search-marketing-agencies/" TargetMode="External"/><Relationship Id="rId387" Type="http://schemas.openxmlformats.org/officeDocument/2006/relationships/hyperlink" Target="http://leadsrx.com" TargetMode="External"/><Relationship Id="rId386" Type="http://schemas.openxmlformats.org/officeDocument/2006/relationships/hyperlink" Target="https://leadsrx.com/resource/35-marketing-attribution-software-companies/" TargetMode="External"/><Relationship Id="rId381" Type="http://schemas.openxmlformats.org/officeDocument/2006/relationships/hyperlink" Target="https://firstpagesage.com/seo-blog/the-top-generative-engine-optimization-geo-agencies/" TargetMode="External"/><Relationship Id="rId380" Type="http://schemas.openxmlformats.org/officeDocument/2006/relationships/hyperlink" Target="https://derivatex.agency/blog/best-aeo-agencies-usa/" TargetMode="External"/><Relationship Id="rId379" Type="http://schemas.openxmlformats.org/officeDocument/2006/relationships/hyperlink" Target="http://coolnerdsmarketing.com" TargetMode="External"/><Relationship Id="rId374" Type="http://schemas.openxmlformats.org/officeDocument/2006/relationships/hyperlink" Target="https://www.accordtechsolutions.com/blog/top-7-ai-marketing-agency-in-the-usa" TargetMode="External"/><Relationship Id="rId373" Type="http://schemas.openxmlformats.org/officeDocument/2006/relationships/hyperlink" Target="http://75way.com" TargetMode="External"/><Relationship Id="rId372" Type="http://schemas.openxmlformats.org/officeDocument/2006/relationships/hyperlink" Target="https://75way.com/blog/10-top-ai-consulting-companies-usa" TargetMode="External"/><Relationship Id="rId371" Type="http://schemas.openxmlformats.org/officeDocument/2006/relationships/hyperlink" Target="http://singlegrain.com" TargetMode="External"/><Relationship Id="rId378" Type="http://schemas.openxmlformats.org/officeDocument/2006/relationships/hyperlink" Target="https://coolnerdsmarketing.com/top-digital-marketing-agencies-us/" TargetMode="External"/><Relationship Id="rId377" Type="http://schemas.openxmlformats.org/officeDocument/2006/relationships/hyperlink" Target="http://brandmentions.com" TargetMode="External"/><Relationship Id="rId376" Type="http://schemas.openxmlformats.org/officeDocument/2006/relationships/hyperlink" Target="https://brandmentions.com/wiki/Top_advertising_agencies_in_USA" TargetMode="External"/><Relationship Id="rId375" Type="http://schemas.openxmlformats.org/officeDocument/2006/relationships/hyperlink" Target="http://accordtechsolutions.com" TargetMode="External"/><Relationship Id="rId396" Type="http://schemas.openxmlformats.org/officeDocument/2006/relationships/hyperlink" Target="https://thedigitalelevator.com/blog/best-ai-seo-agencies/" TargetMode="External"/><Relationship Id="rId395" Type="http://schemas.openxmlformats.org/officeDocument/2006/relationships/hyperlink" Target="http://sourceloop.ai" TargetMode="External"/><Relationship Id="rId394" Type="http://schemas.openxmlformats.org/officeDocument/2006/relationships/hyperlink" Target="https://sourceloop.ai/blog/best-marketing-measurement-tools/" TargetMode="External"/><Relationship Id="rId393" Type="http://schemas.openxmlformats.org/officeDocument/2006/relationships/hyperlink" Target="http://smacient.com" TargetMode="External"/><Relationship Id="rId399" Type="http://schemas.openxmlformats.org/officeDocument/2006/relationships/hyperlink" Target="https://amworldgroup.com/best/digital-marketing-agency-worldwide" TargetMode="External"/><Relationship Id="rId398" Type="http://schemas.openxmlformats.org/officeDocument/2006/relationships/hyperlink" Target="https://wildnetmarketing.agency/blog/best-performance-marketing-agencies-in-usa/" TargetMode="External"/><Relationship Id="rId397" Type="http://schemas.openxmlformats.org/officeDocument/2006/relationships/hyperlink" Target="http://thedigitalelevator.com" TargetMode="External"/><Relationship Id="rId1730" Type="http://schemas.openxmlformats.org/officeDocument/2006/relationships/hyperlink" Target="http://themediaant.com" TargetMode="External"/><Relationship Id="rId1731" Type="http://schemas.openxmlformats.org/officeDocument/2006/relationships/hyperlink" Target="https://thesocialshepherd.com/blog/top-advertising-agencies-us" TargetMode="External"/><Relationship Id="rId1732" Type="http://schemas.openxmlformats.org/officeDocument/2006/relationships/hyperlink" Target="http://thesocialshepherd.com" TargetMode="External"/><Relationship Id="rId1733" Type="http://schemas.openxmlformats.org/officeDocument/2006/relationships/hyperlink" Target="https://thesocialshepherd.com/blog/top-digital-marketing-agencies-us" TargetMode="External"/><Relationship Id="rId1734" Type="http://schemas.openxmlformats.org/officeDocument/2006/relationships/hyperlink" Target="http://thesocialshepherd.com" TargetMode="External"/><Relationship Id="rId1735" Type="http://schemas.openxmlformats.org/officeDocument/2006/relationships/hyperlink" Target="https://www.thezulumethod.com/top-ai-marketing-agencies" TargetMode="External"/><Relationship Id="rId1736" Type="http://schemas.openxmlformats.org/officeDocument/2006/relationships/hyperlink" Target="http://thezulumethod.com" TargetMode="External"/><Relationship Id="rId1737" Type="http://schemas.openxmlformats.org/officeDocument/2006/relationships/hyperlink" Target="https://thinkwithalec.com/2025/03/02/best-marketing-platforms-for-tracking-first-party-data/" TargetMode="External"/><Relationship Id="rId1738" Type="http://schemas.openxmlformats.org/officeDocument/2006/relationships/hyperlink" Target="http://thinkwithalec.com" TargetMode="External"/><Relationship Id="rId1739" Type="http://schemas.openxmlformats.org/officeDocument/2006/relationships/hyperlink" Target="https://www.thirstysprout.com/post/best-tech-recruiting-agencies" TargetMode="External"/><Relationship Id="rId1720" Type="http://schemas.openxmlformats.org/officeDocument/2006/relationships/hyperlink" Target="http://theinklusive.com" TargetMode="External"/><Relationship Id="rId1721" Type="http://schemas.openxmlformats.org/officeDocument/2006/relationships/hyperlink" Target="https://www.thekeenfolks.com/blog-article/top-ai-marketing-companies" TargetMode="External"/><Relationship Id="rId1722" Type="http://schemas.openxmlformats.org/officeDocument/2006/relationships/hyperlink" Target="http://thekeenfolks.com" TargetMode="External"/><Relationship Id="rId1723" Type="http://schemas.openxmlformats.org/officeDocument/2006/relationships/hyperlink" Target="https://themanifest.com/media-buying/agencies" TargetMode="External"/><Relationship Id="rId1724" Type="http://schemas.openxmlformats.org/officeDocument/2006/relationships/hyperlink" Target="http://themanifest.com" TargetMode="External"/><Relationship Id="rId1725" Type="http://schemas.openxmlformats.org/officeDocument/2006/relationships/hyperlink" Target="https://themanifest.com/us/creative/agencies?page=1" TargetMode="External"/><Relationship Id="rId1726" Type="http://schemas.openxmlformats.org/officeDocument/2006/relationships/hyperlink" Target="http://themanifest.com" TargetMode="External"/><Relationship Id="rId1727" Type="http://schemas.openxmlformats.org/officeDocument/2006/relationships/hyperlink" Target="https://themanifest.com/us/digital/agencies" TargetMode="External"/><Relationship Id="rId1728" Type="http://schemas.openxmlformats.org/officeDocument/2006/relationships/hyperlink" Target="http://themanifest.com" TargetMode="External"/><Relationship Id="rId1729" Type="http://schemas.openxmlformats.org/officeDocument/2006/relationships/hyperlink" Target="https://www.themediaant.com/blog/types-of-advertising-agencies-2025/" TargetMode="External"/><Relationship Id="rId1752" Type="http://schemas.openxmlformats.org/officeDocument/2006/relationships/hyperlink" Target="http://tripledart.com" TargetMode="External"/><Relationship Id="rId1753" Type="http://schemas.openxmlformats.org/officeDocument/2006/relationships/hyperlink" Target="https://www.tripledart.com/saas-seo/agencies" TargetMode="External"/><Relationship Id="rId1754" Type="http://schemas.openxmlformats.org/officeDocument/2006/relationships/hyperlink" Target="http://tripledart.com" TargetMode="External"/><Relationship Id="rId1755" Type="http://schemas.openxmlformats.org/officeDocument/2006/relationships/hyperlink" Target="https://www.uforocks.com/blog/20-top-marketing-agencies-in-kansas-city-for-impressive-business-growth/" TargetMode="External"/><Relationship Id="rId1756" Type="http://schemas.openxmlformats.org/officeDocument/2006/relationships/hyperlink" Target="http://uforocks.com" TargetMode="External"/><Relationship Id="rId1757" Type="http://schemas.openxmlformats.org/officeDocument/2006/relationships/hyperlink" Target="https://ugcengine.ai/blog/best-aeo-agencies" TargetMode="External"/><Relationship Id="rId1758" Type="http://schemas.openxmlformats.org/officeDocument/2006/relationships/hyperlink" Target="http://ugcengine.ai" TargetMode="External"/><Relationship Id="rId1759" Type="http://schemas.openxmlformats.org/officeDocument/2006/relationships/hyperlink" Target="https://uitop.design/blog/design/b2b-design-agency/" TargetMode="External"/><Relationship Id="rId1750" Type="http://schemas.openxmlformats.org/officeDocument/2006/relationships/hyperlink" Target="http://tripledart.com" TargetMode="External"/><Relationship Id="rId1751" Type="http://schemas.openxmlformats.org/officeDocument/2006/relationships/hyperlink" Target="https://www.tripledart.com/ai-seo/ai-seo-agencies" TargetMode="External"/><Relationship Id="rId1741" Type="http://schemas.openxmlformats.org/officeDocument/2006/relationships/hyperlink" Target="https://thriveagency.com/news/best-digital-pr-agencies/" TargetMode="External"/><Relationship Id="rId1742" Type="http://schemas.openxmlformats.org/officeDocument/2006/relationships/hyperlink" Target="http://thriveagency.com" TargetMode="External"/><Relationship Id="rId1743" Type="http://schemas.openxmlformats.org/officeDocument/2006/relationships/hyperlink" Target="https://thriveagency.com/news/best-social-media-marketing-companies/" TargetMode="External"/><Relationship Id="rId1744" Type="http://schemas.openxmlformats.org/officeDocument/2006/relationships/hyperlink" Target="http://thriveagency.com" TargetMode="External"/><Relationship Id="rId1745" Type="http://schemas.openxmlformats.org/officeDocument/2006/relationships/hyperlink" Target="https://trailblazermktg.com/blog/best-seo-agency-in-the-usa" TargetMode="External"/><Relationship Id="rId1746" Type="http://schemas.openxmlformats.org/officeDocument/2006/relationships/hyperlink" Target="http://trailblazermktg.com" TargetMode="External"/><Relationship Id="rId1747" Type="http://schemas.openxmlformats.org/officeDocument/2006/relationships/hyperlink" Target="https://tribetronics.com/blog/top-ai-marketing-agencies-in-usa" TargetMode="External"/><Relationship Id="rId1748" Type="http://schemas.openxmlformats.org/officeDocument/2006/relationships/hyperlink" Target="http://tribetronics.com" TargetMode="External"/><Relationship Id="rId1749" Type="http://schemas.openxmlformats.org/officeDocument/2006/relationships/hyperlink" Target="https://www.tripledart.com/ai-marketing/ai-marketing-agencies" TargetMode="External"/><Relationship Id="rId1740" Type="http://schemas.openxmlformats.org/officeDocument/2006/relationships/hyperlink" Target="http://thirstysprout.com" TargetMode="External"/><Relationship Id="rId1710" Type="http://schemas.openxmlformats.org/officeDocument/2006/relationships/hyperlink" Target="http://thedrum.com" TargetMode="External"/><Relationship Id="rId1711" Type="http://schemas.openxmlformats.org/officeDocument/2006/relationships/hyperlink" Target="https://www.thedrum.com/news/the-most-awarded-holding-companies-in-the-drum-honors-2025-a-swan-song-for-ipg" TargetMode="External"/><Relationship Id="rId1712" Type="http://schemas.openxmlformats.org/officeDocument/2006/relationships/hyperlink" Target="http://thedrum.com" TargetMode="External"/><Relationship Id="rId1713" Type="http://schemas.openxmlformats.org/officeDocument/2006/relationships/hyperlink" Target="https://www.thedrum.com/news/world-creative-rankings-the-top-100-most-awarded-agencies-the-us" TargetMode="External"/><Relationship Id="rId1714" Type="http://schemas.openxmlformats.org/officeDocument/2006/relationships/hyperlink" Target="http://thedrum.com" TargetMode="External"/><Relationship Id="rId1715" Type="http://schemas.openxmlformats.org/officeDocument/2006/relationships/hyperlink" Target="https://www.thegrowthsyndicate.com/agencies/best-b2b-marketing-agencies-us" TargetMode="External"/><Relationship Id="rId1716" Type="http://schemas.openxmlformats.org/officeDocument/2006/relationships/hyperlink" Target="http://thegrowthsyndicate.com" TargetMode="External"/><Relationship Id="rId1717" Type="http://schemas.openxmlformats.org/officeDocument/2006/relationships/hyperlink" Target="https://www.thegrowthsyndicate.com/agencies/best-linkedin-ads-agencies-us" TargetMode="External"/><Relationship Id="rId1718" Type="http://schemas.openxmlformats.org/officeDocument/2006/relationships/hyperlink" Target="http://thegrowthsyndicate.com" TargetMode="External"/><Relationship Id="rId1719" Type="http://schemas.openxmlformats.org/officeDocument/2006/relationships/hyperlink" Target="https://theinklusive.com/blog/12-best-branding-agencies/" TargetMode="External"/><Relationship Id="rId1700" Type="http://schemas.openxmlformats.org/officeDocument/2006/relationships/hyperlink" Target="http://thebusinessrover.com" TargetMode="External"/><Relationship Id="rId1701" Type="http://schemas.openxmlformats.org/officeDocument/2006/relationships/hyperlink" Target="https://www.thebusinessrover.com/sv/blog/growth-marketing-agencies" TargetMode="External"/><Relationship Id="rId1702" Type="http://schemas.openxmlformats.org/officeDocument/2006/relationships/hyperlink" Target="http://thebusinessrover.com" TargetMode="External"/><Relationship Id="rId1703" Type="http://schemas.openxmlformats.org/officeDocument/2006/relationships/hyperlink" Target="https://thecmo.com/services/best-digital-marketing-agency/" TargetMode="External"/><Relationship Id="rId1704" Type="http://schemas.openxmlformats.org/officeDocument/2006/relationships/hyperlink" Target="http://thecmo.com" TargetMode="External"/><Relationship Id="rId1705" Type="http://schemas.openxmlformats.org/officeDocument/2006/relationships/hyperlink" Target="https://thecrunch.io/ai-software-sales/" TargetMode="External"/><Relationship Id="rId1706" Type="http://schemas.openxmlformats.org/officeDocument/2006/relationships/hyperlink" Target="http://thecrunch.io" TargetMode="External"/><Relationship Id="rId1707" Type="http://schemas.openxmlformats.org/officeDocument/2006/relationships/hyperlink" Target="https://www.thedrum.com/lists/world-creative-rankings/companies/the-most-awarded-agencies-in-the-united-states/2024" TargetMode="External"/><Relationship Id="rId1708" Type="http://schemas.openxmlformats.org/officeDocument/2006/relationships/hyperlink" Target="http://thedrum.com" TargetMode="External"/><Relationship Id="rId1709" Type="http://schemas.openxmlformats.org/officeDocument/2006/relationships/hyperlink" Target="https://www.thedrum.com/news/in-face-of-massive-change-wpp-networks-dominate-2026-world-creative-rankings" TargetMode="External"/><Relationship Id="rId40" Type="http://schemas.openxmlformats.org/officeDocument/2006/relationships/hyperlink" Target="https://www.measured.com/faq/best-incrementality-testing-companies-software-for-marketing-2025/" TargetMode="External"/><Relationship Id="rId42" Type="http://schemas.openxmlformats.org/officeDocument/2006/relationships/hyperlink" Target="https://www.thegrowthsyndicate.com/agencies/best-b2b-performance-marketing-agencies-us" TargetMode="External"/><Relationship Id="rId41" Type="http://schemas.openxmlformats.org/officeDocument/2006/relationships/hyperlink" Target="http://measured.com" TargetMode="External"/><Relationship Id="rId44" Type="http://schemas.openxmlformats.org/officeDocument/2006/relationships/hyperlink" Target="https://onelittleweb.com/top-agencies/top-performance-marketing-agencies/" TargetMode="External"/><Relationship Id="rId43" Type="http://schemas.openxmlformats.org/officeDocument/2006/relationships/hyperlink" Target="http://thegrowthsyndicate.com" TargetMode="External"/><Relationship Id="rId46" Type="http://schemas.openxmlformats.org/officeDocument/2006/relationships/hyperlink" Target="https://www.m1-project.com/blog/10-best-ai-marketing-agencies-in-depth-comparison" TargetMode="External"/><Relationship Id="rId45" Type="http://schemas.openxmlformats.org/officeDocument/2006/relationships/hyperlink" Target="http://onelittleweb.com" TargetMode="External"/><Relationship Id="rId48" Type="http://schemas.openxmlformats.org/officeDocument/2006/relationships/hyperlink" Target="https://directiveconsulting.com/blog/top-performance-marketing-agencies/" TargetMode="External"/><Relationship Id="rId47" Type="http://schemas.openxmlformats.org/officeDocument/2006/relationships/hyperlink" Target="http://m1-project.com" TargetMode="External"/><Relationship Id="rId49" Type="http://schemas.openxmlformats.org/officeDocument/2006/relationships/hyperlink" Target="http://directiveconsulting.com" TargetMode="External"/><Relationship Id="rId31" Type="http://schemas.openxmlformats.org/officeDocument/2006/relationships/hyperlink" Target="http://darkroomagency.com" TargetMode="External"/><Relationship Id="rId30" Type="http://schemas.openxmlformats.org/officeDocument/2006/relationships/hyperlink" Target="https://www.darkroomagency.com/observatory/best-performance-marketing-agencies-in-2026" TargetMode="External"/><Relationship Id="rId33" Type="http://schemas.openxmlformats.org/officeDocument/2006/relationships/hyperlink" Target="http://disruptiveadvertising.com" TargetMode="External"/><Relationship Id="rId32" Type="http://schemas.openxmlformats.org/officeDocument/2006/relationships/hyperlink" Target="https://disruptiveadvertising.com/blog/business/top-us-digital-marketing-agencies/" TargetMode="External"/><Relationship Id="rId35" Type="http://schemas.openxmlformats.org/officeDocument/2006/relationships/hyperlink" Target="http://nogood.io" TargetMode="External"/><Relationship Id="rId34" Type="http://schemas.openxmlformats.org/officeDocument/2006/relationships/hyperlink" Target="https://nogood.io/blog/performance-marketing-agencies/" TargetMode="External"/><Relationship Id="rId37" Type="http://schemas.openxmlformats.org/officeDocument/2006/relationships/hyperlink" Target="http://thesocialshepherd.com" TargetMode="External"/><Relationship Id="rId36" Type="http://schemas.openxmlformats.org/officeDocument/2006/relationships/hyperlink" Target="https://thesocialshepherd.com/blog/top-paid-media-agencies-us" TargetMode="External"/><Relationship Id="rId39" Type="http://schemas.openxmlformats.org/officeDocument/2006/relationships/hyperlink" Target="http://yesoptimist.com" TargetMode="External"/><Relationship Id="rId38" Type="http://schemas.openxmlformats.org/officeDocument/2006/relationships/hyperlink" Target="https://www.yesoptimist.com/best-geo-agencies/" TargetMode="External"/><Relationship Id="rId20" Type="http://schemas.openxmlformats.org/officeDocument/2006/relationships/hyperlink" Target="http://silverbackstrategies.com" TargetMode="External"/><Relationship Id="rId22" Type="http://schemas.openxmlformats.org/officeDocument/2006/relationships/hyperlink" Target="https://unifiedplatforms.com/blogs/aeo/top-answer-engine-optimization-aeo-agencies-united-states/" TargetMode="External"/><Relationship Id="rId21" Type="http://schemas.openxmlformats.org/officeDocument/2006/relationships/hyperlink" Target="https://inbeat.agency/blog/top-marketing-analytics-agencies" TargetMode="External"/><Relationship Id="rId24" Type="http://schemas.openxmlformats.org/officeDocument/2006/relationships/hyperlink" Target="https://www.webtonic.io/blog/best-paid-social-agencies-us" TargetMode="External"/><Relationship Id="rId23" Type="http://schemas.openxmlformats.org/officeDocument/2006/relationships/hyperlink" Target="http://unifiedplatforms.com" TargetMode="External"/><Relationship Id="rId26" Type="http://schemas.openxmlformats.org/officeDocument/2006/relationships/hyperlink" Target="https://www.linkedin.com/pulse/top-25-performance-marketing-agencies-us-hawkemedia-iqbnc" TargetMode="External"/><Relationship Id="rId25" Type="http://schemas.openxmlformats.org/officeDocument/2006/relationships/hyperlink" Target="http://webtonic.io" TargetMode="External"/><Relationship Id="rId28" Type="http://schemas.openxmlformats.org/officeDocument/2006/relationships/hyperlink" Target="https://www.nutshell.com/blog/top-geo-agencies" TargetMode="External"/><Relationship Id="rId27" Type="http://schemas.openxmlformats.org/officeDocument/2006/relationships/hyperlink" Target="http://linkedin.com" TargetMode="External"/><Relationship Id="rId29" Type="http://schemas.openxmlformats.org/officeDocument/2006/relationships/hyperlink" Target="http://nutshell.com" TargetMode="External"/><Relationship Id="rId11" Type="http://schemas.openxmlformats.org/officeDocument/2006/relationships/hyperlink" Target="http://beomniscient.com" TargetMode="External"/><Relationship Id="rId10" Type="http://schemas.openxmlformats.org/officeDocument/2006/relationships/hyperlink" Target="https://beomniscient.com/blog/best-ai-marketing-agencies/" TargetMode="External"/><Relationship Id="rId13" Type="http://schemas.openxmlformats.org/officeDocument/2006/relationships/hyperlink" Target="http://measured.com" TargetMode="External"/><Relationship Id="rId12" Type="http://schemas.openxmlformats.org/officeDocument/2006/relationships/hyperlink" Target="https://www.measured.com/faq/best-incrementality-testing-companies-software-for-marketing-2026/" TargetMode="External"/><Relationship Id="rId15" Type="http://schemas.openxmlformats.org/officeDocument/2006/relationships/hyperlink" Target="https://www.yesoptimist.com/best-aeo-agencies/" TargetMode="External"/><Relationship Id="rId14" Type="http://schemas.openxmlformats.org/officeDocument/2006/relationships/hyperlink" Target="https://inbeat.agency/blog/top-marketing-measurement-and-analytics-companies" TargetMode="External"/><Relationship Id="rId17" Type="http://schemas.openxmlformats.org/officeDocument/2006/relationships/hyperlink" Target="https://directiveconsulting.com/blog/25-best-paid-media-agencies-that-turn-ad-spend-into-revenue/" TargetMode="External"/><Relationship Id="rId16" Type="http://schemas.openxmlformats.org/officeDocument/2006/relationships/hyperlink" Target="http://yesoptimist.com" TargetMode="External"/><Relationship Id="rId19" Type="http://schemas.openxmlformats.org/officeDocument/2006/relationships/hyperlink" Target="https://www.silverbackstrategies.com/lists/best-social-media-advertising-agencies-in-the-us-ranked-reviewed/" TargetMode="External"/><Relationship Id="rId18" Type="http://schemas.openxmlformats.org/officeDocument/2006/relationships/hyperlink" Target="http://directiveconsulting.com" TargetMode="External"/><Relationship Id="rId84" Type="http://schemas.openxmlformats.org/officeDocument/2006/relationships/hyperlink" Target="http://agencycluster.com" TargetMode="External"/><Relationship Id="rId1774" Type="http://schemas.openxmlformats.org/officeDocument/2006/relationships/hyperlink" Target="https://vstorm.co/agentic-ai/top-10-agentic-ai-development-and-consulting-companies-for-smbs-and-enterprises/" TargetMode="External"/><Relationship Id="rId83" Type="http://schemas.openxmlformats.org/officeDocument/2006/relationships/hyperlink" Target="https://www.agencycluster.com/top-25/branding-creative-agencies" TargetMode="External"/><Relationship Id="rId1775" Type="http://schemas.openxmlformats.org/officeDocument/2006/relationships/hyperlink" Target="http://vstorm.co" TargetMode="External"/><Relationship Id="rId86" Type="http://schemas.openxmlformats.org/officeDocument/2006/relationships/hyperlink" Target="http://alphaapexgroup.com" TargetMode="External"/><Relationship Id="rId1776" Type="http://schemas.openxmlformats.org/officeDocument/2006/relationships/hyperlink" Target="https://www.w3era.com/blog/local-seo/top-digital-marketing-agencies-usa/" TargetMode="External"/><Relationship Id="rId85" Type="http://schemas.openxmlformats.org/officeDocument/2006/relationships/hyperlink" Target="https://www.alphaapexgroup.com/blog/top-ai-consulting-firms" TargetMode="External"/><Relationship Id="rId1777" Type="http://schemas.openxmlformats.org/officeDocument/2006/relationships/hyperlink" Target="http://w3era.com" TargetMode="External"/><Relationship Id="rId88" Type="http://schemas.openxmlformats.org/officeDocument/2006/relationships/hyperlink" Target="http://nogood.io" TargetMode="External"/><Relationship Id="rId1778" Type="http://schemas.openxmlformats.org/officeDocument/2006/relationships/hyperlink" Target="https://www.weareqry.com/blog/best-performance-marketing-agencies" TargetMode="External"/><Relationship Id="rId87" Type="http://schemas.openxmlformats.org/officeDocument/2006/relationships/hyperlink" Target="https://nogood.io/blog/marketing-agencies-usa/" TargetMode="External"/><Relationship Id="rId1779" Type="http://schemas.openxmlformats.org/officeDocument/2006/relationships/hyperlink" Target="http://weareqry.com" TargetMode="External"/><Relationship Id="rId89" Type="http://schemas.openxmlformats.org/officeDocument/2006/relationships/hyperlink" Target="https://www.revvgrowth.com/aeo/aeo-agency-in-usa" TargetMode="External"/><Relationship Id="rId80" Type="http://schemas.openxmlformats.org/officeDocument/2006/relationships/hyperlink" Target="http://webtonic.io" TargetMode="External"/><Relationship Id="rId82" Type="http://schemas.openxmlformats.org/officeDocument/2006/relationships/hyperlink" Target="http://designrush.com" TargetMode="External"/><Relationship Id="rId81" Type="http://schemas.openxmlformats.org/officeDocument/2006/relationships/hyperlink" Target="https://www.designrush.com/agency/digital-marketing/us" TargetMode="External"/><Relationship Id="rId1770" Type="http://schemas.openxmlformats.org/officeDocument/2006/relationships/hyperlink" Target="https://vietnammarcom.edu.vn/marketing/best-digital-marketing-agencies-winning-projects-around-the-world/" TargetMode="External"/><Relationship Id="rId1771" Type="http://schemas.openxmlformats.org/officeDocument/2006/relationships/hyperlink" Target="http://vietnammarcom.edu.vn" TargetMode="External"/><Relationship Id="rId1772" Type="http://schemas.openxmlformats.org/officeDocument/2006/relationships/hyperlink" Target="https://virtualadagency.com.au/top-digital-advertising-agencies/" TargetMode="External"/><Relationship Id="rId1773" Type="http://schemas.openxmlformats.org/officeDocument/2006/relationships/hyperlink" Target="http://virtualadagency.com.au" TargetMode="External"/><Relationship Id="rId73" Type="http://schemas.openxmlformats.org/officeDocument/2006/relationships/hyperlink" Target="http://linkedin.com" TargetMode="External"/><Relationship Id="rId1763" Type="http://schemas.openxmlformats.org/officeDocument/2006/relationships/hyperlink" Target="http://usermaven.com" TargetMode="External"/><Relationship Id="rId72" Type="http://schemas.openxmlformats.org/officeDocument/2006/relationships/hyperlink" Target="https://www.linkedin.com/pulse/top-10-aeo-agencies-usa-2026-best-answer-engine-companies-sam-israel-pgcwc" TargetMode="External"/><Relationship Id="rId1764" Type="http://schemas.openxmlformats.org/officeDocument/2006/relationships/hyperlink" Target="https://vibebranding.com/blog/best-performance-marketing-agencies/" TargetMode="External"/><Relationship Id="rId75" Type="http://schemas.openxmlformats.org/officeDocument/2006/relationships/hyperlink" Target="http://percepture.com" TargetMode="External"/><Relationship Id="rId1765" Type="http://schemas.openxmlformats.org/officeDocument/2006/relationships/hyperlink" Target="http://vibebranding.com" TargetMode="External"/><Relationship Id="rId74" Type="http://schemas.openxmlformats.org/officeDocument/2006/relationships/hyperlink" Target="https://percepture.com/geo-insights/best-ai-seo-agencies-usa/" TargetMode="External"/><Relationship Id="rId1766" Type="http://schemas.openxmlformats.org/officeDocument/2006/relationships/hyperlink" Target="https://vidi-corp.com/ecommerce-analytics-companies/" TargetMode="External"/><Relationship Id="rId77" Type="http://schemas.openxmlformats.org/officeDocument/2006/relationships/hyperlink" Target="https://thesocialshepherd.com/blog/top-paid-social-agencies-us" TargetMode="External"/><Relationship Id="rId1767" Type="http://schemas.openxmlformats.org/officeDocument/2006/relationships/hyperlink" Target="http://vidi-corp.com" TargetMode="External"/><Relationship Id="rId76" Type="http://schemas.openxmlformats.org/officeDocument/2006/relationships/hyperlink" Target="https://inbeat.agency/blog/top-advertising-agencies" TargetMode="External"/><Relationship Id="rId1768" Type="http://schemas.openxmlformats.org/officeDocument/2006/relationships/hyperlink" Target="https://vidico.com/news/creative-advertising-agencies/" TargetMode="External"/><Relationship Id="rId79" Type="http://schemas.openxmlformats.org/officeDocument/2006/relationships/hyperlink" Target="https://www.webtonic.io/blog/top-performance-marketing-agencies-us" TargetMode="External"/><Relationship Id="rId1769" Type="http://schemas.openxmlformats.org/officeDocument/2006/relationships/hyperlink" Target="http://vidico.com" TargetMode="External"/><Relationship Id="rId78" Type="http://schemas.openxmlformats.org/officeDocument/2006/relationships/hyperlink" Target="http://thesocialshepherd.com" TargetMode="External"/><Relationship Id="rId71" Type="http://schemas.openxmlformats.org/officeDocument/2006/relationships/hyperlink" Target="http://directiveconsulting.com" TargetMode="External"/><Relationship Id="rId70" Type="http://schemas.openxmlformats.org/officeDocument/2006/relationships/hyperlink" Target="https://directiveconsulting.com/blog/best-marketing-data-agency/" TargetMode="External"/><Relationship Id="rId1760" Type="http://schemas.openxmlformats.org/officeDocument/2006/relationships/hyperlink" Target="https://www.usekaya.com/blog/b2b-marketing-agencies-for-ads" TargetMode="External"/><Relationship Id="rId1761" Type="http://schemas.openxmlformats.org/officeDocument/2006/relationships/hyperlink" Target="http://usekaya.com" TargetMode="External"/><Relationship Id="rId1762" Type="http://schemas.openxmlformats.org/officeDocument/2006/relationships/hyperlink" Target="https://usermaven.com/blog/marketing-attribution-tools" TargetMode="External"/><Relationship Id="rId62" Type="http://schemas.openxmlformats.org/officeDocument/2006/relationships/hyperlink" Target="https://www.creativefrontiers.co/blog/the-20-best-creative-marketing-agencies-in-the-usa-2025-guide" TargetMode="External"/><Relationship Id="rId1796" Type="http://schemas.openxmlformats.org/officeDocument/2006/relationships/hyperlink" Target="https://wellows.com/blog/social-media-marketing-agencies/" TargetMode="External"/><Relationship Id="rId61" Type="http://schemas.openxmlformats.org/officeDocument/2006/relationships/hyperlink" Target="http://cometly.com" TargetMode="External"/><Relationship Id="rId1797" Type="http://schemas.openxmlformats.org/officeDocument/2006/relationships/hyperlink" Target="http://wellows.com" TargetMode="External"/><Relationship Id="rId64" Type="http://schemas.openxmlformats.org/officeDocument/2006/relationships/hyperlink" Target="https://quimbydigital.com/top-social-media-agencies-in-the-us-2026/" TargetMode="External"/><Relationship Id="rId1798" Type="http://schemas.openxmlformats.org/officeDocument/2006/relationships/hyperlink" Target="https://wellows.com/blog/top-ai-seo-agencies/" TargetMode="External"/><Relationship Id="rId63" Type="http://schemas.openxmlformats.org/officeDocument/2006/relationships/hyperlink" Target="http://creativefrontiers.co" TargetMode="External"/><Relationship Id="rId1799" Type="http://schemas.openxmlformats.org/officeDocument/2006/relationships/hyperlink" Target="http://wellows.com" TargetMode="External"/><Relationship Id="rId66" Type="http://schemas.openxmlformats.org/officeDocument/2006/relationships/hyperlink" Target="https://www.ritnerdigital.com/blog/the-best-seo-and-ai-search-agencies-in-the-united-states-right-now" TargetMode="External"/><Relationship Id="rId65" Type="http://schemas.openxmlformats.org/officeDocument/2006/relationships/hyperlink" Target="http://quimbydigital.com" TargetMode="External"/><Relationship Id="rId68" Type="http://schemas.openxmlformats.org/officeDocument/2006/relationships/hyperlink" Target="https://www.callboxinc.com/growth-hacking/best-aeo-agencies/" TargetMode="External"/><Relationship Id="rId67" Type="http://schemas.openxmlformats.org/officeDocument/2006/relationships/hyperlink" Target="http://ritnerdigital.com" TargetMode="External"/><Relationship Id="rId60" Type="http://schemas.openxmlformats.org/officeDocument/2006/relationships/hyperlink" Target="https://www.cometly.com/post/marketing-incrementality-testing-tools" TargetMode="External"/><Relationship Id="rId69" Type="http://schemas.openxmlformats.org/officeDocument/2006/relationships/hyperlink" Target="http://callboxinc.com" TargetMode="External"/><Relationship Id="rId1790" Type="http://schemas.openxmlformats.org/officeDocument/2006/relationships/hyperlink" Target="https://www.webtonic.io/blog/top-creative-performance-agencies" TargetMode="External"/><Relationship Id="rId1791" Type="http://schemas.openxmlformats.org/officeDocument/2006/relationships/hyperlink" Target="http://webtonic.io" TargetMode="External"/><Relationship Id="rId1792" Type="http://schemas.openxmlformats.org/officeDocument/2006/relationships/hyperlink" Target="https://www.webtonic.io/blog/top-performance-creative-agencies" TargetMode="External"/><Relationship Id="rId1793" Type="http://schemas.openxmlformats.org/officeDocument/2006/relationships/hyperlink" Target="http://webtonic.io" TargetMode="External"/><Relationship Id="rId1794" Type="http://schemas.openxmlformats.org/officeDocument/2006/relationships/hyperlink" Target="https://wellows.com/blog/digital-marketing-agencies/" TargetMode="External"/><Relationship Id="rId1795" Type="http://schemas.openxmlformats.org/officeDocument/2006/relationships/hyperlink" Target="http://wellows.com" TargetMode="External"/><Relationship Id="rId51" Type="http://schemas.openxmlformats.org/officeDocument/2006/relationships/hyperlink" Target="http://firstpagesage.com" TargetMode="External"/><Relationship Id="rId1785" Type="http://schemas.openxmlformats.org/officeDocument/2006/relationships/hyperlink" Target="http://webtonic.io" TargetMode="External"/><Relationship Id="rId50" Type="http://schemas.openxmlformats.org/officeDocument/2006/relationships/hyperlink" Target="https://firstpagesage.com/seo-blog/the-top-saas-geo-aeo-agencies/" TargetMode="External"/><Relationship Id="rId1786" Type="http://schemas.openxmlformats.org/officeDocument/2006/relationships/hyperlink" Target="https://www.webtonic.io/blog/best-global-marketing-agencies" TargetMode="External"/><Relationship Id="rId53" Type="http://schemas.openxmlformats.org/officeDocument/2006/relationships/hyperlink" Target="http://nationalmarketingawards.com" TargetMode="External"/><Relationship Id="rId1787" Type="http://schemas.openxmlformats.org/officeDocument/2006/relationships/hyperlink" Target="http://webtonic.io" TargetMode="External"/><Relationship Id="rId52" Type="http://schemas.openxmlformats.org/officeDocument/2006/relationships/hyperlink" Target="https://nationalmarketingawards.com/leaderboard/" TargetMode="External"/><Relationship Id="rId1788" Type="http://schemas.openxmlformats.org/officeDocument/2006/relationships/hyperlink" Target="https://www.webtonic.io/blog/best-ppc-agencies-us" TargetMode="External"/><Relationship Id="rId55" Type="http://schemas.openxmlformats.org/officeDocument/2006/relationships/hyperlink" Target="http://riseopp.com" TargetMode="External"/><Relationship Id="rId1789" Type="http://schemas.openxmlformats.org/officeDocument/2006/relationships/hyperlink" Target="http://webtonic.io" TargetMode="External"/><Relationship Id="rId54" Type="http://schemas.openxmlformats.org/officeDocument/2006/relationships/hyperlink" Target="https://riseopp.com/blog/top-25-geo-agencies-in-the-united-states" TargetMode="External"/><Relationship Id="rId57" Type="http://schemas.openxmlformats.org/officeDocument/2006/relationships/hyperlink" Target="http://sociallyin.com" TargetMode="External"/><Relationship Id="rId56" Type="http://schemas.openxmlformats.org/officeDocument/2006/relationships/hyperlink" Target="https://sociallyin.com/resources/top-paid-media-agencies-us/" TargetMode="External"/><Relationship Id="rId59" Type="http://schemas.openxmlformats.org/officeDocument/2006/relationships/hyperlink" Target="http://superside.com" TargetMode="External"/><Relationship Id="rId58" Type="http://schemas.openxmlformats.org/officeDocument/2006/relationships/hyperlink" Target="https://www.superside.com/blog/creative-agencies" TargetMode="External"/><Relationship Id="rId1780" Type="http://schemas.openxmlformats.org/officeDocument/2006/relationships/hyperlink" Target="https://www.webfx.com/analytics/learn/top-marketing-analytics-companies/" TargetMode="External"/><Relationship Id="rId1781" Type="http://schemas.openxmlformats.org/officeDocument/2006/relationships/hyperlink" Target="http://webfx.com" TargetMode="External"/><Relationship Id="rId1782" Type="http://schemas.openxmlformats.org/officeDocument/2006/relationships/hyperlink" Target="https://webguruz.in/blog/start-your-ai-marketing-transformation-today" TargetMode="External"/><Relationship Id="rId1783" Type="http://schemas.openxmlformats.org/officeDocument/2006/relationships/hyperlink" Target="http://webguruz.in" TargetMode="External"/><Relationship Id="rId1784" Type="http://schemas.openxmlformats.org/officeDocument/2006/relationships/hyperlink" Target="https://www.webtonic.io/blog/best-ai-powered-agencies" TargetMode="External"/><Relationship Id="rId349" Type="http://schemas.openxmlformats.org/officeDocument/2006/relationships/hyperlink" Target="http://directiveconsulting.com" TargetMode="External"/><Relationship Id="rId348" Type="http://schemas.openxmlformats.org/officeDocument/2006/relationships/hyperlink" Target="https://directiveconsulting.com/blog/best-geo-agencies/" TargetMode="External"/><Relationship Id="rId347" Type="http://schemas.openxmlformats.org/officeDocument/2006/relationships/hyperlink" Target="http://digitalmarketingsupermarket.com" TargetMode="External"/><Relationship Id="rId346" Type="http://schemas.openxmlformats.org/officeDocument/2006/relationships/hyperlink" Target="https://digitalmarketingsupermarket.com/blog/best-ai-marketing-agencies/" TargetMode="External"/><Relationship Id="rId341" Type="http://schemas.openxmlformats.org/officeDocument/2006/relationships/hyperlink" Target="http://beomniscient.com" TargetMode="External"/><Relationship Id="rId340" Type="http://schemas.openxmlformats.org/officeDocument/2006/relationships/hyperlink" Target="https://beomniscient.com/blog/geo-agencies/" TargetMode="External"/><Relationship Id="rId345" Type="http://schemas.openxmlformats.org/officeDocument/2006/relationships/hyperlink" Target="http://deviatelabs.com" TargetMode="External"/><Relationship Id="rId344" Type="http://schemas.openxmlformats.org/officeDocument/2006/relationships/hyperlink" Target="https://deviatelabs.com/resources/7-best-ai-marketing-agencies-to-revolutionize-your-growth-in-2025/" TargetMode="External"/><Relationship Id="rId343" Type="http://schemas.openxmlformats.org/officeDocument/2006/relationships/hyperlink" Target="http://growthmarshal.io" TargetMode="External"/><Relationship Id="rId342" Type="http://schemas.openxmlformats.org/officeDocument/2006/relationships/hyperlink" Target="https://compare.growthmarshal.io/best-geo-agencies-2026/" TargetMode="External"/><Relationship Id="rId338" Type="http://schemas.openxmlformats.org/officeDocument/2006/relationships/hyperlink" Target="https://beomniscient.com/blog/aeo-agency/" TargetMode="External"/><Relationship Id="rId337" Type="http://schemas.openxmlformats.org/officeDocument/2006/relationships/hyperlink" Target="http://zyppy.com" TargetMode="External"/><Relationship Id="rId336" Type="http://schemas.openxmlformats.org/officeDocument/2006/relationships/hyperlink" Target="https://zyppy.com/companies/c/marketing-attribution/united-states/" TargetMode="External"/><Relationship Id="rId335" Type="http://schemas.openxmlformats.org/officeDocument/2006/relationships/hyperlink" Target="https://wildnetmarketing.agency/blog/best-web-analytics-agencies-in-usa/" TargetMode="External"/><Relationship Id="rId339" Type="http://schemas.openxmlformats.org/officeDocument/2006/relationships/hyperlink" Target="http://beomniscient.com" TargetMode="External"/><Relationship Id="rId330" Type="http://schemas.openxmlformats.org/officeDocument/2006/relationships/hyperlink" Target="http://seoprofy.com" TargetMode="External"/><Relationship Id="rId334" Type="http://schemas.openxmlformats.org/officeDocument/2006/relationships/hyperlink" Target="http://upliftgtm.com" TargetMode="External"/><Relationship Id="rId333" Type="http://schemas.openxmlformats.org/officeDocument/2006/relationships/hyperlink" Target="https://www.upliftgtm.com/blog/best-aeo-agencies" TargetMode="External"/><Relationship Id="rId332" Type="http://schemas.openxmlformats.org/officeDocument/2006/relationships/hyperlink" Target="http://uforocks.com" TargetMode="External"/><Relationship Id="rId331" Type="http://schemas.openxmlformats.org/officeDocument/2006/relationships/hyperlink" Target="https://www.uforocks.com/blog/top-google-ads-agencies-in-the-u-s/" TargetMode="External"/><Relationship Id="rId370" Type="http://schemas.openxmlformats.org/officeDocument/2006/relationships/hyperlink" Target="https://www.singlegrain.com/artificial-intelligence/top-14-ai-marketing-agencies-in-2025/" TargetMode="External"/><Relationship Id="rId369" Type="http://schemas.openxmlformats.org/officeDocument/2006/relationships/hyperlink" Target="http://segmentstream.com" TargetMode="External"/><Relationship Id="rId368" Type="http://schemas.openxmlformats.org/officeDocument/2006/relationships/hyperlink" Target="https://segmentstream.com/blog/articles/top-enterprise-marketing-analytics-and-attribution-platforms" TargetMode="External"/><Relationship Id="rId363" Type="http://schemas.openxmlformats.org/officeDocument/2006/relationships/hyperlink" Target="https://www.onely.com/blog/best-geo-agencies/" TargetMode="External"/><Relationship Id="rId362" Type="http://schemas.openxmlformats.org/officeDocument/2006/relationships/hyperlink" Target="http://onely.com" TargetMode="External"/><Relationship Id="rId361" Type="http://schemas.openxmlformats.org/officeDocument/2006/relationships/hyperlink" Target="https://www.onely.com/blog/best-ai-seo-agencies/" TargetMode="External"/><Relationship Id="rId360" Type="http://schemas.openxmlformats.org/officeDocument/2006/relationships/hyperlink" Target="http://omnieclipse.ai" TargetMode="External"/><Relationship Id="rId367" Type="http://schemas.openxmlformats.org/officeDocument/2006/relationships/hyperlink" Target="http://rankarise.com" TargetMode="External"/><Relationship Id="rId366" Type="http://schemas.openxmlformats.org/officeDocument/2006/relationships/hyperlink" Target="https://www.rankarise.com/blog/best-aeo-agencies-in-usa-listing-and-reviews/" TargetMode="External"/><Relationship Id="rId365" Type="http://schemas.openxmlformats.org/officeDocument/2006/relationships/hyperlink" Target="https://piperocket.digital/list/best-aeo-agency/" TargetMode="External"/><Relationship Id="rId364" Type="http://schemas.openxmlformats.org/officeDocument/2006/relationships/hyperlink" Target="http://onely.com" TargetMode="External"/><Relationship Id="rId95" Type="http://schemas.openxmlformats.org/officeDocument/2006/relationships/hyperlink" Target="https://www.uforocks.com/blog/top-ai-marketing-agencies-in-the-u-s/" TargetMode="External"/><Relationship Id="rId94" Type="http://schemas.openxmlformats.org/officeDocument/2006/relationships/hyperlink" Target="http://solved6.com" TargetMode="External"/><Relationship Id="rId97" Type="http://schemas.openxmlformats.org/officeDocument/2006/relationships/hyperlink" Target="https://aeovision.ai/articles/best-aeo-geo-agencies-2026/" TargetMode="External"/><Relationship Id="rId96" Type="http://schemas.openxmlformats.org/officeDocument/2006/relationships/hyperlink" Target="http://uforocks.com" TargetMode="External"/><Relationship Id="rId99" Type="http://schemas.openxmlformats.org/officeDocument/2006/relationships/hyperlink" Target="https://www.haus.io/blog/choosing-the-best-incrementality-testing-tool" TargetMode="External"/><Relationship Id="rId98" Type="http://schemas.openxmlformats.org/officeDocument/2006/relationships/hyperlink" Target="http://aeovision.ai" TargetMode="External"/><Relationship Id="rId91" Type="http://schemas.openxmlformats.org/officeDocument/2006/relationships/hyperlink" Target="https://sociallyin.com/resources/top-google-ads-agencies-us/" TargetMode="External"/><Relationship Id="rId90" Type="http://schemas.openxmlformats.org/officeDocument/2006/relationships/hyperlink" Target="http://revvgrowth.com" TargetMode="External"/><Relationship Id="rId93" Type="http://schemas.openxmlformats.org/officeDocument/2006/relationships/hyperlink" Target="https://www.solved6.com/blogs/best-digital-marketing-agencies-usa-2026_report" TargetMode="External"/><Relationship Id="rId92" Type="http://schemas.openxmlformats.org/officeDocument/2006/relationships/hyperlink" Target="http://sociallyin.com" TargetMode="External"/><Relationship Id="rId359" Type="http://schemas.openxmlformats.org/officeDocument/2006/relationships/hyperlink" Target="https://omnieclipse.ai/blog/best-aeo-agencies-united-states-2026" TargetMode="External"/><Relationship Id="rId358" Type="http://schemas.openxmlformats.org/officeDocument/2006/relationships/hyperlink" Target="http://loudface.co" TargetMode="External"/><Relationship Id="rId357" Type="http://schemas.openxmlformats.org/officeDocument/2006/relationships/hyperlink" Target="https://www.loudface.co/blog/best-aeo-agencies-b2b-saas-2026" TargetMode="External"/><Relationship Id="rId352" Type="http://schemas.openxmlformats.org/officeDocument/2006/relationships/hyperlink" Target="https://firstpagesage.com/seo-blog/the-top-answer-engine-optimization-aeo-companies/" TargetMode="External"/><Relationship Id="rId351" Type="http://schemas.openxmlformats.org/officeDocument/2006/relationships/hyperlink" Target="http://directiveconsulting.com" TargetMode="External"/><Relationship Id="rId350" Type="http://schemas.openxmlformats.org/officeDocument/2006/relationships/hyperlink" Target="https://directiveconsulting.com/uk/blog/best-geo-agencies/" TargetMode="External"/><Relationship Id="rId356" Type="http://schemas.openxmlformats.org/officeDocument/2006/relationships/hyperlink" Target="https://inbeat.agency/blog/top-creative-agencies" TargetMode="External"/><Relationship Id="rId355" Type="http://schemas.openxmlformats.org/officeDocument/2006/relationships/hyperlink" Target="http://gestisoft.com" TargetMode="External"/><Relationship Id="rId354" Type="http://schemas.openxmlformats.org/officeDocument/2006/relationships/hyperlink" Target="https://www.gestisoft.com/en/blog/top-ai-consulting-firms" TargetMode="External"/><Relationship Id="rId353" Type="http://schemas.openxmlformats.org/officeDocument/2006/relationships/hyperlink" Target="http://firstpagesage.com" TargetMode="External"/><Relationship Id="rId305" Type="http://schemas.openxmlformats.org/officeDocument/2006/relationships/hyperlink" Target="https://wildnetmarketing.agency/blog/best-ai-marketing-agencies-in-usa/" TargetMode="External"/><Relationship Id="rId304" Type="http://schemas.openxmlformats.org/officeDocument/2006/relationships/hyperlink" Target="http://webtonic.io" TargetMode="External"/><Relationship Id="rId303" Type="http://schemas.openxmlformats.org/officeDocument/2006/relationships/hyperlink" Target="https://www.webtonic.io/blog/best-performance-marketing-agencies-2026" TargetMode="External"/><Relationship Id="rId302" Type="http://schemas.openxmlformats.org/officeDocument/2006/relationships/hyperlink" Target="http://wearetenet.com" TargetMode="External"/><Relationship Id="rId309" Type="http://schemas.openxmlformats.org/officeDocument/2006/relationships/hyperlink" Target="http://askattest.com" TargetMode="External"/><Relationship Id="rId308" Type="http://schemas.openxmlformats.org/officeDocument/2006/relationships/hyperlink" Target="https://www.askattest.com/blog/articles/market-research-companies-in-the-us" TargetMode="External"/><Relationship Id="rId307" Type="http://schemas.openxmlformats.org/officeDocument/2006/relationships/hyperlink" Target="http://amworldgroup.com" TargetMode="External"/><Relationship Id="rId306" Type="http://schemas.openxmlformats.org/officeDocument/2006/relationships/hyperlink" Target="https://amworldgroup.com/best/digital-marketing-agency-usa" TargetMode="External"/><Relationship Id="rId301" Type="http://schemas.openxmlformats.org/officeDocument/2006/relationships/hyperlink" Target="https://www.wearetenet.com/blog/best-ai-seo-agencies" TargetMode="External"/><Relationship Id="rId300" Type="http://schemas.openxmlformats.org/officeDocument/2006/relationships/hyperlink" Target="http://techstepsolutions.com" TargetMode="External"/><Relationship Id="rId327" Type="http://schemas.openxmlformats.org/officeDocument/2006/relationships/hyperlink" Target="https://percepture.com/geo-insights/best-generative-ai-seo-agencies/" TargetMode="External"/><Relationship Id="rId326" Type="http://schemas.openxmlformats.org/officeDocument/2006/relationships/hyperlink" Target="http://lyfemarketing.com" TargetMode="External"/><Relationship Id="rId325" Type="http://schemas.openxmlformats.org/officeDocument/2006/relationships/hyperlink" Target="https://www.lyfemarketing.com/blog/top-creative-agencies-us/" TargetMode="External"/><Relationship Id="rId324" Type="http://schemas.openxmlformats.org/officeDocument/2006/relationships/hyperlink" Target="http://influencermarketinghub.com" TargetMode="External"/><Relationship Id="rId329" Type="http://schemas.openxmlformats.org/officeDocument/2006/relationships/hyperlink" Target="https://seoprofy.com/blog/generative-engine-optimization-agencies/" TargetMode="External"/><Relationship Id="rId328" Type="http://schemas.openxmlformats.org/officeDocument/2006/relationships/hyperlink" Target="http://percepture.com" TargetMode="External"/><Relationship Id="rId323" Type="http://schemas.openxmlformats.org/officeDocument/2006/relationships/hyperlink" Target="https://influencermarketinghub.com/digital-marketing-agency-usa/" TargetMode="External"/><Relationship Id="rId322" Type="http://schemas.openxmlformats.org/officeDocument/2006/relationships/hyperlink" Target="http://hashmeta.ai" TargetMode="External"/><Relationship Id="rId321" Type="http://schemas.openxmlformats.org/officeDocument/2006/relationships/hyperlink" Target="https://www.hashmeta.ai/en/generative-ai/best-ai-marketing-agencies" TargetMode="External"/><Relationship Id="rId320" Type="http://schemas.openxmlformats.org/officeDocument/2006/relationships/hyperlink" Target="http://entermind.com" TargetMode="External"/><Relationship Id="rId316" Type="http://schemas.openxmlformats.org/officeDocument/2006/relationships/hyperlink" Target="https://www.csp.agency/blog/top-8-geo-agencies-for-2026-ranked-by-data/" TargetMode="External"/><Relationship Id="rId315" Type="http://schemas.openxmlformats.org/officeDocument/2006/relationships/hyperlink" Target="http://copilot-experts.com" TargetMode="External"/><Relationship Id="rId314" Type="http://schemas.openxmlformats.org/officeDocument/2006/relationships/hyperlink" Target="https://copilot-experts.com/top-ai-consulting-firm/" TargetMode="External"/><Relationship Id="rId313" Type="http://schemas.openxmlformats.org/officeDocument/2006/relationships/hyperlink" Target="http://coolnerdsmarketing.com" TargetMode="External"/><Relationship Id="rId319" Type="http://schemas.openxmlformats.org/officeDocument/2006/relationships/hyperlink" Target="https://entermind.com/media/blog/top-ai-consulting-firms-us" TargetMode="External"/><Relationship Id="rId318" Type="http://schemas.openxmlformats.org/officeDocument/2006/relationships/hyperlink" Target="http://designrush.com" TargetMode="External"/><Relationship Id="rId317" Type="http://schemas.openxmlformats.org/officeDocument/2006/relationships/hyperlink" Target="https://www.designrush.com/agency/digital-marketing/analytics/us?page=23" TargetMode="External"/><Relationship Id="rId312" Type="http://schemas.openxmlformats.org/officeDocument/2006/relationships/hyperlink" Target="https://coolnerdsmarketing.com/top-creative-agencies-us/" TargetMode="External"/><Relationship Id="rId311" Type="http://schemas.openxmlformats.org/officeDocument/2006/relationships/hyperlink" Target="http://blueprintdemand.com" TargetMode="External"/><Relationship Id="rId310" Type="http://schemas.openxmlformats.org/officeDocument/2006/relationships/hyperlink" Target="https://blueprintdemand.com/top-10-display-advertising-agency-partners-for-2026/" TargetMode="External"/><Relationship Id="rId297" Type="http://schemas.openxmlformats.org/officeDocument/2006/relationships/hyperlink" Target="https://www.silverbackstrategies.com/lists/best-google-ads-agencies-in-the-us-ranked-reviewed/" TargetMode="External"/><Relationship Id="rId296" Type="http://schemas.openxmlformats.org/officeDocument/2006/relationships/hyperlink" Target="http://rightleftagency.com" TargetMode="External"/><Relationship Id="rId295" Type="http://schemas.openxmlformats.org/officeDocument/2006/relationships/hyperlink" Target="https://rightleftagency.com/blog/best-paid-search-marketing-agencies-in-usa/" TargetMode="External"/><Relationship Id="rId294" Type="http://schemas.openxmlformats.org/officeDocument/2006/relationships/hyperlink" Target="http://quoleady.com" TargetMode="External"/><Relationship Id="rId299" Type="http://schemas.openxmlformats.org/officeDocument/2006/relationships/hyperlink" Target="https://www.techstepsolutions.com/digital-marketing-agencies-usa-2026/" TargetMode="External"/><Relationship Id="rId298" Type="http://schemas.openxmlformats.org/officeDocument/2006/relationships/hyperlink" Target="http://silverbackstrategies.com" TargetMode="External"/><Relationship Id="rId271" Type="http://schemas.openxmlformats.org/officeDocument/2006/relationships/hyperlink" Target="https://www.enzuzo.com/blog/best-google-ads-agencies" TargetMode="External"/><Relationship Id="rId270" Type="http://schemas.openxmlformats.org/officeDocument/2006/relationships/hyperlink" Target="http://dataally.ai" TargetMode="External"/><Relationship Id="rId269" Type="http://schemas.openxmlformats.org/officeDocument/2006/relationships/hyperlink" Target="https://www.dataally.ai/blog/best-paid-ads-agency" TargetMode="External"/><Relationship Id="rId264" Type="http://schemas.openxmlformats.org/officeDocument/2006/relationships/hyperlink" Target="http://agencycluster.com" TargetMode="External"/><Relationship Id="rId263" Type="http://schemas.openxmlformats.org/officeDocument/2006/relationships/hyperlink" Target="https://www.agencycluster.com/top-10/ppc-performance-marketing-agencies" TargetMode="External"/><Relationship Id="rId262" Type="http://schemas.openxmlformats.org/officeDocument/2006/relationships/hyperlink" Target="http://aeoagency.org" TargetMode="External"/><Relationship Id="rId261" Type="http://schemas.openxmlformats.org/officeDocument/2006/relationships/hyperlink" Target="https://aeoagency.org/best-aeo-agencies/" TargetMode="External"/><Relationship Id="rId268" Type="http://schemas.openxmlformats.org/officeDocument/2006/relationships/hyperlink" Target="http://beomniscient.com" TargetMode="External"/><Relationship Id="rId267" Type="http://schemas.openxmlformats.org/officeDocument/2006/relationships/hyperlink" Target="https://beomniscient.com/blog/growth-marketing-agency/" TargetMode="External"/><Relationship Id="rId266" Type="http://schemas.openxmlformats.org/officeDocument/2006/relationships/hyperlink" Target="http://agencycluster.com" TargetMode="External"/><Relationship Id="rId265" Type="http://schemas.openxmlformats.org/officeDocument/2006/relationships/hyperlink" Target="https://www.agencycluster.com/top-25/ppc-performance-marketing-agencies" TargetMode="External"/><Relationship Id="rId260" Type="http://schemas.openxmlformats.org/officeDocument/2006/relationships/hyperlink" Target="http://topseobrands.com" TargetMode="External"/><Relationship Id="rId259" Type="http://schemas.openxmlformats.org/officeDocument/2006/relationships/hyperlink" Target="https://www.topseobrands.com/best-display-advertising-firms-in-usa" TargetMode="External"/><Relationship Id="rId258" Type="http://schemas.openxmlformats.org/officeDocument/2006/relationships/hyperlink" Target="http://thebrandsbureau.com" TargetMode="External"/><Relationship Id="rId253" Type="http://schemas.openxmlformats.org/officeDocument/2006/relationships/hyperlink" Target="https://scalixai.com/blog/top-google-ad-agencies-in-us" TargetMode="External"/><Relationship Id="rId252" Type="http://schemas.openxmlformats.org/officeDocument/2006/relationships/hyperlink" Target="https://sage.agency/blog/best-google-ads-agency-partners-for-2026/" TargetMode="External"/><Relationship Id="rId251" Type="http://schemas.openxmlformats.org/officeDocument/2006/relationships/hyperlink" Target="http://revvgrowth.com" TargetMode="External"/><Relationship Id="rId250" Type="http://schemas.openxmlformats.org/officeDocument/2006/relationships/hyperlink" Target="https://www.revvgrowth.com/geo/geo-agency-usa" TargetMode="External"/><Relationship Id="rId257" Type="http://schemas.openxmlformats.org/officeDocument/2006/relationships/hyperlink" Target="https://thebrandsbureau.com/top-creative-agencies-2026/" TargetMode="External"/><Relationship Id="rId256" Type="http://schemas.openxmlformats.org/officeDocument/2006/relationships/hyperlink" Target="http://seoprofy.com" TargetMode="External"/><Relationship Id="rId255" Type="http://schemas.openxmlformats.org/officeDocument/2006/relationships/hyperlink" Target="https://seoprofy.com/blog/best-ai-seo-agencies/" TargetMode="External"/><Relationship Id="rId254" Type="http://schemas.openxmlformats.org/officeDocument/2006/relationships/hyperlink" Target="http://scalixai.com" TargetMode="External"/><Relationship Id="rId293" Type="http://schemas.openxmlformats.org/officeDocument/2006/relationships/hyperlink" Target="https://www.quoleady.com/ai-marketing-agencies/" TargetMode="External"/><Relationship Id="rId292" Type="http://schemas.openxmlformats.org/officeDocument/2006/relationships/hyperlink" Target="http://perceptive-analytics.com" TargetMode="External"/><Relationship Id="rId291" Type="http://schemas.openxmlformats.org/officeDocument/2006/relationships/hyperlink" Target="https://www.perceptive-analytics.com/top-10-best-ai-consulting-firms-for-mid-market-companies-in-the-us-2026-guide/" TargetMode="External"/><Relationship Id="rId290" Type="http://schemas.openxmlformats.org/officeDocument/2006/relationships/hyperlink" Target="http://onelittleweb.com" TargetMode="External"/><Relationship Id="rId286" Type="http://schemas.openxmlformats.org/officeDocument/2006/relationships/hyperlink" Target="http://nealschaffer.com" TargetMode="External"/><Relationship Id="rId285" Type="http://schemas.openxmlformats.org/officeDocument/2006/relationships/hyperlink" Target="https://nealschaffer.com/ai-marketing-agency/" TargetMode="External"/><Relationship Id="rId284" Type="http://schemas.openxmlformats.org/officeDocument/2006/relationships/hyperlink" Target="http://measured.com" TargetMode="External"/><Relationship Id="rId283" Type="http://schemas.openxmlformats.org/officeDocument/2006/relationships/hyperlink" Target="https://www.measured.com/faq/top-10-best-media-mix-modeling-companies-software-for-2026/" TargetMode="External"/><Relationship Id="rId289" Type="http://schemas.openxmlformats.org/officeDocument/2006/relationships/hyperlink" Target="https://onelittleweb.com/top-agencies/top-google-ads-agencies/" TargetMode="External"/><Relationship Id="rId288" Type="http://schemas.openxmlformats.org/officeDocument/2006/relationships/hyperlink" Target="http://ninjapromo.io" TargetMode="External"/><Relationship Id="rId287" Type="http://schemas.openxmlformats.org/officeDocument/2006/relationships/hyperlink" Target="https://ninjapromo.io/best-ai-marketing-agencies" TargetMode="External"/><Relationship Id="rId282" Type="http://schemas.openxmlformats.org/officeDocument/2006/relationships/hyperlink" Target="http://joseangelostudios.com" TargetMode="External"/><Relationship Id="rId281" Type="http://schemas.openxmlformats.org/officeDocument/2006/relationships/hyperlink" Target="https://joseangelostudios.com/paid-social-agency/" TargetMode="External"/><Relationship Id="rId280" Type="http://schemas.openxmlformats.org/officeDocument/2006/relationships/hyperlink" Target="http://intellectyx.com" TargetMode="External"/><Relationship Id="rId275" Type="http://schemas.openxmlformats.org/officeDocument/2006/relationships/hyperlink" Target="https://growthmanager.ai/best-geo-agency" TargetMode="External"/><Relationship Id="rId274" Type="http://schemas.openxmlformats.org/officeDocument/2006/relationships/hyperlink" Target="http://firstpagesage.com" TargetMode="External"/><Relationship Id="rId273" Type="http://schemas.openxmlformats.org/officeDocument/2006/relationships/hyperlink" Target="https://firstpagesage.com/seo-blog/the-top-growth-marketing-agencies/" TargetMode="External"/><Relationship Id="rId272" Type="http://schemas.openxmlformats.org/officeDocument/2006/relationships/hyperlink" Target="http://enzuzo.com" TargetMode="External"/><Relationship Id="rId279" Type="http://schemas.openxmlformats.org/officeDocument/2006/relationships/hyperlink" Target="https://www.intellectyx.com/list-of-20-leading-ai-consulting-firms-providing-comprehensive-services/" TargetMode="External"/><Relationship Id="rId278" Type="http://schemas.openxmlformats.org/officeDocument/2006/relationships/hyperlink" Target="http://gtm8020.com" TargetMode="External"/><Relationship Id="rId277" Type="http://schemas.openxmlformats.org/officeDocument/2006/relationships/hyperlink" Target="https://www.gtm8020.com/blog/best-aeo-agencies" TargetMode="External"/><Relationship Id="rId276" Type="http://schemas.openxmlformats.org/officeDocument/2006/relationships/hyperlink" Target="http://growthmanager.ai" TargetMode="External"/><Relationship Id="rId1851" Type="http://schemas.openxmlformats.org/officeDocument/2006/relationships/hyperlink" Target="http://zipdo.co" TargetMode="External"/><Relationship Id="rId1852" Type="http://schemas.openxmlformats.org/officeDocument/2006/relationships/hyperlink" Target="https://zryly.net/paid-social-agencies-in-the-u-s/" TargetMode="External"/><Relationship Id="rId1853" Type="http://schemas.openxmlformats.org/officeDocument/2006/relationships/hyperlink" Target="http://zryly.net" TargetMode="External"/><Relationship Id="rId1854" Type="http://schemas.openxmlformats.org/officeDocument/2006/relationships/hyperlink" Target="https://zyner.io/blog/best-ui-ux-design-agency" TargetMode="External"/><Relationship Id="rId1855" Type="http://schemas.openxmlformats.org/officeDocument/2006/relationships/hyperlink" Target="http://zyner.io" TargetMode="External"/><Relationship Id="rId1856" Type="http://schemas.openxmlformats.org/officeDocument/2006/relationships/drawing" Target="../drawings/drawing26.xml"/><Relationship Id="rId1850" Type="http://schemas.openxmlformats.org/officeDocument/2006/relationships/hyperlink" Target="https://zipdo.co/service/media-mix-modeling/" TargetMode="External"/><Relationship Id="rId1840" Type="http://schemas.openxmlformats.org/officeDocument/2006/relationships/hyperlink" Target="https://zeroado.com/blog/best-marketing-agencies-for-small-businesses" TargetMode="External"/><Relationship Id="rId1841" Type="http://schemas.openxmlformats.org/officeDocument/2006/relationships/hyperlink" Target="http://zeroado.com" TargetMode="External"/><Relationship Id="rId1842" Type="http://schemas.openxmlformats.org/officeDocument/2006/relationships/hyperlink" Target="https://zeroado.com/blog/generative-engine-optimization-agencies-in-bangalore" TargetMode="External"/><Relationship Id="rId1843" Type="http://schemas.openxmlformats.org/officeDocument/2006/relationships/hyperlink" Target="http://zeroado.com" TargetMode="External"/><Relationship Id="rId1844" Type="http://schemas.openxmlformats.org/officeDocument/2006/relationships/hyperlink" Target="https://zipdo.co/service/business-digital-marketing/" TargetMode="External"/><Relationship Id="rId1845" Type="http://schemas.openxmlformats.org/officeDocument/2006/relationships/hyperlink" Target="http://zipdo.co" TargetMode="External"/><Relationship Id="rId1846" Type="http://schemas.openxmlformats.org/officeDocument/2006/relationships/hyperlink" Target="https://zipdo.co/service/digital-marketing-analytics/" TargetMode="External"/><Relationship Id="rId1847" Type="http://schemas.openxmlformats.org/officeDocument/2006/relationships/hyperlink" Target="http://zipdo.co" TargetMode="External"/><Relationship Id="rId1848" Type="http://schemas.openxmlformats.org/officeDocument/2006/relationships/hyperlink" Target="https://zipdo.co/service/first-party-data/" TargetMode="External"/><Relationship Id="rId1849" Type="http://schemas.openxmlformats.org/officeDocument/2006/relationships/hyperlink" Target="http://zipdo.co" TargetMode="External"/><Relationship Id="rId1810" Type="http://schemas.openxmlformats.org/officeDocument/2006/relationships/hyperlink" Target="https://worldmetrics.org/service/ai-adoption/" TargetMode="External"/><Relationship Id="rId1811" Type="http://schemas.openxmlformats.org/officeDocument/2006/relationships/hyperlink" Target="http://worldmetrics.org" TargetMode="External"/><Relationship Id="rId1812" Type="http://schemas.openxmlformats.org/officeDocument/2006/relationships/hyperlink" Target="https://worldmetrics.org/service/data-marketing/" TargetMode="External"/><Relationship Id="rId1813" Type="http://schemas.openxmlformats.org/officeDocument/2006/relationships/hyperlink" Target="http://worldmetrics.org" TargetMode="External"/><Relationship Id="rId1814" Type="http://schemas.openxmlformats.org/officeDocument/2006/relationships/hyperlink" Target="https://worldmetrics.org/service/digital-content-marketing/" TargetMode="External"/><Relationship Id="rId1815" Type="http://schemas.openxmlformats.org/officeDocument/2006/relationships/hyperlink" Target="http://worldmetrics.org" TargetMode="External"/><Relationship Id="rId1816" Type="http://schemas.openxmlformats.org/officeDocument/2006/relationships/hyperlink" Target="https://worldmetrics.org/service/digital-media-planning/" TargetMode="External"/><Relationship Id="rId1817" Type="http://schemas.openxmlformats.org/officeDocument/2006/relationships/hyperlink" Target="http://worldmetrics.org" TargetMode="External"/><Relationship Id="rId1818" Type="http://schemas.openxmlformats.org/officeDocument/2006/relationships/hyperlink" Target="https://worldmetrics.org/service/digital-media-production/" TargetMode="External"/><Relationship Id="rId1819" Type="http://schemas.openxmlformats.org/officeDocument/2006/relationships/hyperlink" Target="http://worldmetrics.org" TargetMode="External"/><Relationship Id="rId1800" Type="http://schemas.openxmlformats.org/officeDocument/2006/relationships/hyperlink" Target="https://whyflagshalfmasttoday.com/the-best-aeo-optimization-company-in-the-united-states-2026-a-decision-stage-ranking/" TargetMode="External"/><Relationship Id="rId1801" Type="http://schemas.openxmlformats.org/officeDocument/2006/relationships/hyperlink" Target="http://whyflagshalfmasttoday.com" TargetMode="External"/><Relationship Id="rId1802" Type="http://schemas.openxmlformats.org/officeDocument/2006/relationships/hyperlink" Target="https://wifitalents.com/service/ai-adoption/" TargetMode="External"/><Relationship Id="rId1803" Type="http://schemas.openxmlformats.org/officeDocument/2006/relationships/hyperlink" Target="http://wifitalents.com" TargetMode="External"/><Relationship Id="rId1804" Type="http://schemas.openxmlformats.org/officeDocument/2006/relationships/hyperlink" Target="https://wifitalents.com/service/global-marketing/" TargetMode="External"/><Relationship Id="rId1805" Type="http://schemas.openxmlformats.org/officeDocument/2006/relationships/hyperlink" Target="http://wifitalents.com" TargetMode="External"/><Relationship Id="rId1806" Type="http://schemas.openxmlformats.org/officeDocument/2006/relationships/hyperlink" Target="https://www.within.co/blog/best-agencies-for-enterprise-brands/" TargetMode="External"/><Relationship Id="rId1807" Type="http://schemas.openxmlformats.org/officeDocument/2006/relationships/hyperlink" Target="http://within.co" TargetMode="External"/><Relationship Id="rId1808" Type="http://schemas.openxmlformats.org/officeDocument/2006/relationships/hyperlink" Target="https://wordable.io/best-ai-seo-agency/" TargetMode="External"/><Relationship Id="rId1809" Type="http://schemas.openxmlformats.org/officeDocument/2006/relationships/hyperlink" Target="http://wordable.io" TargetMode="External"/><Relationship Id="rId1830" Type="http://schemas.openxmlformats.org/officeDocument/2006/relationships/hyperlink" Target="https://www.youtube.com/watch?v=AF_p3QnDcNE&amp;t=358" TargetMode="External"/><Relationship Id="rId1831" Type="http://schemas.openxmlformats.org/officeDocument/2006/relationships/hyperlink" Target="http://youtube.com" TargetMode="External"/><Relationship Id="rId1832" Type="http://schemas.openxmlformats.org/officeDocument/2006/relationships/hyperlink" Target="https://www.youtube.com/watch?v=GBZzmnhPh4U&amp;t=5" TargetMode="External"/><Relationship Id="rId1833" Type="http://schemas.openxmlformats.org/officeDocument/2006/relationships/hyperlink" Target="http://youtube.com" TargetMode="External"/><Relationship Id="rId1834" Type="http://schemas.openxmlformats.org/officeDocument/2006/relationships/hyperlink" Target="https://www.youtube.com/watch?v=IjasEPvA-K4" TargetMode="External"/><Relationship Id="rId1835" Type="http://schemas.openxmlformats.org/officeDocument/2006/relationships/hyperlink" Target="http://youtube.com" TargetMode="External"/><Relationship Id="rId1836" Type="http://schemas.openxmlformats.org/officeDocument/2006/relationships/hyperlink" Target="https://www.youtube.com/watch?v=NXkXQbQ9-kk&amp;vl=en&amp;t=332" TargetMode="External"/><Relationship Id="rId1837" Type="http://schemas.openxmlformats.org/officeDocument/2006/relationships/hyperlink" Target="http://youtube.com" TargetMode="External"/><Relationship Id="rId1838" Type="http://schemas.openxmlformats.org/officeDocument/2006/relationships/hyperlink" Target="https://www.youtube.com/watch?v=yIAxLp4yY3E" TargetMode="External"/><Relationship Id="rId1839" Type="http://schemas.openxmlformats.org/officeDocument/2006/relationships/hyperlink" Target="http://youtube.com" TargetMode="External"/><Relationship Id="rId1820" Type="http://schemas.openxmlformats.org/officeDocument/2006/relationships/hyperlink" Target="https://xcelacore.com/ai-consultants-for-mid-sized-companies/" TargetMode="External"/><Relationship Id="rId1821" Type="http://schemas.openxmlformats.org/officeDocument/2006/relationships/hyperlink" Target="http://xcelacore.com" TargetMode="External"/><Relationship Id="rId1822" Type="http://schemas.openxmlformats.org/officeDocument/2006/relationships/hyperlink" Target="https://xcelacore.com/best-ai-automation-agencies-usa-guide/" TargetMode="External"/><Relationship Id="rId1823" Type="http://schemas.openxmlformats.org/officeDocument/2006/relationships/hyperlink" Target="http://xcelacore.com" TargetMode="External"/><Relationship Id="rId1824" Type="http://schemas.openxmlformats.org/officeDocument/2006/relationships/hyperlink" Target="https://yourcontentmart.co/best-answer-engine-optimization-agencies/" TargetMode="External"/><Relationship Id="rId1825" Type="http://schemas.openxmlformats.org/officeDocument/2006/relationships/hyperlink" Target="http://yourcontentmart.co" TargetMode="External"/><Relationship Id="rId1826" Type="http://schemas.openxmlformats.org/officeDocument/2006/relationships/hyperlink" Target="https://www.youtube.com/shorts/-1J3sczOLNs" TargetMode="External"/><Relationship Id="rId1827" Type="http://schemas.openxmlformats.org/officeDocument/2006/relationships/hyperlink" Target="http://youtube.com" TargetMode="External"/><Relationship Id="rId1828" Type="http://schemas.openxmlformats.org/officeDocument/2006/relationships/hyperlink" Target="https://www.youtube.com/watch?v=3KVWXIXXyJo" TargetMode="External"/><Relationship Id="rId1829" Type="http://schemas.openxmlformats.org/officeDocument/2006/relationships/hyperlink" Target="http://youtube.com" TargetMode="External"/><Relationship Id="rId1059" Type="http://schemas.openxmlformats.org/officeDocument/2006/relationships/hyperlink" Target="https://www.awwwards.com/the-10-best-agencies-in-new-york-city.html" TargetMode="External"/><Relationship Id="rId228" Type="http://schemas.openxmlformats.org/officeDocument/2006/relationships/hyperlink" Target="http://cometly.com" TargetMode="External"/><Relationship Id="rId227" Type="http://schemas.openxmlformats.org/officeDocument/2006/relationships/hyperlink" Target="https://www.cometly.com/post/best-top-marketing-attribution-firms-in-usa" TargetMode="External"/><Relationship Id="rId226" Type="http://schemas.openxmlformats.org/officeDocument/2006/relationships/hyperlink" Target="http://thesocialshepherd.com" TargetMode="External"/><Relationship Id="rId225" Type="http://schemas.openxmlformats.org/officeDocument/2006/relationships/hyperlink" Target="https://thesocialshepherd.com/blog/top-performance-marketing-agencies-us" TargetMode="External"/><Relationship Id="rId229" Type="http://schemas.openxmlformats.org/officeDocument/2006/relationships/hyperlink" Target="https://www.cometly.com/post/incrementality-measurement-tool" TargetMode="External"/><Relationship Id="rId1050" Type="http://schemas.openxmlformats.org/officeDocument/2006/relationships/hyperlink" Target="http://avenuez.com" TargetMode="External"/><Relationship Id="rId220" Type="http://schemas.openxmlformats.org/officeDocument/2006/relationships/hyperlink" Target="http://cometly.com" TargetMode="External"/><Relationship Id="rId1051" Type="http://schemas.openxmlformats.org/officeDocument/2006/relationships/hyperlink" Target="https://avenuez.com/blog/top-social-media-advertising-agencies-in-the-usa/" TargetMode="External"/><Relationship Id="rId1052" Type="http://schemas.openxmlformats.org/officeDocument/2006/relationships/hyperlink" Target="http://avenuez.com" TargetMode="External"/><Relationship Id="rId1053" Type="http://schemas.openxmlformats.org/officeDocument/2006/relationships/hyperlink" Target="https://avenuez.com/blog/top-wellness-marketing-agencies/" TargetMode="External"/><Relationship Id="rId1054" Type="http://schemas.openxmlformats.org/officeDocument/2006/relationships/hyperlink" Target="http://avenuez.com" TargetMode="External"/><Relationship Id="rId224" Type="http://schemas.openxmlformats.org/officeDocument/2006/relationships/hyperlink" Target="http://thecmo.com" TargetMode="External"/><Relationship Id="rId1055" Type="http://schemas.openxmlformats.org/officeDocument/2006/relationships/hyperlink" Target="https://www.awesomic.com/blog/full-service-creative-agencies" TargetMode="External"/><Relationship Id="rId223" Type="http://schemas.openxmlformats.org/officeDocument/2006/relationships/hyperlink" Target="https://thecmo.com/tools/best-marketing-attribution-software/" TargetMode="External"/><Relationship Id="rId1056" Type="http://schemas.openxmlformats.org/officeDocument/2006/relationships/hyperlink" Target="http://awesomic.com" TargetMode="External"/><Relationship Id="rId222" Type="http://schemas.openxmlformats.org/officeDocument/2006/relationships/hyperlink" Target="http://dmidigitalmarketing.com" TargetMode="External"/><Relationship Id="rId1057" Type="http://schemas.openxmlformats.org/officeDocument/2006/relationships/hyperlink" Target="https://awisee.com/ru/blog/paid-social-media-agencies/" TargetMode="External"/><Relationship Id="rId221" Type="http://schemas.openxmlformats.org/officeDocument/2006/relationships/hyperlink" Target="https://dmidigitalmarketing.com/top-15-ai-marketing-agencies-in-the-us-2026/" TargetMode="External"/><Relationship Id="rId1058" Type="http://schemas.openxmlformats.org/officeDocument/2006/relationships/hyperlink" Target="http://awisee.com" TargetMode="External"/><Relationship Id="rId1048" Type="http://schemas.openxmlformats.org/officeDocument/2006/relationships/hyperlink" Target="http://athenahq.ai" TargetMode="External"/><Relationship Id="rId1049" Type="http://schemas.openxmlformats.org/officeDocument/2006/relationships/hyperlink" Target="https://avenuez.com/blog/top-dtc-marketing-agencies-in-the-usa/" TargetMode="External"/><Relationship Id="rId217" Type="http://schemas.openxmlformats.org/officeDocument/2006/relationships/hyperlink" Target="https://visionlabs.com/blog/top-web-analytics-agencies/" TargetMode="External"/><Relationship Id="rId216" Type="http://schemas.openxmlformats.org/officeDocument/2006/relationships/hyperlink" Target="http://thriveagency.com" TargetMode="External"/><Relationship Id="rId215" Type="http://schemas.openxmlformats.org/officeDocument/2006/relationships/hyperlink" Target="https://thriveagency.com/news/best-digital-marketing-agencies/" TargetMode="External"/><Relationship Id="rId214" Type="http://schemas.openxmlformats.org/officeDocument/2006/relationships/hyperlink" Target="http://thesocialshepherd.com" TargetMode="External"/><Relationship Id="rId219" Type="http://schemas.openxmlformats.org/officeDocument/2006/relationships/hyperlink" Target="https://www.cometly.com/post/marketing-attribution-tools-for-agencies" TargetMode="External"/><Relationship Id="rId218" Type="http://schemas.openxmlformats.org/officeDocument/2006/relationships/hyperlink" Target="http://visionlabs.com" TargetMode="External"/><Relationship Id="rId1040" Type="http://schemas.openxmlformats.org/officeDocument/2006/relationships/hyperlink" Target="http://anml.com" TargetMode="External"/><Relationship Id="rId1041" Type="http://schemas.openxmlformats.org/officeDocument/2006/relationships/hyperlink" Target="https://www.answermaniac.ai/best-geo-agencies" TargetMode="External"/><Relationship Id="rId1042" Type="http://schemas.openxmlformats.org/officeDocument/2006/relationships/hyperlink" Target="http://answermaniac.ai" TargetMode="External"/><Relationship Id="rId1043" Type="http://schemas.openxmlformats.org/officeDocument/2006/relationships/hyperlink" Target="https://appkod.com/blogs/paid-media-agencies-us/" TargetMode="External"/><Relationship Id="rId213" Type="http://schemas.openxmlformats.org/officeDocument/2006/relationships/hyperlink" Target="https://thesocialshepherd.com/blog/top-social-media-agencies-us" TargetMode="External"/><Relationship Id="rId1044" Type="http://schemas.openxmlformats.org/officeDocument/2006/relationships/hyperlink" Target="http://appkod.com" TargetMode="External"/><Relationship Id="rId212" Type="http://schemas.openxmlformats.org/officeDocument/2006/relationships/hyperlink" Target="http://thesocialshepherd.com" TargetMode="External"/><Relationship Id="rId1045" Type="http://schemas.openxmlformats.org/officeDocument/2006/relationships/hyperlink" Target="https://www.askneedle.com/blog/best-ai-marketing-tools" TargetMode="External"/><Relationship Id="rId211" Type="http://schemas.openxmlformats.org/officeDocument/2006/relationships/hyperlink" Target="https://thesocialshepherd.com/blog/top-google-ads-agencies-us" TargetMode="External"/><Relationship Id="rId1046" Type="http://schemas.openxmlformats.org/officeDocument/2006/relationships/hyperlink" Target="http://askneedle.com" TargetMode="External"/><Relationship Id="rId210" Type="http://schemas.openxmlformats.org/officeDocument/2006/relationships/hyperlink" Target="http://sweatpantsagency.com" TargetMode="External"/><Relationship Id="rId1047" Type="http://schemas.openxmlformats.org/officeDocument/2006/relationships/hyperlink" Target="https://athenahq.ai/articles/best-ai-seo-tools" TargetMode="External"/><Relationship Id="rId249" Type="http://schemas.openxmlformats.org/officeDocument/2006/relationships/hyperlink" Target="http://nationalmarketingawards.com" TargetMode="External"/><Relationship Id="rId248" Type="http://schemas.openxmlformats.org/officeDocument/2006/relationships/hyperlink" Target="https://nationalmarketingawards.com/awards/categories/ppc/" TargetMode="External"/><Relationship Id="rId247" Type="http://schemas.openxmlformats.org/officeDocument/2006/relationships/hyperlink" Target="http://maxiomtech.com" TargetMode="External"/><Relationship Id="rId1070" Type="http://schemas.openxmlformats.org/officeDocument/2006/relationships/hyperlink" Target="http://blazonagency.com" TargetMode="External"/><Relationship Id="rId1071" Type="http://schemas.openxmlformats.org/officeDocument/2006/relationships/hyperlink" Target="https://www.blendb2b.com/resources/best-aeo-agencies-for-logistics-companies?hs_amp=true" TargetMode="External"/><Relationship Id="rId1072" Type="http://schemas.openxmlformats.org/officeDocument/2006/relationships/hyperlink" Target="http://blendb2b.com" TargetMode="External"/><Relationship Id="rId242" Type="http://schemas.openxmlformats.org/officeDocument/2006/relationships/hyperlink" Target="https://influencermarketinghub.com/google-ads-agencies/" TargetMode="External"/><Relationship Id="rId1073" Type="http://schemas.openxmlformats.org/officeDocument/2006/relationships/hyperlink" Target="https://blog.brandburp.com/10-best-digital-marketing-agencies-in-new-york/" TargetMode="External"/><Relationship Id="rId241" Type="http://schemas.openxmlformats.org/officeDocument/2006/relationships/hyperlink" Target="http://influencermarketinghub.com" TargetMode="External"/><Relationship Id="rId1074" Type="http://schemas.openxmlformats.org/officeDocument/2006/relationships/hyperlink" Target="http://brandburp.com" TargetMode="External"/><Relationship Id="rId240" Type="http://schemas.openxmlformats.org/officeDocument/2006/relationships/hyperlink" Target="https://influencermarketinghub.com/ai-marketing-agencies/" TargetMode="External"/><Relationship Id="rId1075" Type="http://schemas.openxmlformats.org/officeDocument/2006/relationships/hyperlink" Target="https://www.blog.udonis.co/top-agencies/marketing-consulting-firms" TargetMode="External"/><Relationship Id="rId1076" Type="http://schemas.openxmlformats.org/officeDocument/2006/relationships/hyperlink" Target="http://udonis.co" TargetMode="External"/><Relationship Id="rId246" Type="http://schemas.openxmlformats.org/officeDocument/2006/relationships/hyperlink" Target="https://www.maxiomtech.com/top-10-ai-marketing-automation-agencies/" TargetMode="External"/><Relationship Id="rId1077" Type="http://schemas.openxmlformats.org/officeDocument/2006/relationships/hyperlink" Target="https://www.bolderagency.com/journal/startup-branding-agency-guide-2026-best-us-agencies-for-strategic-brand-building" TargetMode="External"/><Relationship Id="rId245" Type="http://schemas.openxmlformats.org/officeDocument/2006/relationships/hyperlink" Target="http://influencermarketinghub.com" TargetMode="External"/><Relationship Id="rId1078" Type="http://schemas.openxmlformats.org/officeDocument/2006/relationships/hyperlink" Target="http://bolderagency.com" TargetMode="External"/><Relationship Id="rId244" Type="http://schemas.openxmlformats.org/officeDocument/2006/relationships/hyperlink" Target="https://influencermarketinghub.com/marketing-analytics-agency/" TargetMode="External"/><Relationship Id="rId1079" Type="http://schemas.openxmlformats.org/officeDocument/2006/relationships/hyperlink" Target="https://www.brandedagency.com/blog/top-digital-marketing-agencies" TargetMode="External"/><Relationship Id="rId243" Type="http://schemas.openxmlformats.org/officeDocument/2006/relationships/hyperlink" Target="http://influencermarketinghub.com" TargetMode="External"/><Relationship Id="rId239" Type="http://schemas.openxmlformats.org/officeDocument/2006/relationships/hyperlink" Target="http://inbeat.co" TargetMode="External"/><Relationship Id="rId238" Type="http://schemas.openxmlformats.org/officeDocument/2006/relationships/hyperlink" Target="https://www.inbeat.co/articles/paid-media-agencies/" TargetMode="External"/><Relationship Id="rId237" Type="http://schemas.openxmlformats.org/officeDocument/2006/relationships/hyperlink" Target="http://growth-hackers.net" TargetMode="External"/><Relationship Id="rId236" Type="http://schemas.openxmlformats.org/officeDocument/2006/relationships/hyperlink" Target="https://www.growth-hackers.net/best-analytics-marketing-agencies/" TargetMode="External"/><Relationship Id="rId1060" Type="http://schemas.openxmlformats.org/officeDocument/2006/relationships/hyperlink" Target="http://awwwards.com" TargetMode="External"/><Relationship Id="rId1061" Type="http://schemas.openxmlformats.org/officeDocument/2006/relationships/hyperlink" Target="https://www.barchart.com/story/news/1281321/10-ai-visibility-optimization-agencies-in-the-united-states-for-2026" TargetMode="External"/><Relationship Id="rId231" Type="http://schemas.openxmlformats.org/officeDocument/2006/relationships/hyperlink" Target="https://www.creativemilkshake.com/blog/top-us-performance-marketing-agencies" TargetMode="External"/><Relationship Id="rId1062" Type="http://schemas.openxmlformats.org/officeDocument/2006/relationships/hyperlink" Target="http://barchart.com" TargetMode="External"/><Relationship Id="rId230" Type="http://schemas.openxmlformats.org/officeDocument/2006/relationships/hyperlink" Target="http://cometly.com" TargetMode="External"/><Relationship Id="rId1063" Type="http://schemas.openxmlformats.org/officeDocument/2006/relationships/hyperlink" Target="https://www.barchart.com/story/news/1344974/designrush-unveils-april-2026-ranking-of-top-10-ppc-companies" TargetMode="External"/><Relationship Id="rId1064" Type="http://schemas.openxmlformats.org/officeDocument/2006/relationships/hyperlink" Target="http://barchart.com" TargetMode="External"/><Relationship Id="rId1065" Type="http://schemas.openxmlformats.org/officeDocument/2006/relationships/hyperlink" Target="https://beomniscient.com/blog/marketing-agencies/" TargetMode="External"/><Relationship Id="rId235" Type="http://schemas.openxmlformats.org/officeDocument/2006/relationships/hyperlink" Target="http://funnel.io" TargetMode="External"/><Relationship Id="rId1066" Type="http://schemas.openxmlformats.org/officeDocument/2006/relationships/hyperlink" Target="http://beomniscient.com" TargetMode="External"/><Relationship Id="rId234" Type="http://schemas.openxmlformats.org/officeDocument/2006/relationships/hyperlink" Target="https://funnel.io/blog/top-mta-tools" TargetMode="External"/><Relationship Id="rId1067" Type="http://schemas.openxmlformats.org/officeDocument/2006/relationships/hyperlink" Target="https://blackthorn-vision.com/blog/top-10-seo-companies-in-the-usa/" TargetMode="External"/><Relationship Id="rId233" Type="http://schemas.openxmlformats.org/officeDocument/2006/relationships/hyperlink" Target="https://www.cygnet.one/feeds/blog/compare-ai-consulting-marketing-automation" TargetMode="External"/><Relationship Id="rId1068" Type="http://schemas.openxmlformats.org/officeDocument/2006/relationships/hyperlink" Target="http://blackthorn-vision.com" TargetMode="External"/><Relationship Id="rId232" Type="http://schemas.openxmlformats.org/officeDocument/2006/relationships/hyperlink" Target="http://creativemilkshake.com" TargetMode="External"/><Relationship Id="rId1069" Type="http://schemas.openxmlformats.org/officeDocument/2006/relationships/hyperlink" Target="https://blazonagency.com/post/top-ad-agencies" TargetMode="External"/><Relationship Id="rId1015" Type="http://schemas.openxmlformats.org/officeDocument/2006/relationships/hyperlink" Target="https://adzooma.com/blog/top-10-advertising-agencies-in-the-uk/" TargetMode="External"/><Relationship Id="rId1016" Type="http://schemas.openxmlformats.org/officeDocument/2006/relationships/hyperlink" Target="http://adzooma.com" TargetMode="External"/><Relationship Id="rId1017" Type="http://schemas.openxmlformats.org/officeDocument/2006/relationships/hyperlink" Target="https://www.agencyspotter.com/top/media-planning-and-strategy-agencies" TargetMode="External"/><Relationship Id="rId1018" Type="http://schemas.openxmlformats.org/officeDocument/2006/relationships/hyperlink" Target="http://agencyspotter.com" TargetMode="External"/><Relationship Id="rId1019" Type="http://schemas.openxmlformats.org/officeDocument/2006/relationships/hyperlink" Target="https://aiagents4cfo.com/the-cfos-ai-playbook-10-vendors-rebuilding-finance-in-2026/" TargetMode="External"/><Relationship Id="rId1010" Type="http://schemas.openxmlformats.org/officeDocument/2006/relationships/hyperlink" Target="http://adasight.com" TargetMode="External"/><Relationship Id="rId1011" Type="http://schemas.openxmlformats.org/officeDocument/2006/relationships/hyperlink" Target="https://www.addwebsolution.com/blog/ai-marketing-agencies" TargetMode="External"/><Relationship Id="rId1012" Type="http://schemas.openxmlformats.org/officeDocument/2006/relationships/hyperlink" Target="http://addwebsolution.com" TargetMode="External"/><Relationship Id="rId1013" Type="http://schemas.openxmlformats.org/officeDocument/2006/relationships/hyperlink" Target="https://adspyder.io/blog/top-25-global-ad-agencies/" TargetMode="External"/><Relationship Id="rId1014" Type="http://schemas.openxmlformats.org/officeDocument/2006/relationships/hyperlink" Target="http://adspyder.io" TargetMode="External"/><Relationship Id="rId1004" Type="http://schemas.openxmlformats.org/officeDocument/2006/relationships/hyperlink" Target="http://abbacustechnologies.com" TargetMode="External"/><Relationship Id="rId1005" Type="http://schemas.openxmlformats.org/officeDocument/2006/relationships/hyperlink" Target="https://www.abbacustechnologies.com/top-ai-development-companies-in-dubai/" TargetMode="External"/><Relationship Id="rId1006" Type="http://schemas.openxmlformats.org/officeDocument/2006/relationships/hyperlink" Target="http://abbacustechnologies.com" TargetMode="External"/><Relationship Id="rId1007" Type="http://schemas.openxmlformats.org/officeDocument/2006/relationships/hyperlink" Target="https://www.abetheagency.com/blog/best-b2b-social-media-agencies-for-paid-social-2026" TargetMode="External"/><Relationship Id="rId1008" Type="http://schemas.openxmlformats.org/officeDocument/2006/relationships/hyperlink" Target="http://abetheagency.com" TargetMode="External"/><Relationship Id="rId1009" Type="http://schemas.openxmlformats.org/officeDocument/2006/relationships/hyperlink" Target="https://www.adasight.com/blog/top-marketing-attribution-tools" TargetMode="External"/><Relationship Id="rId1000" Type="http://schemas.openxmlformats.org/officeDocument/2006/relationships/hyperlink" Target="http://20northmarketing.com" TargetMode="External"/><Relationship Id="rId1001" Type="http://schemas.openxmlformats.org/officeDocument/2006/relationships/hyperlink" Target="https://7span.com/blog/branding-agencies" TargetMode="External"/><Relationship Id="rId1002" Type="http://schemas.openxmlformats.org/officeDocument/2006/relationships/hyperlink" Target="http://7span.com" TargetMode="External"/><Relationship Id="rId1003" Type="http://schemas.openxmlformats.org/officeDocument/2006/relationships/hyperlink" Target="https://www.abbacustechnologies.com/top-ai-consulting-firms-in-2026/" TargetMode="External"/><Relationship Id="rId1037" Type="http://schemas.openxmlformats.org/officeDocument/2006/relationships/hyperlink" Target="https://www.analyticsinsight.net/amp/story/digital-marketing/top-aeo-agencies-in-usa-best-2026-picks-for-ai-search-optimization" TargetMode="External"/><Relationship Id="rId1038" Type="http://schemas.openxmlformats.org/officeDocument/2006/relationships/hyperlink" Target="http://analyticsinsight.net" TargetMode="External"/><Relationship Id="rId1039" Type="http://schemas.openxmlformats.org/officeDocument/2006/relationships/hyperlink" Target="https://www.anml.com/blog/best-b2b-web-design-agencies-in-2026" TargetMode="External"/><Relationship Id="rId206" Type="http://schemas.openxmlformats.org/officeDocument/2006/relationships/hyperlink" Target="http://lyfemarketing.com" TargetMode="External"/><Relationship Id="rId205" Type="http://schemas.openxmlformats.org/officeDocument/2006/relationships/hyperlink" Target="https://www.lyfemarketing.com/blog/top-paid-social-agencies-us/" TargetMode="External"/><Relationship Id="rId204" Type="http://schemas.openxmlformats.org/officeDocument/2006/relationships/hyperlink" Target="http://designrush.com" TargetMode="External"/><Relationship Id="rId203" Type="http://schemas.openxmlformats.org/officeDocument/2006/relationships/hyperlink" Target="https://www.designrush.com/agency/paid-media-pay-per-click/display-advertising-agency" TargetMode="External"/><Relationship Id="rId209" Type="http://schemas.openxmlformats.org/officeDocument/2006/relationships/hyperlink" Target="https://sweatpantsagency.com/the-top-9-social-media-ad-agencies" TargetMode="External"/><Relationship Id="rId208" Type="http://schemas.openxmlformats.org/officeDocument/2006/relationships/hyperlink" Target="http://sageitinc.com" TargetMode="External"/><Relationship Id="rId207" Type="http://schemas.openxmlformats.org/officeDocument/2006/relationships/hyperlink" Target="https://sageitinc.com/reference-center/best-ai-consulting-companies" TargetMode="External"/><Relationship Id="rId1030" Type="http://schemas.openxmlformats.org/officeDocument/2006/relationships/hyperlink" Target="http://ajelix.com" TargetMode="External"/><Relationship Id="rId1031" Type="http://schemas.openxmlformats.org/officeDocument/2006/relationships/hyperlink" Target="https://algoscale.com/blog/top-business-intelligence-consulting-companies/" TargetMode="External"/><Relationship Id="rId1032" Type="http://schemas.openxmlformats.org/officeDocument/2006/relationships/hyperlink" Target="http://algoscale.com" TargetMode="External"/><Relationship Id="rId202" Type="http://schemas.openxmlformats.org/officeDocument/2006/relationships/hyperlink" Target="http://uforocks.com" TargetMode="External"/><Relationship Id="rId1033" Type="http://schemas.openxmlformats.org/officeDocument/2006/relationships/hyperlink" Target="https://alignedagency.io/best-ai-marketing-agencies-for-2026/" TargetMode="External"/><Relationship Id="rId201" Type="http://schemas.openxmlformats.org/officeDocument/2006/relationships/hyperlink" Target="https://www.uforocks.com/blog/top-performance-marketing-agencies-in-the-u-s/" TargetMode="External"/><Relationship Id="rId1034" Type="http://schemas.openxmlformats.org/officeDocument/2006/relationships/hyperlink" Target="http://alignedagency.io" TargetMode="External"/><Relationship Id="rId200" Type="http://schemas.openxmlformats.org/officeDocument/2006/relationships/hyperlink" Target="http://thedrum.com" TargetMode="External"/><Relationship Id="rId1035" Type="http://schemas.openxmlformats.org/officeDocument/2006/relationships/hyperlink" Target="https://amworldgroup.com/best/ai-marketing-agencies" TargetMode="External"/><Relationship Id="rId1036" Type="http://schemas.openxmlformats.org/officeDocument/2006/relationships/hyperlink" Target="http://amworldgroup.com" TargetMode="External"/><Relationship Id="rId1026" Type="http://schemas.openxmlformats.org/officeDocument/2006/relationships/hyperlink" Target="http://aisera.com" TargetMode="External"/><Relationship Id="rId1027" Type="http://schemas.openxmlformats.org/officeDocument/2006/relationships/hyperlink" Target="https://aisuperior.com/geospatial-companies-in-the-usa/" TargetMode="External"/><Relationship Id="rId1028" Type="http://schemas.openxmlformats.org/officeDocument/2006/relationships/hyperlink" Target="http://aisuperior.com" TargetMode="External"/><Relationship Id="rId1029" Type="http://schemas.openxmlformats.org/officeDocument/2006/relationships/hyperlink" Target="https://ajelix.com/ai/best-ai-agents/" TargetMode="External"/><Relationship Id="rId1020" Type="http://schemas.openxmlformats.org/officeDocument/2006/relationships/hyperlink" Target="http://aiagents4cfo.com" TargetMode="External"/><Relationship Id="rId1021" Type="http://schemas.openxmlformats.org/officeDocument/2006/relationships/hyperlink" Target="https://www.aikenhouse.com/post/8-top-ai-consulting-companies-to-consider-2026-review-comparison" TargetMode="External"/><Relationship Id="rId1022" Type="http://schemas.openxmlformats.org/officeDocument/2006/relationships/hyperlink" Target="http://aikenhouse.com" TargetMode="External"/><Relationship Id="rId1023" Type="http://schemas.openxmlformats.org/officeDocument/2006/relationships/hyperlink" Target="https://www.airpost.ai/blog/best-performance-marketing-agencies" TargetMode="External"/><Relationship Id="rId1024" Type="http://schemas.openxmlformats.org/officeDocument/2006/relationships/hyperlink" Target="http://airpost.ai" TargetMode="External"/><Relationship Id="rId1025" Type="http://schemas.openxmlformats.org/officeDocument/2006/relationships/hyperlink" Target="https://aisera.com/blog/ai-agent-development-companies-and-platforms/" TargetMode="External"/><Relationship Id="rId1090" Type="http://schemas.openxmlformats.org/officeDocument/2006/relationships/hyperlink" Target="http://c3digitus.com" TargetMode="External"/><Relationship Id="rId1091" Type="http://schemas.openxmlformats.org/officeDocument/2006/relationships/hyperlink" Target="https://cabinco.com/best-ai-consulting-firms/" TargetMode="External"/><Relationship Id="rId1092" Type="http://schemas.openxmlformats.org/officeDocument/2006/relationships/hyperlink" Target="http://cabinco.com" TargetMode="External"/><Relationship Id="rId1093" Type="http://schemas.openxmlformats.org/officeDocument/2006/relationships/hyperlink" Target="https://www.callboxinc.com/growth-hacking/multichannel-marketing-agencies/" TargetMode="External"/><Relationship Id="rId1094" Type="http://schemas.openxmlformats.org/officeDocument/2006/relationships/hyperlink" Target="http://callboxinc.com" TargetMode="External"/><Relationship Id="rId1095" Type="http://schemas.openxmlformats.org/officeDocument/2006/relationships/hyperlink" Target="https://www.callboxinc.com/lead-generation/business-to-business-marketing-companies/" TargetMode="External"/><Relationship Id="rId1096" Type="http://schemas.openxmlformats.org/officeDocument/2006/relationships/hyperlink" Target="http://callboxinc.com" TargetMode="External"/><Relationship Id="rId1097" Type="http://schemas.openxmlformats.org/officeDocument/2006/relationships/hyperlink" Target="https://www.campaignlive.com/article/horizon-media-tops-preliminary-2025-indie-media-league/1949516" TargetMode="External"/><Relationship Id="rId1098" Type="http://schemas.openxmlformats.org/officeDocument/2006/relationships/hyperlink" Target="http://campaignlive.com" TargetMode="External"/><Relationship Id="rId1099" Type="http://schemas.openxmlformats.org/officeDocument/2006/relationships/hyperlink" Target="https://www.causalityengine.ai/resources/best-incrementality-testing-platforms" TargetMode="External"/><Relationship Id="rId1080" Type="http://schemas.openxmlformats.org/officeDocument/2006/relationships/hyperlink" Target="http://brandedagency.com" TargetMode="External"/><Relationship Id="rId1081" Type="http://schemas.openxmlformats.org/officeDocument/2006/relationships/hyperlink" Target="https://www.breakingb2b.com/blog/best-aeo-agency" TargetMode="External"/><Relationship Id="rId1082" Type="http://schemas.openxmlformats.org/officeDocument/2006/relationships/hyperlink" Target="http://breakingb2b.com" TargetMode="External"/><Relationship Id="rId1083" Type="http://schemas.openxmlformats.org/officeDocument/2006/relationships/hyperlink" Target="https://brillmedia.co/locations/best-ad-agencies-in-california/" TargetMode="External"/><Relationship Id="rId1084" Type="http://schemas.openxmlformats.org/officeDocument/2006/relationships/hyperlink" Target="http://brillmedia.co" TargetMode="External"/><Relationship Id="rId1085" Type="http://schemas.openxmlformats.org/officeDocument/2006/relationships/hyperlink" Target="https://brillmedia.co/resources/best-bing-ads-agencies/" TargetMode="External"/><Relationship Id="rId1086" Type="http://schemas.openxmlformats.org/officeDocument/2006/relationships/hyperlink" Target="http://brillmedia.co" TargetMode="External"/><Relationship Id="rId1087" Type="http://schemas.openxmlformats.org/officeDocument/2006/relationships/hyperlink" Target="https://www.builtincolorado.com/articles/consulting-firms-colorado" TargetMode="External"/><Relationship Id="rId1088" Type="http://schemas.openxmlformats.org/officeDocument/2006/relationships/hyperlink" Target="http://builtincolorado.com" TargetMode="External"/><Relationship Id="rId1089" Type="http://schemas.openxmlformats.org/officeDocument/2006/relationships/hyperlink" Target="https://c3digitus.com/blog/top-digital-marketing-agencies-usa/" TargetMode="External"/><Relationship Id="rId509" Type="http://schemas.openxmlformats.org/officeDocument/2006/relationships/hyperlink" Target="http://alexbirkett.com" TargetMode="External"/><Relationship Id="rId508" Type="http://schemas.openxmlformats.org/officeDocument/2006/relationships/hyperlink" Target="https://alexbirkett.com/answer-engine-optimization-agencies/" TargetMode="External"/><Relationship Id="rId503" Type="http://schemas.openxmlformats.org/officeDocument/2006/relationships/hyperlink" Target="https://worldmetrics.org/service/media-mix-modeling/" TargetMode="External"/><Relationship Id="rId502" Type="http://schemas.openxmlformats.org/officeDocument/2006/relationships/hyperlink" Target="http://webtonic.io" TargetMode="External"/><Relationship Id="rId501" Type="http://schemas.openxmlformats.org/officeDocument/2006/relationships/hyperlink" Target="https://www.webtonic.io/blog/top-creative-agencies" TargetMode="External"/><Relationship Id="rId500" Type="http://schemas.openxmlformats.org/officeDocument/2006/relationships/hyperlink" Target="http://webtonic.io" TargetMode="External"/><Relationship Id="rId507" Type="http://schemas.openxmlformats.org/officeDocument/2006/relationships/hyperlink" Target="https://agencyreview.dev/insights/top-social-media-marketing-agencies" TargetMode="External"/><Relationship Id="rId506" Type="http://schemas.openxmlformats.org/officeDocument/2006/relationships/hyperlink" Target="http://20northmarketing.com" TargetMode="External"/><Relationship Id="rId505" Type="http://schemas.openxmlformats.org/officeDocument/2006/relationships/hyperlink" Target="https://www.20northmarketing.com/blog/top-ai-optimization-agencies" TargetMode="External"/><Relationship Id="rId504" Type="http://schemas.openxmlformats.org/officeDocument/2006/relationships/hyperlink" Target="http://worldmetrics.org" TargetMode="External"/><Relationship Id="rId1114" Type="http://schemas.openxmlformats.org/officeDocument/2006/relationships/hyperlink" Target="https://clicksgeek.com/best-google-premier-partners/" TargetMode="External"/><Relationship Id="rId1115" Type="http://schemas.openxmlformats.org/officeDocument/2006/relationships/hyperlink" Target="http://clicksgeek.com" TargetMode="External"/><Relationship Id="rId1116" Type="http://schemas.openxmlformats.org/officeDocument/2006/relationships/hyperlink" Target="https://clicksgeek.com/best-roi-digital-marketing-agencies/" TargetMode="External"/><Relationship Id="rId1117" Type="http://schemas.openxmlformats.org/officeDocument/2006/relationships/hyperlink" Target="http://clicksgeek.com" TargetMode="External"/><Relationship Id="rId1118" Type="http://schemas.openxmlformats.org/officeDocument/2006/relationships/hyperlink" Target="https://clicksgeek.com/best-roi-focused-marketing-agency/" TargetMode="External"/><Relationship Id="rId1119" Type="http://schemas.openxmlformats.org/officeDocument/2006/relationships/hyperlink" Target="http://clicksgeek.com" TargetMode="External"/><Relationship Id="rId525" Type="http://schemas.openxmlformats.org/officeDocument/2006/relationships/hyperlink" Target="http://growth-hackers.net" TargetMode="External"/><Relationship Id="rId524" Type="http://schemas.openxmlformats.org/officeDocument/2006/relationships/hyperlink" Target="https://www.growth-hackers.net/best-paid-media-agencies/" TargetMode="External"/><Relationship Id="rId523" Type="http://schemas.openxmlformats.org/officeDocument/2006/relationships/hyperlink" Target="http://firstpagesage.com" TargetMode="External"/><Relationship Id="rId522" Type="http://schemas.openxmlformats.org/officeDocument/2006/relationships/hyperlink" Target="https://firstpagesage.com/seo-blog/the-top-industrial-geo-aeo-agencies/" TargetMode="External"/><Relationship Id="rId529" Type="http://schemas.openxmlformats.org/officeDocument/2006/relationships/hyperlink" Target="http://keywordsearch.com" TargetMode="External"/><Relationship Id="rId528" Type="http://schemas.openxmlformats.org/officeDocument/2006/relationships/hyperlink" Target="https://www.keywordsearch.com/blog/top-ai-marketing-agency-trends-to-watch-in-2025" TargetMode="External"/><Relationship Id="rId527" Type="http://schemas.openxmlformats.org/officeDocument/2006/relationships/hyperlink" Target="http://itprofiles.com" TargetMode="External"/><Relationship Id="rId526" Type="http://schemas.openxmlformats.org/officeDocument/2006/relationships/hyperlink" Target="https://itprofiles.com/services/digital-marketing/united-states" TargetMode="External"/><Relationship Id="rId521" Type="http://schemas.openxmlformats.org/officeDocument/2006/relationships/hyperlink" Target="http://directiveconsulting.com" TargetMode="External"/><Relationship Id="rId1110" Type="http://schemas.openxmlformats.org/officeDocument/2006/relationships/hyperlink" Target="https://www.clearleaddigital.com/blog/2025-guide-top-seo-marketing-agencies" TargetMode="External"/><Relationship Id="rId520" Type="http://schemas.openxmlformats.org/officeDocument/2006/relationships/hyperlink" Target="https://directiveconsulting.com/blog/best-google-ads-agencies/" TargetMode="External"/><Relationship Id="rId1111" Type="http://schemas.openxmlformats.org/officeDocument/2006/relationships/hyperlink" Target="http://clearleaddigital.com" TargetMode="External"/><Relationship Id="rId1112" Type="http://schemas.openxmlformats.org/officeDocument/2006/relationships/hyperlink" Target="https://clicksgeek.com/best-google-ads-management-companies/" TargetMode="External"/><Relationship Id="rId1113" Type="http://schemas.openxmlformats.org/officeDocument/2006/relationships/hyperlink" Target="http://clicksgeek.com" TargetMode="External"/><Relationship Id="rId1103" Type="http://schemas.openxmlformats.org/officeDocument/2006/relationships/hyperlink" Target="https://www.cisin.com/coffee-break/software-development-companies-in-the-usa.html" TargetMode="External"/><Relationship Id="rId1104" Type="http://schemas.openxmlformats.org/officeDocument/2006/relationships/hyperlink" Target="http://cisin.com" TargetMode="External"/><Relationship Id="rId1105" Type="http://schemas.openxmlformats.org/officeDocument/2006/relationships/hyperlink" Target="https://www.citeme.io/ressources/geo-agency" TargetMode="External"/><Relationship Id="rId1106" Type="http://schemas.openxmlformats.org/officeDocument/2006/relationships/hyperlink" Target="http://citeme.io" TargetMode="External"/><Relationship Id="rId1107" Type="http://schemas.openxmlformats.org/officeDocument/2006/relationships/hyperlink" Target="https://citrusbug.com/blog/mobile-app-development-agencies/" TargetMode="External"/><Relationship Id="rId1108" Type="http://schemas.openxmlformats.org/officeDocument/2006/relationships/hyperlink" Target="http://citrusbug.com" TargetMode="External"/><Relationship Id="rId1109" Type="http://schemas.openxmlformats.org/officeDocument/2006/relationships/hyperlink" Target="https://clay.global/blog/best-web-design-agencies" TargetMode="External"/><Relationship Id="rId519" Type="http://schemas.openxmlformats.org/officeDocument/2006/relationships/hyperlink" Target="http://darkroomagency.com" TargetMode="External"/><Relationship Id="rId514" Type="http://schemas.openxmlformats.org/officeDocument/2006/relationships/hyperlink" Target="https://clicksgeek.com/best-paid-advertising-platforms-for-businesses/" TargetMode="External"/><Relationship Id="rId513" Type="http://schemas.openxmlformats.org/officeDocument/2006/relationships/hyperlink" Target="http://brentonway.com" TargetMode="External"/><Relationship Id="rId512" Type="http://schemas.openxmlformats.org/officeDocument/2006/relationships/hyperlink" Target="https://brentonway.com/blog/top-performance-marketing-agencies" TargetMode="External"/><Relationship Id="rId511" Type="http://schemas.openxmlformats.org/officeDocument/2006/relationships/hyperlink" Target="http://awisee.com" TargetMode="External"/><Relationship Id="rId518" Type="http://schemas.openxmlformats.org/officeDocument/2006/relationships/hyperlink" Target="https://www.darkroomagency.com/observatory/10-best-growth-marketing-agencies-in-2026-(ranked-for-online-sales)" TargetMode="External"/><Relationship Id="rId517" Type="http://schemas.openxmlformats.org/officeDocument/2006/relationships/hyperlink" Target="http://agencyspotter.com" TargetMode="External"/><Relationship Id="rId516" Type="http://schemas.openxmlformats.org/officeDocument/2006/relationships/hyperlink" Target="https://co.agencyspotter.com/50-largest-marketing-companies-in-the-world/" TargetMode="External"/><Relationship Id="rId515" Type="http://schemas.openxmlformats.org/officeDocument/2006/relationships/hyperlink" Target="http://clicksgeek.com" TargetMode="External"/><Relationship Id="rId510" Type="http://schemas.openxmlformats.org/officeDocument/2006/relationships/hyperlink" Target="https://awisee.com/blog/ai-marketing-agencies-us/" TargetMode="External"/><Relationship Id="rId1100" Type="http://schemas.openxmlformats.org/officeDocument/2006/relationships/hyperlink" Target="http://causalityengine.ai" TargetMode="External"/><Relationship Id="rId1101" Type="http://schemas.openxmlformats.org/officeDocument/2006/relationships/hyperlink" Target="https://cio.economictimes.indiatimes.com/tools/best-customer-data-platforms/127611075" TargetMode="External"/><Relationship Id="rId1102" Type="http://schemas.openxmlformats.org/officeDocument/2006/relationships/hyperlink" Target="http://indiatimes.com" TargetMode="External"/><Relationship Id="rId590" Type="http://schemas.openxmlformats.org/officeDocument/2006/relationships/hyperlink" Target="http://growthmarketingpro.com" TargetMode="External"/><Relationship Id="rId589" Type="http://schemas.openxmlformats.org/officeDocument/2006/relationships/hyperlink" Target="https://www.growthmarketingpro.com/best-geo-marketing-agencies/" TargetMode="External"/><Relationship Id="rId588" Type="http://schemas.openxmlformats.org/officeDocument/2006/relationships/hyperlink" Target="http://growth-hackers.net" TargetMode="External"/><Relationship Id="rId1170" Type="http://schemas.openxmlformats.org/officeDocument/2006/relationships/hyperlink" Target="https://craftandroot.com/blog/web-marketing-agencies/" TargetMode="External"/><Relationship Id="rId1171" Type="http://schemas.openxmlformats.org/officeDocument/2006/relationships/hyperlink" Target="http://craftandroot.com" TargetMode="External"/><Relationship Id="rId583" Type="http://schemas.openxmlformats.org/officeDocument/2006/relationships/hyperlink" Target="https://www.digitalsilk.com/digital-trends/top-premium-marketing-agencies/" TargetMode="External"/><Relationship Id="rId1172" Type="http://schemas.openxmlformats.org/officeDocument/2006/relationships/hyperlink" Target="https://creatif.agency/best-branding-agencies-in-the-us/" TargetMode="External"/><Relationship Id="rId582" Type="http://schemas.openxmlformats.org/officeDocument/2006/relationships/hyperlink" Target="http://digitalreference.co" TargetMode="External"/><Relationship Id="rId1173" Type="http://schemas.openxmlformats.org/officeDocument/2006/relationships/hyperlink" Target="https://creativeformore.com/top-cross-border-marketing-agencies-helping-u-s-brands-expand-into-asia/" TargetMode="External"/><Relationship Id="rId581" Type="http://schemas.openxmlformats.org/officeDocument/2006/relationships/hyperlink" Target="https://www.digitalreference.co/insights/marketing-professionals/best-digital-marketing-agencies-companies-in-the-usa" TargetMode="External"/><Relationship Id="rId1174" Type="http://schemas.openxmlformats.org/officeDocument/2006/relationships/hyperlink" Target="http://creativeformore.com" TargetMode="External"/><Relationship Id="rId580" Type="http://schemas.openxmlformats.org/officeDocument/2006/relationships/hyperlink" Target="http://digitalreference.co" TargetMode="External"/><Relationship Id="rId1175" Type="http://schemas.openxmlformats.org/officeDocument/2006/relationships/hyperlink" Target="https://www.creativefrontiers.co/blog/best-creative-agency-nyc-elevate-your-brand-with-expert-solutions" TargetMode="External"/><Relationship Id="rId587" Type="http://schemas.openxmlformats.org/officeDocument/2006/relationships/hyperlink" Target="https://www.growth-hackers.net/best-paid-social-media-agencies/" TargetMode="External"/><Relationship Id="rId1176" Type="http://schemas.openxmlformats.org/officeDocument/2006/relationships/hyperlink" Target="http://creativefrontiers.co" TargetMode="External"/><Relationship Id="rId586" Type="http://schemas.openxmlformats.org/officeDocument/2006/relationships/hyperlink" Target="http://directiveconsulting.com" TargetMode="External"/><Relationship Id="rId1177" Type="http://schemas.openxmlformats.org/officeDocument/2006/relationships/hyperlink" Target="https://creativemediahouse.ae/top-10-creative-agencies-in-gcc/" TargetMode="External"/><Relationship Id="rId585" Type="http://schemas.openxmlformats.org/officeDocument/2006/relationships/hyperlink" Target="https://directiveconsulting.com/blog/25-best-advertising-agencies-built-for-media-momentum/" TargetMode="External"/><Relationship Id="rId1178" Type="http://schemas.openxmlformats.org/officeDocument/2006/relationships/hyperlink" Target="http://creativemediahouse.ae" TargetMode="External"/><Relationship Id="rId584" Type="http://schemas.openxmlformats.org/officeDocument/2006/relationships/hyperlink" Target="http://digitalsilk.com" TargetMode="External"/><Relationship Id="rId1179" Type="http://schemas.openxmlformats.org/officeDocument/2006/relationships/hyperlink" Target="https://www.daasity.com/post/best-ecommerce-analytics-software-for-fast-growing-dtc-brands" TargetMode="External"/><Relationship Id="rId1169" Type="http://schemas.openxmlformats.org/officeDocument/2006/relationships/hyperlink" Target="http://craftandroot.com" TargetMode="External"/><Relationship Id="rId579" Type="http://schemas.openxmlformats.org/officeDocument/2006/relationships/hyperlink" Target="https://www.digitalreference.co/design-professionals/best-creative-agencies-in-the-usa" TargetMode="External"/><Relationship Id="rId578" Type="http://schemas.openxmlformats.org/officeDocument/2006/relationships/hyperlink" Target="http://designrush.com" TargetMode="External"/><Relationship Id="rId577" Type="http://schemas.openxmlformats.org/officeDocument/2006/relationships/hyperlink" Target="https://www.designrush.com/agency/paid-media-pay-per-click/google-adwords" TargetMode="External"/><Relationship Id="rId1160" Type="http://schemas.openxmlformats.org/officeDocument/2006/relationships/hyperlink" Target="https://contensifyhq.com/blog/best-geo-agencies-for-b2b-saas/" TargetMode="External"/><Relationship Id="rId572" Type="http://schemas.openxmlformats.org/officeDocument/2006/relationships/hyperlink" Target="http://delogostudio.com" TargetMode="External"/><Relationship Id="rId1161" Type="http://schemas.openxmlformats.org/officeDocument/2006/relationships/hyperlink" Target="http://contensifyhq.com" TargetMode="External"/><Relationship Id="rId571" Type="http://schemas.openxmlformats.org/officeDocument/2006/relationships/hyperlink" Target="https://delogostudio.com/blog/top-10-social-media-marketing-agencies-usa-2026/" TargetMode="External"/><Relationship Id="rId1162" Type="http://schemas.openxmlformats.org/officeDocument/2006/relationships/hyperlink" Target="https://coolnerdsmarketing.com/best-integrated-marketing-agencies/" TargetMode="External"/><Relationship Id="rId570" Type="http://schemas.openxmlformats.org/officeDocument/2006/relationships/hyperlink" Target="http://commercepundit.com" TargetMode="External"/><Relationship Id="rId1163" Type="http://schemas.openxmlformats.org/officeDocument/2006/relationships/hyperlink" Target="http://coolnerdsmarketing.com" TargetMode="External"/><Relationship Id="rId1164" Type="http://schemas.openxmlformats.org/officeDocument/2006/relationships/hyperlink" Target="https://coolnerdsmarketing.com/top-omnichannel-marketing-agencies/" TargetMode="External"/><Relationship Id="rId576" Type="http://schemas.openxmlformats.org/officeDocument/2006/relationships/hyperlink" Target="http://designity.com" TargetMode="External"/><Relationship Id="rId1165" Type="http://schemas.openxmlformats.org/officeDocument/2006/relationships/hyperlink" Target="http://coolnerdsmarketing.com" TargetMode="External"/><Relationship Id="rId575" Type="http://schemas.openxmlformats.org/officeDocument/2006/relationships/hyperlink" Target="https://www.designity.com/blog/paid-media-agency" TargetMode="External"/><Relationship Id="rId1166" Type="http://schemas.openxmlformats.org/officeDocument/2006/relationships/hyperlink" Target="https://www.coseom.com/best-b2b-marketing-agencies-for-saas-fintech-and-cybersecurity/" TargetMode="External"/><Relationship Id="rId574" Type="http://schemas.openxmlformats.org/officeDocument/2006/relationships/hyperlink" Target="http://designity.com" TargetMode="External"/><Relationship Id="rId1167" Type="http://schemas.openxmlformats.org/officeDocument/2006/relationships/hyperlink" Target="http://coseom.com" TargetMode="External"/><Relationship Id="rId573" Type="http://schemas.openxmlformats.org/officeDocument/2006/relationships/hyperlink" Target="https://www.designity.com/blog/ai-marketing-agency" TargetMode="External"/><Relationship Id="rId1168" Type="http://schemas.openxmlformats.org/officeDocument/2006/relationships/hyperlink" Target="https://craftandroot.com/blog/saas-tech-branding-agencies/" TargetMode="External"/><Relationship Id="rId1190" Type="http://schemas.openxmlformats.org/officeDocument/2006/relationships/hyperlink" Target="http://dataally.ai" TargetMode="External"/><Relationship Id="rId1191" Type="http://schemas.openxmlformats.org/officeDocument/2006/relationships/hyperlink" Target="https://www.dataally.ai/blog/best-saas-marketing-agencies" TargetMode="External"/><Relationship Id="rId1192" Type="http://schemas.openxmlformats.org/officeDocument/2006/relationships/hyperlink" Target="http://dataally.ai" TargetMode="External"/><Relationship Id="rId1193" Type="http://schemas.openxmlformats.org/officeDocument/2006/relationships/hyperlink" Target="https://delivix.digital/marketing/marketing-agencies-in-the-usa/" TargetMode="External"/><Relationship Id="rId1194" Type="http://schemas.openxmlformats.org/officeDocument/2006/relationships/hyperlink" Target="https://delivix.digital/seo/top-10-social-media-agencies-globally/" TargetMode="External"/><Relationship Id="rId1195" Type="http://schemas.openxmlformats.org/officeDocument/2006/relationships/hyperlink" Target="https://www.demandlocal.com/blog/search-everywhere-optimization-agencies/" TargetMode="External"/><Relationship Id="rId1196" Type="http://schemas.openxmlformats.org/officeDocument/2006/relationships/hyperlink" Target="http://demandlocal.com" TargetMode="External"/><Relationship Id="rId1197" Type="http://schemas.openxmlformats.org/officeDocument/2006/relationships/hyperlink" Target="https://www.demandsage.com/saas-content-marketing-agencies/" TargetMode="External"/><Relationship Id="rId1198" Type="http://schemas.openxmlformats.org/officeDocument/2006/relationships/hyperlink" Target="http://demandsage.com" TargetMode="External"/><Relationship Id="rId1199" Type="http://schemas.openxmlformats.org/officeDocument/2006/relationships/hyperlink" Target="https://www.designity.com/blog/best-branding-agencies-for-startups" TargetMode="External"/><Relationship Id="rId599" Type="http://schemas.openxmlformats.org/officeDocument/2006/relationships/hyperlink" Target="https://www.linkedin.com/pulse/top-5-geo-agencies-usa-2026-yash-kumar-m4v6c" TargetMode="External"/><Relationship Id="rId1180" Type="http://schemas.openxmlformats.org/officeDocument/2006/relationships/hyperlink" Target="http://daasity.com" TargetMode="External"/><Relationship Id="rId1181" Type="http://schemas.openxmlformats.org/officeDocument/2006/relationships/hyperlink" Target="https://www.darkroomagency.com/observatory/10-best-growth-marketing-agencies-in-2026-%28ranked-for-online-sales%29" TargetMode="External"/><Relationship Id="rId1182" Type="http://schemas.openxmlformats.org/officeDocument/2006/relationships/hyperlink" Target="http://darkroomagency.com" TargetMode="External"/><Relationship Id="rId594" Type="http://schemas.openxmlformats.org/officeDocument/2006/relationships/hyperlink" Target="http://inbeat.co" TargetMode="External"/><Relationship Id="rId1183" Type="http://schemas.openxmlformats.org/officeDocument/2006/relationships/hyperlink" Target="https://www.darkroomagency.com/observatory/15-leading-performance-creative-agencies-in-2025" TargetMode="External"/><Relationship Id="rId593" Type="http://schemas.openxmlformats.org/officeDocument/2006/relationships/hyperlink" Target="https://www.inbeat.co/articles/top-performance-marketing-agencies/" TargetMode="External"/><Relationship Id="rId1184" Type="http://schemas.openxmlformats.org/officeDocument/2006/relationships/hyperlink" Target="http://darkroomagency.com" TargetMode="External"/><Relationship Id="rId592" Type="http://schemas.openxmlformats.org/officeDocument/2006/relationships/hyperlink" Target="http://hockeystack.com" TargetMode="External"/><Relationship Id="rId1185" Type="http://schemas.openxmlformats.org/officeDocument/2006/relationships/hyperlink" Target="https://www.darkroomagency.com/observatory/what-is-a-growth-hacking-agency-definition-and-top-12-picks-for-2026" TargetMode="External"/><Relationship Id="rId591" Type="http://schemas.openxmlformats.org/officeDocument/2006/relationships/hyperlink" Target="https://www.hockeystack.com/blog-posts/best-marketing-analytics-platforms" TargetMode="External"/><Relationship Id="rId1186" Type="http://schemas.openxmlformats.org/officeDocument/2006/relationships/hyperlink" Target="http://darkroomagency.com" TargetMode="External"/><Relationship Id="rId598" Type="http://schemas.openxmlformats.org/officeDocument/2006/relationships/hyperlink" Target="http://jake-jorgovan.com" TargetMode="External"/><Relationship Id="rId1187" Type="http://schemas.openxmlformats.org/officeDocument/2006/relationships/hyperlink" Target="https://www.darwinapps.com/blog/9-best-marketing-measurement-tools-for-attribution-analytics-and-data-integration-in-2026/" TargetMode="External"/><Relationship Id="rId597" Type="http://schemas.openxmlformats.org/officeDocument/2006/relationships/hyperlink" Target="https://jake-jorgovan.com/blog/top-ai-marketing-agencies" TargetMode="External"/><Relationship Id="rId1188" Type="http://schemas.openxmlformats.org/officeDocument/2006/relationships/hyperlink" Target="http://darwinapps.com" TargetMode="External"/><Relationship Id="rId596" Type="http://schemas.openxmlformats.org/officeDocument/2006/relationships/hyperlink" Target="http://indatalabs.com" TargetMode="External"/><Relationship Id="rId1189" Type="http://schemas.openxmlformats.org/officeDocument/2006/relationships/hyperlink" Target="https://www.dataally.ai/blog/best-beauty-marketing-agencies" TargetMode="External"/><Relationship Id="rId595" Type="http://schemas.openxmlformats.org/officeDocument/2006/relationships/hyperlink" Target="https://indatalabs.com/blog/marketing-analytics-companies" TargetMode="External"/><Relationship Id="rId1136" Type="http://schemas.openxmlformats.org/officeDocument/2006/relationships/hyperlink" Target="https://cmox.co/10-fractional-cmo-agencies-for-saas/" TargetMode="External"/><Relationship Id="rId1137" Type="http://schemas.openxmlformats.org/officeDocument/2006/relationships/hyperlink" Target="http://cmox.co" TargetMode="External"/><Relationship Id="rId1138" Type="http://schemas.openxmlformats.org/officeDocument/2006/relationships/hyperlink" Target="https://coinbound.io/top-ai-marketing-agencies/" TargetMode="External"/><Relationship Id="rId1139" Type="http://schemas.openxmlformats.org/officeDocument/2006/relationships/hyperlink" Target="http://coinbound.io" TargetMode="External"/><Relationship Id="rId547" Type="http://schemas.openxmlformats.org/officeDocument/2006/relationships/hyperlink" Target="https://usermaven.com/blog/marketing-analytics-companies" TargetMode="External"/><Relationship Id="rId546" Type="http://schemas.openxmlformats.org/officeDocument/2006/relationships/hyperlink" Target="http://typecast.ai" TargetMode="External"/><Relationship Id="rId545" Type="http://schemas.openxmlformats.org/officeDocument/2006/relationships/hyperlink" Target="https://typecast.ai/learn/the-best-ai-marketing-agency/" TargetMode="External"/><Relationship Id="rId544" Type="http://schemas.openxmlformats.org/officeDocument/2006/relationships/hyperlink" Target="http://tofuhq.com" TargetMode="External"/><Relationship Id="rId549" Type="http://schemas.openxmlformats.org/officeDocument/2006/relationships/hyperlink" Target="https://www.youtube.com/watch?v=uAp_SqhuvFg" TargetMode="External"/><Relationship Id="rId548" Type="http://schemas.openxmlformats.org/officeDocument/2006/relationships/hyperlink" Target="http://usermaven.com" TargetMode="External"/><Relationship Id="rId1130" Type="http://schemas.openxmlformats.org/officeDocument/2006/relationships/hyperlink" Target="https://cloudconsultingfirms.com/insights/it-services-companies/" TargetMode="External"/><Relationship Id="rId1131" Type="http://schemas.openxmlformats.org/officeDocument/2006/relationships/hyperlink" Target="http://cloudconsultingfirms.com" TargetMode="External"/><Relationship Id="rId543" Type="http://schemas.openxmlformats.org/officeDocument/2006/relationships/hyperlink" Target="https://www.tofuhq.com/post/best-ai-agents-for-marketing" TargetMode="External"/><Relationship Id="rId1132" Type="http://schemas.openxmlformats.org/officeDocument/2006/relationships/hyperlink" Target="https://www.cloudsecuretech.com/insights/msp-aeo-geo/" TargetMode="External"/><Relationship Id="rId542" Type="http://schemas.openxmlformats.org/officeDocument/2006/relationships/hyperlink" Target="http://themanifest.com" TargetMode="External"/><Relationship Id="rId1133" Type="http://schemas.openxmlformats.org/officeDocument/2006/relationships/hyperlink" Target="http://cloudsecuretech.com" TargetMode="External"/><Relationship Id="rId541" Type="http://schemas.openxmlformats.org/officeDocument/2006/relationships/hyperlink" Target="https://themanifest.com/us/social-media/agencies" TargetMode="External"/><Relationship Id="rId1134" Type="http://schemas.openxmlformats.org/officeDocument/2006/relationships/hyperlink" Target="https://clutch.co/agencies/programmatic" TargetMode="External"/><Relationship Id="rId540" Type="http://schemas.openxmlformats.org/officeDocument/2006/relationships/hyperlink" Target="http://themanifest.com" TargetMode="External"/><Relationship Id="rId1135" Type="http://schemas.openxmlformats.org/officeDocument/2006/relationships/hyperlink" Target="http://clutch.co" TargetMode="External"/><Relationship Id="rId1125" Type="http://schemas.openxmlformats.org/officeDocument/2006/relationships/hyperlink" Target="http://clicksgeek.com" TargetMode="External"/><Relationship Id="rId1126" Type="http://schemas.openxmlformats.org/officeDocument/2006/relationships/hyperlink" Target="https://clickstrike.com/blog/ai-marketing-agencies/" TargetMode="External"/><Relationship Id="rId1127" Type="http://schemas.openxmlformats.org/officeDocument/2006/relationships/hyperlink" Target="http://clickstrike.com" TargetMode="External"/><Relationship Id="rId1128" Type="http://schemas.openxmlformats.org/officeDocument/2006/relationships/hyperlink" Target="https://clickup.com/blog/san-diego-marketing-agencies/" TargetMode="External"/><Relationship Id="rId1129" Type="http://schemas.openxmlformats.org/officeDocument/2006/relationships/hyperlink" Target="http://clickup.com" TargetMode="External"/><Relationship Id="rId536" Type="http://schemas.openxmlformats.org/officeDocument/2006/relationships/hyperlink" Target="http://sociallyin.com" TargetMode="External"/><Relationship Id="rId535" Type="http://schemas.openxmlformats.org/officeDocument/2006/relationships/hyperlink" Target="https://sociallyin.com/resources/top-creative-agencies-us/" TargetMode="External"/><Relationship Id="rId534" Type="http://schemas.openxmlformats.org/officeDocument/2006/relationships/hyperlink" Target="http://retailhub.co" TargetMode="External"/><Relationship Id="rId533" Type="http://schemas.openxmlformats.org/officeDocument/2006/relationships/hyperlink" Target="https://retailhub.co/best-of/best-geo-marketing-agency/" TargetMode="External"/><Relationship Id="rId539" Type="http://schemas.openxmlformats.org/officeDocument/2006/relationships/hyperlink" Target="https://themanifest.com/us/creative/agencies" TargetMode="External"/><Relationship Id="rId538" Type="http://schemas.openxmlformats.org/officeDocument/2006/relationships/hyperlink" Target="http://thefrankagency.com" TargetMode="External"/><Relationship Id="rId537" Type="http://schemas.openxmlformats.org/officeDocument/2006/relationships/hyperlink" Target="https://thefrankagency.com/best-paid-social-media-agencies/" TargetMode="External"/><Relationship Id="rId1120" Type="http://schemas.openxmlformats.org/officeDocument/2006/relationships/hyperlink" Target="https://clicksgeek.com/best-roi-marketing-agencies/" TargetMode="External"/><Relationship Id="rId532" Type="http://schemas.openxmlformats.org/officeDocument/2006/relationships/hyperlink" Target="https://piperocket.digital/list/top-performance-marketing-agencies/" TargetMode="External"/><Relationship Id="rId1121" Type="http://schemas.openxmlformats.org/officeDocument/2006/relationships/hyperlink" Target="http://clicksgeek.com" TargetMode="External"/><Relationship Id="rId531" Type="http://schemas.openxmlformats.org/officeDocument/2006/relationships/hyperlink" Target="http://marketingltb.com" TargetMode="External"/><Relationship Id="rId1122" Type="http://schemas.openxmlformats.org/officeDocument/2006/relationships/hyperlink" Target="https://clicksgeek.com/display-advertising-management-services/" TargetMode="External"/><Relationship Id="rId530" Type="http://schemas.openxmlformats.org/officeDocument/2006/relationships/hyperlink" Target="https://marketingltb.com/blog/agency/best-global-digital-marketing-agencies/" TargetMode="External"/><Relationship Id="rId1123" Type="http://schemas.openxmlformats.org/officeDocument/2006/relationships/hyperlink" Target="http://clicksgeek.com" TargetMode="External"/><Relationship Id="rId1124" Type="http://schemas.openxmlformats.org/officeDocument/2006/relationships/hyperlink" Target="https://clicksgeek.com/paid-media-buying-services/" TargetMode="External"/><Relationship Id="rId1158" Type="http://schemas.openxmlformats.org/officeDocument/2006/relationships/hyperlink" Target="https://compare.growthmarshal.io/best-ai-search-optimization-agencies-2026/" TargetMode="External"/><Relationship Id="rId1159" Type="http://schemas.openxmlformats.org/officeDocument/2006/relationships/hyperlink" Target="http://growthmarshal.io" TargetMode="External"/><Relationship Id="rId569" Type="http://schemas.openxmlformats.org/officeDocument/2006/relationships/hyperlink" Target="https://www.commercepundit.com/blog/best-ai-seo-agencies/" TargetMode="External"/><Relationship Id="rId568" Type="http://schemas.openxmlformats.org/officeDocument/2006/relationships/hyperlink" Target="http://cometly.com" TargetMode="External"/><Relationship Id="rId567" Type="http://schemas.openxmlformats.org/officeDocument/2006/relationships/hyperlink" Target="https://www.cometly.com/post/marketing-attribution-consultant-services" TargetMode="External"/><Relationship Id="rId566" Type="http://schemas.openxmlformats.org/officeDocument/2006/relationships/hyperlink" Target="http://christianandtimbers.com" TargetMode="External"/><Relationship Id="rId561" Type="http://schemas.openxmlformats.org/officeDocument/2006/relationships/hyperlink" Target="https://www.campaignlive.com/article/pmg-tops-first-north-american-media-rankings-2026/1951942" TargetMode="External"/><Relationship Id="rId1150" Type="http://schemas.openxmlformats.org/officeDocument/2006/relationships/hyperlink" Target="https://www.cometly.com/post/marketing-analytics-platforms-review" TargetMode="External"/><Relationship Id="rId560" Type="http://schemas.openxmlformats.org/officeDocument/2006/relationships/hyperlink" Target="http://bignewsnetwork.com" TargetMode="External"/><Relationship Id="rId1151" Type="http://schemas.openxmlformats.org/officeDocument/2006/relationships/hyperlink" Target="http://cometly.com" TargetMode="External"/><Relationship Id="rId1152" Type="http://schemas.openxmlformats.org/officeDocument/2006/relationships/hyperlink" Target="https://www.cometly.com/post/marketing-attribution-tools-comparison" TargetMode="External"/><Relationship Id="rId1153" Type="http://schemas.openxmlformats.org/officeDocument/2006/relationships/hyperlink" Target="http://cometly.com" TargetMode="External"/><Relationship Id="rId565" Type="http://schemas.openxmlformats.org/officeDocument/2006/relationships/hyperlink" Target="https://www.christianandtimbers.com/insights/10-leading-ai-strategy-consulting-firms-in-2026" TargetMode="External"/><Relationship Id="rId1154" Type="http://schemas.openxmlformats.org/officeDocument/2006/relationships/hyperlink" Target="https://www.cometly.com/post/marketing-performance-analytics-tools" TargetMode="External"/><Relationship Id="rId564" Type="http://schemas.openxmlformats.org/officeDocument/2006/relationships/hyperlink" Target="http://carvertise.com" TargetMode="External"/><Relationship Id="rId1155" Type="http://schemas.openxmlformats.org/officeDocument/2006/relationships/hyperlink" Target="http://cometly.com" TargetMode="External"/><Relationship Id="rId563" Type="http://schemas.openxmlformats.org/officeDocument/2006/relationships/hyperlink" Target="https://carvertise.com/top-advertising-agency/" TargetMode="External"/><Relationship Id="rId1156" Type="http://schemas.openxmlformats.org/officeDocument/2006/relationships/hyperlink" Target="https://www.cometly.com/post/paid-advertising-analytics-tools" TargetMode="External"/><Relationship Id="rId562" Type="http://schemas.openxmlformats.org/officeDocument/2006/relationships/hyperlink" Target="http://campaignlive.com" TargetMode="External"/><Relationship Id="rId1157" Type="http://schemas.openxmlformats.org/officeDocument/2006/relationships/hyperlink" Target="http://cometly.com" TargetMode="External"/><Relationship Id="rId1147" Type="http://schemas.openxmlformats.org/officeDocument/2006/relationships/hyperlink" Target="http://cometly.com" TargetMode="External"/><Relationship Id="rId1148" Type="http://schemas.openxmlformats.org/officeDocument/2006/relationships/hyperlink" Target="https://www.cometly.com/post/cross-channel-campaign-measurement-solutions" TargetMode="External"/><Relationship Id="rId1149" Type="http://schemas.openxmlformats.org/officeDocument/2006/relationships/hyperlink" Target="http://cometly.com" TargetMode="External"/><Relationship Id="rId558" Type="http://schemas.openxmlformats.org/officeDocument/2006/relationships/hyperlink" Target="http://b2bmarketing.net" TargetMode="External"/><Relationship Id="rId557" Type="http://schemas.openxmlformats.org/officeDocument/2006/relationships/hyperlink" Target="https://www.b2bmarketing.net/top-10-us-b2b-marketing-agencies/" TargetMode="External"/><Relationship Id="rId556" Type="http://schemas.openxmlformats.org/officeDocument/2006/relationships/hyperlink" Target="http://arcintermedia.com" TargetMode="External"/><Relationship Id="rId555" Type="http://schemas.openxmlformats.org/officeDocument/2006/relationships/hyperlink" Target="https://www.arcintermedia.com/knowledge-base/seo-and-organic-reach/what-are-the-top-answer-engine-optimization-aeo-agencies/" TargetMode="External"/><Relationship Id="rId559" Type="http://schemas.openxmlformats.org/officeDocument/2006/relationships/hyperlink" Target="https://www.bignewsnetwork.com/news/278956073/the-best-aeo-agencies-in-the-usa-for-2026" TargetMode="External"/><Relationship Id="rId550" Type="http://schemas.openxmlformats.org/officeDocument/2006/relationships/hyperlink" Target="http://youtube.com" TargetMode="External"/><Relationship Id="rId1140" Type="http://schemas.openxmlformats.org/officeDocument/2006/relationships/hyperlink" Target="https://www.cometly.com/post/agency-marketing-attribution-tools" TargetMode="External"/><Relationship Id="rId1141" Type="http://schemas.openxmlformats.org/officeDocument/2006/relationships/hyperlink" Target="http://cometly.com" TargetMode="External"/><Relationship Id="rId1142" Type="http://schemas.openxmlformats.org/officeDocument/2006/relationships/hyperlink" Target="https://www.cometly.com/post/attribution-data-platform" TargetMode="External"/><Relationship Id="rId554" Type="http://schemas.openxmlformats.org/officeDocument/2006/relationships/hyperlink" Target="http://ai-heroes.co" TargetMode="External"/><Relationship Id="rId1143" Type="http://schemas.openxmlformats.org/officeDocument/2006/relationships/hyperlink" Target="http://cometly.com" TargetMode="External"/><Relationship Id="rId553" Type="http://schemas.openxmlformats.org/officeDocument/2006/relationships/hyperlink" Target="https://www.ai-heroes.co/en-us/blog/best-ai-search-agencies-2026" TargetMode="External"/><Relationship Id="rId1144" Type="http://schemas.openxmlformats.org/officeDocument/2006/relationships/hyperlink" Target="https://www.cometly.com/post/best-ai-powered-marketing-attribution-tools" TargetMode="External"/><Relationship Id="rId552" Type="http://schemas.openxmlformats.org/officeDocument/2006/relationships/hyperlink" Target="http://agencyvista.com" TargetMode="External"/><Relationship Id="rId1145" Type="http://schemas.openxmlformats.org/officeDocument/2006/relationships/hyperlink" Target="http://cometly.com" TargetMode="External"/><Relationship Id="rId551" Type="http://schemas.openxmlformats.org/officeDocument/2006/relationships/hyperlink" Target="https://agencyvista.com/lists/top-25-performance-marketing-agencies/" TargetMode="External"/><Relationship Id="rId1146" Type="http://schemas.openxmlformats.org/officeDocument/2006/relationships/hyperlink" Target="https://www.cometly.com/post/best-enterprise-attribution-tools" TargetMode="External"/><Relationship Id="rId495" Type="http://schemas.openxmlformats.org/officeDocument/2006/relationships/hyperlink" Target="https://www.uforocks.com/blog/top-ppc-agencies-in-the-united-states/" TargetMode="External"/><Relationship Id="rId494" Type="http://schemas.openxmlformats.org/officeDocument/2006/relationships/hyperlink" Target="http://uforocks.com" TargetMode="External"/><Relationship Id="rId493" Type="http://schemas.openxmlformats.org/officeDocument/2006/relationships/hyperlink" Target="https://www.uforocks.com/blog/top-marketing-agencies-in-the-united-states/" TargetMode="External"/><Relationship Id="rId492" Type="http://schemas.openxmlformats.org/officeDocument/2006/relationships/hyperlink" Target="http://tripledart.com" TargetMode="External"/><Relationship Id="rId499" Type="http://schemas.openxmlformats.org/officeDocument/2006/relationships/hyperlink" Target="https://www.webtonic.io/blog/best-digital-marketing-agencies-usa" TargetMode="External"/><Relationship Id="rId498" Type="http://schemas.openxmlformats.org/officeDocument/2006/relationships/hyperlink" Target="http://upliftgtm.com" TargetMode="External"/><Relationship Id="rId497" Type="http://schemas.openxmlformats.org/officeDocument/2006/relationships/hyperlink" Target="https://www.upliftgtm.com/blog/best-geo-agencies" TargetMode="External"/><Relationship Id="rId496" Type="http://schemas.openxmlformats.org/officeDocument/2006/relationships/hyperlink" Target="http://uforocks.com" TargetMode="External"/><Relationship Id="rId1213" Type="http://schemas.openxmlformats.org/officeDocument/2006/relationships/hyperlink" Target="https://www.digitalsilk.com/digital-marketing/marketing-trends/top-premium-marketing-agencies/" TargetMode="External"/><Relationship Id="rId1214" Type="http://schemas.openxmlformats.org/officeDocument/2006/relationships/hyperlink" Target="http://digitalsilk.com" TargetMode="External"/><Relationship Id="rId1215" Type="http://schemas.openxmlformats.org/officeDocument/2006/relationships/hyperlink" Target="https://directiveconsulting.com/blog/27-seo-agencies-built-for-b2b-growth-2026/" TargetMode="External"/><Relationship Id="rId1216" Type="http://schemas.openxmlformats.org/officeDocument/2006/relationships/hyperlink" Target="http://directiveconsulting.com" TargetMode="External"/><Relationship Id="rId1217" Type="http://schemas.openxmlformats.org/officeDocument/2006/relationships/hyperlink" Target="https://directiveconsulting.com/blog/performance-marketing-agencies/" TargetMode="External"/><Relationship Id="rId1218" Type="http://schemas.openxmlformats.org/officeDocument/2006/relationships/hyperlink" Target="http://directiveconsulting.com" TargetMode="External"/><Relationship Id="rId1219" Type="http://schemas.openxmlformats.org/officeDocument/2006/relationships/hyperlink" Target="https://disruptiveadvertising.com/blog/business/top-digital-marketing-agencies-in-utah/" TargetMode="External"/><Relationship Id="rId1210" Type="http://schemas.openxmlformats.org/officeDocument/2006/relationships/hyperlink" Target="http://digitalreference.co" TargetMode="External"/><Relationship Id="rId1211" Type="http://schemas.openxmlformats.org/officeDocument/2006/relationships/hyperlink" Target="https://www.digitalsilk.com/branding-agency/branding-trends/best-branding-agencies/" TargetMode="External"/><Relationship Id="rId1212" Type="http://schemas.openxmlformats.org/officeDocument/2006/relationships/hyperlink" Target="http://digitalsilk.com" TargetMode="External"/><Relationship Id="rId1202" Type="http://schemas.openxmlformats.org/officeDocument/2006/relationships/hyperlink" Target="http://designrush.com" TargetMode="External"/><Relationship Id="rId1203" Type="http://schemas.openxmlformats.org/officeDocument/2006/relationships/hyperlink" Target="https://deviatelabs.com/resources/12-best-performance-marketing-agencies-crushing-kpis/" TargetMode="External"/><Relationship Id="rId1204" Type="http://schemas.openxmlformats.org/officeDocument/2006/relationships/hyperlink" Target="http://deviatelabs.com" TargetMode="External"/><Relationship Id="rId1205" Type="http://schemas.openxmlformats.org/officeDocument/2006/relationships/hyperlink" Target="https://diceus.com/top-generative-ai-consulting-companies/" TargetMode="External"/><Relationship Id="rId1206" Type="http://schemas.openxmlformats.org/officeDocument/2006/relationships/hyperlink" Target="http://diceus.com" TargetMode="External"/><Relationship Id="rId1207" Type="http://schemas.openxmlformats.org/officeDocument/2006/relationships/hyperlink" Target="https://digital-hunch.com/blog/best-fractional-cmo-companies/" TargetMode="External"/><Relationship Id="rId1208" Type="http://schemas.openxmlformats.org/officeDocument/2006/relationships/hyperlink" Target="http://digital-hunch.com" TargetMode="External"/><Relationship Id="rId1209" Type="http://schemas.openxmlformats.org/officeDocument/2006/relationships/hyperlink" Target="https://www.digitalreference.co/insights/marketing-professionals/best-marketing-companies-firms-in-the-usa" TargetMode="External"/><Relationship Id="rId1200" Type="http://schemas.openxmlformats.org/officeDocument/2006/relationships/hyperlink" Target="http://designity.com" TargetMode="External"/><Relationship Id="rId1201" Type="http://schemas.openxmlformats.org/officeDocument/2006/relationships/hyperlink" Target="https://www.designrush.com/agency/paid-media-pay-per-click/trends/display-ads" TargetMode="External"/><Relationship Id="rId1235" Type="http://schemas.openxmlformats.org/officeDocument/2006/relationships/hyperlink" Target="https://www.elsner.com/top-answer-engine-optimization-companies/" TargetMode="External"/><Relationship Id="rId1236" Type="http://schemas.openxmlformats.org/officeDocument/2006/relationships/hyperlink" Target="http://elsner.com" TargetMode="External"/><Relationship Id="rId1237" Type="http://schemas.openxmlformats.org/officeDocument/2006/relationships/hyperlink" Target="https://www.embarque.io/post/we-found-30-ai-seo-agencies-for-ranking-ai-results-2026" TargetMode="External"/><Relationship Id="rId1238" Type="http://schemas.openxmlformats.org/officeDocument/2006/relationships/hyperlink" Target="http://embarque.io" TargetMode="External"/><Relationship Id="rId1239" Type="http://schemas.openxmlformats.org/officeDocument/2006/relationships/hyperlink" Target="https://www.emrgmedia.com/best-experiential-marketing-agencies/" TargetMode="External"/><Relationship Id="rId409" Type="http://schemas.openxmlformats.org/officeDocument/2006/relationships/hyperlink" Target="http://grizzle.io" TargetMode="External"/><Relationship Id="rId404" Type="http://schemas.openxmlformats.org/officeDocument/2006/relationships/hyperlink" Target="http://brillmedia.co" TargetMode="External"/><Relationship Id="rId403" Type="http://schemas.openxmlformats.org/officeDocument/2006/relationships/hyperlink" Target="https://brillmedia.co/resources/best-display-advertising-agencies/" TargetMode="External"/><Relationship Id="rId402" Type="http://schemas.openxmlformats.org/officeDocument/2006/relationships/hyperlink" Target="http://avidtrak.com" TargetMode="External"/><Relationship Id="rId401" Type="http://schemas.openxmlformats.org/officeDocument/2006/relationships/hyperlink" Target="https://avidtrak.com/resource/best-market-attribution-software" TargetMode="External"/><Relationship Id="rId408" Type="http://schemas.openxmlformats.org/officeDocument/2006/relationships/hyperlink" Target="https://grizzle.io/blog/best-generative-engine-optimization-agencies-for-b2b" TargetMode="External"/><Relationship Id="rId407" Type="http://schemas.openxmlformats.org/officeDocument/2006/relationships/hyperlink" Target="https://www.fieldtrip.agency/post/best-ai-marketing-agencies" TargetMode="External"/><Relationship Id="rId406" Type="http://schemas.openxmlformats.org/officeDocument/2006/relationships/hyperlink" Target="http://cometly.com" TargetMode="External"/><Relationship Id="rId405" Type="http://schemas.openxmlformats.org/officeDocument/2006/relationships/hyperlink" Target="https://www.cometly.com/post/incrementality-testing-software" TargetMode="External"/><Relationship Id="rId1230" Type="http://schemas.openxmlformats.org/officeDocument/2006/relationships/hyperlink" Target="http://echo-factory.com" TargetMode="External"/><Relationship Id="rId400" Type="http://schemas.openxmlformats.org/officeDocument/2006/relationships/hyperlink" Target="http://amworldgroup.com" TargetMode="External"/><Relationship Id="rId1231" Type="http://schemas.openxmlformats.org/officeDocument/2006/relationships/hyperlink" Target="https://ecommercefastlane.com/best-amazon-brand-management-agencies/" TargetMode="External"/><Relationship Id="rId1232" Type="http://schemas.openxmlformats.org/officeDocument/2006/relationships/hyperlink" Target="http://ecommercefastlane.com" TargetMode="External"/><Relationship Id="rId1233" Type="http://schemas.openxmlformats.org/officeDocument/2006/relationships/hyperlink" Target="https://elementor.com/blog/best-seo-geo-agencies/" TargetMode="External"/><Relationship Id="rId1234" Type="http://schemas.openxmlformats.org/officeDocument/2006/relationships/hyperlink" Target="http://elementor.com" TargetMode="External"/><Relationship Id="rId1224" Type="http://schemas.openxmlformats.org/officeDocument/2006/relationships/hyperlink" Target="http://dslxcontent.com" TargetMode="External"/><Relationship Id="rId1225" Type="http://schemas.openxmlformats.org/officeDocument/2006/relationships/hyperlink" Target="https://easyinsights.ai/blog/first-party-data-activation-platforms/" TargetMode="External"/><Relationship Id="rId1226" Type="http://schemas.openxmlformats.org/officeDocument/2006/relationships/hyperlink" Target="http://easyinsights.ai" TargetMode="External"/><Relationship Id="rId1227" Type="http://schemas.openxmlformats.org/officeDocument/2006/relationships/hyperlink" Target="https://www.ebaqdesign.com/blog/top-branding-agencies" TargetMode="External"/><Relationship Id="rId1228" Type="http://schemas.openxmlformats.org/officeDocument/2006/relationships/hyperlink" Target="http://ebaqdesign.com" TargetMode="External"/><Relationship Id="rId1229" Type="http://schemas.openxmlformats.org/officeDocument/2006/relationships/hyperlink" Target="https://echo-factory.com/the-12-best-pr-agencies-in-los-angeles/" TargetMode="External"/><Relationship Id="rId1220" Type="http://schemas.openxmlformats.org/officeDocument/2006/relationships/hyperlink" Target="http://disruptiveadvertising.com" TargetMode="External"/><Relationship Id="rId1221" Type="http://schemas.openxmlformats.org/officeDocument/2006/relationships/hyperlink" Target="https://disruptiveadvertising.com/blog/marketing/top-generative-engine-optimization-geo-agencies-in-2026/" TargetMode="External"/><Relationship Id="rId1222" Type="http://schemas.openxmlformats.org/officeDocument/2006/relationships/hyperlink" Target="http://disruptiveadvertising.com" TargetMode="External"/><Relationship Id="rId1223" Type="http://schemas.openxmlformats.org/officeDocument/2006/relationships/hyperlink" Target="https://www.dslxcontent.com/blog/saas-marketing-agencies" TargetMode="External"/><Relationship Id="rId469" Type="http://schemas.openxmlformats.org/officeDocument/2006/relationships/hyperlink" Target="https://eseospace.com/blog/top-aeo-agencies-2026/" TargetMode="External"/><Relationship Id="rId468" Type="http://schemas.openxmlformats.org/officeDocument/2006/relationships/hyperlink" Target="http://embarque.io" TargetMode="External"/><Relationship Id="rId467" Type="http://schemas.openxmlformats.org/officeDocument/2006/relationships/hyperlink" Target="https://www.embarque.io/post/we-found-20-ai-seo-agencies-helping-businesses-rank-in-llm-results" TargetMode="External"/><Relationship Id="rId1290" Type="http://schemas.openxmlformats.org/officeDocument/2006/relationships/hyperlink" Target="http://gitnux.org" TargetMode="External"/><Relationship Id="rId1291" Type="http://schemas.openxmlformats.org/officeDocument/2006/relationships/hyperlink" Target="https://gofishdigital.com/blog/generative-engine-optimization-agencies/" TargetMode="External"/><Relationship Id="rId1292" Type="http://schemas.openxmlformats.org/officeDocument/2006/relationships/hyperlink" Target="http://gofishdigital.com" TargetMode="External"/><Relationship Id="rId462" Type="http://schemas.openxmlformats.org/officeDocument/2006/relationships/hyperlink" Target="http://aikenhouse.com" TargetMode="External"/><Relationship Id="rId1293" Type="http://schemas.openxmlformats.org/officeDocument/2006/relationships/hyperlink" Target="https://gogloby.com/insights/best-ai-consulting-companies/" TargetMode="External"/><Relationship Id="rId461" Type="http://schemas.openxmlformats.org/officeDocument/2006/relationships/hyperlink" Target="https://www.aikenhouse.com/post/best-ai-consulting-firms-that-go-beyond-strategy-decks" TargetMode="External"/><Relationship Id="rId1294" Type="http://schemas.openxmlformats.org/officeDocument/2006/relationships/hyperlink" Target="http://gogloby.com" TargetMode="External"/><Relationship Id="rId460" Type="http://schemas.openxmlformats.org/officeDocument/2006/relationships/hyperlink" Target="http://aeo-collective.com" TargetMode="External"/><Relationship Id="rId1295" Type="http://schemas.openxmlformats.org/officeDocument/2006/relationships/hyperlink" Target="https://gogloby.com/insights/best-ai-recruiting-companies/" TargetMode="External"/><Relationship Id="rId1296" Type="http://schemas.openxmlformats.org/officeDocument/2006/relationships/hyperlink" Target="http://gogloby.com" TargetMode="External"/><Relationship Id="rId466" Type="http://schemas.openxmlformats.org/officeDocument/2006/relationships/hyperlink" Target="http://coolnerdsmarketing.com" TargetMode="External"/><Relationship Id="rId1297" Type="http://schemas.openxmlformats.org/officeDocument/2006/relationships/hyperlink" Target="https://www.goodfirms.co/advertising-companies/creative/usa?page=12" TargetMode="External"/><Relationship Id="rId465" Type="http://schemas.openxmlformats.org/officeDocument/2006/relationships/hyperlink" Target="https://coolnerdsmarketing.com/best-ad-agencies-2025/" TargetMode="External"/><Relationship Id="rId1298" Type="http://schemas.openxmlformats.org/officeDocument/2006/relationships/hyperlink" Target="http://goodfirms.co" TargetMode="External"/><Relationship Id="rId464" Type="http://schemas.openxmlformats.org/officeDocument/2006/relationships/hyperlink" Target="http://barchart.com" TargetMode="External"/><Relationship Id="rId1299" Type="http://schemas.openxmlformats.org/officeDocument/2006/relationships/hyperlink" Target="https://gripped.io/b2b-marketing/top-marketing-agencies-uk/" TargetMode="External"/><Relationship Id="rId463" Type="http://schemas.openxmlformats.org/officeDocument/2006/relationships/hyperlink" Target="https://www.barchart.com/story/news/1302801/11-best-ai-search-marketing-agencies-ranked-for-2026" TargetMode="External"/><Relationship Id="rId459" Type="http://schemas.openxmlformats.org/officeDocument/2006/relationships/hyperlink" Target="https://aeo-collective.com/blog/top-10-aeo-geo-aio-marketing-agencies-in-april-2026/" TargetMode="External"/><Relationship Id="rId458" Type="http://schemas.openxmlformats.org/officeDocument/2006/relationships/hyperlink" Target="http://20northmarketing.com" TargetMode="External"/><Relationship Id="rId457" Type="http://schemas.openxmlformats.org/officeDocument/2006/relationships/hyperlink" Target="https://www.20northmarketing.com/blog/top-ai-seo-experts" TargetMode="External"/><Relationship Id="rId456" Type="http://schemas.openxmlformats.org/officeDocument/2006/relationships/hyperlink" Target="http://zipdo.co" TargetMode="External"/><Relationship Id="rId1280" Type="http://schemas.openxmlformats.org/officeDocument/2006/relationships/hyperlink" Target="http://generatemore.ai" TargetMode="External"/><Relationship Id="rId1281" Type="http://schemas.openxmlformats.org/officeDocument/2006/relationships/hyperlink" Target="https://www.genevate.co/best-aso-agencies-2026/" TargetMode="External"/><Relationship Id="rId451" Type="http://schemas.openxmlformats.org/officeDocument/2006/relationships/hyperlink" Target="http://ninjapromo.io" TargetMode="External"/><Relationship Id="rId1282" Type="http://schemas.openxmlformats.org/officeDocument/2006/relationships/hyperlink" Target="http://genevate.co" TargetMode="External"/><Relationship Id="rId450" Type="http://schemas.openxmlformats.org/officeDocument/2006/relationships/hyperlink" Target="https://ninjapromo.io/top-display-advertising-agencies" TargetMode="External"/><Relationship Id="rId1283" Type="http://schemas.openxmlformats.org/officeDocument/2006/relationships/hyperlink" Target="https://gigawattgroup.com/insights/best-geo-agencies-in-2026-who-actually-drives-ai-visibility-and-citations/" TargetMode="External"/><Relationship Id="rId1284" Type="http://schemas.openxmlformats.org/officeDocument/2006/relationships/hyperlink" Target="http://gigawattgroup.com" TargetMode="External"/><Relationship Id="rId1285" Type="http://schemas.openxmlformats.org/officeDocument/2006/relationships/hyperlink" Target="https://www.girikon.com/blog/top-15-salesforce-revenue-cloud-cpq-billing-consultants-in-united-states/" TargetMode="External"/><Relationship Id="rId455" Type="http://schemas.openxmlformats.org/officeDocument/2006/relationships/hyperlink" Target="https://zipdo.co/service/marketing-analytics/" TargetMode="External"/><Relationship Id="rId1286" Type="http://schemas.openxmlformats.org/officeDocument/2006/relationships/hyperlink" Target="http://girikon.com" TargetMode="External"/><Relationship Id="rId454" Type="http://schemas.openxmlformats.org/officeDocument/2006/relationships/hyperlink" Target="http://themanifest.com" TargetMode="External"/><Relationship Id="rId1287" Type="http://schemas.openxmlformats.org/officeDocument/2006/relationships/hyperlink" Target="https://gitnux.org/service/ai-adoption/" TargetMode="External"/><Relationship Id="rId453" Type="http://schemas.openxmlformats.org/officeDocument/2006/relationships/hyperlink" Target="https://themanifest.com/programmatic/agencies" TargetMode="External"/><Relationship Id="rId1288" Type="http://schemas.openxmlformats.org/officeDocument/2006/relationships/hyperlink" Target="http://gitnux.org" TargetMode="External"/><Relationship Id="rId452" Type="http://schemas.openxmlformats.org/officeDocument/2006/relationships/hyperlink" Target="https://rampiq.agency/blog/best-ai-search-b2b-marketing-agencies/" TargetMode="External"/><Relationship Id="rId1289" Type="http://schemas.openxmlformats.org/officeDocument/2006/relationships/hyperlink" Target="https://gitnux.org/service/automotive-data-marketing/" TargetMode="External"/><Relationship Id="rId491" Type="http://schemas.openxmlformats.org/officeDocument/2006/relationships/hyperlink" Target="https://www.tripledart.com/ai-seo/best-generative-engine-optimization-agencies" TargetMode="External"/><Relationship Id="rId490" Type="http://schemas.openxmlformats.org/officeDocument/2006/relationships/hyperlink" Target="http://silverbackstrategies.com" TargetMode="External"/><Relationship Id="rId489" Type="http://schemas.openxmlformats.org/officeDocument/2006/relationships/hyperlink" Target="https://www.silverbackstrategies.com/lists/best-geo-agencies-generative-engine-optimization-in-2026-ranked-reviewed/" TargetMode="External"/><Relationship Id="rId484" Type="http://schemas.openxmlformats.org/officeDocument/2006/relationships/hyperlink" Target="https://www.position.digital/blog/top-geo-agencies/" TargetMode="External"/><Relationship Id="rId483" Type="http://schemas.openxmlformats.org/officeDocument/2006/relationships/hyperlink" Target="http://moosend.com" TargetMode="External"/><Relationship Id="rId482" Type="http://schemas.openxmlformats.org/officeDocument/2006/relationships/hyperlink" Target="https://moosend.com/blog/best-aeo-agencies/" TargetMode="External"/><Relationship Id="rId481" Type="http://schemas.openxmlformats.org/officeDocument/2006/relationships/hyperlink" Target="https://metaflow.life/blog/best-aeo-agencies-2026" TargetMode="External"/><Relationship Id="rId488" Type="http://schemas.openxmlformats.org/officeDocument/2006/relationships/hyperlink" Target="http://searchbloom.com" TargetMode="External"/><Relationship Id="rId487" Type="http://schemas.openxmlformats.org/officeDocument/2006/relationships/hyperlink" Target="https://www.searchbloom.com/strategy/best-ppc-agencies-usa/" TargetMode="External"/><Relationship Id="rId486" Type="http://schemas.openxmlformats.org/officeDocument/2006/relationships/hyperlink" Target="http://procloser.ai" TargetMode="External"/><Relationship Id="rId485" Type="http://schemas.openxmlformats.org/officeDocument/2006/relationships/hyperlink" Target="https://procloser.ai/blog/best-ai-search-optimization-agencies/" TargetMode="External"/><Relationship Id="rId480" Type="http://schemas.openxmlformats.org/officeDocument/2006/relationships/hyperlink" Target="http://marketerhire.com" TargetMode="External"/><Relationship Id="rId479" Type="http://schemas.openxmlformats.org/officeDocument/2006/relationships/hyperlink" Target="https://marketerhire.com/blog/performance-marketing-agency" TargetMode="External"/><Relationship Id="rId478" Type="http://schemas.openxmlformats.org/officeDocument/2006/relationships/hyperlink" Target="http://lyfemarketing.com" TargetMode="External"/><Relationship Id="rId473" Type="http://schemas.openxmlformats.org/officeDocument/2006/relationships/hyperlink" Target="https://www.growandconvert.com/seo/best-ai-seo-agencies/" TargetMode="External"/><Relationship Id="rId472" Type="http://schemas.openxmlformats.org/officeDocument/2006/relationships/hyperlink" Target="http://forbes.com" TargetMode="External"/><Relationship Id="rId471" Type="http://schemas.openxmlformats.org/officeDocument/2006/relationships/hyperlink" Target="https://www.forbes.com/lists/ai50/" TargetMode="External"/><Relationship Id="rId470" Type="http://schemas.openxmlformats.org/officeDocument/2006/relationships/hyperlink" Target="http://eseospace.com" TargetMode="External"/><Relationship Id="rId477" Type="http://schemas.openxmlformats.org/officeDocument/2006/relationships/hyperlink" Target="https://www.lyfemarketing.com/blog/top-digital-marketing-agencies-us/" TargetMode="External"/><Relationship Id="rId476" Type="http://schemas.openxmlformats.org/officeDocument/2006/relationships/hyperlink" Target="http://icreativez.com" TargetMode="External"/><Relationship Id="rId475" Type="http://schemas.openxmlformats.org/officeDocument/2006/relationships/hyperlink" Target="https://www.icreativez.com/categories/online-marketing/10-best-display-advertising-services-companies-consultants-2026.html" TargetMode="External"/><Relationship Id="rId474" Type="http://schemas.openxmlformats.org/officeDocument/2006/relationships/hyperlink" Target="http://growandconvert.com" TargetMode="External"/><Relationship Id="rId1257" Type="http://schemas.openxmlformats.org/officeDocument/2006/relationships/hyperlink" Target="https://www.firstquery.ai/blog/top-10-ai-search-agencies-to-boost-rankings" TargetMode="External"/><Relationship Id="rId1258" Type="http://schemas.openxmlformats.org/officeDocument/2006/relationships/hyperlink" Target="http://firstquery.ai" TargetMode="External"/><Relationship Id="rId1259" Type="http://schemas.openxmlformats.org/officeDocument/2006/relationships/hyperlink" Target="https://fixnhour.com/blog/top-advertising-agencies-marketing-companies" TargetMode="External"/><Relationship Id="rId426" Type="http://schemas.openxmlformats.org/officeDocument/2006/relationships/hyperlink" Target="http://respona.com" TargetMode="External"/><Relationship Id="rId425" Type="http://schemas.openxmlformats.org/officeDocument/2006/relationships/hyperlink" Target="https://respona.com/blog/answer-engine-optimization-agencies/" TargetMode="External"/><Relationship Id="rId424" Type="http://schemas.openxmlformats.org/officeDocument/2006/relationships/hyperlink" Target="http://plerdy.com" TargetMode="External"/><Relationship Id="rId423" Type="http://schemas.openxmlformats.org/officeDocument/2006/relationships/hyperlink" Target="https://www.plerdy.com/blog/digital-marketing-agencies-in-the-united-states/" TargetMode="External"/><Relationship Id="rId429" Type="http://schemas.openxmlformats.org/officeDocument/2006/relationships/hyperlink" Target="https://www.starfishco.com/branding/10-must%E2%80%91know-branding-agencies-in-2026-for-creative-campaigns/" TargetMode="External"/><Relationship Id="rId428" Type="http://schemas.openxmlformats.org/officeDocument/2006/relationships/hyperlink" Target="http://singlegrain.com" TargetMode="External"/><Relationship Id="rId427" Type="http://schemas.openxmlformats.org/officeDocument/2006/relationships/hyperlink" Target="https://www.singlegrain.com/aeo/top-14-aeo-agencies-in-2025/" TargetMode="External"/><Relationship Id="rId1250" Type="http://schemas.openxmlformats.org/officeDocument/2006/relationships/hyperlink" Target="http://yahoo.com" TargetMode="External"/><Relationship Id="rId1251" Type="http://schemas.openxmlformats.org/officeDocument/2006/relationships/hyperlink" Target="https://firstmovers.ai/ai-marketing-consultant/" TargetMode="External"/><Relationship Id="rId1252" Type="http://schemas.openxmlformats.org/officeDocument/2006/relationships/hyperlink" Target="http://firstmovers.ai" TargetMode="External"/><Relationship Id="rId422" Type="http://schemas.openxmlformats.org/officeDocument/2006/relationships/hyperlink" Target="https://piperocket.digital/list/best-geo-agencies/" TargetMode="External"/><Relationship Id="rId1253" Type="http://schemas.openxmlformats.org/officeDocument/2006/relationships/hyperlink" Target="https://firstpagesage.com/seo-blog/the-top-ecommerce-geo-aeo-agencies/" TargetMode="External"/><Relationship Id="rId421" Type="http://schemas.openxmlformats.org/officeDocument/2006/relationships/hyperlink" Target="http://pikaseo.com" TargetMode="External"/><Relationship Id="rId1254" Type="http://schemas.openxmlformats.org/officeDocument/2006/relationships/hyperlink" Target="http://firstpagesage.com" TargetMode="External"/><Relationship Id="rId420" Type="http://schemas.openxmlformats.org/officeDocument/2006/relationships/hyperlink" Target="https://pikaseo.com/articles/best-ai-seo-agencies" TargetMode="External"/><Relationship Id="rId1255" Type="http://schemas.openxmlformats.org/officeDocument/2006/relationships/hyperlink" Target="https://firstpagesage.com/seo-blog/the-top-seo-companies-in-the-us/" TargetMode="External"/><Relationship Id="rId1256" Type="http://schemas.openxmlformats.org/officeDocument/2006/relationships/hyperlink" Target="http://firstpagesage.com" TargetMode="External"/><Relationship Id="rId1246" Type="http://schemas.openxmlformats.org/officeDocument/2006/relationships/hyperlink" Target="https://fibr.ai/geo/best-generative-engine-optimization-brands-for-ai" TargetMode="External"/><Relationship Id="rId1247" Type="http://schemas.openxmlformats.org/officeDocument/2006/relationships/hyperlink" Target="http://fibr.ai" TargetMode="External"/><Relationship Id="rId1248" Type="http://schemas.openxmlformats.org/officeDocument/2006/relationships/hyperlink" Target="https://www.fieldtrip.agency/post/top-enterprise-growth-marketing-agencies" TargetMode="External"/><Relationship Id="rId1249" Type="http://schemas.openxmlformats.org/officeDocument/2006/relationships/hyperlink" Target="https://finance.yahoo.com/news/designrush-recognizes-top-10-digital-114500778.html" TargetMode="External"/><Relationship Id="rId415" Type="http://schemas.openxmlformats.org/officeDocument/2006/relationships/hyperlink" Target="http://museaward.com" TargetMode="External"/><Relationship Id="rId414" Type="http://schemas.openxmlformats.org/officeDocument/2006/relationships/hyperlink" Target="https://museaward.com/top-agencies.php" TargetMode="External"/><Relationship Id="rId413" Type="http://schemas.openxmlformats.org/officeDocument/2006/relationships/hyperlink" Target="http://measured.com" TargetMode="External"/><Relationship Id="rId412" Type="http://schemas.openxmlformats.org/officeDocument/2006/relationships/hyperlink" Target="https://www.measured.com/faq/top-10-best-media-mix-modeling-companies-software-for-2025/" TargetMode="External"/><Relationship Id="rId419" Type="http://schemas.openxmlformats.org/officeDocument/2006/relationships/hyperlink" Target="http://outreachz.com" TargetMode="External"/><Relationship Id="rId418" Type="http://schemas.openxmlformats.org/officeDocument/2006/relationships/hyperlink" Target="https://outreachz.com/blog/best-ai-marketing-agencies-2026/" TargetMode="External"/><Relationship Id="rId417" Type="http://schemas.openxmlformats.org/officeDocument/2006/relationships/hyperlink" Target="http://neurons-lab.com" TargetMode="External"/><Relationship Id="rId416" Type="http://schemas.openxmlformats.org/officeDocument/2006/relationships/hyperlink" Target="https://neurons-lab.com/articles/top-ai-consulting-firms/" TargetMode="External"/><Relationship Id="rId1240" Type="http://schemas.openxmlformats.org/officeDocument/2006/relationships/hyperlink" Target="http://emrgmedia.com" TargetMode="External"/><Relationship Id="rId1241" Type="http://schemas.openxmlformats.org/officeDocument/2006/relationships/hyperlink" Target="https://www.epicslope.partners/buyers-guide/generative-engine-optimization-agencies" TargetMode="External"/><Relationship Id="rId411" Type="http://schemas.openxmlformats.org/officeDocument/2006/relationships/hyperlink" Target="http://gtm8020.com" TargetMode="External"/><Relationship Id="rId1242" Type="http://schemas.openxmlformats.org/officeDocument/2006/relationships/hyperlink" Target="https://evincedev.com/blog/best-display-ad-networks/" TargetMode="External"/><Relationship Id="rId410" Type="http://schemas.openxmlformats.org/officeDocument/2006/relationships/hyperlink" Target="https://www.gtm8020.com/blog/marketing-analytics-agencies-b2b" TargetMode="External"/><Relationship Id="rId1243" Type="http://schemas.openxmlformats.org/officeDocument/2006/relationships/hyperlink" Target="http://evincedev.com" TargetMode="External"/><Relationship Id="rId1244" Type="http://schemas.openxmlformats.org/officeDocument/2006/relationships/hyperlink" Target="https://www.factors.ai/blog/top-7-marketing-attribution-tools" TargetMode="External"/><Relationship Id="rId1245" Type="http://schemas.openxmlformats.org/officeDocument/2006/relationships/hyperlink" Target="http://factors.ai" TargetMode="External"/><Relationship Id="rId1279" Type="http://schemas.openxmlformats.org/officeDocument/2006/relationships/hyperlink" Target="https://generatemore.ai/blog/top-generative-engine-optimization-agencies" TargetMode="External"/><Relationship Id="rId448" Type="http://schemas.openxmlformats.org/officeDocument/2006/relationships/hyperlink" Target="https://www.newform.com/guides/best-paid-social-performance-creative-agencies-2026" TargetMode="External"/><Relationship Id="rId447" Type="http://schemas.openxmlformats.org/officeDocument/2006/relationships/hyperlink" Target="https://www.munro.agency/top-performance-marketing-agencies/" TargetMode="External"/><Relationship Id="rId446" Type="http://schemas.openxmlformats.org/officeDocument/2006/relationships/hyperlink" Target="https://www.munro.agency/top-geo-agencies/" TargetMode="External"/><Relationship Id="rId445" Type="http://schemas.openxmlformats.org/officeDocument/2006/relationships/hyperlink" Target="http://minuttia.com" TargetMode="External"/><Relationship Id="rId449" Type="http://schemas.openxmlformats.org/officeDocument/2006/relationships/hyperlink" Target="http://newform.com" TargetMode="External"/><Relationship Id="rId1270" Type="http://schemas.openxmlformats.org/officeDocument/2006/relationships/hyperlink" Target="http://fueler.io" TargetMode="External"/><Relationship Id="rId440" Type="http://schemas.openxmlformats.org/officeDocument/2006/relationships/hyperlink" Target="http://gaper.io" TargetMode="External"/><Relationship Id="rId1271" Type="http://schemas.openxmlformats.org/officeDocument/2006/relationships/hyperlink" Target="https://www.fueler.io/blog/performance-marketing-agencies-that-prove-roi-with-real-client-results" TargetMode="External"/><Relationship Id="rId1272" Type="http://schemas.openxmlformats.org/officeDocument/2006/relationships/hyperlink" Target="http://fueler.io" TargetMode="External"/><Relationship Id="rId1273" Type="http://schemas.openxmlformats.org/officeDocument/2006/relationships/hyperlink" Target="https://fueler.io/blog/top-us-advertising-and-marketing-agencies" TargetMode="External"/><Relationship Id="rId1274" Type="http://schemas.openxmlformats.org/officeDocument/2006/relationships/hyperlink" Target="http://fueler.io" TargetMode="External"/><Relationship Id="rId444" Type="http://schemas.openxmlformats.org/officeDocument/2006/relationships/hyperlink" Target="https://minuttia.com/best-geo-agencies/" TargetMode="External"/><Relationship Id="rId1275" Type="http://schemas.openxmlformats.org/officeDocument/2006/relationships/hyperlink" Target="https://www.gen-optima.com/geo/top-7-generative-engine-optimization-service-providers-ranked/" TargetMode="External"/><Relationship Id="rId443" Type="http://schemas.openxmlformats.org/officeDocument/2006/relationships/hyperlink" Target="https://inbeat.agency/blog/top-social-media-agencies-in-the-us" TargetMode="External"/><Relationship Id="rId1276" Type="http://schemas.openxmlformats.org/officeDocument/2006/relationships/hyperlink" Target="http://gen-optima.com" TargetMode="External"/><Relationship Id="rId442" Type="http://schemas.openxmlformats.org/officeDocument/2006/relationships/hyperlink" Target="http://gemfind.com" TargetMode="External"/><Relationship Id="rId1277" Type="http://schemas.openxmlformats.org/officeDocument/2006/relationships/hyperlink" Target="https://www.gen-optima.com/geo/top-generative-ai-search-engine-optimization-agencies-2026/" TargetMode="External"/><Relationship Id="rId441" Type="http://schemas.openxmlformats.org/officeDocument/2006/relationships/hyperlink" Target="https://gemfind.com/blogs/digital-marketing/google-marketing-partner" TargetMode="External"/><Relationship Id="rId1278" Type="http://schemas.openxmlformats.org/officeDocument/2006/relationships/hyperlink" Target="http://gen-optima.com" TargetMode="External"/><Relationship Id="rId1268" Type="http://schemas.openxmlformats.org/officeDocument/2006/relationships/hyperlink" Target="http://forrester.com" TargetMode="External"/><Relationship Id="rId1269" Type="http://schemas.openxmlformats.org/officeDocument/2006/relationships/hyperlink" Target="https://fueler.io/blog/best-performance-marketing-agencies-in-the-usa" TargetMode="External"/><Relationship Id="rId437" Type="http://schemas.openxmlformats.org/officeDocument/2006/relationships/hyperlink" Target="https://www.charleagency.com/articles/top-social-media-marketing-agencies/" TargetMode="External"/><Relationship Id="rId436" Type="http://schemas.openxmlformats.org/officeDocument/2006/relationships/hyperlink" Target="http://agencyanalytics.com" TargetMode="External"/><Relationship Id="rId435" Type="http://schemas.openxmlformats.org/officeDocument/2006/relationships/hyperlink" Target="https://agencyanalytics.com/blog/best-marketing-analytics-tools" TargetMode="External"/><Relationship Id="rId434" Type="http://schemas.openxmlformats.org/officeDocument/2006/relationships/hyperlink" Target="http://superside.com" TargetMode="External"/><Relationship Id="rId439" Type="http://schemas.openxmlformats.org/officeDocument/2006/relationships/hyperlink" Target="https://gaper.io/best-aeo-agencies" TargetMode="External"/><Relationship Id="rId438" Type="http://schemas.openxmlformats.org/officeDocument/2006/relationships/hyperlink" Target="http://charleagency.com" TargetMode="External"/><Relationship Id="rId1260" Type="http://schemas.openxmlformats.org/officeDocument/2006/relationships/hyperlink" Target="http://fixnhour.com" TargetMode="External"/><Relationship Id="rId1261" Type="http://schemas.openxmlformats.org/officeDocument/2006/relationships/hyperlink" Target="https://www.flyingvgroup.com/ai-marketing-agency/" TargetMode="External"/><Relationship Id="rId1262" Type="http://schemas.openxmlformats.org/officeDocument/2006/relationships/hyperlink" Target="http://flyingvgroup.com" TargetMode="External"/><Relationship Id="rId1263" Type="http://schemas.openxmlformats.org/officeDocument/2006/relationships/hyperlink" Target="https://flypix.ai/geospatial-intelligence-companies-usa/" TargetMode="External"/><Relationship Id="rId433" Type="http://schemas.openxmlformats.org/officeDocument/2006/relationships/hyperlink" Target="https://www.superside.com/blog/ai-design-agencies" TargetMode="External"/><Relationship Id="rId1264" Type="http://schemas.openxmlformats.org/officeDocument/2006/relationships/hyperlink" Target="http://flypix.ai" TargetMode="External"/><Relationship Id="rId432" Type="http://schemas.openxmlformats.org/officeDocument/2006/relationships/hyperlink" Target="http://superside.com" TargetMode="External"/><Relationship Id="rId1265" Type="http://schemas.openxmlformats.org/officeDocument/2006/relationships/hyperlink" Target="https://fntmanagement.com/top-marketing-agencies/" TargetMode="External"/><Relationship Id="rId431" Type="http://schemas.openxmlformats.org/officeDocument/2006/relationships/hyperlink" Target="https://www.superside.com/blog/ad-creative-agencies" TargetMode="External"/><Relationship Id="rId1266" Type="http://schemas.openxmlformats.org/officeDocument/2006/relationships/hyperlink" Target="http://fntmanagement.com" TargetMode="External"/><Relationship Id="rId430" Type="http://schemas.openxmlformats.org/officeDocument/2006/relationships/hyperlink" Target="http://starfishco.com" TargetMode="External"/><Relationship Id="rId1267" Type="http://schemas.openxmlformats.org/officeDocument/2006/relationships/hyperlink" Target="https://www.forrester.com/blogs/the-latest-and-greatest-mmo-service-providers/" TargetMode="External"/><Relationship Id="rId1" Type="http://schemas.openxmlformats.org/officeDocument/2006/relationships/hyperlink" Target="http://influencer-hero.com" TargetMode="External"/><Relationship Id="rId2" Type="http://schemas.openxmlformats.org/officeDocument/2006/relationships/hyperlink" Target="https://www.webtonic.io/blog/best-paid-media-agencies-us" TargetMode="External"/><Relationship Id="rId3" Type="http://schemas.openxmlformats.org/officeDocument/2006/relationships/hyperlink" Target="http://webtonic.io" TargetMode="External"/><Relationship Id="rId4" Type="http://schemas.openxmlformats.org/officeDocument/2006/relationships/hyperlink" Target="https://www.dataally.ai/blog/top-paid-media-agencies" TargetMode="External"/><Relationship Id="rId9" Type="http://schemas.openxmlformats.org/officeDocument/2006/relationships/hyperlink" Target="http://searchbloom.com" TargetMode="External"/><Relationship Id="rId5" Type="http://schemas.openxmlformats.org/officeDocument/2006/relationships/hyperlink" Target="http://dataally.ai" TargetMode="External"/><Relationship Id="rId6" Type="http://schemas.openxmlformats.org/officeDocument/2006/relationships/hyperlink" Target="https://hawkemedia.com/insights/top-performance-marketing-agencies/" TargetMode="External"/><Relationship Id="rId7" Type="http://schemas.openxmlformats.org/officeDocument/2006/relationships/hyperlink" Target="http://hawkemedia.com" TargetMode="External"/><Relationship Id="rId8" Type="http://schemas.openxmlformats.org/officeDocument/2006/relationships/hyperlink" Target="https://www.searchbloom.com/strategy/best-ai-seo-agency-companies-services-usa/" TargetMode="External"/><Relationship Id="rId808" Type="http://schemas.openxmlformats.org/officeDocument/2006/relationships/hyperlink" Target="http://cometly.com" TargetMode="External"/><Relationship Id="rId807" Type="http://schemas.openxmlformats.org/officeDocument/2006/relationships/hyperlink" Target="https://www.cometly.com/post/marketing-attribution-companies" TargetMode="External"/><Relationship Id="rId806" Type="http://schemas.openxmlformats.org/officeDocument/2006/relationships/hyperlink" Target="http://clutch.co" TargetMode="External"/><Relationship Id="rId805" Type="http://schemas.openxmlformats.org/officeDocument/2006/relationships/hyperlink" Target="https://clutch.co/press-releases/Best-of-Clutch-winners-2025" TargetMode="External"/><Relationship Id="rId809" Type="http://schemas.openxmlformats.org/officeDocument/2006/relationships/hyperlink" Target="https://coolnerdsmarketing.com/top-ppc-agencies-us/" TargetMode="External"/><Relationship Id="rId800" Type="http://schemas.openxmlformats.org/officeDocument/2006/relationships/hyperlink" Target="http://campaignlive.com" TargetMode="External"/><Relationship Id="rId804" Type="http://schemas.openxmlformats.org/officeDocument/2006/relationships/hyperlink" Target="http://clutch.co" TargetMode="External"/><Relationship Id="rId803" Type="http://schemas.openxmlformats.org/officeDocument/2006/relationships/hyperlink" Target="https://clutch.co/agencies/performance-marketing%3Fpage%3D0" TargetMode="External"/><Relationship Id="rId802" Type="http://schemas.openxmlformats.org/officeDocument/2006/relationships/hyperlink" Target="http://clicksgeek.com" TargetMode="External"/><Relationship Id="rId801" Type="http://schemas.openxmlformats.org/officeDocument/2006/relationships/hyperlink" Target="https://clicksgeek.com/best-roi-focused-marketing-agencies/" TargetMode="External"/><Relationship Id="rId1334" Type="http://schemas.openxmlformats.org/officeDocument/2006/relationships/hyperlink" Target="https://hikemytraffic.com/ai-seo-companies-to-dominate-search/" TargetMode="External"/><Relationship Id="rId1335" Type="http://schemas.openxmlformats.org/officeDocument/2006/relationships/hyperlink" Target="http://hikemytraffic.com" TargetMode="External"/><Relationship Id="rId1336" Type="http://schemas.openxmlformats.org/officeDocument/2006/relationships/hyperlink" Target="https://houseofmvps.com/best-aeo-agencies-for-local-business" TargetMode="External"/><Relationship Id="rId1337" Type="http://schemas.openxmlformats.org/officeDocument/2006/relationships/hyperlink" Target="http://houseofmvps.com" TargetMode="External"/><Relationship Id="rId1338" Type="http://schemas.openxmlformats.org/officeDocument/2006/relationships/hyperlink" Target="https://www.housesofgrowth.com/post/ai-digital-marketing-agencies" TargetMode="External"/><Relationship Id="rId1339" Type="http://schemas.openxmlformats.org/officeDocument/2006/relationships/hyperlink" Target="http://housesofgrowth.com" TargetMode="External"/><Relationship Id="rId745" Type="http://schemas.openxmlformats.org/officeDocument/2006/relationships/hyperlink" Target="https://www.webtonic.io/blog/top-advertising-agencies-us" TargetMode="External"/><Relationship Id="rId744" Type="http://schemas.openxmlformats.org/officeDocument/2006/relationships/hyperlink" Target="http://webtonic.io" TargetMode="External"/><Relationship Id="rId743" Type="http://schemas.openxmlformats.org/officeDocument/2006/relationships/hyperlink" Target="https://www.webtonic.io/blog/best-google-ads-agencies-us" TargetMode="External"/><Relationship Id="rId742" Type="http://schemas.openxmlformats.org/officeDocument/2006/relationships/hyperlink" Target="http://webtonic.io" TargetMode="External"/><Relationship Id="rId749" Type="http://schemas.openxmlformats.org/officeDocument/2006/relationships/hyperlink" Target="https://wifitalents.com/service/display-advertising/" TargetMode="External"/><Relationship Id="rId748" Type="http://schemas.openxmlformats.org/officeDocument/2006/relationships/hyperlink" Target="http://whyflagshalfmasttoday.com" TargetMode="External"/><Relationship Id="rId747" Type="http://schemas.openxmlformats.org/officeDocument/2006/relationships/hyperlink" Target="https://whyflagshalfmasttoday.com/best-u-s-aeo-agencies-for-answer-engine-optimization-2026/" TargetMode="External"/><Relationship Id="rId746" Type="http://schemas.openxmlformats.org/officeDocument/2006/relationships/hyperlink" Target="http://webtonic.io" TargetMode="External"/><Relationship Id="rId741" Type="http://schemas.openxmlformats.org/officeDocument/2006/relationships/hyperlink" Target="https://www.webtonic.io/blog/best-data-driven-marketing-agencies" TargetMode="External"/><Relationship Id="rId1330" Type="http://schemas.openxmlformats.org/officeDocument/2006/relationships/hyperlink" Target="https://www.heydigital.co/blog/saas-marketing-agencies" TargetMode="External"/><Relationship Id="rId740" Type="http://schemas.openxmlformats.org/officeDocument/2006/relationships/hyperlink" Target="http://webtonic.io" TargetMode="External"/><Relationship Id="rId1331" Type="http://schemas.openxmlformats.org/officeDocument/2006/relationships/hyperlink" Target="http://heydigital.co" TargetMode="External"/><Relationship Id="rId1332" Type="http://schemas.openxmlformats.org/officeDocument/2006/relationships/hyperlink" Target="https://hikemytraffic.com/ai-powered-digital-marketing-agency/" TargetMode="External"/><Relationship Id="rId1333" Type="http://schemas.openxmlformats.org/officeDocument/2006/relationships/hyperlink" Target="http://hikemytraffic.com" TargetMode="External"/><Relationship Id="rId1323" Type="http://schemas.openxmlformats.org/officeDocument/2006/relationships/hyperlink" Target="http://hawksem.com" TargetMode="External"/><Relationship Id="rId1324" Type="http://schemas.openxmlformats.org/officeDocument/2006/relationships/hyperlink" Target="https://hawksem.com/blog/top-sem-agencies/" TargetMode="External"/><Relationship Id="rId1325" Type="http://schemas.openxmlformats.org/officeDocument/2006/relationships/hyperlink" Target="http://hawksem.com" TargetMode="External"/><Relationship Id="rId1326" Type="http://schemas.openxmlformats.org/officeDocument/2006/relationships/hyperlink" Target="https://www.helloroketto.com/articles/ai-agency" TargetMode="External"/><Relationship Id="rId1327" Type="http://schemas.openxmlformats.org/officeDocument/2006/relationships/hyperlink" Target="http://helloroketto.com" TargetMode="External"/><Relationship Id="rId1328" Type="http://schemas.openxmlformats.org/officeDocument/2006/relationships/hyperlink" Target="https://www.helloroketto.com/articles/marketing-consultant" TargetMode="External"/><Relationship Id="rId1329" Type="http://schemas.openxmlformats.org/officeDocument/2006/relationships/hyperlink" Target="http://helloroketto.com" TargetMode="External"/><Relationship Id="rId739" Type="http://schemas.openxmlformats.org/officeDocument/2006/relationships/hyperlink" Target="https://www.webtonic.io/blog/best-ai-marketing-agencies" TargetMode="External"/><Relationship Id="rId734" Type="http://schemas.openxmlformats.org/officeDocument/2006/relationships/hyperlink" Target="http://themarketingagency.ca" TargetMode="External"/><Relationship Id="rId733" Type="http://schemas.openxmlformats.org/officeDocument/2006/relationships/hyperlink" Target="https://themarketingagency.ca/blog/performance-marketing-agencies/" TargetMode="External"/><Relationship Id="rId732" Type="http://schemas.openxmlformats.org/officeDocument/2006/relationships/hyperlink" Target="http://themanifest.com" TargetMode="External"/><Relationship Id="rId731" Type="http://schemas.openxmlformats.org/officeDocument/2006/relationships/hyperlink" Target="https://themanifest.com/us/media-buying/agencies?page=1" TargetMode="External"/><Relationship Id="rId738" Type="http://schemas.openxmlformats.org/officeDocument/2006/relationships/hyperlink" Target="http://wamdigital.com" TargetMode="External"/><Relationship Id="rId737" Type="http://schemas.openxmlformats.org/officeDocument/2006/relationships/hyperlink" Target="https://wamdigital.com/blog/top-5-creative-and-web-development-agencies-for-scalable-production-in-2026" TargetMode="External"/><Relationship Id="rId736" Type="http://schemas.openxmlformats.org/officeDocument/2006/relationships/hyperlink" Target="http://tenten.co" TargetMode="External"/><Relationship Id="rId735" Type="http://schemas.openxmlformats.org/officeDocument/2006/relationships/hyperlink" Target="https://university.tenten.co/t/top-30-ai-powered-marketing-agencies/2295" TargetMode="External"/><Relationship Id="rId730" Type="http://schemas.openxmlformats.org/officeDocument/2006/relationships/hyperlink" Target="http://thatware.co" TargetMode="External"/><Relationship Id="rId1320" Type="http://schemas.openxmlformats.org/officeDocument/2006/relationships/hyperlink" Target="https://hawksem.com/blog/digital-marketing-agencies/" TargetMode="External"/><Relationship Id="rId1321" Type="http://schemas.openxmlformats.org/officeDocument/2006/relationships/hyperlink" Target="http://hawksem.com" TargetMode="External"/><Relationship Id="rId1322" Type="http://schemas.openxmlformats.org/officeDocument/2006/relationships/hyperlink" Target="https://hawksem.com/blog/performance-marketing-agency-list/" TargetMode="External"/><Relationship Id="rId1356" Type="http://schemas.openxmlformats.org/officeDocument/2006/relationships/hyperlink" Target="https://inbeat.agency/blog/top-media-buying-agencies" TargetMode="External"/><Relationship Id="rId1357" Type="http://schemas.openxmlformats.org/officeDocument/2006/relationships/hyperlink" Target="https://www.inbeat.co/articles/best-ai-digital-marketing-agencies/" TargetMode="External"/><Relationship Id="rId1358" Type="http://schemas.openxmlformats.org/officeDocument/2006/relationships/hyperlink" Target="http://inbeat.co" TargetMode="External"/><Relationship Id="rId1359" Type="http://schemas.openxmlformats.org/officeDocument/2006/relationships/hyperlink" Target="https://www.inbeat.co/articles/top-creative-agencies/" TargetMode="External"/><Relationship Id="rId767" Type="http://schemas.openxmlformats.org/officeDocument/2006/relationships/hyperlink" Target="http://42dm.net" TargetMode="External"/><Relationship Id="rId766" Type="http://schemas.openxmlformats.org/officeDocument/2006/relationships/hyperlink" Target="https://42dm.net/10-best-generative-engine-optimization-agencies-globally/" TargetMode="External"/><Relationship Id="rId765" Type="http://schemas.openxmlformats.org/officeDocument/2006/relationships/hyperlink" Target="http://310creative.com" TargetMode="External"/><Relationship Id="rId764" Type="http://schemas.openxmlformats.org/officeDocument/2006/relationships/hyperlink" Target="https://www.310creative.com/blog/top-abm-agencies" TargetMode="External"/><Relationship Id="rId769" Type="http://schemas.openxmlformats.org/officeDocument/2006/relationships/hyperlink" Target="http://addepto.com" TargetMode="External"/><Relationship Id="rId768" Type="http://schemas.openxmlformats.org/officeDocument/2006/relationships/hyperlink" Target="https://addepto.com/blog/top-16-ai-consulting-companies/" TargetMode="External"/><Relationship Id="rId1350" Type="http://schemas.openxmlformats.org/officeDocument/2006/relationships/hyperlink" Target="http://improvado.io" TargetMode="External"/><Relationship Id="rId1351" Type="http://schemas.openxmlformats.org/officeDocument/2006/relationships/hyperlink" Target="https://improvado.io/blog/top-programmatic-platforms" TargetMode="External"/><Relationship Id="rId763" Type="http://schemas.openxmlformats.org/officeDocument/2006/relationships/hyperlink" Target="http://zyppy.com" TargetMode="External"/><Relationship Id="rId1352" Type="http://schemas.openxmlformats.org/officeDocument/2006/relationships/hyperlink" Target="http://improvado.io" TargetMode="External"/><Relationship Id="rId762" Type="http://schemas.openxmlformats.org/officeDocument/2006/relationships/hyperlink" Target="https://zyppy.com/companies/c/marketing-attribution/" TargetMode="External"/><Relationship Id="rId1353" Type="http://schemas.openxmlformats.org/officeDocument/2006/relationships/hyperlink" Target="https://inbeat.agency/blog/top-ai-marketing-agencies" TargetMode="External"/><Relationship Id="rId761" Type="http://schemas.openxmlformats.org/officeDocument/2006/relationships/hyperlink" Target="https://ziptie.dev/blog/best-ai-seo-agency/" TargetMode="External"/><Relationship Id="rId1354" Type="http://schemas.openxmlformats.org/officeDocument/2006/relationships/hyperlink" Target="https://inbeat.agency/blog/top-creative-strategy-agencies" TargetMode="External"/><Relationship Id="rId760" Type="http://schemas.openxmlformats.org/officeDocument/2006/relationships/hyperlink" Target="http://zipdo.co" TargetMode="External"/><Relationship Id="rId1355" Type="http://schemas.openxmlformats.org/officeDocument/2006/relationships/hyperlink" Target="https://inbeat.agency/blog/top-growth-marketing-agencies-in-nyc" TargetMode="External"/><Relationship Id="rId1345" Type="http://schemas.openxmlformats.org/officeDocument/2006/relationships/hyperlink" Target="https://www.icreativez.com/categories/online-marketing/10-best-paid-social-media-services-companies-consultants-2026.html" TargetMode="External"/><Relationship Id="rId1346" Type="http://schemas.openxmlformats.org/officeDocument/2006/relationships/hyperlink" Target="http://icreativez.com" TargetMode="External"/><Relationship Id="rId1347" Type="http://schemas.openxmlformats.org/officeDocument/2006/relationships/hyperlink" Target="https://www.ie.edu/uncover-ie/top-data-analytics-companies-who-shapes-business-data-in-2026/" TargetMode="External"/><Relationship Id="rId1348" Type="http://schemas.openxmlformats.org/officeDocument/2006/relationships/hyperlink" Target="http://ie.edu" TargetMode="External"/><Relationship Id="rId1349" Type="http://schemas.openxmlformats.org/officeDocument/2006/relationships/hyperlink" Target="https://improvado.io/blog/best-marketing-agencies-new-york" TargetMode="External"/><Relationship Id="rId756" Type="http://schemas.openxmlformats.org/officeDocument/2006/relationships/hyperlink" Target="http://youtube.com" TargetMode="External"/><Relationship Id="rId755" Type="http://schemas.openxmlformats.org/officeDocument/2006/relationships/hyperlink" Target="https://www.youtube.com/watch?v=fdPFLXFJlwo&amp;t=30" TargetMode="External"/><Relationship Id="rId754" Type="http://schemas.openxmlformats.org/officeDocument/2006/relationships/hyperlink" Target="http://youtube.com" TargetMode="External"/><Relationship Id="rId753" Type="http://schemas.openxmlformats.org/officeDocument/2006/relationships/hyperlink" Target="https://www.youtube.com/watch?v=YFmHk-nNoNg&amp;t=46" TargetMode="External"/><Relationship Id="rId759" Type="http://schemas.openxmlformats.org/officeDocument/2006/relationships/hyperlink" Target="https://zipdo.co/service/marketing-data-analytics/" TargetMode="External"/><Relationship Id="rId758" Type="http://schemas.openxmlformats.org/officeDocument/2006/relationships/hyperlink" Target="http://zipdo.co" TargetMode="External"/><Relationship Id="rId757" Type="http://schemas.openxmlformats.org/officeDocument/2006/relationships/hyperlink" Target="https://zipdo.co/service/global-digital-marketing/" TargetMode="External"/><Relationship Id="rId1340" Type="http://schemas.openxmlformats.org/officeDocument/2006/relationships/hyperlink" Target="https://humanise.world/blog/first-party-data-activation" TargetMode="External"/><Relationship Id="rId752" Type="http://schemas.openxmlformats.org/officeDocument/2006/relationships/hyperlink" Target="http://yall.co" TargetMode="External"/><Relationship Id="rId1341" Type="http://schemas.openxmlformats.org/officeDocument/2006/relationships/hyperlink" Target="https://hunterdigitalmarketing.com/blog/2026-leading-paid-search-agencies/" TargetMode="External"/><Relationship Id="rId751" Type="http://schemas.openxmlformats.org/officeDocument/2006/relationships/hyperlink" Target="https://www.yall.co/post/top-dtc-performance-creative-agencies-in-2026" TargetMode="External"/><Relationship Id="rId1342" Type="http://schemas.openxmlformats.org/officeDocument/2006/relationships/hyperlink" Target="http://hunterdigitalmarketing.com" TargetMode="External"/><Relationship Id="rId750" Type="http://schemas.openxmlformats.org/officeDocument/2006/relationships/hyperlink" Target="http://wifitalents.com" TargetMode="External"/><Relationship Id="rId1343" Type="http://schemas.openxmlformats.org/officeDocument/2006/relationships/hyperlink" Target="https://icoda.io/ai/best-ai-digital-marketing-agencies/" TargetMode="External"/><Relationship Id="rId1344" Type="http://schemas.openxmlformats.org/officeDocument/2006/relationships/hyperlink" Target="http://icoda.io" TargetMode="External"/><Relationship Id="rId709" Type="http://schemas.openxmlformats.org/officeDocument/2006/relationships/hyperlink" Target="http://parallel365.com" TargetMode="External"/><Relationship Id="rId708" Type="http://schemas.openxmlformats.org/officeDocument/2006/relationships/hyperlink" Target="https://parallel365.com/best-ai-search-optimization-agencies-for-b2b-companies/" TargetMode="External"/><Relationship Id="rId707" Type="http://schemas.openxmlformats.org/officeDocument/2006/relationships/hyperlink" Target="http://oxdpr.com" TargetMode="External"/><Relationship Id="rId706" Type="http://schemas.openxmlformats.org/officeDocument/2006/relationships/hyperlink" Target="https://oxdpr.com/creative-strategy-agencies/" TargetMode="External"/><Relationship Id="rId701" Type="http://schemas.openxmlformats.org/officeDocument/2006/relationships/hyperlink" Target="http://nationalmarketingawards.com" TargetMode="External"/><Relationship Id="rId700" Type="http://schemas.openxmlformats.org/officeDocument/2006/relationships/hyperlink" Target="https://nationalmarketingawards.com/agency/" TargetMode="External"/><Relationship Id="rId705" Type="http://schemas.openxmlformats.org/officeDocument/2006/relationships/hyperlink" Target="http://outrightcrm.com" TargetMode="External"/><Relationship Id="rId704" Type="http://schemas.openxmlformats.org/officeDocument/2006/relationships/hyperlink" Target="https://www.outrightcrm.com/blog/roi-focused-digital-marketing-agencies/" TargetMode="External"/><Relationship Id="rId703" Type="http://schemas.openxmlformats.org/officeDocument/2006/relationships/hyperlink" Target="http://nine.am" TargetMode="External"/><Relationship Id="rId702" Type="http://schemas.openxmlformats.org/officeDocument/2006/relationships/hyperlink" Target="https://www.nine.am/insights/best-performance-marketing-agencies-nyc" TargetMode="External"/><Relationship Id="rId1312" Type="http://schemas.openxmlformats.org/officeDocument/2006/relationships/hyperlink" Target="https://growthsprints.co/best-saas-aeo-consultants/" TargetMode="External"/><Relationship Id="rId1313" Type="http://schemas.openxmlformats.org/officeDocument/2006/relationships/hyperlink" Target="http://growthsprints.co" TargetMode="External"/><Relationship Id="rId1314" Type="http://schemas.openxmlformats.org/officeDocument/2006/relationships/hyperlink" Target="https://growwithvysta.com/blog/best-google-ads-agencies-for-ecommerce-brands-in-the-us/" TargetMode="External"/><Relationship Id="rId1315" Type="http://schemas.openxmlformats.org/officeDocument/2006/relationships/hyperlink" Target="http://growwithvysta.com" TargetMode="External"/><Relationship Id="rId1316" Type="http://schemas.openxmlformats.org/officeDocument/2006/relationships/hyperlink" Target="https://www.harleyoliver.com/blog/top-12-companies-design-trends-to-watch-in-2025" TargetMode="External"/><Relationship Id="rId1317" Type="http://schemas.openxmlformats.org/officeDocument/2006/relationships/hyperlink" Target="http://harleyoliver.com" TargetMode="External"/><Relationship Id="rId1318" Type="http://schemas.openxmlformats.org/officeDocument/2006/relationships/hyperlink" Target="https://hashmeta.com/blog/top-15-ai-pr-agencies-for-ai-startups-tech-brands/" TargetMode="External"/><Relationship Id="rId1319" Type="http://schemas.openxmlformats.org/officeDocument/2006/relationships/hyperlink" Target="http://hashmeta.com" TargetMode="External"/><Relationship Id="rId729" Type="http://schemas.openxmlformats.org/officeDocument/2006/relationships/hyperlink" Target="https://thatware.co/best-ai-search-optimization-services-usa/" TargetMode="External"/><Relationship Id="rId728" Type="http://schemas.openxmlformats.org/officeDocument/2006/relationships/hyperlink" Target="http://thatware.co" TargetMode="External"/><Relationship Id="rId723" Type="http://schemas.openxmlformats.org/officeDocument/2006/relationships/hyperlink" Target="https://sweatpantsagency.com/best-meta-ad-agencies" TargetMode="External"/><Relationship Id="rId722" Type="http://schemas.openxmlformats.org/officeDocument/2006/relationships/hyperlink" Target="http://superside.com" TargetMode="External"/><Relationship Id="rId721" Type="http://schemas.openxmlformats.org/officeDocument/2006/relationships/hyperlink" Target="https://www.superside.com/blog/creative-agencies-new-york" TargetMode="External"/><Relationship Id="rId720" Type="http://schemas.openxmlformats.org/officeDocument/2006/relationships/hyperlink" Target="http://sortlist.com" TargetMode="External"/><Relationship Id="rId727" Type="http://schemas.openxmlformats.org/officeDocument/2006/relationships/hyperlink" Target="https://thatware.co/10-best-geo-companies-in-usa/" TargetMode="External"/><Relationship Id="rId726" Type="http://schemas.openxmlformats.org/officeDocument/2006/relationships/hyperlink" Target="http://teamai.com" TargetMode="External"/><Relationship Id="rId725" Type="http://schemas.openxmlformats.org/officeDocument/2006/relationships/hyperlink" Target="https://teamai.com/blog/generative-ai-and-business/top-geo-agencies-for-ai-visibility/" TargetMode="External"/><Relationship Id="rId724" Type="http://schemas.openxmlformats.org/officeDocument/2006/relationships/hyperlink" Target="http://sweatpantsagency.com" TargetMode="External"/><Relationship Id="rId1310" Type="http://schemas.openxmlformats.org/officeDocument/2006/relationships/hyperlink" Target="https://www.growthspreeofficial.com/blogs/best-b2b-marketing-agencies-proprietary-ai-tools-2026" TargetMode="External"/><Relationship Id="rId1311" Type="http://schemas.openxmlformats.org/officeDocument/2006/relationships/hyperlink" Target="http://growthspreeofficial.com" TargetMode="External"/><Relationship Id="rId1301" Type="http://schemas.openxmlformats.org/officeDocument/2006/relationships/hyperlink" Target="https://gripped.io/digital-marketing-strategy/b2b-performance-marketing-agency/" TargetMode="External"/><Relationship Id="rId1302" Type="http://schemas.openxmlformats.org/officeDocument/2006/relationships/hyperlink" Target="http://gripped.io" TargetMode="External"/><Relationship Id="rId1303" Type="http://schemas.openxmlformats.org/officeDocument/2006/relationships/hyperlink" Target="https://www.growtal.com/8-best-fractional-cmos-for-fast-growing-e-commerce-companies/" TargetMode="External"/><Relationship Id="rId1304" Type="http://schemas.openxmlformats.org/officeDocument/2006/relationships/hyperlink" Target="http://growtal.com" TargetMode="External"/><Relationship Id="rId1305" Type="http://schemas.openxmlformats.org/officeDocument/2006/relationships/hyperlink" Target="https://growth.cx/blog/best-performance-marketing-agencies/" TargetMode="External"/><Relationship Id="rId1306" Type="http://schemas.openxmlformats.org/officeDocument/2006/relationships/hyperlink" Target="http://growth.cx" TargetMode="External"/><Relationship Id="rId1307" Type="http://schemas.openxmlformats.org/officeDocument/2006/relationships/hyperlink" Target="https://growthlane.marketing/blog/top-b2b-performance-marketing-firms-in-2025-the-ultimate-list-for-revenue-growth" TargetMode="External"/><Relationship Id="rId1308" Type="http://schemas.openxmlformats.org/officeDocument/2006/relationships/hyperlink" Target="https://growthrocks.com/blog/performance-marketing-agencies/" TargetMode="External"/><Relationship Id="rId1309" Type="http://schemas.openxmlformats.org/officeDocument/2006/relationships/hyperlink" Target="http://growthrocks.com" TargetMode="External"/><Relationship Id="rId719" Type="http://schemas.openxmlformats.org/officeDocument/2006/relationships/hyperlink" Target="https://www.sortlist.com/display-advertising" TargetMode="External"/><Relationship Id="rId718" Type="http://schemas.openxmlformats.org/officeDocument/2006/relationships/hyperlink" Target="http://sociallyin.com" TargetMode="External"/><Relationship Id="rId717" Type="http://schemas.openxmlformats.org/officeDocument/2006/relationships/hyperlink" Target="https://sociallyin.com/resources/top-performance-marketing-agencies-us/" TargetMode="External"/><Relationship Id="rId712" Type="http://schemas.openxmlformats.org/officeDocument/2006/relationships/hyperlink" Target="http://redseo.io" TargetMode="External"/><Relationship Id="rId711" Type="http://schemas.openxmlformats.org/officeDocument/2006/relationships/hyperlink" Target="https://www.redseo.io/compare/best-ai-seo-agency" TargetMode="External"/><Relationship Id="rId710" Type="http://schemas.openxmlformats.org/officeDocument/2006/relationships/hyperlink" Target="https://piperocket.digital/list/best-paid-social-agencies/" TargetMode="External"/><Relationship Id="rId716" Type="http://schemas.openxmlformats.org/officeDocument/2006/relationships/hyperlink" Target="http://rtslabs.com" TargetMode="External"/><Relationship Id="rId715" Type="http://schemas.openxmlformats.org/officeDocument/2006/relationships/hyperlink" Target="https://rtslabs.com/ai-consulting-company-in-usa" TargetMode="External"/><Relationship Id="rId714" Type="http://schemas.openxmlformats.org/officeDocument/2006/relationships/hyperlink" Target="http://ritzherald.com" TargetMode="External"/><Relationship Id="rId713" Type="http://schemas.openxmlformats.org/officeDocument/2006/relationships/hyperlink" Target="https://ritzherald.com/best-marketing-agencies-ai-search-optimization/" TargetMode="External"/><Relationship Id="rId1300" Type="http://schemas.openxmlformats.org/officeDocument/2006/relationships/hyperlink" Target="http://gripped.io" TargetMode="External"/><Relationship Id="rId1378" Type="http://schemas.openxmlformats.org/officeDocument/2006/relationships/hyperlink" Target="http://intellectyx.com" TargetMode="External"/><Relationship Id="rId1379" Type="http://schemas.openxmlformats.org/officeDocument/2006/relationships/hyperlink" Target="https://invademarketing.com/best-performance-marketing-agencies-2025/" TargetMode="External"/><Relationship Id="rId789" Type="http://schemas.openxmlformats.org/officeDocument/2006/relationships/hyperlink" Target="http://bigspy.com" TargetMode="External"/><Relationship Id="rId788" Type="http://schemas.openxmlformats.org/officeDocument/2006/relationships/hyperlink" Target="https://bigspy.com/blog/Top-10-Paid-Social-Agencies" TargetMode="External"/><Relationship Id="rId787" Type="http://schemas.openxmlformats.org/officeDocument/2006/relationships/hyperlink" Target="http://benly.ai" TargetMode="External"/><Relationship Id="rId786" Type="http://schemas.openxmlformats.org/officeDocument/2006/relationships/hyperlink" Target="https://benly.ai/learn/ai-marketing/best-attribution-tools-2026" TargetMode="External"/><Relationship Id="rId781" Type="http://schemas.openxmlformats.org/officeDocument/2006/relationships/hyperlink" Target="http://askneedle.com" TargetMode="External"/><Relationship Id="rId1370" Type="http://schemas.openxmlformats.org/officeDocument/2006/relationships/hyperlink" Target="http://influencermarketinghub.com" TargetMode="External"/><Relationship Id="rId780" Type="http://schemas.openxmlformats.org/officeDocument/2006/relationships/hyperlink" Target="https://www.askneedle.com/blog/best-instagram-ad-agencies" TargetMode="External"/><Relationship Id="rId1371" Type="http://schemas.openxmlformats.org/officeDocument/2006/relationships/hyperlink" Target="https://innovationegg.com/top-digital-marketing-agency-in-the-usa/" TargetMode="External"/><Relationship Id="rId1372" Type="http://schemas.openxmlformats.org/officeDocument/2006/relationships/hyperlink" Target="http://innovationegg.com" TargetMode="External"/><Relationship Id="rId1373" Type="http://schemas.openxmlformats.org/officeDocument/2006/relationships/hyperlink" Target="https://www.instagram.com/reel/DR4csQmDPbW/?hl=en" TargetMode="External"/><Relationship Id="rId785" Type="http://schemas.openxmlformats.org/officeDocument/2006/relationships/hyperlink" Target="http://awisee.com" TargetMode="External"/><Relationship Id="rId1374" Type="http://schemas.openxmlformats.org/officeDocument/2006/relationships/hyperlink" Target="http://instagram.com" TargetMode="External"/><Relationship Id="rId784" Type="http://schemas.openxmlformats.org/officeDocument/2006/relationships/hyperlink" Target="https://awisee.com/blog/ai-seo-agencies-usa/" TargetMode="External"/><Relationship Id="rId1375" Type="http://schemas.openxmlformats.org/officeDocument/2006/relationships/hyperlink" Target="https://www.intellectyx.com/ai-agent-development-companies-in-usa/" TargetMode="External"/><Relationship Id="rId783" Type="http://schemas.openxmlformats.org/officeDocument/2006/relationships/hyperlink" Target="http://auditynow.com" TargetMode="External"/><Relationship Id="rId1376" Type="http://schemas.openxmlformats.org/officeDocument/2006/relationships/hyperlink" Target="http://intellectyx.com" TargetMode="External"/><Relationship Id="rId782" Type="http://schemas.openxmlformats.org/officeDocument/2006/relationships/hyperlink" Target="https://auditynow.com/blog/best-ai-readiness-assessment-tools" TargetMode="External"/><Relationship Id="rId1377" Type="http://schemas.openxmlformats.org/officeDocument/2006/relationships/hyperlink" Target="https://www.intellectyx.com/best-ai-consulting-firms/" TargetMode="External"/><Relationship Id="rId1367" Type="http://schemas.openxmlformats.org/officeDocument/2006/relationships/hyperlink" Target="https://influencermarketinghub.com/creative-agency/" TargetMode="External"/><Relationship Id="rId1368" Type="http://schemas.openxmlformats.org/officeDocument/2006/relationships/hyperlink" Target="http://influencermarketinghub.com" TargetMode="External"/><Relationship Id="rId1369" Type="http://schemas.openxmlformats.org/officeDocument/2006/relationships/hyperlink" Target="https://influencermarketinghub.com/geo-agencies/" TargetMode="External"/><Relationship Id="rId778" Type="http://schemas.openxmlformats.org/officeDocument/2006/relationships/hyperlink" Target="https://appkod.com/blogs/paid-social-agencies-us/" TargetMode="External"/><Relationship Id="rId777" Type="http://schemas.openxmlformats.org/officeDocument/2006/relationships/hyperlink" Target="http://animalz.co" TargetMode="External"/><Relationship Id="rId776" Type="http://schemas.openxmlformats.org/officeDocument/2006/relationships/hyperlink" Target="https://www.animalz.co/blog/best-aeo-agencies" TargetMode="External"/><Relationship Id="rId775" Type="http://schemas.openxmlformats.org/officeDocument/2006/relationships/hyperlink" Target="http://andersoncollaborative.com" TargetMode="External"/><Relationship Id="rId779" Type="http://schemas.openxmlformats.org/officeDocument/2006/relationships/hyperlink" Target="http://appkod.com" TargetMode="External"/><Relationship Id="rId770" Type="http://schemas.openxmlformats.org/officeDocument/2006/relationships/hyperlink" Target="https://agencymb.com/david-vs-goliath-independent-agencies-over-holding-company-giants/" TargetMode="External"/><Relationship Id="rId1360" Type="http://schemas.openxmlformats.org/officeDocument/2006/relationships/hyperlink" Target="http://inbeat.co" TargetMode="External"/><Relationship Id="rId1361" Type="http://schemas.openxmlformats.org/officeDocument/2006/relationships/hyperlink" Target="https://indiantelevision.com/mam/the-best-aeo-agencies-in-the-usa-for-2026/" TargetMode="External"/><Relationship Id="rId1362" Type="http://schemas.openxmlformats.org/officeDocument/2006/relationships/hyperlink" Target="http://indiantelevision.com" TargetMode="External"/><Relationship Id="rId774" Type="http://schemas.openxmlformats.org/officeDocument/2006/relationships/hyperlink" Target="https://www.andersoncollaborative.com/digital-marketing-agencies-in-the-united-states-driving-growth-with-data-driven-campaigns/" TargetMode="External"/><Relationship Id="rId1363" Type="http://schemas.openxmlformats.org/officeDocument/2006/relationships/hyperlink" Target="https://www.indiehackers.com/post/best-performance-marketing-agency-in-the-usa-paid-ads-or-seo-cLPWTCgkteymkhS5pJS5" TargetMode="External"/><Relationship Id="rId773" Type="http://schemas.openxmlformats.org/officeDocument/2006/relationships/hyperlink" Target="http://aimsetwin.com" TargetMode="External"/><Relationship Id="rId1364" Type="http://schemas.openxmlformats.org/officeDocument/2006/relationships/hyperlink" Target="http://indiehackers.com" TargetMode="External"/><Relationship Id="rId772" Type="http://schemas.openxmlformats.org/officeDocument/2006/relationships/hyperlink" Target="https://aimsetwin.com/blog/biggest-digital-marketing-agencies/" TargetMode="External"/><Relationship Id="rId1365" Type="http://schemas.openxmlformats.org/officeDocument/2006/relationships/hyperlink" Target="https://www.influencer-hero.com/fr/blogs/top-paid-media-agencies-in-the-us" TargetMode="External"/><Relationship Id="rId771" Type="http://schemas.openxmlformats.org/officeDocument/2006/relationships/hyperlink" Target="http://agencymb.com" TargetMode="External"/><Relationship Id="rId1366" Type="http://schemas.openxmlformats.org/officeDocument/2006/relationships/hyperlink" Target="http://influencer-hero.com" TargetMode="External"/><Relationship Id="rId1390" Type="http://schemas.openxmlformats.org/officeDocument/2006/relationships/hyperlink" Target="http://konstructdigital.com" TargetMode="External"/><Relationship Id="rId1391" Type="http://schemas.openxmlformats.org/officeDocument/2006/relationships/hyperlink" Target="https://www.kovlystudio.com/blog/boutique-digital-marketing-firm" TargetMode="External"/><Relationship Id="rId1392" Type="http://schemas.openxmlformats.org/officeDocument/2006/relationships/hyperlink" Target="http://kovlystudio.com" TargetMode="External"/><Relationship Id="rId1393" Type="http://schemas.openxmlformats.org/officeDocument/2006/relationships/hyperlink" Target="https://lasersightdigital.com/blog/best-amazon-agency-top-picks" TargetMode="External"/><Relationship Id="rId1394" Type="http://schemas.openxmlformats.org/officeDocument/2006/relationships/hyperlink" Target="http://lasersightdigital.com" TargetMode="External"/><Relationship Id="rId1395" Type="http://schemas.openxmlformats.org/officeDocument/2006/relationships/hyperlink" Target="https://www.leadgem.nl/resources/best-growth-marketing-agencies" TargetMode="External"/><Relationship Id="rId1396" Type="http://schemas.openxmlformats.org/officeDocument/2006/relationships/hyperlink" Target="http://leadgem.nl" TargetMode="External"/><Relationship Id="rId1397" Type="http://schemas.openxmlformats.org/officeDocument/2006/relationships/hyperlink" Target="https://learn.g2.com/best-ppc-agencies" TargetMode="External"/><Relationship Id="rId1398" Type="http://schemas.openxmlformats.org/officeDocument/2006/relationships/hyperlink" Target="http://g2.com" TargetMode="External"/><Relationship Id="rId1399" Type="http://schemas.openxmlformats.org/officeDocument/2006/relationships/hyperlink" Target="https://lengreo.com/ai-marketing-consulting-companies/" TargetMode="External"/><Relationship Id="rId1389" Type="http://schemas.openxmlformats.org/officeDocument/2006/relationships/hyperlink" Target="https://www.konstructdigital.com/seo/best-geo-companies/" TargetMode="External"/><Relationship Id="rId799" Type="http://schemas.openxmlformats.org/officeDocument/2006/relationships/hyperlink" Target="https://www.campaignlive.com/article/initiative-claims-no-1-spot-preliminary-2025-us-media-rankings/1948015" TargetMode="External"/><Relationship Id="rId798" Type="http://schemas.openxmlformats.org/officeDocument/2006/relationships/hyperlink" Target="http://campaignlive.com" TargetMode="External"/><Relationship Id="rId797" Type="http://schemas.openxmlformats.org/officeDocument/2006/relationships/hyperlink" Target="https://www.campaignlive.com/article/empower-assembly-barkleyokrp-climb-june-us-media-agency-rankings/1923811" TargetMode="External"/><Relationship Id="rId1380" Type="http://schemas.openxmlformats.org/officeDocument/2006/relationships/hyperlink" Target="http://invademarketing.com" TargetMode="External"/><Relationship Id="rId792" Type="http://schemas.openxmlformats.org/officeDocument/2006/relationships/hyperlink" Target="http://brillmedia.co" TargetMode="External"/><Relationship Id="rId1381" Type="http://schemas.openxmlformats.org/officeDocument/2006/relationships/hyperlink" Target="https://itprofiles.com/services/ppc/united-states" TargetMode="External"/><Relationship Id="rId791" Type="http://schemas.openxmlformats.org/officeDocument/2006/relationships/hyperlink" Target="https://brillmedia.co/resources/best-connected-tv-advertising-companies/" TargetMode="External"/><Relationship Id="rId1382" Type="http://schemas.openxmlformats.org/officeDocument/2006/relationships/hyperlink" Target="http://itprofiles.com" TargetMode="External"/><Relationship Id="rId790" Type="http://schemas.openxmlformats.org/officeDocument/2006/relationships/hyperlink" Target="https://blog.viewed.video/top-10-ai-consulting-firms-boosting-tech-marketing" TargetMode="External"/><Relationship Id="rId1383" Type="http://schemas.openxmlformats.org/officeDocument/2006/relationships/hyperlink" Target="https://www.jellyfishtechnologies.com/top-digital-transformation-companies/" TargetMode="External"/><Relationship Id="rId1384" Type="http://schemas.openxmlformats.org/officeDocument/2006/relationships/hyperlink" Target="http://jellyfishtechnologies.com" TargetMode="External"/><Relationship Id="rId796" Type="http://schemas.openxmlformats.org/officeDocument/2006/relationships/hyperlink" Target="http://cairrot.com" TargetMode="External"/><Relationship Id="rId1385" Type="http://schemas.openxmlformats.org/officeDocument/2006/relationships/hyperlink" Target="https://kanerika.com/blogs/ai-marketing-automation-tools/" TargetMode="External"/><Relationship Id="rId795" Type="http://schemas.openxmlformats.org/officeDocument/2006/relationships/hyperlink" Target="https://cairrot.com/blog/best-aeo-agencies/" TargetMode="External"/><Relationship Id="rId1386" Type="http://schemas.openxmlformats.org/officeDocument/2006/relationships/hyperlink" Target="http://kanerika.com" TargetMode="External"/><Relationship Id="rId794" Type="http://schemas.openxmlformats.org/officeDocument/2006/relationships/hyperlink" Target="http://businessgoalmag.com" TargetMode="External"/><Relationship Id="rId1387" Type="http://schemas.openxmlformats.org/officeDocument/2006/relationships/hyperlink" Target="https://keends.com/blog/top-marketing-mix-modeling-companies/" TargetMode="External"/><Relationship Id="rId793" Type="http://schemas.openxmlformats.org/officeDocument/2006/relationships/hyperlink" Target="https://businessgoalmag.com/10-enterprise-creative-agency-partners-that-can-handle-scale/" TargetMode="External"/><Relationship Id="rId1388" Type="http://schemas.openxmlformats.org/officeDocument/2006/relationships/hyperlink" Target="http://keends.com" TargetMode="External"/><Relationship Id="rId1455" Type="http://schemas.openxmlformats.org/officeDocument/2006/relationships/hyperlink" Target="https://www.midastouchinfotech.com/leading-digital-marketing-agencies-usa/" TargetMode="External"/><Relationship Id="rId1456" Type="http://schemas.openxmlformats.org/officeDocument/2006/relationships/hyperlink" Target="http://midastouchinfotech.com" TargetMode="External"/><Relationship Id="rId1457" Type="http://schemas.openxmlformats.org/officeDocument/2006/relationships/hyperlink" Target="https://mikekhorev.com/top-performing-geo-agencies" TargetMode="External"/><Relationship Id="rId1458" Type="http://schemas.openxmlformats.org/officeDocument/2006/relationships/hyperlink" Target="http://mikekhorev.com" TargetMode="External"/><Relationship Id="rId1459" Type="http://schemas.openxmlformats.org/officeDocument/2006/relationships/hyperlink" Target="https://minuttia.com/best-ai-seo-agencies/" TargetMode="External"/><Relationship Id="rId629" Type="http://schemas.openxmlformats.org/officeDocument/2006/relationships/hyperlink" Target="http://theinklusive.com" TargetMode="External"/><Relationship Id="rId624" Type="http://schemas.openxmlformats.org/officeDocument/2006/relationships/hyperlink" Target="https://www.strategyeye.com/top-13-performance-marketing-agencies/" TargetMode="External"/><Relationship Id="rId623" Type="http://schemas.openxmlformats.org/officeDocument/2006/relationships/hyperlink" Target="http://silverbackstrategies.com" TargetMode="External"/><Relationship Id="rId622" Type="http://schemas.openxmlformats.org/officeDocument/2006/relationships/hyperlink" Target="https://www.silverbackstrategies.com/lists/best-digital-marketing-agencies-in-the-us-rank-reviewed/" TargetMode="External"/><Relationship Id="rId621" Type="http://schemas.openxmlformats.org/officeDocument/2006/relationships/hyperlink" Target="http://seoworks.com" TargetMode="External"/><Relationship Id="rId628" Type="http://schemas.openxmlformats.org/officeDocument/2006/relationships/hyperlink" Target="https://theinklusive.com/blog/best-creative-marketing-agency-partners-for-your-brand/" TargetMode="External"/><Relationship Id="rId627" Type="http://schemas.openxmlformats.org/officeDocument/2006/relationships/hyperlink" Target="http://thegrowthsyndicate.com" TargetMode="External"/><Relationship Id="rId626" Type="http://schemas.openxmlformats.org/officeDocument/2006/relationships/hyperlink" Target="https://www.thegrowthsyndicate.com/agencies/best-b2b-google-ads-agencies-us" TargetMode="External"/><Relationship Id="rId625" Type="http://schemas.openxmlformats.org/officeDocument/2006/relationships/hyperlink" Target="http://strategyeye.com" TargetMode="External"/><Relationship Id="rId1450" Type="http://schemas.openxmlformats.org/officeDocument/2006/relationships/hyperlink" Target="http://mediavision2020.com" TargetMode="External"/><Relationship Id="rId620" Type="http://schemas.openxmlformats.org/officeDocument/2006/relationships/hyperlink" Target="https://www.seoworks.com/lists/top-b2b-geo-and-aeo-agencies/" TargetMode="External"/><Relationship Id="rId1451" Type="http://schemas.openxmlformats.org/officeDocument/2006/relationships/hyperlink" Target="https://medium.com/@naiya.sharma_75305/10-best-digital-marketing-agencies-trusted-by-leading-brands-in-the-usa-db172483a516" TargetMode="External"/><Relationship Id="rId1452" Type="http://schemas.openxmlformats.org/officeDocument/2006/relationships/hyperlink" Target="http://medium.com" TargetMode="External"/><Relationship Id="rId1453" Type="http://schemas.openxmlformats.org/officeDocument/2006/relationships/hyperlink" Target="https://www.metabrand.digital/learn/creative-agencies-to-watch" TargetMode="External"/><Relationship Id="rId1454" Type="http://schemas.openxmlformats.org/officeDocument/2006/relationships/hyperlink" Target="https://metaflow.life/blog/best-ai-native-marketing-agencies-2026" TargetMode="External"/><Relationship Id="rId1444" Type="http://schemas.openxmlformats.org/officeDocument/2006/relationships/hyperlink" Target="http://mayple.com" TargetMode="External"/><Relationship Id="rId1445" Type="http://schemas.openxmlformats.org/officeDocument/2006/relationships/hyperlink" Target="https://measpublishing.co.uk/top-geo-agencies-in-the-uk-for-ai-search-performance-marketing" TargetMode="External"/><Relationship Id="rId1446" Type="http://schemas.openxmlformats.org/officeDocument/2006/relationships/hyperlink" Target="http://measpublishing.co.uk" TargetMode="External"/><Relationship Id="rId1447" Type="http://schemas.openxmlformats.org/officeDocument/2006/relationships/hyperlink" Target="https://www.medianug.com/blog/10-paid-media-agencies-to-elevate-your-marketing-strategy-in-2026" TargetMode="External"/><Relationship Id="rId1448" Type="http://schemas.openxmlformats.org/officeDocument/2006/relationships/hyperlink" Target="http://medianug.com" TargetMode="External"/><Relationship Id="rId1449" Type="http://schemas.openxmlformats.org/officeDocument/2006/relationships/hyperlink" Target="https://mediavision2020.com/top-50-geofencing-companies-in-2026/" TargetMode="External"/><Relationship Id="rId619" Type="http://schemas.openxmlformats.org/officeDocument/2006/relationships/hyperlink" Target="http://segmentstream.com" TargetMode="External"/><Relationship Id="rId618" Type="http://schemas.openxmlformats.org/officeDocument/2006/relationships/hyperlink" Target="https://segmentstream.com/blog/articles/best-attribution-tools" TargetMode="External"/><Relationship Id="rId613" Type="http://schemas.openxmlformats.org/officeDocument/2006/relationships/hyperlink" Target="http://phable.io" TargetMode="External"/><Relationship Id="rId612" Type="http://schemas.openxmlformats.org/officeDocument/2006/relationships/hyperlink" Target="https://www.phable.io/top-creative-agencies/top-creative-agencies-in-the-world-masters-of-branding-content-creation-and-innovation" TargetMode="External"/><Relationship Id="rId611" Type="http://schemas.openxmlformats.org/officeDocument/2006/relationships/hyperlink" Target="http://pearllemon.com" TargetMode="External"/><Relationship Id="rId610" Type="http://schemas.openxmlformats.org/officeDocument/2006/relationships/hyperlink" Target="https://pearllemon.com/top-performance-marketing-agencies-usa/" TargetMode="External"/><Relationship Id="rId617" Type="http://schemas.openxmlformats.org/officeDocument/2006/relationships/hyperlink" Target="http://scopicstudios.com" TargetMode="External"/><Relationship Id="rId616" Type="http://schemas.openxmlformats.org/officeDocument/2006/relationships/hyperlink" Target="https://scopicstudios.com/blog/top-performance-marketing-agencies/" TargetMode="External"/><Relationship Id="rId615" Type="http://schemas.openxmlformats.org/officeDocument/2006/relationships/hyperlink" Target="http://rtslabs.com" TargetMode="External"/><Relationship Id="rId614" Type="http://schemas.openxmlformats.org/officeDocument/2006/relationships/hyperlink" Target="https://rtslabs.com/top-ai-consulting-firms/" TargetMode="External"/><Relationship Id="rId1440" Type="http://schemas.openxmlformats.org/officeDocument/2006/relationships/hyperlink" Target="http://martal.ca" TargetMode="External"/><Relationship Id="rId1441" Type="http://schemas.openxmlformats.org/officeDocument/2006/relationships/hyperlink" Target="https://www.maximuslabs.ai/answer-engine-optimizations/technical-aeo-agency" TargetMode="External"/><Relationship Id="rId1442" Type="http://schemas.openxmlformats.org/officeDocument/2006/relationships/hyperlink" Target="http://maximuslabs.ai" TargetMode="External"/><Relationship Id="rId1443" Type="http://schemas.openxmlformats.org/officeDocument/2006/relationships/hyperlink" Target="https://www.mayple.com/resources/paid-advertising/top-digital-marketing-companies-in-the-us" TargetMode="External"/><Relationship Id="rId1477" Type="http://schemas.openxmlformats.org/officeDocument/2006/relationships/hyperlink" Target="http://ninjapromo.io" TargetMode="External"/><Relationship Id="rId1478" Type="http://schemas.openxmlformats.org/officeDocument/2006/relationships/hyperlink" Target="https://nogood.io/blog/b2b-marketing-agencies/" TargetMode="External"/><Relationship Id="rId1479" Type="http://schemas.openxmlformats.org/officeDocument/2006/relationships/hyperlink" Target="http://nogood.io" TargetMode="External"/><Relationship Id="rId646" Type="http://schemas.openxmlformats.org/officeDocument/2006/relationships/hyperlink" Target="https://www.adogy.com/the-top-generative-engine-optimization-geo-agencies/" TargetMode="External"/><Relationship Id="rId645" Type="http://schemas.openxmlformats.org/officeDocument/2006/relationships/hyperlink" Target="http://accuracast.com" TargetMode="External"/><Relationship Id="rId644" Type="http://schemas.openxmlformats.org/officeDocument/2006/relationships/hyperlink" Target="https://www.accuracast.com/articles/multilingual-7471/top-10-international-digital-marketing-agencies-2026/" TargetMode="External"/><Relationship Id="rId643" Type="http://schemas.openxmlformats.org/officeDocument/2006/relationships/hyperlink" Target="http://youtube.com" TargetMode="External"/><Relationship Id="rId649" Type="http://schemas.openxmlformats.org/officeDocument/2006/relationships/hyperlink" Target="http://aiinsiderdaily.com" TargetMode="External"/><Relationship Id="rId648" Type="http://schemas.openxmlformats.org/officeDocument/2006/relationships/hyperlink" Target="https://aiinsiderdaily.com/ai-tools-reviews/ai-agency-guide-2025/" TargetMode="External"/><Relationship Id="rId647" Type="http://schemas.openxmlformats.org/officeDocument/2006/relationships/hyperlink" Target="http://adogy.com" TargetMode="External"/><Relationship Id="rId1470" Type="http://schemas.openxmlformats.org/officeDocument/2006/relationships/hyperlink" Target="https://www.neowork.com/insights/marketing-analytics-outsourcing-companies" TargetMode="External"/><Relationship Id="rId1471" Type="http://schemas.openxmlformats.org/officeDocument/2006/relationships/hyperlink" Target="http://neowork.com" TargetMode="External"/><Relationship Id="rId1472" Type="http://schemas.openxmlformats.org/officeDocument/2006/relationships/hyperlink" Target="https://www.newform.com/guides/best-performance-creative-agencies-nyc-2026" TargetMode="External"/><Relationship Id="rId642" Type="http://schemas.openxmlformats.org/officeDocument/2006/relationships/hyperlink" Target="https://www.youtube.com/watch?v=Zyd_x8Z9J7I&amp;t=92" TargetMode="External"/><Relationship Id="rId1473" Type="http://schemas.openxmlformats.org/officeDocument/2006/relationships/hyperlink" Target="http://newform.com" TargetMode="External"/><Relationship Id="rId641" Type="http://schemas.openxmlformats.org/officeDocument/2006/relationships/hyperlink" Target="http://webtonic.io" TargetMode="External"/><Relationship Id="rId1474" Type="http://schemas.openxmlformats.org/officeDocument/2006/relationships/hyperlink" Target="https://ninjapromo.io/top-google-ads-agencies" TargetMode="External"/><Relationship Id="rId640" Type="http://schemas.openxmlformats.org/officeDocument/2006/relationships/hyperlink" Target="https://www.webtonic.io/blog/top-paid-media-agencies" TargetMode="External"/><Relationship Id="rId1475" Type="http://schemas.openxmlformats.org/officeDocument/2006/relationships/hyperlink" Target="http://ninjapromo.io" TargetMode="External"/><Relationship Id="rId1476" Type="http://schemas.openxmlformats.org/officeDocument/2006/relationships/hyperlink" Target="https://ninjapromo.io/top-graphic-design-companies" TargetMode="External"/><Relationship Id="rId1466" Type="http://schemas.openxmlformats.org/officeDocument/2006/relationships/hyperlink" Target="https://www.munro.agency/insights/top-marketing-companies-in-the-world/" TargetMode="External"/><Relationship Id="rId1467" Type="http://schemas.openxmlformats.org/officeDocument/2006/relationships/hyperlink" Target="https://www.munro.agency/top-10-paid-media-agencies/" TargetMode="External"/><Relationship Id="rId1468" Type="http://schemas.openxmlformats.org/officeDocument/2006/relationships/hyperlink" Target="https://www.mythology.com/blog/most-creative-agency-nyc" TargetMode="External"/><Relationship Id="rId1469" Type="http://schemas.openxmlformats.org/officeDocument/2006/relationships/hyperlink" Target="http://mythology.com" TargetMode="External"/><Relationship Id="rId635" Type="http://schemas.openxmlformats.org/officeDocument/2006/relationships/hyperlink" Target="http://warc.com" TargetMode="External"/><Relationship Id="rId634" Type="http://schemas.openxmlformats.org/officeDocument/2006/relationships/hyperlink" Target="https://www.warc.com/en/data-benchmarks/rankings-creative-100-overview" TargetMode="External"/><Relationship Id="rId633" Type="http://schemas.openxmlformats.org/officeDocument/2006/relationships/hyperlink" Target="http://uforocks.com" TargetMode="External"/><Relationship Id="rId632" Type="http://schemas.openxmlformats.org/officeDocument/2006/relationships/hyperlink" Target="https://www.uforocks.com/blog/top-ppc-agencies-in-the-u-s/" TargetMode="External"/><Relationship Id="rId639" Type="http://schemas.openxmlformats.org/officeDocument/2006/relationships/hyperlink" Target="http://webtonic.io" TargetMode="External"/><Relationship Id="rId638" Type="http://schemas.openxmlformats.org/officeDocument/2006/relationships/hyperlink" Target="https://www.webtonic.io/blog/top-enterprise-digital-marketing-agencies" TargetMode="External"/><Relationship Id="rId637" Type="http://schemas.openxmlformats.org/officeDocument/2006/relationships/hyperlink" Target="http://warc.com" TargetMode="External"/><Relationship Id="rId636" Type="http://schemas.openxmlformats.org/officeDocument/2006/relationships/hyperlink" Target="https://www.warc.com/en/rankings/creative-100" TargetMode="External"/><Relationship Id="rId1460" Type="http://schemas.openxmlformats.org/officeDocument/2006/relationships/hyperlink" Target="http://minuttia.com" TargetMode="External"/><Relationship Id="rId1461" Type="http://schemas.openxmlformats.org/officeDocument/2006/relationships/hyperlink" Target="https://www.moburst.com/blog/top-media-buying-agencies/" TargetMode="External"/><Relationship Id="rId631" Type="http://schemas.openxmlformats.org/officeDocument/2006/relationships/hyperlink" Target="http://thekeenfolks.com" TargetMode="External"/><Relationship Id="rId1462" Type="http://schemas.openxmlformats.org/officeDocument/2006/relationships/hyperlink" Target="http://moburst.com" TargetMode="External"/><Relationship Id="rId630" Type="http://schemas.openxmlformats.org/officeDocument/2006/relationships/hyperlink" Target="https://www.thekeenfolks.com/blog-article/best-performance-marketing-agencies" TargetMode="External"/><Relationship Id="rId1463" Type="http://schemas.openxmlformats.org/officeDocument/2006/relationships/hyperlink" Target="https://movingminds.io/famous-marketing-agencies/" TargetMode="External"/><Relationship Id="rId1464" Type="http://schemas.openxmlformats.org/officeDocument/2006/relationships/hyperlink" Target="http://movingminds.io" TargetMode="External"/><Relationship Id="rId1465" Type="http://schemas.openxmlformats.org/officeDocument/2006/relationships/hyperlink" Target="https://www.munro.agency/best-ai-seo-agencies-in-the-usa/" TargetMode="External"/><Relationship Id="rId1411" Type="http://schemas.openxmlformats.org/officeDocument/2006/relationships/hyperlink" Target="https://www.loopexdigital.com/blog/best-seo-companies-for-phoenix-market" TargetMode="External"/><Relationship Id="rId1412" Type="http://schemas.openxmlformats.org/officeDocument/2006/relationships/hyperlink" Target="http://loopexdigital.com" TargetMode="External"/><Relationship Id="rId1413" Type="http://schemas.openxmlformats.org/officeDocument/2006/relationships/hyperlink" Target="https://lotusbrainsstudio.com/ai-automation-agency-london/" TargetMode="External"/><Relationship Id="rId1414" Type="http://schemas.openxmlformats.org/officeDocument/2006/relationships/hyperlink" Target="http://lotusbrainsstudio.com" TargetMode="External"/><Relationship Id="rId1415" Type="http://schemas.openxmlformats.org/officeDocument/2006/relationships/hyperlink" Target="https://lseo.com/blog/generative-engine-optimization/the-best-generative-engine-optimization-geo-agencies-of-2026/" TargetMode="External"/><Relationship Id="rId1416" Type="http://schemas.openxmlformats.org/officeDocument/2006/relationships/hyperlink" Target="http://lseo.com" TargetMode="External"/><Relationship Id="rId1417" Type="http://schemas.openxmlformats.org/officeDocument/2006/relationships/hyperlink" Target="https://lunarailab.com/blog/2026/03/04/top-5-ai-agent-adoption-agencies-in-2026/" TargetMode="External"/><Relationship Id="rId1418" Type="http://schemas.openxmlformats.org/officeDocument/2006/relationships/hyperlink" Target="http://lunarailab.com" TargetMode="External"/><Relationship Id="rId1419" Type="http://schemas.openxmlformats.org/officeDocument/2006/relationships/hyperlink" Target="https://www.lyfemarketing.com/blog/top-travel-tourism-marketing-agencies-us/" TargetMode="External"/><Relationship Id="rId1410" Type="http://schemas.openxmlformats.org/officeDocument/2006/relationships/hyperlink" Target="http://linkupst.com" TargetMode="External"/><Relationship Id="rId1400" Type="http://schemas.openxmlformats.org/officeDocument/2006/relationships/hyperlink" Target="http://lengreo.com" TargetMode="External"/><Relationship Id="rId1401" Type="http://schemas.openxmlformats.org/officeDocument/2006/relationships/hyperlink" Target="https://lengreo.com/top-15-aeo-agencies-for-u-s-companies-in-2025/" TargetMode="External"/><Relationship Id="rId1402" Type="http://schemas.openxmlformats.org/officeDocument/2006/relationships/hyperlink" Target="http://lengreo.com" TargetMode="External"/><Relationship Id="rId1403" Type="http://schemas.openxmlformats.org/officeDocument/2006/relationships/hyperlink" Target="https://www.linkedin.com/pulse/10-best-answer-engine-optimization-aeo-agencies-2026-nick-malekos-tkzqf" TargetMode="External"/><Relationship Id="rId1404" Type="http://schemas.openxmlformats.org/officeDocument/2006/relationships/hyperlink" Target="http://linkedin.com" TargetMode="External"/><Relationship Id="rId1405" Type="http://schemas.openxmlformats.org/officeDocument/2006/relationships/hyperlink" Target="https://www.linkedin.com/pulse/30-leading-graphic-design-companies-making-global-impact-lti6f" TargetMode="External"/><Relationship Id="rId1406" Type="http://schemas.openxmlformats.org/officeDocument/2006/relationships/hyperlink" Target="http://linkedin.com" TargetMode="External"/><Relationship Id="rId1407" Type="http://schemas.openxmlformats.org/officeDocument/2006/relationships/hyperlink" Target="https://www.linkedin.com/pulse/ai-seo-agencies-softtrix-web-solutions-zaxtc" TargetMode="External"/><Relationship Id="rId1408" Type="http://schemas.openxmlformats.org/officeDocument/2006/relationships/hyperlink" Target="http://linkedin.com" TargetMode="External"/><Relationship Id="rId1409" Type="http://schemas.openxmlformats.org/officeDocument/2006/relationships/hyperlink" Target="https://linkupst.com/design/blog-design/new-york-design-agencies" TargetMode="External"/><Relationship Id="rId1433" Type="http://schemas.openxmlformats.org/officeDocument/2006/relationships/hyperlink" Target="https://marketingltb.com/blog/agency/best-google-ads-agencies/" TargetMode="External"/><Relationship Id="rId1434" Type="http://schemas.openxmlformats.org/officeDocument/2006/relationships/hyperlink" Target="http://marketingltb.com" TargetMode="External"/><Relationship Id="rId1435" Type="http://schemas.openxmlformats.org/officeDocument/2006/relationships/hyperlink" Target="https://marketingltb.com/blog/agency/best-tourism-digital-marketing-agencies/" TargetMode="External"/><Relationship Id="rId1436" Type="http://schemas.openxmlformats.org/officeDocument/2006/relationships/hyperlink" Target="http://marketingltb.com" TargetMode="External"/><Relationship Id="rId1437" Type="http://schemas.openxmlformats.org/officeDocument/2006/relationships/hyperlink" Target="https://markovate.com/top-ai-development-companies/" TargetMode="External"/><Relationship Id="rId1438" Type="http://schemas.openxmlformats.org/officeDocument/2006/relationships/hyperlink" Target="http://markovate.com" TargetMode="External"/><Relationship Id="rId1439" Type="http://schemas.openxmlformats.org/officeDocument/2006/relationships/hyperlink" Target="https://martal.ca/integrated-marketing-agencies-lb/" TargetMode="External"/><Relationship Id="rId609" Type="http://schemas.openxmlformats.org/officeDocument/2006/relationships/hyperlink" Target="http://onely.com" TargetMode="External"/><Relationship Id="rId608" Type="http://schemas.openxmlformats.org/officeDocument/2006/relationships/hyperlink" Target="https://www.onely.com/blog/best-digital-marketing-agencies/" TargetMode="External"/><Relationship Id="rId607" Type="http://schemas.openxmlformats.org/officeDocument/2006/relationships/hyperlink" Target="https://www.o8.agency/blog/ai/best-ai-marketing-agencies-2026-honest-comparison" TargetMode="External"/><Relationship Id="rId602" Type="http://schemas.openxmlformats.org/officeDocument/2006/relationships/hyperlink" Target="http://modernmarketingpartners.com" TargetMode="External"/><Relationship Id="rId601" Type="http://schemas.openxmlformats.org/officeDocument/2006/relationships/hyperlink" Target="https://www.modernmarketingpartners.com/2026/03/19/14-best-answer-engine-optimization-agencies-aeo-insights-company-rankings-for-2026/" TargetMode="External"/><Relationship Id="rId600" Type="http://schemas.openxmlformats.org/officeDocument/2006/relationships/hyperlink" Target="http://linkedin.com" TargetMode="External"/><Relationship Id="rId606" Type="http://schemas.openxmlformats.org/officeDocument/2006/relationships/hyperlink" Target="http://nuoptima.com" TargetMode="External"/><Relationship Id="rId605" Type="http://schemas.openxmlformats.org/officeDocument/2006/relationships/hyperlink" Target="https://nuoptima.com/ai-search-answer-engine-optimization-companies-usa" TargetMode="External"/><Relationship Id="rId604" Type="http://schemas.openxmlformats.org/officeDocument/2006/relationships/hyperlink" Target="http://modernmarketingpartners.com" TargetMode="External"/><Relationship Id="rId603" Type="http://schemas.openxmlformats.org/officeDocument/2006/relationships/hyperlink" Target="https://www.modernmarketingpartners.com/2026/03/19/15-best-answer-engine-optimization-agencies-aeo-insights-company-rankings-for-2026/" TargetMode="External"/><Relationship Id="rId1430" Type="http://schemas.openxmlformats.org/officeDocument/2006/relationships/hyperlink" Target="http://marketerhire.com" TargetMode="External"/><Relationship Id="rId1431" Type="http://schemas.openxmlformats.org/officeDocument/2006/relationships/hyperlink" Target="https://marketingltb.com/blog/agency/best-email-marketing-agencies/" TargetMode="External"/><Relationship Id="rId1432" Type="http://schemas.openxmlformats.org/officeDocument/2006/relationships/hyperlink" Target="http://marketingltb.com" TargetMode="External"/><Relationship Id="rId1422" Type="http://schemas.openxmlformats.org/officeDocument/2006/relationships/hyperlink" Target="http://lymlyt.pro" TargetMode="External"/><Relationship Id="rId1423" Type="http://schemas.openxmlformats.org/officeDocument/2006/relationships/hyperlink" Target="https://mackmediagroup.com/5-ways-a-marketing-agency-can-help-your-small-business/" TargetMode="External"/><Relationship Id="rId1424" Type="http://schemas.openxmlformats.org/officeDocument/2006/relationships/hyperlink" Target="http://mackmediagroup.com" TargetMode="External"/><Relationship Id="rId1425" Type="http://schemas.openxmlformats.org/officeDocument/2006/relationships/hyperlink" Target="https://madgicx.com/blog/ai-marketing-analytics-dashboard-platforms" TargetMode="External"/><Relationship Id="rId1426" Type="http://schemas.openxmlformats.org/officeDocument/2006/relationships/hyperlink" Target="http://madgicx.com" TargetMode="External"/><Relationship Id="rId1427" Type="http://schemas.openxmlformats.org/officeDocument/2006/relationships/hyperlink" Target="https://marketerhire.com/blog/b2c-marketing-agency" TargetMode="External"/><Relationship Id="rId1428" Type="http://schemas.openxmlformats.org/officeDocument/2006/relationships/hyperlink" Target="http://marketerhire.com" TargetMode="External"/><Relationship Id="rId1429" Type="http://schemas.openxmlformats.org/officeDocument/2006/relationships/hyperlink" Target="https://marketerhire.com/blog/media-buying-agencies" TargetMode="External"/><Relationship Id="rId1420" Type="http://schemas.openxmlformats.org/officeDocument/2006/relationships/hyperlink" Target="http://lyfemarketing.com" TargetMode="External"/><Relationship Id="rId1421" Type="http://schemas.openxmlformats.org/officeDocument/2006/relationships/hyperlink" Target="https://lymlyt.pro/blog/best-ai-marketing-agencies/" TargetMode="External"/><Relationship Id="rId699" Type="http://schemas.openxmlformats.org/officeDocument/2006/relationships/hyperlink" Target="https://www.munro.agency/marketing-agencies-in-the-usa/" TargetMode="External"/><Relationship Id="rId698" Type="http://schemas.openxmlformats.org/officeDocument/2006/relationships/hyperlink" Target="http://miniloop.ai" TargetMode="External"/><Relationship Id="rId693" Type="http://schemas.openxmlformats.org/officeDocument/2006/relationships/hyperlink" Target="http://magier.com" TargetMode="External"/><Relationship Id="rId692" Type="http://schemas.openxmlformats.org/officeDocument/2006/relationships/hyperlink" Target="https://www.magier.com/blog/best-creative-agency" TargetMode="External"/><Relationship Id="rId691" Type="http://schemas.openxmlformats.org/officeDocument/2006/relationships/hyperlink" Target="https://www.madx.digital/learn/geo-aeo-agencies" TargetMode="External"/><Relationship Id="rId690" Type="http://schemas.openxmlformats.org/officeDocument/2006/relationships/hyperlink" Target="http://lyfemarketing.com" TargetMode="External"/><Relationship Id="rId697" Type="http://schemas.openxmlformats.org/officeDocument/2006/relationships/hyperlink" Target="https://www.miniloop.ai/blog/best-geo-agencies" TargetMode="External"/><Relationship Id="rId696" Type="http://schemas.openxmlformats.org/officeDocument/2006/relationships/hyperlink" Target="https://metaflow.life/blog/best-paid-media-agencies-2026" TargetMode="External"/><Relationship Id="rId695" Type="http://schemas.openxmlformats.org/officeDocument/2006/relationships/hyperlink" Target="http://marketerhire.com" TargetMode="External"/><Relationship Id="rId694" Type="http://schemas.openxmlformats.org/officeDocument/2006/relationships/hyperlink" Target="https://marketerhire.com/blog/ai-marketing-agencies" TargetMode="External"/><Relationship Id="rId1499" Type="http://schemas.openxmlformats.org/officeDocument/2006/relationships/hyperlink" Target="http://nuundigital.com" TargetMode="External"/><Relationship Id="rId668" Type="http://schemas.openxmlformats.org/officeDocument/2006/relationships/hyperlink" Target="https://digitalstrategyforce.com/top-10-aeo-agencies-2026/" TargetMode="External"/><Relationship Id="rId667" Type="http://schemas.openxmlformats.org/officeDocument/2006/relationships/hyperlink" Target="http://deployflow.co" TargetMode="External"/><Relationship Id="rId666" Type="http://schemas.openxmlformats.org/officeDocument/2006/relationships/hyperlink" Target="https://deployflow.co/blog/top-ai-consulting-companies-worldwide/" TargetMode="External"/><Relationship Id="rId665" Type="http://schemas.openxmlformats.org/officeDocument/2006/relationships/hyperlink" Target="http://coolnerdsmarketing.com" TargetMode="External"/><Relationship Id="rId669" Type="http://schemas.openxmlformats.org/officeDocument/2006/relationships/hyperlink" Target="http://digitalstrategyforce.com" TargetMode="External"/><Relationship Id="rId1490" Type="http://schemas.openxmlformats.org/officeDocument/2006/relationships/hyperlink" Target="https://nogood.io/blog/marketing-attribution-tools/" TargetMode="External"/><Relationship Id="rId660" Type="http://schemas.openxmlformats.org/officeDocument/2006/relationships/hyperlink" Target="https://www.cometly.com/post/marketing-attribution-platform-for-agencies" TargetMode="External"/><Relationship Id="rId1491" Type="http://schemas.openxmlformats.org/officeDocument/2006/relationships/hyperlink" Target="http://nogood.io" TargetMode="External"/><Relationship Id="rId1492" Type="http://schemas.openxmlformats.org/officeDocument/2006/relationships/hyperlink" Target="https://northquery.com/best-aeo-agency/enterprise" TargetMode="External"/><Relationship Id="rId1493" Type="http://schemas.openxmlformats.org/officeDocument/2006/relationships/hyperlink" Target="http://northquery.com" TargetMode="External"/><Relationship Id="rId1494" Type="http://schemas.openxmlformats.org/officeDocument/2006/relationships/hyperlink" Target="https://www.norvelljefferson.com/insights/top-25-creative-agencies-amsterdam-2026" TargetMode="External"/><Relationship Id="rId664" Type="http://schemas.openxmlformats.org/officeDocument/2006/relationships/hyperlink" Target="https://coolnerdsmarketing.com/best-creative-marketing-agencies-2025/" TargetMode="External"/><Relationship Id="rId1495" Type="http://schemas.openxmlformats.org/officeDocument/2006/relationships/hyperlink" Target="http://norvelljefferson.com" TargetMode="External"/><Relationship Id="rId663" Type="http://schemas.openxmlformats.org/officeDocument/2006/relationships/hyperlink" Target="http://commercepundit.com" TargetMode="External"/><Relationship Id="rId1496" Type="http://schemas.openxmlformats.org/officeDocument/2006/relationships/hyperlink" Target="https://www.nutshell.com/blog/best-ai-seo-companies" TargetMode="External"/><Relationship Id="rId662" Type="http://schemas.openxmlformats.org/officeDocument/2006/relationships/hyperlink" Target="https://www.commercepundit.com/blog/top-10-ai-consulting-companies-in-2026/" TargetMode="External"/><Relationship Id="rId1497" Type="http://schemas.openxmlformats.org/officeDocument/2006/relationships/hyperlink" Target="http://nutshell.com" TargetMode="External"/><Relationship Id="rId661" Type="http://schemas.openxmlformats.org/officeDocument/2006/relationships/hyperlink" Target="http://cometly.com" TargetMode="External"/><Relationship Id="rId1498" Type="http://schemas.openxmlformats.org/officeDocument/2006/relationships/hyperlink" Target="https://nuundigital.com/insights/strategy/top-growth-agencies-north-america" TargetMode="External"/><Relationship Id="rId1488" Type="http://schemas.openxmlformats.org/officeDocument/2006/relationships/hyperlink" Target="https://nogood.io/blog/instagram-marketing-agencies/" TargetMode="External"/><Relationship Id="rId1489" Type="http://schemas.openxmlformats.org/officeDocument/2006/relationships/hyperlink" Target="http://nogood.io" TargetMode="External"/><Relationship Id="rId657" Type="http://schemas.openxmlformats.org/officeDocument/2006/relationships/hyperlink" Target="http://cleverly.co" TargetMode="External"/><Relationship Id="rId656" Type="http://schemas.openxmlformats.org/officeDocument/2006/relationships/hyperlink" Target="https://www.cleverly.co/blog/best-marketing-attribution-software" TargetMode="External"/><Relationship Id="rId655" Type="http://schemas.openxmlformats.org/officeDocument/2006/relationships/hyperlink" Target="http://builtin.com" TargetMode="External"/><Relationship Id="rId654" Type="http://schemas.openxmlformats.org/officeDocument/2006/relationships/hyperlink" Target="https://builtin.com/articles/agencies-for-ai-search-visibility" TargetMode="External"/><Relationship Id="rId659" Type="http://schemas.openxmlformats.org/officeDocument/2006/relationships/hyperlink" Target="http://cometly.com" TargetMode="External"/><Relationship Id="rId658" Type="http://schemas.openxmlformats.org/officeDocument/2006/relationships/hyperlink" Target="https://www.cometly.com/post/attribution-tools-for-digital-marketing-agencies" TargetMode="External"/><Relationship Id="rId1480" Type="http://schemas.openxmlformats.org/officeDocument/2006/relationships/hyperlink" Target="https://nogood.io/blog/best-answer-engine-optimization-agencies/" TargetMode="External"/><Relationship Id="rId1481" Type="http://schemas.openxmlformats.org/officeDocument/2006/relationships/hyperlink" Target="http://nogood.io" TargetMode="External"/><Relationship Id="rId1482" Type="http://schemas.openxmlformats.org/officeDocument/2006/relationships/hyperlink" Target="https://nogood.io/blog/branding-agencies/" TargetMode="External"/><Relationship Id="rId1483" Type="http://schemas.openxmlformats.org/officeDocument/2006/relationships/hyperlink" Target="http://nogood.io" TargetMode="External"/><Relationship Id="rId653" Type="http://schemas.openxmlformats.org/officeDocument/2006/relationships/hyperlink" Target="http://avenuez.com" TargetMode="External"/><Relationship Id="rId1484" Type="http://schemas.openxmlformats.org/officeDocument/2006/relationships/hyperlink" Target="https://nogood.io/blog/digital-marketing-agencies-new-york/" TargetMode="External"/><Relationship Id="rId652" Type="http://schemas.openxmlformats.org/officeDocument/2006/relationships/hyperlink" Target="https://avenuez.com/blog/top-paid-ads-agencies-in-the-u-s/" TargetMode="External"/><Relationship Id="rId1485" Type="http://schemas.openxmlformats.org/officeDocument/2006/relationships/hyperlink" Target="http://nogood.io" TargetMode="External"/><Relationship Id="rId651" Type="http://schemas.openxmlformats.org/officeDocument/2006/relationships/hyperlink" Target="http://avenuez.com" TargetMode="External"/><Relationship Id="rId1486" Type="http://schemas.openxmlformats.org/officeDocument/2006/relationships/hyperlink" Target="https://nogood.io/blog/global-marketing-agencies/" TargetMode="External"/><Relationship Id="rId650" Type="http://schemas.openxmlformats.org/officeDocument/2006/relationships/hyperlink" Target="https://avenuez.com/blog/top-answer-engine-optimization-aeo-agencies/" TargetMode="External"/><Relationship Id="rId1487" Type="http://schemas.openxmlformats.org/officeDocument/2006/relationships/hyperlink" Target="http://nogood.io" TargetMode="External"/><Relationship Id="rId689" Type="http://schemas.openxmlformats.org/officeDocument/2006/relationships/hyperlink" Target="https://www.lyfemarketing.com/blog/top-google-ads-agencies-us/" TargetMode="External"/><Relationship Id="rId688" Type="http://schemas.openxmlformats.org/officeDocument/2006/relationships/hyperlink" Target="http://lyfemarketing.com" TargetMode="External"/><Relationship Id="rId687" Type="http://schemas.openxmlformats.org/officeDocument/2006/relationships/hyperlink" Target="https://www.lyfemarketing.com/blog/top-advertising-agencies-us/" TargetMode="External"/><Relationship Id="rId682" Type="http://schemas.openxmlformats.org/officeDocument/2006/relationships/hyperlink" Target="https://improvado.io/blog/marketing-mix-modeling-providers" TargetMode="External"/><Relationship Id="rId681" Type="http://schemas.openxmlformats.org/officeDocument/2006/relationships/hyperlink" Target="http://hashmeta.com" TargetMode="External"/><Relationship Id="rId680" Type="http://schemas.openxmlformats.org/officeDocument/2006/relationships/hyperlink" Target="https://hashmeta.com/blog/10-best-aeo-geo-agencies-for-ai-search-optimization/" TargetMode="External"/><Relationship Id="rId686" Type="http://schemas.openxmlformats.org/officeDocument/2006/relationships/hyperlink" Target="http://iternal.ai" TargetMode="External"/><Relationship Id="rId685" Type="http://schemas.openxmlformats.org/officeDocument/2006/relationships/hyperlink" Target="https://iternal.ai/best-ai-consulting-firms" TargetMode="External"/><Relationship Id="rId684" Type="http://schemas.openxmlformats.org/officeDocument/2006/relationships/hyperlink" Target="https://inbeat.agency/blog/top-performance-creative-agencies" TargetMode="External"/><Relationship Id="rId683" Type="http://schemas.openxmlformats.org/officeDocument/2006/relationships/hyperlink" Target="http://improvado.io" TargetMode="External"/><Relationship Id="rId679" Type="http://schemas.openxmlformats.org/officeDocument/2006/relationships/hyperlink" Target="http://growwithvysta.com" TargetMode="External"/><Relationship Id="rId678" Type="http://schemas.openxmlformats.org/officeDocument/2006/relationships/hyperlink" Target="https://growwithvysta.com/blog/best-youtube-ads-agencies-in-the-us-2026/" TargetMode="External"/><Relationship Id="rId677" Type="http://schemas.openxmlformats.org/officeDocument/2006/relationships/hyperlink" Target="http://growthspreeofficial.com" TargetMode="External"/><Relationship Id="rId676" Type="http://schemas.openxmlformats.org/officeDocument/2006/relationships/hyperlink" Target="https://www.growthspreeofficial.com/blogs/top-5-agencies-best-for-large-scale-b2b-demand-generation" TargetMode="External"/><Relationship Id="rId671" Type="http://schemas.openxmlformats.org/officeDocument/2006/relationships/hyperlink" Target="http://directiveconsulting.com" TargetMode="External"/><Relationship Id="rId670" Type="http://schemas.openxmlformats.org/officeDocument/2006/relationships/hyperlink" Target="https://directiveconsulting.com/blog/best-programmatic-ad-agencies/" TargetMode="External"/><Relationship Id="rId675" Type="http://schemas.openxmlformats.org/officeDocument/2006/relationships/hyperlink" Target="http://equinoxitsol.com" TargetMode="External"/><Relationship Id="rId674" Type="http://schemas.openxmlformats.org/officeDocument/2006/relationships/hyperlink" Target="https://www.equinoxitsol.com/blog/top-10-performance-marketing-agencies-in-the-us/" TargetMode="External"/><Relationship Id="rId673" Type="http://schemas.openxmlformats.org/officeDocument/2006/relationships/hyperlink" Target="http://directiveconsulting.com" TargetMode="External"/><Relationship Id="rId672" Type="http://schemas.openxmlformats.org/officeDocument/2006/relationships/hyperlink" Target="https://directiveconsulting.com/blog/the-best-b2b-marketing-agencies-for-technology-companies-in-2026/" TargetMode="External"/><Relationship Id="rId190" Type="http://schemas.openxmlformats.org/officeDocument/2006/relationships/hyperlink" Target="http://qoulomb.com" TargetMode="External"/><Relationship Id="rId194" Type="http://schemas.openxmlformats.org/officeDocument/2006/relationships/hyperlink" Target="http://scopicstudios.com" TargetMode="External"/><Relationship Id="rId193" Type="http://schemas.openxmlformats.org/officeDocument/2006/relationships/hyperlink" Target="https://scopicstudios.com/blog/top-marketing-analytics-agencies/" TargetMode="External"/><Relationship Id="rId192" Type="http://schemas.openxmlformats.org/officeDocument/2006/relationships/hyperlink" Target="http://relevance.com" TargetMode="External"/><Relationship Id="rId191" Type="http://schemas.openxmlformats.org/officeDocument/2006/relationships/hyperlink" Target="https://www.relevance.com/2026-report-the-best-generative-engine-optimization-agencies/" TargetMode="External"/><Relationship Id="rId187" Type="http://schemas.openxmlformats.org/officeDocument/2006/relationships/hyperlink" Target="https://marketinginsidergroup.com/content-marketing/best-geo-aeo-agencies-in-us/" TargetMode="External"/><Relationship Id="rId186" Type="http://schemas.openxmlformats.org/officeDocument/2006/relationships/hyperlink" Target="http://hockeystack.com" TargetMode="External"/><Relationship Id="rId185" Type="http://schemas.openxmlformats.org/officeDocument/2006/relationships/hyperlink" Target="https://www.hockeystack.com/blog-posts/best-marketing-attribution-software" TargetMode="External"/><Relationship Id="rId184" Type="http://schemas.openxmlformats.org/officeDocument/2006/relationships/hyperlink" Target="http://digitalnomadshq.com.au" TargetMode="External"/><Relationship Id="rId189" Type="http://schemas.openxmlformats.org/officeDocument/2006/relationships/hyperlink" Target="https://qoulomb.com/best-ai-seo-agencies-in-the-usa/" TargetMode="External"/><Relationship Id="rId188" Type="http://schemas.openxmlformats.org/officeDocument/2006/relationships/hyperlink" Target="http://marketinginsidergroup.com" TargetMode="External"/><Relationship Id="rId183" Type="http://schemas.openxmlformats.org/officeDocument/2006/relationships/hyperlink" Target="https://digitalnomadshq.com.au/blog/marketing-agencies-usa/" TargetMode="External"/><Relationship Id="rId182" Type="http://schemas.openxmlformats.org/officeDocument/2006/relationships/hyperlink" Target="http://designrush.com" TargetMode="External"/><Relationship Id="rId181" Type="http://schemas.openxmlformats.org/officeDocument/2006/relationships/hyperlink" Target="https://www.designrush.com/agency/digital-marketing/artificial-intelligence" TargetMode="External"/><Relationship Id="rId180" Type="http://schemas.openxmlformats.org/officeDocument/2006/relationships/hyperlink" Target="http://andersoncollaborative.com" TargetMode="External"/><Relationship Id="rId176" Type="http://schemas.openxmlformats.org/officeDocument/2006/relationships/hyperlink" Target="http://agencyspotter.com" TargetMode="External"/><Relationship Id="rId175" Type="http://schemas.openxmlformats.org/officeDocument/2006/relationships/hyperlink" Target="https://www.agencyspotter.com/top/paid-search-and-paid-social-advertising" TargetMode="External"/><Relationship Id="rId174" Type="http://schemas.openxmlformats.org/officeDocument/2006/relationships/hyperlink" Target="http://agencycluster.com" TargetMode="External"/><Relationship Id="rId173" Type="http://schemas.openxmlformats.org/officeDocument/2006/relationships/hyperlink" Target="https://www.agencycluster.com/top-10/branding-creative-agencies" TargetMode="External"/><Relationship Id="rId179" Type="http://schemas.openxmlformats.org/officeDocument/2006/relationships/hyperlink" Target="https://www.andersoncollaborative.com/best-growth-marketing-agencies-in-the-united-states-accelerating-brand-expansion-through-innovative-strategies/" TargetMode="External"/><Relationship Id="rId178" Type="http://schemas.openxmlformats.org/officeDocument/2006/relationships/hyperlink" Target="http://aimerce.ai" TargetMode="External"/><Relationship Id="rId177" Type="http://schemas.openxmlformats.org/officeDocument/2006/relationships/hyperlink" Target="https://www.aimerce.ai/blogs/seo/top-5-incrementality-testing-tools-for-dtc-brands-in-2026" TargetMode="External"/><Relationship Id="rId198" Type="http://schemas.openxmlformats.org/officeDocument/2006/relationships/hyperlink" Target="http://stratabeat.com" TargetMode="External"/><Relationship Id="rId197" Type="http://schemas.openxmlformats.org/officeDocument/2006/relationships/hyperlink" Target="https://stratabeat.com/best-geo-agency/" TargetMode="External"/><Relationship Id="rId196" Type="http://schemas.openxmlformats.org/officeDocument/2006/relationships/hyperlink" Target="http://sociallyin.com" TargetMode="External"/><Relationship Id="rId195" Type="http://schemas.openxmlformats.org/officeDocument/2006/relationships/hyperlink" Target="https://sociallyin.com/resources/top-paid-social-agencies-us/" TargetMode="External"/><Relationship Id="rId199" Type="http://schemas.openxmlformats.org/officeDocument/2006/relationships/hyperlink" Target="https://www.thedrum.com/news/meet-the-us-agencies-with-the-biggest-increase-in-this-year-s-world-creative-rankings" TargetMode="External"/><Relationship Id="rId150" Type="http://schemas.openxmlformats.org/officeDocument/2006/relationships/hyperlink" Target="http://darkroomagency.com" TargetMode="External"/><Relationship Id="rId149" Type="http://schemas.openxmlformats.org/officeDocument/2006/relationships/hyperlink" Target="https://www.darkroomagency.com/observatory/the-12-top-rated-paid-media-agencies-this-year" TargetMode="External"/><Relationship Id="rId148" Type="http://schemas.openxmlformats.org/officeDocument/2006/relationships/hyperlink" Target="http://thatware.co" TargetMode="External"/><Relationship Id="rId143" Type="http://schemas.openxmlformats.org/officeDocument/2006/relationships/hyperlink" Target="https://www.leewayhertz.com/top-ai-consulting-companies/" TargetMode="External"/><Relationship Id="rId142" Type="http://schemas.openxmlformats.org/officeDocument/2006/relationships/hyperlink" Target="http://fahrenheitmarketing.com" TargetMode="External"/><Relationship Id="rId141" Type="http://schemas.openxmlformats.org/officeDocument/2006/relationships/hyperlink" Target="https://www.fahrenheitmarketing.com/services/strategy/top-10-marketing-agencies-usa/" TargetMode="External"/><Relationship Id="rId140" Type="http://schemas.openxmlformats.org/officeDocument/2006/relationships/hyperlink" Target="http://adbeacon.com" TargetMode="External"/><Relationship Id="rId147" Type="http://schemas.openxmlformats.org/officeDocument/2006/relationships/hyperlink" Target="https://thatware.co/10-best-aeo-companies-in-usa/" TargetMode="External"/><Relationship Id="rId146" Type="http://schemas.openxmlformats.org/officeDocument/2006/relationships/hyperlink" Target="http://nogood.io" TargetMode="External"/><Relationship Id="rId145" Type="http://schemas.openxmlformats.org/officeDocument/2006/relationships/hyperlink" Target="https://nogood.io/blog/ai-marketing-agency/" TargetMode="External"/><Relationship Id="rId144" Type="http://schemas.openxmlformats.org/officeDocument/2006/relationships/hyperlink" Target="http://leewayhertz.com" TargetMode="External"/><Relationship Id="rId139" Type="http://schemas.openxmlformats.org/officeDocument/2006/relationships/hyperlink" Target="https://www.adbeacon.com/7-best-marketing-attribution-tools-compared-2026/" TargetMode="External"/><Relationship Id="rId138" Type="http://schemas.openxmlformats.org/officeDocument/2006/relationships/hyperlink" Target="http://weareqry.com" TargetMode="External"/><Relationship Id="rId137" Type="http://schemas.openxmlformats.org/officeDocument/2006/relationships/hyperlink" Target="https://www.weareqry.com/blog/best-paid-media-agencies" TargetMode="External"/><Relationship Id="rId132" Type="http://schemas.openxmlformats.org/officeDocument/2006/relationships/hyperlink" Target="http://clicksgeek.com" TargetMode="External"/><Relationship Id="rId131" Type="http://schemas.openxmlformats.org/officeDocument/2006/relationships/hyperlink" Target="https://clicksgeek.com/marketing-attribution-tracking-services/" TargetMode="External"/><Relationship Id="rId130" Type="http://schemas.openxmlformats.org/officeDocument/2006/relationships/hyperlink" Target="http://adbeacon.com" TargetMode="External"/><Relationship Id="rId136" Type="http://schemas.openxmlformats.org/officeDocument/2006/relationships/hyperlink" Target="http://rzlt.io" TargetMode="External"/><Relationship Id="rId135" Type="http://schemas.openxmlformats.org/officeDocument/2006/relationships/hyperlink" Target="https://www.rzlt.io/blog/best-ai-marketing-agencies-in-2026-the-definitive-guide-by-specialty" TargetMode="External"/><Relationship Id="rId134" Type="http://schemas.openxmlformats.org/officeDocument/2006/relationships/hyperlink" Target="http://designrush.com" TargetMode="External"/><Relationship Id="rId133" Type="http://schemas.openxmlformats.org/officeDocument/2006/relationships/hyperlink" Target="https://www.designrush.com/agency/digital-marketing/performance-marketing-agencies" TargetMode="External"/><Relationship Id="rId172" Type="http://schemas.openxmlformats.org/officeDocument/2006/relationships/hyperlink" Target="http://thedigitalelevator.com" TargetMode="External"/><Relationship Id="rId171" Type="http://schemas.openxmlformats.org/officeDocument/2006/relationships/hyperlink" Target="https://thedigitalelevator.com/blog/best-generative-engine-optimization-geo-agencies/" TargetMode="External"/><Relationship Id="rId170" Type="http://schemas.openxmlformats.org/officeDocument/2006/relationships/hyperlink" Target="http://phosailabs.com" TargetMode="External"/><Relationship Id="rId165" Type="http://schemas.openxmlformats.org/officeDocument/2006/relationships/hyperlink" Target="https://marketingltb.com/blog/agency/best-display-ads-agencies/" TargetMode="External"/><Relationship Id="rId164" Type="http://schemas.openxmlformats.org/officeDocument/2006/relationships/hyperlink" Target="http://effectivesoft.com" TargetMode="External"/><Relationship Id="rId163" Type="http://schemas.openxmlformats.org/officeDocument/2006/relationships/hyperlink" Target="https://www.effectivesoft.com/blog/top-ai-consulting-companies-usa.html" TargetMode="External"/><Relationship Id="rId162" Type="http://schemas.openxmlformats.org/officeDocument/2006/relationships/hyperlink" Target="http://beomniscient.com" TargetMode="External"/><Relationship Id="rId169" Type="http://schemas.openxmlformats.org/officeDocument/2006/relationships/hyperlink" Target="https://phosailabs.com/blog/best-ai-consulting-firms-marketing-agencies" TargetMode="External"/><Relationship Id="rId168" Type="http://schemas.openxmlformats.org/officeDocument/2006/relationships/hyperlink" Target="http://mintcopywritingstudios.com" TargetMode="External"/><Relationship Id="rId167" Type="http://schemas.openxmlformats.org/officeDocument/2006/relationships/hyperlink" Target="https://www.mintcopywritingstudios.com/blog/ai-search-optimization-geo-agencies" TargetMode="External"/><Relationship Id="rId166" Type="http://schemas.openxmlformats.org/officeDocument/2006/relationships/hyperlink" Target="http://marketingltb.com" TargetMode="External"/><Relationship Id="rId161" Type="http://schemas.openxmlformats.org/officeDocument/2006/relationships/hyperlink" Target="https://beomniscient.com/blog/best-analytics-agency/" TargetMode="External"/><Relationship Id="rId160" Type="http://schemas.openxmlformats.org/officeDocument/2006/relationships/hyperlink" Target="http://webtonic.io" TargetMode="External"/><Relationship Id="rId159" Type="http://schemas.openxmlformats.org/officeDocument/2006/relationships/hyperlink" Target="https://www.webtonic.io/blog/top-display-advertising-agencies" TargetMode="External"/><Relationship Id="rId154" Type="http://schemas.openxmlformats.org/officeDocument/2006/relationships/hyperlink" Target="http://loudface.co" TargetMode="External"/><Relationship Id="rId153" Type="http://schemas.openxmlformats.org/officeDocument/2006/relationships/hyperlink" Target="https://www.loudface.co/blog/best-aeo-agencies-2026" TargetMode="External"/><Relationship Id="rId152" Type="http://schemas.openxmlformats.org/officeDocument/2006/relationships/hyperlink" Target="http://disruptiveadvertising.com" TargetMode="External"/><Relationship Id="rId151" Type="http://schemas.openxmlformats.org/officeDocument/2006/relationships/hyperlink" Target="https://disruptiveadvertising.com/blog/business/best-ppc-agencies-in-the-us/" TargetMode="External"/><Relationship Id="rId158" Type="http://schemas.openxmlformats.org/officeDocument/2006/relationships/hyperlink" Target="http://mightyandtrue.com" TargetMode="External"/><Relationship Id="rId157" Type="http://schemas.openxmlformats.org/officeDocument/2006/relationships/hyperlink" Target="https://mightyandtrue.com/insights/blog/best-ai-marketing-agencies/" TargetMode="External"/><Relationship Id="rId156" Type="http://schemas.openxmlformats.org/officeDocument/2006/relationships/hyperlink" Target="http://lyfemarketing.com" TargetMode="External"/><Relationship Id="rId155" Type="http://schemas.openxmlformats.org/officeDocument/2006/relationships/hyperlink" Target="https://www.lyfemarketing.com/blog/top-performance-marketing-agencies-us/" TargetMode="External"/><Relationship Id="rId1510" Type="http://schemas.openxmlformats.org/officeDocument/2006/relationships/hyperlink" Target="https://www.omnius.so/blog/marketing-agencies-for-small-businesses" TargetMode="External"/><Relationship Id="rId1511" Type="http://schemas.openxmlformats.org/officeDocument/2006/relationships/hyperlink" Target="http://omnius.so" TargetMode="External"/><Relationship Id="rId1512" Type="http://schemas.openxmlformats.org/officeDocument/2006/relationships/hyperlink" Target="https://onelittleweb.com/top-agencies/b2b-seo-agency/" TargetMode="External"/><Relationship Id="rId1513" Type="http://schemas.openxmlformats.org/officeDocument/2006/relationships/hyperlink" Target="http://onelittleweb.com" TargetMode="External"/><Relationship Id="rId1514" Type="http://schemas.openxmlformats.org/officeDocument/2006/relationships/hyperlink" Target="https://onelittleweb.com/top-agencies/top-ai-seo-agencies/" TargetMode="External"/><Relationship Id="rId1515" Type="http://schemas.openxmlformats.org/officeDocument/2006/relationships/hyperlink" Target="http://onelittleweb.com" TargetMode="External"/><Relationship Id="rId1516" Type="http://schemas.openxmlformats.org/officeDocument/2006/relationships/hyperlink" Target="https://www.onely.com/blog/best-geo-agencies-for-enterprise-brands/" TargetMode="External"/><Relationship Id="rId1517" Type="http://schemas.openxmlformats.org/officeDocument/2006/relationships/hyperlink" Target="http://onely.com" TargetMode="External"/><Relationship Id="rId1518" Type="http://schemas.openxmlformats.org/officeDocument/2006/relationships/hyperlink" Target="https://onlineoptimism.com/learn/the-best-aeo-agencies-for-b2b-companies/" TargetMode="External"/><Relationship Id="rId1519" Type="http://schemas.openxmlformats.org/officeDocument/2006/relationships/hyperlink" Target="http://onlineoptimism.com" TargetMode="External"/><Relationship Id="rId1500" Type="http://schemas.openxmlformats.org/officeDocument/2006/relationships/hyperlink" Target="https://oakpool.xyz/drift/top-10-geo-aeo-ai-search-agencies/" TargetMode="External"/><Relationship Id="rId1501" Type="http://schemas.openxmlformats.org/officeDocument/2006/relationships/hyperlink" Target="http://oakpool.xyz" TargetMode="External"/><Relationship Id="rId1502" Type="http://schemas.openxmlformats.org/officeDocument/2006/relationships/hyperlink" Target="https://www.omdena.com/blog/ai-agent-development-companies" TargetMode="External"/><Relationship Id="rId1503" Type="http://schemas.openxmlformats.org/officeDocument/2006/relationships/hyperlink" Target="http://omdena.com" TargetMode="External"/><Relationship Id="rId1504" Type="http://schemas.openxmlformats.org/officeDocument/2006/relationships/hyperlink" Target="https://www.omnibound.ai/blog/first-party-data-statistics" TargetMode="External"/><Relationship Id="rId1505" Type="http://schemas.openxmlformats.org/officeDocument/2006/relationships/hyperlink" Target="http://omnibound.ai" TargetMode="External"/><Relationship Id="rId1506" Type="http://schemas.openxmlformats.org/officeDocument/2006/relationships/hyperlink" Target="https://www.omnius.so/blog/best-answer-engine-optimization-agencies" TargetMode="External"/><Relationship Id="rId1507" Type="http://schemas.openxmlformats.org/officeDocument/2006/relationships/hyperlink" Target="http://omnius.so" TargetMode="External"/><Relationship Id="rId1508" Type="http://schemas.openxmlformats.org/officeDocument/2006/relationships/hyperlink" Target="https://www.omnius.so/blog/best-geo-agencies" TargetMode="External"/><Relationship Id="rId1509" Type="http://schemas.openxmlformats.org/officeDocument/2006/relationships/hyperlink" Target="http://omnius.so" TargetMode="External"/><Relationship Id="rId1576" Type="http://schemas.openxmlformats.org/officeDocument/2006/relationships/hyperlink" Target="https://www.rankshift.ai/blog/generative-engine-optimization-tools/" TargetMode="External"/><Relationship Id="rId1577" Type="http://schemas.openxmlformats.org/officeDocument/2006/relationships/hyperlink" Target="http://rankshift.ai" TargetMode="External"/><Relationship Id="rId1578" Type="http://schemas.openxmlformats.org/officeDocument/2006/relationships/hyperlink" Target="https://ranktix.co.uk/best-answer-engine-optimization-tools/" TargetMode="External"/><Relationship Id="rId1579" Type="http://schemas.openxmlformats.org/officeDocument/2006/relationships/hyperlink" Target="http://ranktix.co.uk" TargetMode="External"/><Relationship Id="rId987" Type="http://schemas.openxmlformats.org/officeDocument/2006/relationships/hyperlink" Target="https://worldmetrics.org/service/full-digital-marketing/" TargetMode="External"/><Relationship Id="rId986" Type="http://schemas.openxmlformats.org/officeDocument/2006/relationships/hyperlink" Target="http://worldmetrics.org" TargetMode="External"/><Relationship Id="rId985" Type="http://schemas.openxmlformats.org/officeDocument/2006/relationships/hyperlink" Target="https://worldmetrics.org/service/creative-marketing/" TargetMode="External"/><Relationship Id="rId984" Type="http://schemas.openxmlformats.org/officeDocument/2006/relationships/hyperlink" Target="http://wolfable.com" TargetMode="External"/><Relationship Id="rId989" Type="http://schemas.openxmlformats.org/officeDocument/2006/relationships/hyperlink" Target="https://xchange.avixa.org/posts/top-10-digital-marketing-companies-in-the-usa-for-2026" TargetMode="External"/><Relationship Id="rId988" Type="http://schemas.openxmlformats.org/officeDocument/2006/relationships/hyperlink" Target="http://worldmetrics.org" TargetMode="External"/><Relationship Id="rId1570" Type="http://schemas.openxmlformats.org/officeDocument/2006/relationships/hyperlink" Target="https://www.quoleady.com/aeo-agencies/" TargetMode="External"/><Relationship Id="rId1571" Type="http://schemas.openxmlformats.org/officeDocument/2006/relationships/hyperlink" Target="http://quoleady.com" TargetMode="External"/><Relationship Id="rId983" Type="http://schemas.openxmlformats.org/officeDocument/2006/relationships/hyperlink" Target="https://wolfable.com/best-creative-agencies/" TargetMode="External"/><Relationship Id="rId1572" Type="http://schemas.openxmlformats.org/officeDocument/2006/relationships/hyperlink" Target="https://www.ramotion.com/blog/top-branding-agencies/" TargetMode="External"/><Relationship Id="rId982" Type="http://schemas.openxmlformats.org/officeDocument/2006/relationships/hyperlink" Target="https://wildnetmarketing.agency/blog/top-digital-marketing-companies-list/" TargetMode="External"/><Relationship Id="rId1573" Type="http://schemas.openxmlformats.org/officeDocument/2006/relationships/hyperlink" Target="http://ramotion.com" TargetMode="External"/><Relationship Id="rId981" Type="http://schemas.openxmlformats.org/officeDocument/2006/relationships/hyperlink" Target="http://webtonic.io" TargetMode="External"/><Relationship Id="rId1574" Type="http://schemas.openxmlformats.org/officeDocument/2006/relationships/hyperlink" Target="https://rankai.ai/articles/best-geo-agencies" TargetMode="External"/><Relationship Id="rId980" Type="http://schemas.openxmlformats.org/officeDocument/2006/relationships/hyperlink" Target="https://www.webtonic.io/blog/top-web-analytics-agencies" TargetMode="External"/><Relationship Id="rId1575" Type="http://schemas.openxmlformats.org/officeDocument/2006/relationships/hyperlink" Target="http://rankai.ai" TargetMode="External"/><Relationship Id="rId1565" Type="http://schemas.openxmlformats.org/officeDocument/2006/relationships/hyperlink" Target="http://provokemedia.com" TargetMode="External"/><Relationship Id="rId1566" Type="http://schemas.openxmlformats.org/officeDocument/2006/relationships/hyperlink" Target="https://punchcut.com/perspectives/best-ai-design-agencies/" TargetMode="External"/><Relationship Id="rId1567" Type="http://schemas.openxmlformats.org/officeDocument/2006/relationships/hyperlink" Target="http://punchcut.com" TargetMode="External"/><Relationship Id="rId1568" Type="http://schemas.openxmlformats.org/officeDocument/2006/relationships/hyperlink" Target="https://www.q3tech.com/blogs/ai-agent-development-companies-in-usa/" TargetMode="External"/><Relationship Id="rId1569" Type="http://schemas.openxmlformats.org/officeDocument/2006/relationships/hyperlink" Target="http://q3tech.com" TargetMode="External"/><Relationship Id="rId976" Type="http://schemas.openxmlformats.org/officeDocument/2006/relationships/hyperlink" Target="https://www.webtonic.io/blog/top-ai-marketing-agencies" TargetMode="External"/><Relationship Id="rId975" Type="http://schemas.openxmlformats.org/officeDocument/2006/relationships/hyperlink" Target="http://webtonic.io" TargetMode="External"/><Relationship Id="rId974" Type="http://schemas.openxmlformats.org/officeDocument/2006/relationships/hyperlink" Target="https://www.webtonic.io/blog/best-performance-marketing-agencies" TargetMode="External"/><Relationship Id="rId973" Type="http://schemas.openxmlformats.org/officeDocument/2006/relationships/hyperlink" Target="http://webfx.com" TargetMode="External"/><Relationship Id="rId979" Type="http://schemas.openxmlformats.org/officeDocument/2006/relationships/hyperlink" Target="http://webtonic.io" TargetMode="External"/><Relationship Id="rId978" Type="http://schemas.openxmlformats.org/officeDocument/2006/relationships/hyperlink" Target="https://www.webtonic.io/blog/top-programmatic-advertising-agencies" TargetMode="External"/><Relationship Id="rId977" Type="http://schemas.openxmlformats.org/officeDocument/2006/relationships/hyperlink" Target="http://webtonic.io" TargetMode="External"/><Relationship Id="rId1560" Type="http://schemas.openxmlformats.org/officeDocument/2006/relationships/hyperlink" Target="https://projectmanagers.net/top-a-b-testing-agencies-delivering-proven-results/" TargetMode="External"/><Relationship Id="rId972" Type="http://schemas.openxmlformats.org/officeDocument/2006/relationships/hyperlink" Target="https://www.webfx.com/ppc/learn/google-partner-agency/" TargetMode="External"/><Relationship Id="rId1561" Type="http://schemas.openxmlformats.org/officeDocument/2006/relationships/hyperlink" Target="http://projectmanagers.net" TargetMode="External"/><Relationship Id="rId971" Type="http://schemas.openxmlformats.org/officeDocument/2006/relationships/hyperlink" Target="http://webfx.com" TargetMode="External"/><Relationship Id="rId1562" Type="http://schemas.openxmlformats.org/officeDocument/2006/relationships/hyperlink" Target="https://www.promodo.com/blog/best-geo-agencies" TargetMode="External"/><Relationship Id="rId970" Type="http://schemas.openxmlformats.org/officeDocument/2006/relationships/hyperlink" Target="https://www.webfx.com/blog/ai/best-geo-agencies/" TargetMode="External"/><Relationship Id="rId1563" Type="http://schemas.openxmlformats.org/officeDocument/2006/relationships/hyperlink" Target="http://promodo.com" TargetMode="External"/><Relationship Id="rId1564" Type="http://schemas.openxmlformats.org/officeDocument/2006/relationships/hyperlink" Target="https://www.provokemedia.com/ranking-and-data/global-pr-agency-rankings/2025-pr-agency-rankings/top-250" TargetMode="External"/><Relationship Id="rId1598" Type="http://schemas.openxmlformats.org/officeDocument/2006/relationships/hyperlink" Target="https://www.responsify.com/b2b-content-marketing-agencies" TargetMode="External"/><Relationship Id="rId1599" Type="http://schemas.openxmlformats.org/officeDocument/2006/relationships/hyperlink" Target="http://responsify.com" TargetMode="External"/><Relationship Id="rId1590" Type="http://schemas.openxmlformats.org/officeDocument/2006/relationships/hyperlink" Target="https://www.rebootonline.com/data-marketing/best-data-marketing-agencies/" TargetMode="External"/><Relationship Id="rId1591" Type="http://schemas.openxmlformats.org/officeDocument/2006/relationships/hyperlink" Target="http://rebootonline.com" TargetMode="External"/><Relationship Id="rId1592" Type="http://schemas.openxmlformats.org/officeDocument/2006/relationships/hyperlink" Target="https://www.rebootonline.com/seo/best-seo-agencies/" TargetMode="External"/><Relationship Id="rId1593" Type="http://schemas.openxmlformats.org/officeDocument/2006/relationships/hyperlink" Target="http://rebootonline.com" TargetMode="External"/><Relationship Id="rId1594" Type="http://schemas.openxmlformats.org/officeDocument/2006/relationships/hyperlink" Target="https://red-engage.com/blog/best-ai-seo-agencies" TargetMode="External"/><Relationship Id="rId1595" Type="http://schemas.openxmlformats.org/officeDocument/2006/relationships/hyperlink" Target="http://red-engage.com" TargetMode="External"/><Relationship Id="rId1596" Type="http://schemas.openxmlformats.org/officeDocument/2006/relationships/hyperlink" Target="https://www.redcubedigital.com/blog/what-makes-a-good-digital-marketing-agency-stand-out-from-the-rest/?srsltid=AfmBOopgDFexWeUnEVvdyjTw74fggMn1x6hFr0gGxI7ClMpnUl40GA8K" TargetMode="External"/><Relationship Id="rId1597" Type="http://schemas.openxmlformats.org/officeDocument/2006/relationships/hyperlink" Target="http://redcubedigital.com" TargetMode="External"/><Relationship Id="rId1587" Type="http://schemas.openxmlformats.org/officeDocument/2006/relationships/hyperlink" Target="http://rankz.co" TargetMode="External"/><Relationship Id="rId1588" Type="http://schemas.openxmlformats.org/officeDocument/2006/relationships/hyperlink" Target="https://rankz.co/blog/top-ai-marketing-agencies/" TargetMode="External"/><Relationship Id="rId1589" Type="http://schemas.openxmlformats.org/officeDocument/2006/relationships/hyperlink" Target="http://rankz.co" TargetMode="External"/><Relationship Id="rId998" Type="http://schemas.openxmlformats.org/officeDocument/2006/relationships/hyperlink" Target="http://zipdo.co" TargetMode="External"/><Relationship Id="rId997" Type="http://schemas.openxmlformats.org/officeDocument/2006/relationships/hyperlink" Target="https://zipdo.co/service/marketing-attribution/" TargetMode="External"/><Relationship Id="rId996" Type="http://schemas.openxmlformats.org/officeDocument/2006/relationships/hyperlink" Target="http://zipdo.co" TargetMode="External"/><Relationship Id="rId995" Type="http://schemas.openxmlformats.org/officeDocument/2006/relationships/hyperlink" Target="https://zipdo.co/service/agency-digital-marketing/" TargetMode="External"/><Relationship Id="rId999" Type="http://schemas.openxmlformats.org/officeDocument/2006/relationships/hyperlink" Target="https://www.20northmarketing.com/blog/best-marketing-agencies-atlanta" TargetMode="External"/><Relationship Id="rId990" Type="http://schemas.openxmlformats.org/officeDocument/2006/relationships/hyperlink" Target="http://avixa.org" TargetMode="External"/><Relationship Id="rId1580" Type="http://schemas.openxmlformats.org/officeDocument/2006/relationships/hyperlink" Target="https://www.ranktracker.com/blog/best-aiseo-agencies/" TargetMode="External"/><Relationship Id="rId1581" Type="http://schemas.openxmlformats.org/officeDocument/2006/relationships/hyperlink" Target="http://ranktracker.com" TargetMode="External"/><Relationship Id="rId1582" Type="http://schemas.openxmlformats.org/officeDocument/2006/relationships/hyperlink" Target="https://www.ranktracker.com/blog/generative-engine-optimization-agencies/" TargetMode="External"/><Relationship Id="rId994" Type="http://schemas.openxmlformats.org/officeDocument/2006/relationships/hyperlink" Target="http://zipdo.co" TargetMode="External"/><Relationship Id="rId1583" Type="http://schemas.openxmlformats.org/officeDocument/2006/relationships/hyperlink" Target="http://ranktracker.com" TargetMode="External"/><Relationship Id="rId993" Type="http://schemas.openxmlformats.org/officeDocument/2006/relationships/hyperlink" Target="https://zipdo.co/service/advertising-and-marketing/" TargetMode="External"/><Relationship Id="rId1584" Type="http://schemas.openxmlformats.org/officeDocument/2006/relationships/hyperlink" Target="https://rankz.co/blog/best-agencies-for-ai-search-optimization/" TargetMode="External"/><Relationship Id="rId992" Type="http://schemas.openxmlformats.org/officeDocument/2006/relationships/hyperlink" Target="http://youtube.com" TargetMode="External"/><Relationship Id="rId1585" Type="http://schemas.openxmlformats.org/officeDocument/2006/relationships/hyperlink" Target="http://rankz.co" TargetMode="External"/><Relationship Id="rId991" Type="http://schemas.openxmlformats.org/officeDocument/2006/relationships/hyperlink" Target="https://www.youtube.com/watch?v=OR58Odpst7Q" TargetMode="External"/><Relationship Id="rId1586" Type="http://schemas.openxmlformats.org/officeDocument/2006/relationships/hyperlink" Target="https://rankz.co/blog/best-ai-marketing-agencies/" TargetMode="External"/><Relationship Id="rId1532" Type="http://schemas.openxmlformats.org/officeDocument/2006/relationships/hyperlink" Target="http://outreachz.com" TargetMode="External"/><Relationship Id="rId1533" Type="http://schemas.openxmlformats.org/officeDocument/2006/relationships/hyperlink" Target="https://www.outsourceaccelerator.com/guide/top-digital-marketing-companies-in-the-us/" TargetMode="External"/><Relationship Id="rId1534" Type="http://schemas.openxmlformats.org/officeDocument/2006/relationships/hyperlink" Target="http://outsourceaccelerator.com" TargetMode="External"/><Relationship Id="rId1535" Type="http://schemas.openxmlformats.org/officeDocument/2006/relationships/hyperlink" Target="https://www.patientprism.com/blog/best-marketing-attribution-tools-healthcare/" TargetMode="External"/><Relationship Id="rId1536" Type="http://schemas.openxmlformats.org/officeDocument/2006/relationships/hyperlink" Target="http://patientprism.com" TargetMode="External"/><Relationship Id="rId1537" Type="http://schemas.openxmlformats.org/officeDocument/2006/relationships/hyperlink" Target="https://pearllemonleads.com/top-10-lead-generation-companies/" TargetMode="External"/><Relationship Id="rId1538" Type="http://schemas.openxmlformats.org/officeDocument/2006/relationships/hyperlink" Target="http://pearllemonleads.com" TargetMode="External"/><Relationship Id="rId1539" Type="http://schemas.openxmlformats.org/officeDocument/2006/relationships/hyperlink" Target="https://www.pedowitzgroup.com/blog/best-revenue-marketing-consulting-firms-for-fortune-1000-enterprises?hs_amp=true" TargetMode="External"/><Relationship Id="rId949" Type="http://schemas.openxmlformats.org/officeDocument/2006/relationships/hyperlink" Target="http://thedrum.com" TargetMode="External"/><Relationship Id="rId948" Type="http://schemas.openxmlformats.org/officeDocument/2006/relationships/hyperlink" Target="https://www.thedrum.com/news/world-creative-rankings-the-top-holding-companies-and-best-agency-networks-the" TargetMode="External"/><Relationship Id="rId943" Type="http://schemas.openxmlformats.org/officeDocument/2006/relationships/hyperlink" Target="http://silverspoonagency.com" TargetMode="External"/><Relationship Id="rId942" Type="http://schemas.openxmlformats.org/officeDocument/2006/relationships/hyperlink" Target="https://silverspoonagency.com/best-performance-marketing-agencies/" TargetMode="External"/><Relationship Id="rId941" Type="http://schemas.openxmlformats.org/officeDocument/2006/relationships/hyperlink" Target="http://silverbackstrategies.com" TargetMode="External"/><Relationship Id="rId940" Type="http://schemas.openxmlformats.org/officeDocument/2006/relationships/hyperlink" Target="https://www.silverbackstrategies.com/lists/best-ppc-agencies-in-the-us-ranked-reviewed/" TargetMode="External"/><Relationship Id="rId947" Type="http://schemas.openxmlformats.org/officeDocument/2006/relationships/hyperlink" Target="http://thedrum.com" TargetMode="External"/><Relationship Id="rId946" Type="http://schemas.openxmlformats.org/officeDocument/2006/relationships/hyperlink" Target="https://www.thedrum.com/news/world-creative-rankings-the-most-awarded-us-ad-agencies-the-last-12-months" TargetMode="External"/><Relationship Id="rId945" Type="http://schemas.openxmlformats.org/officeDocument/2006/relationships/hyperlink" Target="http://superside.com" TargetMode="External"/><Relationship Id="rId944" Type="http://schemas.openxmlformats.org/officeDocument/2006/relationships/hyperlink" Target="https://www.superside.com/blog/marketing-design-services" TargetMode="External"/><Relationship Id="rId1530" Type="http://schemas.openxmlformats.org/officeDocument/2006/relationships/hyperlink" Target="http://outpaceseo.com" TargetMode="External"/><Relationship Id="rId1531" Type="http://schemas.openxmlformats.org/officeDocument/2006/relationships/hyperlink" Target="https://outreachz.com/blog/10-best-ai-seo-agencies-in-2026/" TargetMode="External"/><Relationship Id="rId1521" Type="http://schemas.openxmlformats.org/officeDocument/2006/relationships/hyperlink" Target="http://openmoves.com" TargetMode="External"/><Relationship Id="rId1522" Type="http://schemas.openxmlformats.org/officeDocument/2006/relationships/hyperlink" Target="https://www.opinosis-analytics.com/blog/best-ai-consulting-firms/" TargetMode="External"/><Relationship Id="rId1523" Type="http://schemas.openxmlformats.org/officeDocument/2006/relationships/hyperlink" Target="http://opinosis-analytics.com" TargetMode="External"/><Relationship Id="rId1524" Type="http://schemas.openxmlformats.org/officeDocument/2006/relationships/hyperlink" Target="https://orm-tech.com/blog/best-marketing-attribution-software/" TargetMode="External"/><Relationship Id="rId1525" Type="http://schemas.openxmlformats.org/officeDocument/2006/relationships/hyperlink" Target="http://orm-tech.com" TargetMode="External"/><Relationship Id="rId1526" Type="http://schemas.openxmlformats.org/officeDocument/2006/relationships/hyperlink" Target="https://oski.site/blog/sales-and-marketing-analytics-usa/" TargetMode="External"/><Relationship Id="rId1527" Type="http://schemas.openxmlformats.org/officeDocument/2006/relationships/hyperlink" Target="https://ossisto.com/blog/display-advertising-companies/" TargetMode="External"/><Relationship Id="rId1528" Type="http://schemas.openxmlformats.org/officeDocument/2006/relationships/hyperlink" Target="http://ossisto.com" TargetMode="External"/><Relationship Id="rId1529" Type="http://schemas.openxmlformats.org/officeDocument/2006/relationships/hyperlink" Target="https://outpaceseo.com/article/best-seo-agencies/" TargetMode="External"/><Relationship Id="rId939" Type="http://schemas.openxmlformats.org/officeDocument/2006/relationships/hyperlink" Target="http://shopiator.com" TargetMode="External"/><Relationship Id="rId938" Type="http://schemas.openxmlformats.org/officeDocument/2006/relationships/hyperlink" Target="https://shopiator.com/blog/best-google-ads-agencies-usa" TargetMode="External"/><Relationship Id="rId937" Type="http://schemas.openxmlformats.org/officeDocument/2006/relationships/hyperlink" Target="http://seodiscovery.com" TargetMode="External"/><Relationship Id="rId932" Type="http://schemas.openxmlformats.org/officeDocument/2006/relationships/hyperlink" Target="https://semnexus.com/best-aeo-agencies-in-the-us-for-2026/" TargetMode="External"/><Relationship Id="rId931" Type="http://schemas.openxmlformats.org/officeDocument/2006/relationships/hyperlink" Target="http://saas-hackers.com" TargetMode="External"/><Relationship Id="rId930" Type="http://schemas.openxmlformats.org/officeDocument/2006/relationships/hyperlink" Target="https://www.saas-hackers.com/top/b2b-saas-enterprise-agencies" TargetMode="External"/><Relationship Id="rId936" Type="http://schemas.openxmlformats.org/officeDocument/2006/relationships/hyperlink" Target="https://www.seodiscovery.com/blog/best-digital-marketing-companies-in-usa/" TargetMode="External"/><Relationship Id="rId935" Type="http://schemas.openxmlformats.org/officeDocument/2006/relationships/hyperlink" Target="http://seo.com" TargetMode="External"/><Relationship Id="rId934" Type="http://schemas.openxmlformats.org/officeDocument/2006/relationships/hyperlink" Target="https://www.seo.com/ai/companies/" TargetMode="External"/><Relationship Id="rId933" Type="http://schemas.openxmlformats.org/officeDocument/2006/relationships/hyperlink" Target="http://semnexus.com" TargetMode="External"/><Relationship Id="rId1520" Type="http://schemas.openxmlformats.org/officeDocument/2006/relationships/hyperlink" Target="https://openmoves.com/blog/the-50-best-b2b-social-media-companies/" TargetMode="External"/><Relationship Id="rId1554" Type="http://schemas.openxmlformats.org/officeDocument/2006/relationships/hyperlink" Target="https://powerdigitalmarketing.com/blog/best-digital-marketing-agency/" TargetMode="External"/><Relationship Id="rId1555" Type="http://schemas.openxmlformats.org/officeDocument/2006/relationships/hyperlink" Target="http://powerdigitalmarketing.com" TargetMode="External"/><Relationship Id="rId1556" Type="http://schemas.openxmlformats.org/officeDocument/2006/relationships/hyperlink" Target="https://www.pravaahconsulting.com/post/agentic-ai-development-companies" TargetMode="External"/><Relationship Id="rId1557" Type="http://schemas.openxmlformats.org/officeDocument/2006/relationships/hyperlink" Target="http://pravaahconsulting.com" TargetMode="External"/><Relationship Id="rId1558" Type="http://schemas.openxmlformats.org/officeDocument/2006/relationships/hyperlink" Target="https://prerender.io/blog/best-technical-geo-and-ai-se-tools/" TargetMode="External"/><Relationship Id="rId1559" Type="http://schemas.openxmlformats.org/officeDocument/2006/relationships/hyperlink" Target="http://prerender.io" TargetMode="External"/><Relationship Id="rId965" Type="http://schemas.openxmlformats.org/officeDocument/2006/relationships/hyperlink" Target="http://usanews.com" TargetMode="External"/><Relationship Id="rId964" Type="http://schemas.openxmlformats.org/officeDocument/2006/relationships/hyperlink" Target="https://usanews.com/newsroom/top-digital-marketing-agencies-in-the-united-states" TargetMode="External"/><Relationship Id="rId963" Type="http://schemas.openxmlformats.org/officeDocument/2006/relationships/hyperlink" Target="http://uforocks.com" TargetMode="External"/><Relationship Id="rId962" Type="http://schemas.openxmlformats.org/officeDocument/2006/relationships/hyperlink" Target="https://www.uforocks.com/blog/top-ai-seo-agencies-in-the-u-s/" TargetMode="External"/><Relationship Id="rId969" Type="http://schemas.openxmlformats.org/officeDocument/2006/relationships/hyperlink" Target="http://warroominc.com" TargetMode="External"/><Relationship Id="rId968" Type="http://schemas.openxmlformats.org/officeDocument/2006/relationships/hyperlink" Target="https://www.warroominc.com/blog/best-programmatic-advertising-agencies/" TargetMode="External"/><Relationship Id="rId967" Type="http://schemas.openxmlformats.org/officeDocument/2006/relationships/hyperlink" Target="http://valasys.com" TargetMode="External"/><Relationship Id="rId966" Type="http://schemas.openxmlformats.org/officeDocument/2006/relationships/hyperlink" Target="https://valasys.com/best-aeo-agencies-b2b-brands/" TargetMode="External"/><Relationship Id="rId961" Type="http://schemas.openxmlformats.org/officeDocument/2006/relationships/hyperlink" Target="http://uforocks.com" TargetMode="External"/><Relationship Id="rId1550" Type="http://schemas.openxmlformats.org/officeDocument/2006/relationships/hyperlink" Target="http://plerdy.com" TargetMode="External"/><Relationship Id="rId960" Type="http://schemas.openxmlformats.org/officeDocument/2006/relationships/hyperlink" Target="https://www.uforocks.com/blog/50-digital-marketing-agencies-in-the-us/" TargetMode="External"/><Relationship Id="rId1551" Type="http://schemas.openxmlformats.org/officeDocument/2006/relationships/hyperlink" Target="https://www.plerdy.com/blog/social-media-marketing-agencies/" TargetMode="External"/><Relationship Id="rId1552" Type="http://schemas.openxmlformats.org/officeDocument/2006/relationships/hyperlink" Target="http://plerdy.com" TargetMode="External"/><Relationship Id="rId1553" Type="http://schemas.openxmlformats.org/officeDocument/2006/relationships/hyperlink" Target="https://www.portofino.marketing/client-portfolio.html" TargetMode="External"/><Relationship Id="rId1543" Type="http://schemas.openxmlformats.org/officeDocument/2006/relationships/hyperlink" Target="https://pipeline.zoominfo.com/marketing/digital-marketing-tools" TargetMode="External"/><Relationship Id="rId1544" Type="http://schemas.openxmlformats.org/officeDocument/2006/relationships/hyperlink" Target="http://zoominfo.com" TargetMode="External"/><Relationship Id="rId1545" Type="http://schemas.openxmlformats.org/officeDocument/2006/relationships/hyperlink" Target="https://www.pitchkitchen.com/best-ai-sales-marketing-agencies" TargetMode="External"/><Relationship Id="rId1546" Type="http://schemas.openxmlformats.org/officeDocument/2006/relationships/hyperlink" Target="http://pitchkitchen.com" TargetMode="External"/><Relationship Id="rId1547" Type="http://schemas.openxmlformats.org/officeDocument/2006/relationships/hyperlink" Target="https://www.pleiadesconsultancy.com/blog/best-ai-search-agencies-2026" TargetMode="External"/><Relationship Id="rId1548" Type="http://schemas.openxmlformats.org/officeDocument/2006/relationships/hyperlink" Target="http://pleiadesconsultancy.com" TargetMode="External"/><Relationship Id="rId1549" Type="http://schemas.openxmlformats.org/officeDocument/2006/relationships/hyperlink" Target="https://www.plerdy.com/blog/performance-marketing/" TargetMode="External"/><Relationship Id="rId959" Type="http://schemas.openxmlformats.org/officeDocument/2006/relationships/hyperlink" Target="http://tryxlr8.ai" TargetMode="External"/><Relationship Id="rId954" Type="http://schemas.openxmlformats.org/officeDocument/2006/relationships/hyperlink" Target="https://thriveagency.com/news/best-ppc-companies/" TargetMode="External"/><Relationship Id="rId953" Type="http://schemas.openxmlformats.org/officeDocument/2006/relationships/hyperlink" Target="http://thriveagency.com" TargetMode="External"/><Relationship Id="rId952" Type="http://schemas.openxmlformats.org/officeDocument/2006/relationships/hyperlink" Target="https://thriveagency.com/news/best-ai-seo-agencies/" TargetMode="External"/><Relationship Id="rId951" Type="http://schemas.openxmlformats.org/officeDocument/2006/relationships/hyperlink" Target="http://themarketingagency.ca" TargetMode="External"/><Relationship Id="rId958" Type="http://schemas.openxmlformats.org/officeDocument/2006/relationships/hyperlink" Target="https://tryxlr8.ai/blogs/best-generative-engine-optimization-agencies" TargetMode="External"/><Relationship Id="rId957" Type="http://schemas.openxmlformats.org/officeDocument/2006/relationships/hyperlink" Target="http://topbrandingagencies.io" TargetMode="External"/><Relationship Id="rId956" Type="http://schemas.openxmlformats.org/officeDocument/2006/relationships/hyperlink" Target="https://www.topbrandingagencies.io/top-branding-agencies-in-america" TargetMode="External"/><Relationship Id="rId955" Type="http://schemas.openxmlformats.org/officeDocument/2006/relationships/hyperlink" Target="http://thriveagency.com" TargetMode="External"/><Relationship Id="rId950" Type="http://schemas.openxmlformats.org/officeDocument/2006/relationships/hyperlink" Target="https://themarketingagency.ca/blog/top-creative-agencies-growth/" TargetMode="External"/><Relationship Id="rId1540" Type="http://schemas.openxmlformats.org/officeDocument/2006/relationships/hyperlink" Target="http://pedowitzgroup.com" TargetMode="External"/><Relationship Id="rId1541" Type="http://schemas.openxmlformats.org/officeDocument/2006/relationships/hyperlink" Target="https://www.phable.io/top-creative-agencies/leading-creative-agencies-in-new-york-masters-of-branding-content-creation-and-digital-innovation" TargetMode="External"/><Relationship Id="rId1542" Type="http://schemas.openxmlformats.org/officeDocument/2006/relationships/hyperlink" Target="http://phable.io" TargetMode="External"/><Relationship Id="rId107" Type="http://schemas.openxmlformats.org/officeDocument/2006/relationships/hyperlink" Target="https://www.yesoptimist.com/best-ai-seo-agencies/" TargetMode="External"/><Relationship Id="rId106" Type="http://schemas.openxmlformats.org/officeDocument/2006/relationships/hyperlink" Target="http://thriveagency.com" TargetMode="External"/><Relationship Id="rId105" Type="http://schemas.openxmlformats.org/officeDocument/2006/relationships/hyperlink" Target="https://thriveagency.com/news/top-generative-engine-optimization-geo-agencies/" TargetMode="External"/><Relationship Id="rId104" Type="http://schemas.openxmlformats.org/officeDocument/2006/relationships/hyperlink" Target="http://silverbackstrategies.com" TargetMode="External"/><Relationship Id="rId109" Type="http://schemas.openxmlformats.org/officeDocument/2006/relationships/hyperlink" Target="https://www.growthspreeofficial.com/blogs/top-6-ai-powered-b2b-saas-marketing-agencies-in-the-united-states-2026" TargetMode="External"/><Relationship Id="rId108" Type="http://schemas.openxmlformats.org/officeDocument/2006/relationships/hyperlink" Target="http://yesoptimist.com" TargetMode="External"/><Relationship Id="rId103" Type="http://schemas.openxmlformats.org/officeDocument/2006/relationships/hyperlink" Target="https://www.silverbackstrategies.com/lists/best-ai-search-agencies-in-2026-ranked-reviewed/" TargetMode="External"/><Relationship Id="rId102" Type="http://schemas.openxmlformats.org/officeDocument/2006/relationships/hyperlink" Target="http://rankshift.ai" TargetMode="External"/><Relationship Id="rId101" Type="http://schemas.openxmlformats.org/officeDocument/2006/relationships/hyperlink" Target="https://www.rankshift.ai/blog/best-geo-agencies/" TargetMode="External"/><Relationship Id="rId100" Type="http://schemas.openxmlformats.org/officeDocument/2006/relationships/hyperlink" Target="http://haus.io" TargetMode="External"/><Relationship Id="rId129" Type="http://schemas.openxmlformats.org/officeDocument/2006/relationships/hyperlink" Target="https://www.adbeacon.com/19-best-marketing-attribution-software-solutions-in-2026/" TargetMode="External"/><Relationship Id="rId128" Type="http://schemas.openxmlformats.org/officeDocument/2006/relationships/hyperlink" Target="http://segmentstream.com" TargetMode="External"/><Relationship Id="rId127" Type="http://schemas.openxmlformats.org/officeDocument/2006/relationships/hyperlink" Target="https://segmentstream.com/blog/articles/top-10-incrementality-testing-tools" TargetMode="External"/><Relationship Id="rId126" Type="http://schemas.openxmlformats.org/officeDocument/2006/relationships/hyperlink" Target="http://searchbloom.com" TargetMode="External"/><Relationship Id="rId121" Type="http://schemas.openxmlformats.org/officeDocument/2006/relationships/hyperlink" Target="https://qoulomb.com/best-geo-agencies-in-the-usa/" TargetMode="External"/><Relationship Id="rId120" Type="http://schemas.openxmlformats.org/officeDocument/2006/relationships/hyperlink" Target="http://primeavenuegroup.com" TargetMode="External"/><Relationship Id="rId125" Type="http://schemas.openxmlformats.org/officeDocument/2006/relationships/hyperlink" Target="https://www.searchbloom.com/strategy/5-top-rated-google-ads-agencies/" TargetMode="External"/><Relationship Id="rId124" Type="http://schemas.openxmlformats.org/officeDocument/2006/relationships/hyperlink" Target="http://ritnerdigital.com" TargetMode="External"/><Relationship Id="rId123" Type="http://schemas.openxmlformats.org/officeDocument/2006/relationships/hyperlink" Target="https://www.ritnerdigital.com/blog/best-ai-search-agencies-in-the-us" TargetMode="External"/><Relationship Id="rId122" Type="http://schemas.openxmlformats.org/officeDocument/2006/relationships/hyperlink" Target="http://qoulomb.com" TargetMode="External"/><Relationship Id="rId118" Type="http://schemas.openxmlformats.org/officeDocument/2006/relationships/hyperlink" Target="http://dataally.ai" TargetMode="External"/><Relationship Id="rId117" Type="http://schemas.openxmlformats.org/officeDocument/2006/relationships/hyperlink" Target="https://www.dataally.ai/blog/best-performance-marketing-agencies" TargetMode="External"/><Relationship Id="rId116" Type="http://schemas.openxmlformats.org/officeDocument/2006/relationships/hyperlink" Target="http://thesocialshepherd.com" TargetMode="External"/><Relationship Id="rId115" Type="http://schemas.openxmlformats.org/officeDocument/2006/relationships/hyperlink" Target="https://thesocialshepherd.com/blog/top-creative-agencies-us" TargetMode="External"/><Relationship Id="rId119" Type="http://schemas.openxmlformats.org/officeDocument/2006/relationships/hyperlink" Target="https://primeavenuegroup.com/best-aeo-agencies/" TargetMode="External"/><Relationship Id="rId110" Type="http://schemas.openxmlformats.org/officeDocument/2006/relationships/hyperlink" Target="http://growthspreeofficial.com" TargetMode="External"/><Relationship Id="rId114" Type="http://schemas.openxmlformats.org/officeDocument/2006/relationships/hyperlink" Target="http://lyfemarketing.com" TargetMode="External"/><Relationship Id="rId113" Type="http://schemas.openxmlformats.org/officeDocument/2006/relationships/hyperlink" Target="https://www.lyfemarketing.com/blog/top-paid-media-agencies-us/" TargetMode="External"/><Relationship Id="rId112" Type="http://schemas.openxmlformats.org/officeDocument/2006/relationships/hyperlink" Target="http://lifesight.io" TargetMode="External"/><Relationship Id="rId111" Type="http://schemas.openxmlformats.org/officeDocument/2006/relationships/hyperlink" Target="https://lifesight.io/blog/best-incrementality-testing-tools/" TargetMode="External"/><Relationship Id="rId1610" Type="http://schemas.openxmlformats.org/officeDocument/2006/relationships/hyperlink" Target="https://www.rzlt.io/blog/10-best-growth-marketing-agencies-for-startups-in-2026" TargetMode="External"/><Relationship Id="rId1611" Type="http://schemas.openxmlformats.org/officeDocument/2006/relationships/hyperlink" Target="http://rzlt.io" TargetMode="External"/><Relationship Id="rId1612" Type="http://schemas.openxmlformats.org/officeDocument/2006/relationships/hyperlink" Target="https://s3da-design.com/guest-contribution/best-remodeling-digital-marketing-agencies-in-2025/" TargetMode="External"/><Relationship Id="rId1613" Type="http://schemas.openxmlformats.org/officeDocument/2006/relationships/hyperlink" Target="http://s3da-design.com" TargetMode="External"/><Relationship Id="rId1614" Type="http://schemas.openxmlformats.org/officeDocument/2006/relationships/hyperlink" Target="https://scopicstudios.com/blog/top-ai-marketing-agencies/" TargetMode="External"/><Relationship Id="rId1615" Type="http://schemas.openxmlformats.org/officeDocument/2006/relationships/hyperlink" Target="http://scopicstudios.com" TargetMode="External"/><Relationship Id="rId1616" Type="http://schemas.openxmlformats.org/officeDocument/2006/relationships/hyperlink" Target="https://searchconversions.com/the-10-best-answer-engine-optimization-aeo-agencies/" TargetMode="External"/><Relationship Id="rId907" Type="http://schemas.openxmlformats.org/officeDocument/2006/relationships/hyperlink" Target="http://newengen.com" TargetMode="External"/><Relationship Id="rId1617" Type="http://schemas.openxmlformats.org/officeDocument/2006/relationships/hyperlink" Target="http://searchconversions.com" TargetMode="External"/><Relationship Id="rId906" Type="http://schemas.openxmlformats.org/officeDocument/2006/relationships/hyperlink" Target="https://newengen.com/insights/top-outdoor-marketing-agencies/" TargetMode="External"/><Relationship Id="rId1618" Type="http://schemas.openxmlformats.org/officeDocument/2006/relationships/hyperlink" Target="https://segmentstream.com/blog/articles/best-marketing-intelligence-tools" TargetMode="External"/><Relationship Id="rId905" Type="http://schemas.openxmlformats.org/officeDocument/2006/relationships/hyperlink" Target="http://neuralcapital.ai" TargetMode="External"/><Relationship Id="rId1619" Type="http://schemas.openxmlformats.org/officeDocument/2006/relationships/hyperlink" Target="http://segmentstream.com" TargetMode="External"/><Relationship Id="rId904" Type="http://schemas.openxmlformats.org/officeDocument/2006/relationships/hyperlink" Target="https://www.neuralcapital.ai/articles/top-10-ai-marketing-and-advertising-companies" TargetMode="External"/><Relationship Id="rId909" Type="http://schemas.openxmlformats.org/officeDocument/2006/relationships/hyperlink" Target="http://marketersmedia.com" TargetMode="External"/><Relationship Id="rId908" Type="http://schemas.openxmlformats.org/officeDocument/2006/relationships/hyperlink" Target="https://news.marketersmedia.com/13-best-generative-engine-optimization-geo-agencies-for-usa-brands-in-2026-multi-engine-coverage-edition/89193560" TargetMode="External"/><Relationship Id="rId903" Type="http://schemas.openxmlformats.org/officeDocument/2006/relationships/hyperlink" Target="http://nectivdigital.com" TargetMode="External"/><Relationship Id="rId902" Type="http://schemas.openxmlformats.org/officeDocument/2006/relationships/hyperlink" Target="https://nectivdigital.com/blog/the-best-generative-engine-optimization-agencies-of-2025" TargetMode="External"/><Relationship Id="rId901" Type="http://schemas.openxmlformats.org/officeDocument/2006/relationships/hyperlink" Target="https://www.munro.agency/top-sem-agencies/" TargetMode="External"/><Relationship Id="rId900" Type="http://schemas.openxmlformats.org/officeDocument/2006/relationships/hyperlink" Target="https://www.munro.agency/top-paid-media-agencies/" TargetMode="External"/><Relationship Id="rId1600" Type="http://schemas.openxmlformats.org/officeDocument/2006/relationships/hyperlink" Target="https://www.resultfirst.com/blog/ecommerce-seo/top-ecommerce-seo-agencies/" TargetMode="External"/><Relationship Id="rId1601" Type="http://schemas.openxmlformats.org/officeDocument/2006/relationships/hyperlink" Target="http://resultfirst.com" TargetMode="External"/><Relationship Id="rId1602" Type="http://schemas.openxmlformats.org/officeDocument/2006/relationships/hyperlink" Target="https://revealmobile.com/blog/measuring-ooh-sales-lift-how-to-choose-the-right-partner" TargetMode="External"/><Relationship Id="rId1603" Type="http://schemas.openxmlformats.org/officeDocument/2006/relationships/hyperlink" Target="http://revealmobile.com" TargetMode="External"/><Relationship Id="rId1604" Type="http://schemas.openxmlformats.org/officeDocument/2006/relationships/hyperlink" Target="https://www.revvgrowth.com/geo/enterprise-geo-agency" TargetMode="External"/><Relationship Id="rId1605" Type="http://schemas.openxmlformats.org/officeDocument/2006/relationships/hyperlink" Target="http://revvgrowth.com" TargetMode="External"/><Relationship Id="rId1606" Type="http://schemas.openxmlformats.org/officeDocument/2006/relationships/hyperlink" Target="https://www.rightsideup.com/blog/top-fractional-marketing-agencies" TargetMode="External"/><Relationship Id="rId1607" Type="http://schemas.openxmlformats.org/officeDocument/2006/relationships/hyperlink" Target="http://rightsideup.com" TargetMode="External"/><Relationship Id="rId1608" Type="http://schemas.openxmlformats.org/officeDocument/2006/relationships/hyperlink" Target="https://riverjournalonline.com/news/best-amazon-ppc-agencies-to-lower-acos-in-2026/300535/" TargetMode="External"/><Relationship Id="rId1609" Type="http://schemas.openxmlformats.org/officeDocument/2006/relationships/hyperlink" Target="http://riverjournalonline.com" TargetMode="External"/><Relationship Id="rId1631" Type="http://schemas.openxmlformats.org/officeDocument/2006/relationships/hyperlink" Target="http://siegemedia.com" TargetMode="External"/><Relationship Id="rId1632" Type="http://schemas.openxmlformats.org/officeDocument/2006/relationships/hyperlink" Target="https://www.siegemedia.com/strategy/content-strategy-agency" TargetMode="External"/><Relationship Id="rId1633" Type="http://schemas.openxmlformats.org/officeDocument/2006/relationships/hyperlink" Target="http://siegemedia.com" TargetMode="External"/><Relationship Id="rId1634" Type="http://schemas.openxmlformats.org/officeDocument/2006/relationships/hyperlink" Target="https://www.signitysolutions.com/blog/top-ai-consulting-firms" TargetMode="External"/><Relationship Id="rId1635" Type="http://schemas.openxmlformats.org/officeDocument/2006/relationships/hyperlink" Target="http://signitysolutions.com" TargetMode="External"/><Relationship Id="rId1636" Type="http://schemas.openxmlformats.org/officeDocument/2006/relationships/hyperlink" Target="https://www.silverbackstrategies.com/lists/best-ecommerce-agencies-in-the-us-ranked-reviewed/" TargetMode="External"/><Relationship Id="rId1637" Type="http://schemas.openxmlformats.org/officeDocument/2006/relationships/hyperlink" Target="http://silverbackstrategies.com" TargetMode="External"/><Relationship Id="rId1638" Type="http://schemas.openxmlformats.org/officeDocument/2006/relationships/hyperlink" Target="https://simplythebestdigital.com/best-digital-marketing-agencies-usa/" TargetMode="External"/><Relationship Id="rId929" Type="http://schemas.openxmlformats.org/officeDocument/2006/relationships/hyperlink" Target="http://rocktherankings.com" TargetMode="External"/><Relationship Id="rId1639" Type="http://schemas.openxmlformats.org/officeDocument/2006/relationships/hyperlink" Target="http://simplythebestdigital.com" TargetMode="External"/><Relationship Id="rId928" Type="http://schemas.openxmlformats.org/officeDocument/2006/relationships/hyperlink" Target="https://www.rocktherankings.com/best-geo-agency/" TargetMode="External"/><Relationship Id="rId927" Type="http://schemas.openxmlformats.org/officeDocument/2006/relationships/hyperlink" Target="http://rocketium.ai" TargetMode="External"/><Relationship Id="rId926" Type="http://schemas.openxmlformats.org/officeDocument/2006/relationships/hyperlink" Target="https://rocketium.ai/academy/all/ai-tools-scaling-creative-production" TargetMode="External"/><Relationship Id="rId921" Type="http://schemas.openxmlformats.org/officeDocument/2006/relationships/hyperlink" Target="http://rssing.com" TargetMode="External"/><Relationship Id="rId920" Type="http://schemas.openxmlformats.org/officeDocument/2006/relationships/hyperlink" Target="https://revenuezen2.rssing.com/chan-77317245/article73.html?nocache=0" TargetMode="External"/><Relationship Id="rId925" Type="http://schemas.openxmlformats.org/officeDocument/2006/relationships/hyperlink" Target="http://rhblake.com" TargetMode="External"/><Relationship Id="rId924" Type="http://schemas.openxmlformats.org/officeDocument/2006/relationships/hyperlink" Target="https://rhblake.com/best-generative-engine-optimization-geo-agencies-2025-edition/" TargetMode="External"/><Relationship Id="rId923" Type="http://schemas.openxmlformats.org/officeDocument/2006/relationships/hyperlink" Target="http://revsure.ai" TargetMode="External"/><Relationship Id="rId922" Type="http://schemas.openxmlformats.org/officeDocument/2006/relationships/hyperlink" Target="https://www.revsure.ai/blog/best-marketing-attribution-software" TargetMode="External"/><Relationship Id="rId1630" Type="http://schemas.openxmlformats.org/officeDocument/2006/relationships/hyperlink" Target="https://www.siegemedia.com/strategy/best-link-building-services" TargetMode="External"/><Relationship Id="rId1620" Type="http://schemas.openxmlformats.org/officeDocument/2006/relationships/hyperlink" Target="https://segmetrics.io/articles/the-best-marketing-attribution-tools-for-2026-and-how-to-choose-the-right-one/" TargetMode="External"/><Relationship Id="rId1621" Type="http://schemas.openxmlformats.org/officeDocument/2006/relationships/hyperlink" Target="http://segmetrics.io" TargetMode="External"/><Relationship Id="rId1622" Type="http://schemas.openxmlformats.org/officeDocument/2006/relationships/hyperlink" Target="https://semnexus.com/top-ai-powered-marketing-agencies-in-2026-ranked-by-innovation-performance/" TargetMode="External"/><Relationship Id="rId1623" Type="http://schemas.openxmlformats.org/officeDocument/2006/relationships/hyperlink" Target="http://semnexus.com" TargetMode="External"/><Relationship Id="rId1624" Type="http://schemas.openxmlformats.org/officeDocument/2006/relationships/hyperlink" Target="https://seostrategylab.com/blog/best-llm-seo-agencies-usa/" TargetMode="External"/><Relationship Id="rId1625" Type="http://schemas.openxmlformats.org/officeDocument/2006/relationships/hyperlink" Target="http://seostrategylab.com" TargetMode="External"/><Relationship Id="rId1626" Type="http://schemas.openxmlformats.org/officeDocument/2006/relationships/hyperlink" Target="https://seostrategylab.com/blog/best-technical-seo-agencies-usa/" TargetMode="External"/><Relationship Id="rId1627" Type="http://schemas.openxmlformats.org/officeDocument/2006/relationships/hyperlink" Target="http://seostrategylab.com" TargetMode="External"/><Relationship Id="rId918" Type="http://schemas.openxmlformats.org/officeDocument/2006/relationships/hyperlink" Target="https://www.resultfirst.com/blog/ai-seo/best-ai-seo-agencies/" TargetMode="External"/><Relationship Id="rId1628" Type="http://schemas.openxmlformats.org/officeDocument/2006/relationships/hyperlink" Target="https://www.sianamarketing.com/resources/the-top-geo-agencies-2026" TargetMode="External"/><Relationship Id="rId917" Type="http://schemas.openxmlformats.org/officeDocument/2006/relationships/hyperlink" Target="http://prometheusagency.co" TargetMode="External"/><Relationship Id="rId1629" Type="http://schemas.openxmlformats.org/officeDocument/2006/relationships/hyperlink" Target="http://sianamarketing.com" TargetMode="External"/><Relationship Id="rId916" Type="http://schemas.openxmlformats.org/officeDocument/2006/relationships/hyperlink" Target="https://prometheusagency.co/insights/best-ai-agency-for-mid-market-manufacturers" TargetMode="External"/><Relationship Id="rId915" Type="http://schemas.openxmlformats.org/officeDocument/2006/relationships/hyperlink" Target="http://phosailabs.com" TargetMode="External"/><Relationship Id="rId919" Type="http://schemas.openxmlformats.org/officeDocument/2006/relationships/hyperlink" Target="http://resultfirst.com" TargetMode="External"/><Relationship Id="rId910" Type="http://schemas.openxmlformats.org/officeDocument/2006/relationships/hyperlink" Target="https://nexusexpertresearch.co/blog/best-artificial-intelligence-strategy-consulting-market-leaders/" TargetMode="External"/><Relationship Id="rId914" Type="http://schemas.openxmlformats.org/officeDocument/2006/relationships/hyperlink" Target="https://phosailabs.com/blog/best-ai-implementation-firms-marketing-agencies" TargetMode="External"/><Relationship Id="rId913" Type="http://schemas.openxmlformats.org/officeDocument/2006/relationships/hyperlink" Target="http://phable.io" TargetMode="External"/><Relationship Id="rId912" Type="http://schemas.openxmlformats.org/officeDocument/2006/relationships/hyperlink" Target="https://www.phable.io/top-branding-agencies/top-branding-agencies-in-new-york-2025-icons-of-creative-excellence" TargetMode="External"/><Relationship Id="rId911" Type="http://schemas.openxmlformats.org/officeDocument/2006/relationships/hyperlink" Target="http://nexusexpertresearch.co" TargetMode="External"/><Relationship Id="rId1697" Type="http://schemas.openxmlformats.org/officeDocument/2006/relationships/hyperlink" Target="https://theb2bplaybook.com/best-google-ads-agencies-for-b2b" TargetMode="External"/><Relationship Id="rId1698" Type="http://schemas.openxmlformats.org/officeDocument/2006/relationships/hyperlink" Target="http://theb2bplaybook.com" TargetMode="External"/><Relationship Id="rId1699" Type="http://schemas.openxmlformats.org/officeDocument/2006/relationships/hyperlink" Target="https://www.thebusinessrover.com/blog/best-ppc-agencies" TargetMode="External"/><Relationship Id="rId866" Type="http://schemas.openxmlformats.org/officeDocument/2006/relationships/hyperlink" Target="http://indatalabs.com" TargetMode="External"/><Relationship Id="rId865" Type="http://schemas.openxmlformats.org/officeDocument/2006/relationships/hyperlink" Target="https://indatalabs.com/blog/data-analytics-companies-in-usa" TargetMode="External"/><Relationship Id="rId864" Type="http://schemas.openxmlformats.org/officeDocument/2006/relationships/hyperlink" Target="http://indatalabs.com" TargetMode="External"/><Relationship Id="rId863" Type="http://schemas.openxmlformats.org/officeDocument/2006/relationships/hyperlink" Target="https://indatalabs.com/blog/ai-consulting-companies-in-usa" TargetMode="External"/><Relationship Id="rId869" Type="http://schemas.openxmlformats.org/officeDocument/2006/relationships/hyperlink" Target="https://www.intuz.com/blog/top-ai-consulting-companies-in-usa" TargetMode="External"/><Relationship Id="rId868" Type="http://schemas.openxmlformats.org/officeDocument/2006/relationships/hyperlink" Target="http://ingestlabs.com" TargetMode="External"/><Relationship Id="rId867" Type="http://schemas.openxmlformats.org/officeDocument/2006/relationships/hyperlink" Target="https://ingestlabs.com/top-digital-ad-agencies/" TargetMode="External"/><Relationship Id="rId1690" Type="http://schemas.openxmlformats.org/officeDocument/2006/relationships/hyperlink" Target="https://taqwah.agency/blog/top-saas-landing-page-design-agencies" TargetMode="External"/><Relationship Id="rId1691" Type="http://schemas.openxmlformats.org/officeDocument/2006/relationships/hyperlink" Target="https://techradiant.co/agencies/social-media-marketing/" TargetMode="External"/><Relationship Id="rId1692" Type="http://schemas.openxmlformats.org/officeDocument/2006/relationships/hyperlink" Target="http://techradiant.co" TargetMode="External"/><Relationship Id="rId862" Type="http://schemas.openxmlformats.org/officeDocument/2006/relationships/hyperlink" Target="https://inbeat.agency/blog/top-paid-media-agencies-in-nyc" TargetMode="External"/><Relationship Id="rId1693" Type="http://schemas.openxmlformats.org/officeDocument/2006/relationships/hyperlink" Target="https://techreviewer.co/digital-marketing" TargetMode="External"/><Relationship Id="rId861" Type="http://schemas.openxmlformats.org/officeDocument/2006/relationships/hyperlink" Target="http://icoda.io" TargetMode="External"/><Relationship Id="rId1694" Type="http://schemas.openxmlformats.org/officeDocument/2006/relationships/hyperlink" Target="http://techreviewer.co" TargetMode="External"/><Relationship Id="rId860" Type="http://schemas.openxmlformats.org/officeDocument/2006/relationships/hyperlink" Target="https://icoda.io/ai/best-ai-marketing-agencies-in-the-usa/" TargetMode="External"/><Relationship Id="rId1695" Type="http://schemas.openxmlformats.org/officeDocument/2006/relationships/hyperlink" Target="https://www.tenspeed.io/blog/best-content-marketing-agencies" TargetMode="External"/><Relationship Id="rId1696" Type="http://schemas.openxmlformats.org/officeDocument/2006/relationships/hyperlink" Target="http://tenspeed.io" TargetMode="External"/><Relationship Id="rId1686" Type="http://schemas.openxmlformats.org/officeDocument/2006/relationships/hyperlink" Target="https://www.superside.com/blog/omnichannel-design-partners" TargetMode="External"/><Relationship Id="rId1687" Type="http://schemas.openxmlformats.org/officeDocument/2006/relationships/hyperlink" Target="http://superside.com" TargetMode="External"/><Relationship Id="rId1688" Type="http://schemas.openxmlformats.org/officeDocument/2006/relationships/hyperlink" Target="https://sweatpantsagency.com/the-top-9-digital-marketing-agencies" TargetMode="External"/><Relationship Id="rId1689" Type="http://schemas.openxmlformats.org/officeDocument/2006/relationships/hyperlink" Target="http://sweatpantsagency.com" TargetMode="External"/><Relationship Id="rId855" Type="http://schemas.openxmlformats.org/officeDocument/2006/relationships/hyperlink" Target="http://geovate.com" TargetMode="External"/><Relationship Id="rId854" Type="http://schemas.openxmlformats.org/officeDocument/2006/relationships/hyperlink" Target="https://www.geovate.com/blog/top-answer-engine-optimization-aeo-agencies" TargetMode="External"/><Relationship Id="rId853" Type="http://schemas.openxmlformats.org/officeDocument/2006/relationships/hyperlink" Target="http://geovate.com" TargetMode="External"/><Relationship Id="rId852" Type="http://schemas.openxmlformats.org/officeDocument/2006/relationships/hyperlink" Target="https://www.geovate.com/blog/generative-engine-optimization-geo-agencies" TargetMode="External"/><Relationship Id="rId859" Type="http://schemas.openxmlformats.org/officeDocument/2006/relationships/hyperlink" Target="http://heydigital.co" TargetMode="External"/><Relationship Id="rId858" Type="http://schemas.openxmlformats.org/officeDocument/2006/relationships/hyperlink" Target="https://www.heydigital.co/blog/best-saas-paid-social-agencies" TargetMode="External"/><Relationship Id="rId857" Type="http://schemas.openxmlformats.org/officeDocument/2006/relationships/hyperlink" Target="http://gracker.ai" TargetMode="External"/><Relationship Id="rId856" Type="http://schemas.openxmlformats.org/officeDocument/2006/relationships/hyperlink" Target="https://gracker.ai/news/top-10-ai-seo-agencies-digital-marketing-firms-for-2026" TargetMode="External"/><Relationship Id="rId1680" Type="http://schemas.openxmlformats.org/officeDocument/2006/relationships/hyperlink" Target="https://www.superside.com/blog/creative-content-agencies" TargetMode="External"/><Relationship Id="rId1681" Type="http://schemas.openxmlformats.org/officeDocument/2006/relationships/hyperlink" Target="http://superside.com" TargetMode="External"/><Relationship Id="rId851" Type="http://schemas.openxmlformats.org/officeDocument/2006/relationships/hyperlink" Target="https://www.g-co.agency/insights/top-enterprise-digital-marketing-agencies-to-work-with" TargetMode="External"/><Relationship Id="rId1682" Type="http://schemas.openxmlformats.org/officeDocument/2006/relationships/hyperlink" Target="https://www.superside.com/blog/creative-performance-agencies" TargetMode="External"/><Relationship Id="rId850" Type="http://schemas.openxmlformats.org/officeDocument/2006/relationships/hyperlink" Target="http://fuelonline.com" TargetMode="External"/><Relationship Id="rId1683" Type="http://schemas.openxmlformats.org/officeDocument/2006/relationships/hyperlink" Target="http://superside.com" TargetMode="External"/><Relationship Id="rId1684" Type="http://schemas.openxmlformats.org/officeDocument/2006/relationships/hyperlink" Target="https://www.superside.com/blog/financial-services-creative-agencies" TargetMode="External"/><Relationship Id="rId1685" Type="http://schemas.openxmlformats.org/officeDocument/2006/relationships/hyperlink" Target="http://superside.com" TargetMode="External"/><Relationship Id="rId888" Type="http://schemas.openxmlformats.org/officeDocument/2006/relationships/hyperlink" Target="http://marksourced.com" TargetMode="External"/><Relationship Id="rId887" Type="http://schemas.openxmlformats.org/officeDocument/2006/relationships/hyperlink" Target="https://www.marksourced.com/p/top-7-b2b-generative-engine-optimization-geo-consultancies-in-2025" TargetMode="External"/><Relationship Id="rId886" Type="http://schemas.openxmlformats.org/officeDocument/2006/relationships/hyperlink" Target="http://marketingltb.com" TargetMode="External"/><Relationship Id="rId885" Type="http://schemas.openxmlformats.org/officeDocument/2006/relationships/hyperlink" Target="https://marketingltb.com/blog/agency/best-enterprise-digital-marketing-agencies/" TargetMode="External"/><Relationship Id="rId889" Type="http://schemas.openxmlformats.org/officeDocument/2006/relationships/hyperlink" Target="https://www.marksourced.com/p/top-8-b2b-generative-engine-optimization-geo-agencies-in-2025" TargetMode="External"/><Relationship Id="rId880" Type="http://schemas.openxmlformats.org/officeDocument/2006/relationships/hyperlink" Target="http://marketerhire.com" TargetMode="External"/><Relationship Id="rId884" Type="http://schemas.openxmlformats.org/officeDocument/2006/relationships/hyperlink" Target="http://martechoutlook.com" TargetMode="External"/><Relationship Id="rId883" Type="http://schemas.openxmlformats.org/officeDocument/2006/relationships/hyperlink" Target="https://marketing-attribution-and-consulting.martechoutlook.com/vendors/top-marketing-attribution-and-consulting-services.html" TargetMode="External"/><Relationship Id="rId882" Type="http://schemas.openxmlformats.org/officeDocument/2006/relationships/hyperlink" Target="http://marketerhire.com" TargetMode="External"/><Relationship Id="rId881" Type="http://schemas.openxmlformats.org/officeDocument/2006/relationships/hyperlink" Target="https://marketerhire.com/blog/fractional-marketing-agency" TargetMode="External"/><Relationship Id="rId877" Type="http://schemas.openxmlformats.org/officeDocument/2006/relationships/hyperlink" Target="https://www.m8l.com/blog/top-10-answer-engine-optimization-aeo-agencies" TargetMode="External"/><Relationship Id="rId876" Type="http://schemas.openxmlformats.org/officeDocument/2006/relationships/hyperlink" Target="http://lifesight.io" TargetMode="External"/><Relationship Id="rId875" Type="http://schemas.openxmlformats.org/officeDocument/2006/relationships/hyperlink" Target="https://lifesight.io/blog/best-unified-marketing-measurement-tools/" TargetMode="External"/><Relationship Id="rId874" Type="http://schemas.openxmlformats.org/officeDocument/2006/relationships/hyperlink" Target="http://lengreo.com" TargetMode="External"/><Relationship Id="rId879" Type="http://schemas.openxmlformats.org/officeDocument/2006/relationships/hyperlink" Target="https://marketerhire.com/blog/display-advertising-agency" TargetMode="External"/><Relationship Id="rId878" Type="http://schemas.openxmlformats.org/officeDocument/2006/relationships/hyperlink" Target="http://m8l.com" TargetMode="External"/><Relationship Id="rId873" Type="http://schemas.openxmlformats.org/officeDocument/2006/relationships/hyperlink" Target="https://lengreo.com/best-us-agencies-for-meta-ads/" TargetMode="External"/><Relationship Id="rId872" Type="http://schemas.openxmlformats.org/officeDocument/2006/relationships/hyperlink" Target="http://lengreo.com" TargetMode="External"/><Relationship Id="rId871" Type="http://schemas.openxmlformats.org/officeDocument/2006/relationships/hyperlink" Target="https://lengreo.com/best-google-ads-agencies-2025/" TargetMode="External"/><Relationship Id="rId870" Type="http://schemas.openxmlformats.org/officeDocument/2006/relationships/hyperlink" Target="http://intuz.com" TargetMode="External"/><Relationship Id="rId1653" Type="http://schemas.openxmlformats.org/officeDocument/2006/relationships/hyperlink" Target="http://sociallyin.com" TargetMode="External"/><Relationship Id="rId1654" Type="http://schemas.openxmlformats.org/officeDocument/2006/relationships/hyperlink" Target="https://sociallypowerful.com/post/top-international-marketing-agencies" TargetMode="External"/><Relationship Id="rId1655" Type="http://schemas.openxmlformats.org/officeDocument/2006/relationships/hyperlink" Target="http://sociallypowerful.com" TargetMode="External"/><Relationship Id="rId1656" Type="http://schemas.openxmlformats.org/officeDocument/2006/relationships/hyperlink" Target="https://sociallypowerful.com/post/top-retail-marketing-agencies" TargetMode="External"/><Relationship Id="rId1657" Type="http://schemas.openxmlformats.org/officeDocument/2006/relationships/hyperlink" Target="http://sociallypowerful.com" TargetMode="External"/><Relationship Id="rId1658" Type="http://schemas.openxmlformats.org/officeDocument/2006/relationships/hyperlink" Target="https://sociolabs.in/top-indian-generative-engine-optimization-companies/" TargetMode="External"/><Relationship Id="rId1659" Type="http://schemas.openxmlformats.org/officeDocument/2006/relationships/hyperlink" Target="http://sociolabs.in" TargetMode="External"/><Relationship Id="rId829" Type="http://schemas.openxmlformats.org/officeDocument/2006/relationships/hyperlink" Target="https://dmcinsider.com/dmcompanies/best-marketing-analytics-companies-in-the-usa/" TargetMode="External"/><Relationship Id="rId828" Type="http://schemas.openxmlformats.org/officeDocument/2006/relationships/hyperlink" Target="http://directiveconsulting.com" TargetMode="External"/><Relationship Id="rId827" Type="http://schemas.openxmlformats.org/officeDocument/2006/relationships/hyperlink" Target="https://directiveconsulting.com/uk/blog/25-best-paid-media-agencies-that-turn-ad-spend-into-revenue/" TargetMode="External"/><Relationship Id="rId822" Type="http://schemas.openxmlformats.org/officeDocument/2006/relationships/hyperlink" Target="http://digitalrhinos.com" TargetMode="External"/><Relationship Id="rId821" Type="http://schemas.openxmlformats.org/officeDocument/2006/relationships/hyperlink" Target="https://www.digitalrhinos.com/saas-marketing-agency/" TargetMode="External"/><Relationship Id="rId820" Type="http://schemas.openxmlformats.org/officeDocument/2006/relationships/hyperlink" Target="http://digitalagencynetwork.com" TargetMode="External"/><Relationship Id="rId826" Type="http://schemas.openxmlformats.org/officeDocument/2006/relationships/hyperlink" Target="http://directiveconsulting.com" TargetMode="External"/><Relationship Id="rId825" Type="http://schemas.openxmlformats.org/officeDocument/2006/relationships/hyperlink" Target="https://directiveconsulting.com/blog/top-25-b2b-enterprise-marketing-agencies/" TargetMode="External"/><Relationship Id="rId824" Type="http://schemas.openxmlformats.org/officeDocument/2006/relationships/hyperlink" Target="http://directiveconsulting.com" TargetMode="External"/><Relationship Id="rId823" Type="http://schemas.openxmlformats.org/officeDocument/2006/relationships/hyperlink" Target="https://directiveconsulting.com/blog/10-ai-marketing-agencies-outperforming-the-market/" TargetMode="External"/><Relationship Id="rId1650" Type="http://schemas.openxmlformats.org/officeDocument/2006/relationships/hyperlink" Target="https://sociallyin.com/resources/top-creative-strategy-agencies-us/" TargetMode="External"/><Relationship Id="rId1651" Type="http://schemas.openxmlformats.org/officeDocument/2006/relationships/hyperlink" Target="http://sociallyin.com" TargetMode="External"/><Relationship Id="rId1652" Type="http://schemas.openxmlformats.org/officeDocument/2006/relationships/hyperlink" Target="https://sociallyin.com/resources/top-social-media-agencies-in-us/" TargetMode="External"/><Relationship Id="rId1642" Type="http://schemas.openxmlformats.org/officeDocument/2006/relationships/hyperlink" Target="https://skai.io/blog/a-dozen-examples-of-incrementality-tests/" TargetMode="External"/><Relationship Id="rId1643" Type="http://schemas.openxmlformats.org/officeDocument/2006/relationships/hyperlink" Target="http://skai.io" TargetMode="External"/><Relationship Id="rId1644" Type="http://schemas.openxmlformats.org/officeDocument/2006/relationships/hyperlink" Target="https://www.smartsites.com/blog/the-different-types-of-ppc-ads/" TargetMode="External"/><Relationship Id="rId1645" Type="http://schemas.openxmlformats.org/officeDocument/2006/relationships/hyperlink" Target="http://smartsites.com" TargetMode="External"/><Relationship Id="rId1646" Type="http://schemas.openxmlformats.org/officeDocument/2006/relationships/hyperlink" Target="https://snov.io/blog/best-digital-marketing-platforms/" TargetMode="External"/><Relationship Id="rId1647" Type="http://schemas.openxmlformats.org/officeDocument/2006/relationships/hyperlink" Target="http://snov.io" TargetMode="External"/><Relationship Id="rId1648" Type="http://schemas.openxmlformats.org/officeDocument/2006/relationships/hyperlink" Target="https://socialander.com/top-digital-marketing-companies-in-usa/" TargetMode="External"/><Relationship Id="rId1649" Type="http://schemas.openxmlformats.org/officeDocument/2006/relationships/hyperlink" Target="http://socialander.com" TargetMode="External"/><Relationship Id="rId819" Type="http://schemas.openxmlformats.org/officeDocument/2006/relationships/hyperlink" Target="https://digitalagencynetwork.com/best-ai-agents-for-digital-marketing/" TargetMode="External"/><Relationship Id="rId818" Type="http://schemas.openxmlformats.org/officeDocument/2006/relationships/hyperlink" Target="http://digipims.com" TargetMode="External"/><Relationship Id="rId817" Type="http://schemas.openxmlformats.org/officeDocument/2006/relationships/hyperlink" Target="https://www.digipims.com/social-media-marketing-agencies-in-usa/" TargetMode="External"/><Relationship Id="rId816" Type="http://schemas.openxmlformats.org/officeDocument/2006/relationships/hyperlink" Target="http://designrush.com" TargetMode="External"/><Relationship Id="rId811" Type="http://schemas.openxmlformats.org/officeDocument/2006/relationships/hyperlink" Target="https://cornerstonecontent.com/best-answer-engine-optimization-aeo-agencies/" TargetMode="External"/><Relationship Id="rId810" Type="http://schemas.openxmlformats.org/officeDocument/2006/relationships/hyperlink" Target="http://coolnerdsmarketing.com" TargetMode="External"/><Relationship Id="rId815" Type="http://schemas.openxmlformats.org/officeDocument/2006/relationships/hyperlink" Target="https://www.designrush.com/agency/digital-marketing/analytics?page=2" TargetMode="External"/><Relationship Id="rId814" Type="http://schemas.openxmlformats.org/officeDocument/2006/relationships/hyperlink" Target="http://darkroomagency.com" TargetMode="External"/><Relationship Id="rId813" Type="http://schemas.openxmlformats.org/officeDocument/2006/relationships/hyperlink" Target="https://www.darkroomagency.com/observatory/top-ai-marketing-agencies-for-growth-in-2025-a-shortlist-that-actually-helps-you-choose" TargetMode="External"/><Relationship Id="rId812" Type="http://schemas.openxmlformats.org/officeDocument/2006/relationships/hyperlink" Target="http://cornerstonecontent.com" TargetMode="External"/><Relationship Id="rId1640" Type="http://schemas.openxmlformats.org/officeDocument/2006/relationships/hyperlink" Target="https://www.singlestoneconsulting.com/blog/best-data-modernization-services" TargetMode="External"/><Relationship Id="rId1641" Type="http://schemas.openxmlformats.org/officeDocument/2006/relationships/hyperlink" Target="http://singlestoneconsulting.com" TargetMode="External"/><Relationship Id="rId1675" Type="http://schemas.openxmlformats.org/officeDocument/2006/relationships/hyperlink" Target="http://stryde.com" TargetMode="External"/><Relationship Id="rId1676" Type="http://schemas.openxmlformats.org/officeDocument/2006/relationships/hyperlink" Target="https://superbcompanies.com/categories/media-planning-buying-agencies-in-the-usa/" TargetMode="External"/><Relationship Id="rId1677" Type="http://schemas.openxmlformats.org/officeDocument/2006/relationships/hyperlink" Target="http://superbcompanies.com" TargetMode="External"/><Relationship Id="rId1678" Type="http://schemas.openxmlformats.org/officeDocument/2006/relationships/hyperlink" Target="https://www.superside.com/blog/ai-powered-agencies" TargetMode="External"/><Relationship Id="rId1679" Type="http://schemas.openxmlformats.org/officeDocument/2006/relationships/hyperlink" Target="http://superside.com" TargetMode="External"/><Relationship Id="rId849" Type="http://schemas.openxmlformats.org/officeDocument/2006/relationships/hyperlink" Target="https://fuelonline.com/best-agencies/top-20-ppc-agencies-in-the-united-states-ranked-for-2026/" TargetMode="External"/><Relationship Id="rId844" Type="http://schemas.openxmlformats.org/officeDocument/2006/relationships/hyperlink" Target="http://flypix.ai" TargetMode="External"/><Relationship Id="rId843" Type="http://schemas.openxmlformats.org/officeDocument/2006/relationships/hyperlink" Target="https://flypix.ai/geospatial-companies-in-the-usa/" TargetMode="External"/><Relationship Id="rId842" Type="http://schemas.openxmlformats.org/officeDocument/2006/relationships/hyperlink" Target="http://firstpagesage.com" TargetMode="External"/><Relationship Id="rId841" Type="http://schemas.openxmlformats.org/officeDocument/2006/relationships/hyperlink" Target="https://firstpagesage.com/seo-blog/the-top-seo-agencies-for-ai-companies/" TargetMode="External"/><Relationship Id="rId848" Type="http://schemas.openxmlformats.org/officeDocument/2006/relationships/hyperlink" Target="http://fuelonline.com" TargetMode="External"/><Relationship Id="rId847" Type="http://schemas.openxmlformats.org/officeDocument/2006/relationships/hyperlink" Target="https://fuelonline.com/best-agencies/best-new-york-digital-marketing-agencies/" TargetMode="External"/><Relationship Id="rId846" Type="http://schemas.openxmlformats.org/officeDocument/2006/relationships/hyperlink" Target="http://forrester.com" TargetMode="External"/><Relationship Id="rId845" Type="http://schemas.openxmlformats.org/officeDocument/2006/relationships/hyperlink" Target="https://www.forrester.com/blogs/picking-an-agency-to-maximize-the-value-of-your-first-party-data/" TargetMode="External"/><Relationship Id="rId1670" Type="http://schemas.openxmlformats.org/officeDocument/2006/relationships/hyperlink" Target="https://stridec.com/blog/best-ai-seo-agencies/" TargetMode="External"/><Relationship Id="rId840" Type="http://schemas.openxmlformats.org/officeDocument/2006/relationships/hyperlink" Target="http://yahoo.com" TargetMode="External"/><Relationship Id="rId1671" Type="http://schemas.openxmlformats.org/officeDocument/2006/relationships/hyperlink" Target="http://stridec.com" TargetMode="External"/><Relationship Id="rId1672" Type="http://schemas.openxmlformats.org/officeDocument/2006/relationships/hyperlink" Target="https://stridec.com/blog/best-geo-tools-ai-search/" TargetMode="External"/><Relationship Id="rId1673" Type="http://schemas.openxmlformats.org/officeDocument/2006/relationships/hyperlink" Target="http://stridec.com" TargetMode="External"/><Relationship Id="rId1674" Type="http://schemas.openxmlformats.org/officeDocument/2006/relationships/hyperlink" Target="https://www.stryde.com/best-ecommerce-paid-search-agencies-in-the-us/" TargetMode="External"/><Relationship Id="rId1664" Type="http://schemas.openxmlformats.org/officeDocument/2006/relationships/hyperlink" Target="https://www.sparkouttech.com/ui-ux-design-agencies-usa/" TargetMode="External"/><Relationship Id="rId1665" Type="http://schemas.openxmlformats.org/officeDocument/2006/relationships/hyperlink" Target="http://sparkouttech.com" TargetMode="External"/><Relationship Id="rId1666" Type="http://schemas.openxmlformats.org/officeDocument/2006/relationships/hyperlink" Target="https://www.spicymargarita.co/blog/top-ai-seo-agencies-for-b2b" TargetMode="External"/><Relationship Id="rId1667" Type="http://schemas.openxmlformats.org/officeDocument/2006/relationships/hyperlink" Target="http://spicymargarita.co" TargetMode="External"/><Relationship Id="rId1668" Type="http://schemas.openxmlformats.org/officeDocument/2006/relationships/hyperlink" Target="https://www.stackmatix.com/blog/best-facebook-ads-agencies" TargetMode="External"/><Relationship Id="rId1669" Type="http://schemas.openxmlformats.org/officeDocument/2006/relationships/hyperlink" Target="http://stackmatix.com" TargetMode="External"/><Relationship Id="rId839" Type="http://schemas.openxmlformats.org/officeDocument/2006/relationships/hyperlink" Target="https://finance.yahoo.com/sectors/technology/articles/top-10-branding-agencies-u-125000853.html" TargetMode="External"/><Relationship Id="rId838" Type="http://schemas.openxmlformats.org/officeDocument/2006/relationships/hyperlink" Target="https://www.fieldtrip.agency/post/top-geo-agencies" TargetMode="External"/><Relationship Id="rId833" Type="http://schemas.openxmlformats.org/officeDocument/2006/relationships/hyperlink" Target="https://www.enzuzo.com/blog/best-performance-marketing-agencies" TargetMode="External"/><Relationship Id="rId832" Type="http://schemas.openxmlformats.org/officeDocument/2006/relationships/hyperlink" Target="http://embarque.io" TargetMode="External"/><Relationship Id="rId831" Type="http://schemas.openxmlformats.org/officeDocument/2006/relationships/hyperlink" Target="https://www.embarque.io/post/generative-engine-optimization-agency" TargetMode="External"/><Relationship Id="rId830" Type="http://schemas.openxmlformats.org/officeDocument/2006/relationships/hyperlink" Target="http://dmcinsider.com" TargetMode="External"/><Relationship Id="rId837" Type="http://schemas.openxmlformats.org/officeDocument/2006/relationships/hyperlink" Target="https://www.fieldtrip.agency/post/best-creative-agencies-for-global-brands" TargetMode="External"/><Relationship Id="rId836" Type="http://schemas.openxmlformats.org/officeDocument/2006/relationships/hyperlink" Target="http://evolveamz.com" TargetMode="External"/><Relationship Id="rId835" Type="http://schemas.openxmlformats.org/officeDocument/2006/relationships/hyperlink" Target="https://evolveamz.com/ai-search/best-ai-search-optimization-agencies-ecommerce-2026/" TargetMode="External"/><Relationship Id="rId834" Type="http://schemas.openxmlformats.org/officeDocument/2006/relationships/hyperlink" Target="http://enzuzo.com" TargetMode="External"/><Relationship Id="rId1660" Type="http://schemas.openxmlformats.org/officeDocument/2006/relationships/hyperlink" Target="https://www.sona.com/blog/vendors-supporting-first-party-intent-data-targeting-for-b2b-sales-prospecting-a-comprehensive-activation-guide" TargetMode="External"/><Relationship Id="rId1661" Type="http://schemas.openxmlformats.org/officeDocument/2006/relationships/hyperlink" Target="http://sona.com" TargetMode="External"/><Relationship Id="rId1662" Type="http://schemas.openxmlformats.org/officeDocument/2006/relationships/hyperlink" Target="https://sourceforge.net/software/incrementality-testing/usa/" TargetMode="External"/><Relationship Id="rId1663" Type="http://schemas.openxmlformats.org/officeDocument/2006/relationships/hyperlink" Target="http://sourceforge.net" TargetMode="External"/><Relationship Id="rId899" Type="http://schemas.openxmlformats.org/officeDocument/2006/relationships/hyperlink" Target="https://www.munro.agency/top-marketing-data-science-agencies/" TargetMode="External"/><Relationship Id="rId898" Type="http://schemas.openxmlformats.org/officeDocument/2006/relationships/hyperlink" Target="http://mountainstoseamedia.com" TargetMode="External"/><Relationship Id="rId897" Type="http://schemas.openxmlformats.org/officeDocument/2006/relationships/hyperlink" Target="https://mountainstoseamedia.com/10-essential-marketing-analytics-agencies-for-a-data-driven-lead-generation-strategy/" TargetMode="External"/><Relationship Id="rId896" Type="http://schemas.openxmlformats.org/officeDocument/2006/relationships/hyperlink" Target="http://measured.com" TargetMode="External"/><Relationship Id="rId891" Type="http://schemas.openxmlformats.org/officeDocument/2006/relationships/hyperlink" Target="https://www.maximuslabs.ai/answer-engine-optimizations/best-aeo-agencies" TargetMode="External"/><Relationship Id="rId890" Type="http://schemas.openxmlformats.org/officeDocument/2006/relationships/hyperlink" Target="http://marksourced.com" TargetMode="External"/><Relationship Id="rId895" Type="http://schemas.openxmlformats.org/officeDocument/2006/relationships/hyperlink" Target="https://www.measured.com/faq/top-11-best-media-mix-modeling-companies-software-for-2026/" TargetMode="External"/><Relationship Id="rId894" Type="http://schemas.openxmlformats.org/officeDocument/2006/relationships/hyperlink" Target="http://maximuslabs.ai" TargetMode="External"/><Relationship Id="rId893" Type="http://schemas.openxmlformats.org/officeDocument/2006/relationships/hyperlink" Target="https://www.maximuslabs.ai/answer-engine-optimizations/enterprise-aeo-agencies" TargetMode="External"/><Relationship Id="rId892" Type="http://schemas.openxmlformats.org/officeDocument/2006/relationships/hyperlink" Target="http://maximuslabs.ai"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goodfirms.co" TargetMode="External"/><Relationship Id="rId42" Type="http://schemas.openxmlformats.org/officeDocument/2006/relationships/hyperlink" Target="http://goodfirms.co" TargetMode="External"/><Relationship Id="rId41" Type="http://schemas.openxmlformats.org/officeDocument/2006/relationships/hyperlink" Target="https://www.goodfirms.co/directory/country/top-digital-marketing-companies/us?sid=3943" TargetMode="External"/><Relationship Id="rId44" Type="http://schemas.openxmlformats.org/officeDocument/2006/relationships/hyperlink" Target="http://semfirms.com" TargetMode="External"/><Relationship Id="rId43" Type="http://schemas.openxmlformats.org/officeDocument/2006/relationships/hyperlink" Target="https://www.semfirms.com/display-advertising-firms?page=1" TargetMode="External"/><Relationship Id="rId46" Type="http://schemas.openxmlformats.org/officeDocument/2006/relationships/hyperlink" Target="http://semrush.com" TargetMode="External"/><Relationship Id="rId45" Type="http://schemas.openxmlformats.org/officeDocument/2006/relationships/hyperlink" Target="https://agencies.semrush.com/list/display-advertising/new-york/" TargetMode="External"/><Relationship Id="rId48" Type="http://schemas.openxmlformats.org/officeDocument/2006/relationships/hyperlink" Target="https://exacti.us/growth-library/incrementality-testing" TargetMode="External"/><Relationship Id="rId47" Type="http://schemas.openxmlformats.org/officeDocument/2006/relationships/hyperlink" Target="https://enterprisemarketingportal.google/find-a-partner/adswerve-us?certificationsFilters=Tag%20Manager" TargetMode="External"/><Relationship Id="rId49" Type="http://schemas.openxmlformats.org/officeDocument/2006/relationships/hyperlink" Target="http://exacti.us" TargetMode="External"/><Relationship Id="rId31" Type="http://schemas.openxmlformats.org/officeDocument/2006/relationships/hyperlink" Target="https://www.idimension.com/google-marketing-platform-partner/" TargetMode="External"/><Relationship Id="rId30" Type="http://schemas.openxmlformats.org/officeDocument/2006/relationships/hyperlink" Target="http://google.com" TargetMode="External"/><Relationship Id="rId33" Type="http://schemas.openxmlformats.org/officeDocument/2006/relationships/hyperlink" Target="https://www.quora.com/What-is-the-best-AEO-agency-in-the-USA-in-2026" TargetMode="External"/><Relationship Id="rId32" Type="http://schemas.openxmlformats.org/officeDocument/2006/relationships/hyperlink" Target="http://idimension.com" TargetMode="External"/><Relationship Id="rId35" Type="http://schemas.openxmlformats.org/officeDocument/2006/relationships/hyperlink" Target="https://www.todaymade.com/blog/top-creative-agencies" TargetMode="External"/><Relationship Id="rId34" Type="http://schemas.openxmlformats.org/officeDocument/2006/relationships/hyperlink" Target="http://quora.com" TargetMode="External"/><Relationship Id="rId37" Type="http://schemas.openxmlformats.org/officeDocument/2006/relationships/hyperlink" Target="https://zipdo.co/service/display-advertising/" TargetMode="External"/><Relationship Id="rId36" Type="http://schemas.openxmlformats.org/officeDocument/2006/relationships/hyperlink" Target="http://todaymade.com" TargetMode="External"/><Relationship Id="rId39" Type="http://schemas.openxmlformats.org/officeDocument/2006/relationships/hyperlink" Target="https://www.goodfirms.co/directory/country/top-digital-marketing-companies/us?sid=3931" TargetMode="External"/><Relationship Id="rId38" Type="http://schemas.openxmlformats.org/officeDocument/2006/relationships/hyperlink" Target="http://zipdo.co" TargetMode="External"/><Relationship Id="rId20" Type="http://schemas.openxmlformats.org/officeDocument/2006/relationships/hyperlink" Target="http://saffronedge.com" TargetMode="External"/><Relationship Id="rId22" Type="http://schemas.openxmlformats.org/officeDocument/2006/relationships/hyperlink" Target="http://google.com" TargetMode="External"/><Relationship Id="rId21" Type="http://schemas.openxmlformats.org/officeDocument/2006/relationships/hyperlink" Target="https://ads.google.com/intl/us-EN/home/partners/work-with-a-partner/" TargetMode="External"/><Relationship Id="rId24" Type="http://schemas.openxmlformats.org/officeDocument/2006/relationships/hyperlink" Target="http://masterrvdesigners.com" TargetMode="External"/><Relationship Id="rId23" Type="http://schemas.openxmlformats.org/officeDocument/2006/relationships/hyperlink" Target="https://www.masterrvdesigners.com/blog/best-creative-agencies-2026/" TargetMode="External"/><Relationship Id="rId26" Type="http://schemas.openxmlformats.org/officeDocument/2006/relationships/hyperlink" Target="http://withgoogle.com" TargetMode="External"/><Relationship Id="rId25" Type="http://schemas.openxmlformats.org/officeDocument/2006/relationships/hyperlink" Target="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 TargetMode="External"/><Relationship Id="rId28" Type="http://schemas.openxmlformats.org/officeDocument/2006/relationships/hyperlink" Target="http://google.com" TargetMode="External"/><Relationship Id="rId27" Type="http://schemas.openxmlformats.org/officeDocument/2006/relationships/hyperlink" Target="https://support.google.com/tagmanager/answer/7237700?hl=en" TargetMode="External"/><Relationship Id="rId29" Type="http://schemas.openxmlformats.org/officeDocument/2006/relationships/hyperlink" Target="https://ads.google.com/intl/us/home/partners/work-with-a-partner/" TargetMode="External"/><Relationship Id="rId11" Type="http://schemas.openxmlformats.org/officeDocument/2006/relationships/hyperlink" Target="http://withgoogle.com" TargetMode="External"/><Relationship Id="rId10" Type="http://schemas.openxmlformats.org/officeDocument/2006/relationships/hyperlink" Target="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digital-marketing/analytics/us?page=24" TargetMode="External"/><Relationship Id="rId15" Type="http://schemas.openxmlformats.org/officeDocument/2006/relationships/hyperlink" Target="http://google.com" TargetMode="External"/><Relationship Id="rId14" Type="http://schemas.openxmlformats.org/officeDocument/2006/relationships/hyperlink" Target="https://www.google.com/partners/" TargetMode="External"/><Relationship Id="rId17" Type="http://schemas.openxmlformats.org/officeDocument/2006/relationships/hyperlink" Target="http://semfirms.com" TargetMode="External"/><Relationship Id="rId16" Type="http://schemas.openxmlformats.org/officeDocument/2006/relationships/hyperlink" Target="https://www.semfirms.com/display-advertising-firms" TargetMode="External"/><Relationship Id="rId19" Type="http://schemas.openxmlformats.org/officeDocument/2006/relationships/hyperlink" Target="https://www.saffronedge.com/blog/top-aeo-agency/" TargetMode="External"/><Relationship Id="rId18" Type="http://schemas.openxmlformats.org/officeDocument/2006/relationships/hyperlink" Target="http://withgoogle.com" TargetMode="External"/><Relationship Id="rId84" Type="http://schemas.openxmlformats.org/officeDocument/2006/relationships/hyperlink" Target="https://auradigitalmarketers.com/case-studies" TargetMode="External"/><Relationship Id="rId83" Type="http://schemas.openxmlformats.org/officeDocument/2006/relationships/hyperlink" Target="http://artefact.com" TargetMode="External"/><Relationship Id="rId86" Type="http://schemas.openxmlformats.org/officeDocument/2006/relationships/hyperlink" Target="https://www.barchart.com/story/news/3274650/simpletiger-wins-a-spring-2026-clutch-global-award-for-seo-mobile-optimization" TargetMode="External"/><Relationship Id="rId85" Type="http://schemas.openxmlformats.org/officeDocument/2006/relationships/hyperlink" Target="http://auradigitalmarketers.com" TargetMode="External"/><Relationship Id="rId88" Type="http://schemas.openxmlformats.org/officeDocument/2006/relationships/hyperlink" Target="https://brillmedia.co/brill-media-advertising-platform/" TargetMode="External"/><Relationship Id="rId87" Type="http://schemas.openxmlformats.org/officeDocument/2006/relationships/hyperlink" Target="http://barchart.com" TargetMode="External"/><Relationship Id="rId89" Type="http://schemas.openxmlformats.org/officeDocument/2006/relationships/hyperlink" Target="http://brillmedia.co" TargetMode="External"/><Relationship Id="rId80" Type="http://schemas.openxmlformats.org/officeDocument/2006/relationships/hyperlink" Target="https://alicelabs.ai/en/insights/ai-consulting-pricing-2026" TargetMode="External"/><Relationship Id="rId82" Type="http://schemas.openxmlformats.org/officeDocument/2006/relationships/hyperlink" Target="https://www.artefact.com/wp-content/uploads/2024/09/Artefact-Data-and-AI-Marketing-Report.pdf" TargetMode="External"/><Relationship Id="rId81" Type="http://schemas.openxmlformats.org/officeDocument/2006/relationships/hyperlink" Target="http://alicelabs.ai" TargetMode="External"/><Relationship Id="rId73" Type="http://schemas.openxmlformats.org/officeDocument/2006/relationships/hyperlink" Target="https://adgeeks.agency/blogs/best-programmatic-dsp-agencies-for-google-dv360-access-in-2026" TargetMode="External"/><Relationship Id="rId72" Type="http://schemas.openxmlformats.org/officeDocument/2006/relationships/hyperlink" Target="http://adastracorp.com" TargetMode="External"/><Relationship Id="rId75" Type="http://schemas.openxmlformats.org/officeDocument/2006/relationships/hyperlink" Target="http://google.com" TargetMode="External"/><Relationship Id="rId74" Type="http://schemas.openxmlformats.org/officeDocument/2006/relationships/hyperlink" Target="https://ads.google.com/intl/fy/home/partners/become-a-partner/" TargetMode="External"/><Relationship Id="rId77" Type="http://schemas.openxmlformats.org/officeDocument/2006/relationships/hyperlink" Target="http://agencylist.com" TargetMode="External"/><Relationship Id="rId76" Type="http://schemas.openxmlformats.org/officeDocument/2006/relationships/hyperlink" Target="https://agencylist.com/services/programmatic-display-and-video/us/florida/" TargetMode="External"/><Relationship Id="rId79" Type="http://schemas.openxmlformats.org/officeDocument/2006/relationships/hyperlink" Target="http://aimarketing-agency.com" TargetMode="External"/><Relationship Id="rId78" Type="http://schemas.openxmlformats.org/officeDocument/2006/relationships/hyperlink" Target="https://aimarketing-agency.com/" TargetMode="External"/><Relationship Id="rId71" Type="http://schemas.openxmlformats.org/officeDocument/2006/relationships/hyperlink" Target="https://adastracorp.com/articles/top-data-analytics-companies-to-compare-in-2026-usa-canada/" TargetMode="External"/><Relationship Id="rId70" Type="http://schemas.openxmlformats.org/officeDocument/2006/relationships/hyperlink" Target="http://avixa.org" TargetMode="External"/><Relationship Id="rId62" Type="http://schemas.openxmlformats.org/officeDocument/2006/relationships/hyperlink" Target="https://support.google.com/analytics/answer/7237700?hl=en-AU" TargetMode="External"/><Relationship Id="rId61" Type="http://schemas.openxmlformats.org/officeDocument/2006/relationships/hyperlink" Target="http://withgoogle.com" TargetMode="External"/><Relationship Id="rId64" Type="http://schemas.openxmlformats.org/officeDocument/2006/relationships/hyperlink" Target="https://support.google.com/tagmanager/answer/7237700?hl=EN" TargetMode="External"/><Relationship Id="rId63" Type="http://schemas.openxmlformats.org/officeDocument/2006/relationships/hyperlink" Target="http://google.com" TargetMode="External"/><Relationship Id="rId66" Type="http://schemas.openxmlformats.org/officeDocument/2006/relationships/hyperlink" Target="https://www.therealsocialcompany.com/blog/best-ai-marketing-agency-united-states" TargetMode="External"/><Relationship Id="rId65" Type="http://schemas.openxmlformats.org/officeDocument/2006/relationships/hyperlink" Target="http://google.com" TargetMode="External"/><Relationship Id="rId68" Type="http://schemas.openxmlformats.org/officeDocument/2006/relationships/hyperlink" Target="https://wildnetmarketing.agency/blog/top-programmatic-advertising-agencies-in-usa/" TargetMode="External"/><Relationship Id="rId67" Type="http://schemas.openxmlformats.org/officeDocument/2006/relationships/hyperlink" Target="http://therealsocialcompany.com" TargetMode="External"/><Relationship Id="rId60" Type="http://schemas.openxmlformats.org/officeDocument/2006/relationships/hyperlink" Target="https://partnersdirectory.withgoogle.com/?company_name=axis+local&amp;premier=true" TargetMode="External"/><Relationship Id="rId69" Type="http://schemas.openxmlformats.org/officeDocument/2006/relationships/hyperlink" Target="https://xchange.avixa.org/posts/10-best-digital-marketing-agencies-in-usa-2026" TargetMode="External"/><Relationship Id="rId51" Type="http://schemas.openxmlformats.org/officeDocument/2006/relationships/hyperlink" Target="http://getadlib.com" TargetMode="External"/><Relationship Id="rId50" Type="http://schemas.openxmlformats.org/officeDocument/2006/relationships/hyperlink" Target="https://getadlib.com/blog/best-display-advertising-platforms/" TargetMode="External"/><Relationship Id="rId53" Type="http://schemas.openxmlformats.org/officeDocument/2006/relationships/hyperlink" Target="http://goodfirms.co" TargetMode="External"/><Relationship Id="rId52" Type="http://schemas.openxmlformats.org/officeDocument/2006/relationships/hyperlink" Target="https://www.goodfirms.co/advertising-companies/programmatic?locations=us&amp;sort_by=rating" TargetMode="External"/><Relationship Id="rId55" Type="http://schemas.openxmlformats.org/officeDocument/2006/relationships/hyperlink" Target="http://goodfirms.co" TargetMode="External"/><Relationship Id="rId54" Type="http://schemas.openxmlformats.org/officeDocument/2006/relationships/hyperlink" Target="https://www.goodfirms.co/directory/country/top-digital-marketing-companies/us?reviews=1" TargetMode="External"/><Relationship Id="rId57" Type="http://schemas.openxmlformats.org/officeDocument/2006/relationships/hyperlink" Target="http://iab.com" TargetMode="External"/><Relationship Id="rId56" Type="http://schemas.openxmlformats.org/officeDocument/2006/relationships/hyperlink" Target="https://www.iab.com/wp-content/uploads/2026/01/IAB_StateofDataReport_February_2026pdf.pdf" TargetMode="External"/><Relationship Id="rId59" Type="http://schemas.openxmlformats.org/officeDocument/2006/relationships/hyperlink" Target="http://google.com" TargetMode="External"/><Relationship Id="rId58" Type="http://schemas.openxmlformats.org/officeDocument/2006/relationships/hyperlink" Target="https://marketingplatform.google.com/about/partners/?hl=uk" TargetMode="External"/><Relationship Id="rId95" Type="http://schemas.openxmlformats.org/officeDocument/2006/relationships/hyperlink" Target="http://cdw.com" TargetMode="External"/><Relationship Id="rId94" Type="http://schemas.openxmlformats.org/officeDocument/2006/relationships/hyperlink" Target="https://www.cdw.com/content/cdw/en/articles/cloud/agentic-ai-readiness-checklist-for-google-cloud.html" TargetMode="External"/><Relationship Id="rId97" Type="http://schemas.openxmlformats.org/officeDocument/2006/relationships/hyperlink" Target="http://chiefoutsiders.com" TargetMode="External"/><Relationship Id="rId96" Type="http://schemas.openxmlformats.org/officeDocument/2006/relationships/hyperlink" Target="https://www.chiefoutsiders.com/ai-assessment" TargetMode="External"/><Relationship Id="rId99" Type="http://schemas.openxmlformats.org/officeDocument/2006/relationships/hyperlink" Target="http://ciocoverage.com" TargetMode="External"/><Relationship Id="rId98" Type="http://schemas.openxmlformats.org/officeDocument/2006/relationships/hyperlink" Target="https://www.ciocoverage.com/top-10-leading-google-partners-to-watch-in-2022/" TargetMode="External"/><Relationship Id="rId91" Type="http://schemas.openxmlformats.org/officeDocument/2006/relationships/hyperlink" Target="http://byaries.com" TargetMode="External"/><Relationship Id="rId90" Type="http://schemas.openxmlformats.org/officeDocument/2006/relationships/hyperlink" Target="https://byaries.com/services/ai-enablement-program-for-law-firm-marketing-teams/" TargetMode="External"/><Relationship Id="rId93" Type="http://schemas.openxmlformats.org/officeDocument/2006/relationships/hyperlink" Target="http://capterra.com" TargetMode="External"/><Relationship Id="rId92" Type="http://schemas.openxmlformats.org/officeDocument/2006/relationships/hyperlink" Target="https://www.capterra.com/services/marketing-analytics/l/us/" TargetMode="External"/><Relationship Id="rId228" Type="http://schemas.openxmlformats.org/officeDocument/2006/relationships/hyperlink" Target="http://singlegrain.com" TargetMode="External"/><Relationship Id="rId227" Type="http://schemas.openxmlformats.org/officeDocument/2006/relationships/hyperlink" Target="https://www.singlegrain.com/?p=69243" TargetMode="External"/><Relationship Id="rId226" Type="http://schemas.openxmlformats.org/officeDocument/2006/relationships/hyperlink" Target="http://sealglobalholdings.com" TargetMode="External"/><Relationship Id="rId225" Type="http://schemas.openxmlformats.org/officeDocument/2006/relationships/hyperlink" Target="https://www.sealglobalholdings.com/blog/best-ai-search-optimization-agencies-2026" TargetMode="External"/><Relationship Id="rId229" Type="http://schemas.openxmlformats.org/officeDocument/2006/relationships/hyperlink" Target="https://www.singlegrain.com/?p=69273" TargetMode="External"/><Relationship Id="rId220" Type="http://schemas.openxmlformats.org/officeDocument/2006/relationships/hyperlink" Target="http://quora.com" TargetMode="External"/><Relationship Id="rId224" Type="http://schemas.openxmlformats.org/officeDocument/2006/relationships/hyperlink" Target="http://scopicstudios.com" TargetMode="External"/><Relationship Id="rId223" Type="http://schemas.openxmlformats.org/officeDocument/2006/relationships/hyperlink" Target="https://scopicstudios.com/blog/first-party-data-adoption-statistics-every-marketer-must-know/" TargetMode="External"/><Relationship Id="rId222" Type="http://schemas.openxmlformats.org/officeDocument/2006/relationships/hyperlink" Target="http://revclickmarketing.com" TargetMode="External"/><Relationship Id="rId221" Type="http://schemas.openxmlformats.org/officeDocument/2006/relationships/hyperlink" Target="https://revclickmarketing.com/services/incrementality-testing-mmm/" TargetMode="External"/><Relationship Id="rId217" Type="http://schemas.openxmlformats.org/officeDocument/2006/relationships/hyperlink" Target="https://pwskills.com/blog/digital-marketing/performance-marketing-agencies" TargetMode="External"/><Relationship Id="rId216" Type="http://schemas.openxmlformats.org/officeDocument/2006/relationships/hyperlink" Target="http://purplez.com" TargetMode="External"/><Relationship Id="rId215" Type="http://schemas.openxmlformats.org/officeDocument/2006/relationships/hyperlink" Target="https://purplez.com/digital-marketing-services/display-advertising-services/" TargetMode="External"/><Relationship Id="rId214" Type="http://schemas.openxmlformats.org/officeDocument/2006/relationships/hyperlink" Target="http://prweek.com" TargetMode="External"/><Relationship Id="rId219" Type="http://schemas.openxmlformats.org/officeDocument/2006/relationships/hyperlink" Target="https://www.quora.com/Which-are-the-best-social-media-marketing-agencies-in-USA" TargetMode="External"/><Relationship Id="rId218" Type="http://schemas.openxmlformats.org/officeDocument/2006/relationships/hyperlink" Target="http://pwskills.com" TargetMode="External"/><Relationship Id="rId213" Type="http://schemas.openxmlformats.org/officeDocument/2006/relationships/hyperlink" Target="https://www.prweek.com/article/1908852/prweek-us-awards-2025-outstanding-large-agency" TargetMode="External"/><Relationship Id="rId212" Type="http://schemas.openxmlformats.org/officeDocument/2006/relationships/hyperlink" Target="https://www.primeone.global/case-study/" TargetMode="External"/><Relationship Id="rId211" Type="http://schemas.openxmlformats.org/officeDocument/2006/relationships/hyperlink" Target="http://pixelprodigies.com" TargetMode="External"/><Relationship Id="rId210" Type="http://schemas.openxmlformats.org/officeDocument/2006/relationships/hyperlink" Target="https://pixelprodigies.com/case-studies/" TargetMode="External"/><Relationship Id="rId249" Type="http://schemas.openxmlformats.org/officeDocument/2006/relationships/drawing" Target="../drawings/drawing27.xml"/><Relationship Id="rId248" Type="http://schemas.openxmlformats.org/officeDocument/2006/relationships/hyperlink" Target="http://youtube.com" TargetMode="External"/><Relationship Id="rId247" Type="http://schemas.openxmlformats.org/officeDocument/2006/relationships/hyperlink" Target="https://www.youtube.com/watch?v=DKfcaxbRHcQ&amp;t=331" TargetMode="External"/><Relationship Id="rId242" Type="http://schemas.openxmlformats.org/officeDocument/2006/relationships/hyperlink" Target="http://trackingplan.com" TargetMode="External"/><Relationship Id="rId241" Type="http://schemas.openxmlformats.org/officeDocument/2006/relationships/hyperlink" Target="https://www.trackingplan.com/blog/incrementality-testing-a-2026-guide-for-marketers-en" TargetMode="External"/><Relationship Id="rId240" Type="http://schemas.openxmlformats.org/officeDocument/2006/relationships/hyperlink" Target="http://themanifest.com" TargetMode="External"/><Relationship Id="rId246" Type="http://schemas.openxmlformats.org/officeDocument/2006/relationships/hyperlink" Target="http://venturemedia.io" TargetMode="External"/><Relationship Id="rId245" Type="http://schemas.openxmlformats.org/officeDocument/2006/relationships/hyperlink" Target="https://www.venturemedia.io/post/top-social-media-marketing-agencies-in-the-united-states" TargetMode="External"/><Relationship Id="rId244" Type="http://schemas.openxmlformats.org/officeDocument/2006/relationships/hyperlink" Target="http://trusted-trade.net" TargetMode="External"/><Relationship Id="rId243" Type="http://schemas.openxmlformats.org/officeDocument/2006/relationships/hyperlink" Target="https://www.trusted-trade.net/services/compliant-processes/" TargetMode="External"/><Relationship Id="rId239" Type="http://schemas.openxmlformats.org/officeDocument/2006/relationships/hyperlink" Target="https://themanifest.com/us/social-media/agencies?page=1" TargetMode="External"/><Relationship Id="rId238" Type="http://schemas.openxmlformats.org/officeDocument/2006/relationships/hyperlink" Target="http://thehackettgroup.com" TargetMode="External"/><Relationship Id="rId237" Type="http://schemas.openxmlformats.org/officeDocument/2006/relationships/hyperlink" Target="https://www.thehackettgroup.com/gen-ai-consulting/" TargetMode="External"/><Relationship Id="rId236" Type="http://schemas.openxmlformats.org/officeDocument/2006/relationships/hyperlink" Target="http://google.com" TargetMode="External"/><Relationship Id="rId231" Type="http://schemas.openxmlformats.org/officeDocument/2006/relationships/hyperlink" Target="https://www.stanleyconsultants.com/solutions/planning-consulting/geospatial-surveying-services" TargetMode="External"/><Relationship Id="rId230" Type="http://schemas.openxmlformats.org/officeDocument/2006/relationships/hyperlink" Target="http://singlegrain.com" TargetMode="External"/><Relationship Id="rId235" Type="http://schemas.openxmlformats.org/officeDocument/2006/relationships/hyperlink" Target="https://support.google.com/tagmanager/answer/7237700?hl=en-AU" TargetMode="External"/><Relationship Id="rId234" Type="http://schemas.openxmlformats.org/officeDocument/2006/relationships/hyperlink" Target="http://starusa.org" TargetMode="External"/><Relationship Id="rId233" Type="http://schemas.openxmlformats.org/officeDocument/2006/relationships/hyperlink" Target="https://starusa.org/services/ctpat-certification/" TargetMode="External"/><Relationship Id="rId232" Type="http://schemas.openxmlformats.org/officeDocument/2006/relationships/hyperlink" Target="http://stanleyconsultants.com" TargetMode="External"/><Relationship Id="rId206" Type="http://schemas.openxmlformats.org/officeDocument/2006/relationships/hyperlink" Target="https://partnersdirectory.withgoogle.com/intl/en-GB/" TargetMode="External"/><Relationship Id="rId205" Type="http://schemas.openxmlformats.org/officeDocument/2006/relationships/hyperlink" Target="http://adobe.com" TargetMode="External"/><Relationship Id="rId204" Type="http://schemas.openxmlformats.org/officeDocument/2006/relationships/hyperlink" Target="https://partners.adobe.com/s/directory/solution/merkle" TargetMode="External"/><Relationship Id="rId203" Type="http://schemas.openxmlformats.org/officeDocument/2006/relationships/hyperlink" Target="http://ombrella.net" TargetMode="External"/><Relationship Id="rId209" Type="http://schemas.openxmlformats.org/officeDocument/2006/relationships/hyperlink" Target="http://withgoogle.com" TargetMode="External"/><Relationship Id="rId208"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207" Type="http://schemas.openxmlformats.org/officeDocument/2006/relationships/hyperlink" Target="http://withgoogle.com" TargetMode="External"/><Relationship Id="rId202" Type="http://schemas.openxmlformats.org/officeDocument/2006/relationships/hyperlink" Target="https://www.ombrella.net/work/" TargetMode="External"/><Relationship Id="rId201" Type="http://schemas.openxmlformats.org/officeDocument/2006/relationships/hyperlink" Target="http://minuttia.com" TargetMode="External"/><Relationship Id="rId200" Type="http://schemas.openxmlformats.org/officeDocument/2006/relationships/hyperlink" Target="https://minuttia.com/best-aeo-agencies/" TargetMode="External"/><Relationship Id="rId1" Type="http://schemas.openxmlformats.org/officeDocument/2006/relationships/hyperlink" Target="http://clutch.co" TargetMode="External"/><Relationship Id="rId2" Type="http://schemas.openxmlformats.org/officeDocument/2006/relationships/hyperlink" Target="https://support.google.com/analytics/answer/7237700?hl=en" TargetMode="External"/><Relationship Id="rId3" Type="http://schemas.openxmlformats.org/officeDocument/2006/relationships/hyperlink" Target="http://google.com" TargetMode="External"/><Relationship Id="rId4" Type="http://schemas.openxmlformats.org/officeDocument/2006/relationships/hyperlink" Target="https://scalixai.com/blog/best-performance-marketing-agencies" TargetMode="External"/><Relationship Id="rId9" Type="http://schemas.openxmlformats.org/officeDocument/2006/relationships/hyperlink" Target="http://clutch.co" TargetMode="External"/><Relationship Id="rId5" Type="http://schemas.openxmlformats.org/officeDocument/2006/relationships/hyperlink" Target="http://scalixai.com" TargetMode="External"/><Relationship Id="rId6" Type="http://schemas.openxmlformats.org/officeDocument/2006/relationships/hyperlink" Target="https://advertising-in-the-united-states.com/display-advertising-agencies" TargetMode="External"/><Relationship Id="rId7" Type="http://schemas.openxmlformats.org/officeDocument/2006/relationships/hyperlink" Target="http://advertising-in-the-united-states.com" TargetMode="External"/><Relationship Id="rId8" Type="http://schemas.openxmlformats.org/officeDocument/2006/relationships/hyperlink" Target="https://clutch.co/us/agencies/programmatic" TargetMode="External"/><Relationship Id="rId190" Type="http://schemas.openxmlformats.org/officeDocument/2006/relationships/hyperlink" Target="https://marketerhire.com/blog/aeo-agency" TargetMode="External"/><Relationship Id="rId194" Type="http://schemas.openxmlformats.org/officeDocument/2006/relationships/hyperlink" Target="https://marketingplatform.google.com/about/partners/find-a-partner" TargetMode="External"/><Relationship Id="rId193" Type="http://schemas.openxmlformats.org/officeDocument/2006/relationships/hyperlink" Target="http://marketingmonk.so" TargetMode="External"/><Relationship Id="rId192" Type="http://schemas.openxmlformats.org/officeDocument/2006/relationships/hyperlink" Target="https://www.marketingmonk.so/agency-directory/country/united%20states/service/conversion-optimization?page=2" TargetMode="External"/><Relationship Id="rId191" Type="http://schemas.openxmlformats.org/officeDocument/2006/relationships/hyperlink" Target="http://marketerhire.com" TargetMode="External"/><Relationship Id="rId187" Type="http://schemas.openxmlformats.org/officeDocument/2006/relationships/hyperlink" Target="http://linkedin.com" TargetMode="External"/><Relationship Id="rId186" Type="http://schemas.openxmlformats.org/officeDocument/2006/relationships/hyperlink" Target="https://www.linkedin.com/company/analytics-pros" TargetMode="External"/><Relationship Id="rId185" Type="http://schemas.openxmlformats.org/officeDocument/2006/relationships/hyperlink" Target="http://lawrencebros.com" TargetMode="External"/><Relationship Id="rId184" Type="http://schemas.openxmlformats.org/officeDocument/2006/relationships/hyperlink" Target="https://lawrencebros.com/top-7-marketing-attribution-software-platforms-for-2026/" TargetMode="External"/><Relationship Id="rId189" Type="http://schemas.openxmlformats.org/officeDocument/2006/relationships/hyperlink" Target="http://economictimes.com" TargetMode="External"/><Relationship Id="rId188" Type="http://schemas.openxmlformats.org/officeDocument/2006/relationships/hyperlink" Target="https://m.economictimes.com/small-biz/security-tech/technology/beyond-seo-the-new-rules-of-brand-discoverability-in-the-ai-era/articleshow/132474370.cms" TargetMode="External"/><Relationship Id="rId183" Type="http://schemas.openxmlformats.org/officeDocument/2006/relationships/hyperlink" Target="http://kuehne-nagel.com" TargetMode="External"/><Relationship Id="rId182" Type="http://schemas.openxmlformats.org/officeDocument/2006/relationships/hyperlink" Target="https://www.kuehne-nagel.com/us/services/customs-clearance/customs-and-trade-consultancy" TargetMode="External"/><Relationship Id="rId181" Type="http://schemas.openxmlformats.org/officeDocument/2006/relationships/hyperlink" Target="http://itsoftexpert.com" TargetMode="External"/><Relationship Id="rId180" Type="http://schemas.openxmlformats.org/officeDocument/2006/relationships/hyperlink" Target="https://www.itsoftexpert.com/usa/blog/itsoftexpert-client-success-stories-revenue-growth" TargetMode="External"/><Relationship Id="rId176" Type="http://schemas.openxmlformats.org/officeDocument/2006/relationships/hyperlink" Target="https://www.indeed.com/q-media-&amp;-lawyer-l-washington,-dc-jobs.html" TargetMode="External"/><Relationship Id="rId175" Type="http://schemas.openxmlformats.org/officeDocument/2006/relationships/hyperlink" Target="http://groas.com" TargetMode="External"/><Relationship Id="rId174" Type="http://schemas.openxmlformats.org/officeDocument/2006/relationships/hyperlink" Target="https://www.groas.com/post/klientboost-pricing-review-2026-what-they-charge-groas-alternative" TargetMode="External"/><Relationship Id="rId173" Type="http://schemas.openxmlformats.org/officeDocument/2006/relationships/hyperlink" Target="http://google.com" TargetMode="External"/><Relationship Id="rId179" Type="http://schemas.openxmlformats.org/officeDocument/2006/relationships/hyperlink" Target="http://infotrust.com" TargetMode="External"/><Relationship Id="rId178" Type="http://schemas.openxmlformats.org/officeDocument/2006/relationships/hyperlink" Target="https://infotrust.com/resource/get-to-know-all-products-available-in-the-google-marketing-platform/" TargetMode="External"/><Relationship Id="rId177" Type="http://schemas.openxmlformats.org/officeDocument/2006/relationships/hyperlink" Target="http://indeed.com" TargetMode="External"/><Relationship Id="rId198" Type="http://schemas.openxmlformats.org/officeDocument/2006/relationships/hyperlink" Target="https://www.merkle.com/en/about-us/partnerships/google.html" TargetMode="External"/><Relationship Id="rId197" Type="http://schemas.openxmlformats.org/officeDocument/2006/relationships/hyperlink" Target="http://google.com" TargetMode="External"/><Relationship Id="rId196" Type="http://schemas.openxmlformats.org/officeDocument/2006/relationships/hyperlink" Target="https://marketingplatform.google.com/about/partners/find-a-partner?category=206" TargetMode="External"/><Relationship Id="rId195" Type="http://schemas.openxmlformats.org/officeDocument/2006/relationships/hyperlink" Target="http://google.com" TargetMode="External"/><Relationship Id="rId199" Type="http://schemas.openxmlformats.org/officeDocument/2006/relationships/hyperlink" Target="http://merkle.com" TargetMode="External"/><Relationship Id="rId150" Type="http://schemas.openxmlformats.org/officeDocument/2006/relationships/hyperlink" Target="https://www.goodfirms.co/directory/country/top-digital-marketing-companies/us?sid=3951" TargetMode="External"/><Relationship Id="rId149" Type="http://schemas.openxmlformats.org/officeDocument/2006/relationships/hyperlink" Target="http://goodfirms.co" TargetMode="External"/><Relationship Id="rId148" Type="http://schemas.openxmlformats.org/officeDocument/2006/relationships/hyperlink" Target="https://www.goodfirms.co/directory/country/top-digital-marketing-companies/us?reviews=1&amp;sort_by=rating" TargetMode="External"/><Relationship Id="rId143" Type="http://schemas.openxmlformats.org/officeDocument/2006/relationships/hyperlink" Target="http://geekwire.com" TargetMode="External"/><Relationship Id="rId142" Type="http://schemas.openxmlformats.org/officeDocument/2006/relationships/hyperlink" Target="https://www.geekwire.com/2018/adswerve-acquires-seattle-based-analytics-pros-24m-creating-google-marketing-powerhouse/" TargetMode="External"/><Relationship Id="rId141" Type="http://schemas.openxmlformats.org/officeDocument/2006/relationships/hyperlink" Target="http://flyingvgroup.com" TargetMode="External"/><Relationship Id="rId140" Type="http://schemas.openxmlformats.org/officeDocument/2006/relationships/hyperlink" Target="https://www.flyingvgroup.com/programmatic-agency/" TargetMode="External"/><Relationship Id="rId147" Type="http://schemas.openxmlformats.org/officeDocument/2006/relationships/hyperlink" Target="http://goodfirms.co" TargetMode="External"/><Relationship Id="rId146" Type="http://schemas.openxmlformats.org/officeDocument/2006/relationships/hyperlink" Target="https://www.goodfirms.co/advertising-companies/creative?sort_by=rating" TargetMode="External"/><Relationship Id="rId145" Type="http://schemas.openxmlformats.org/officeDocument/2006/relationships/hyperlink" Target="http://getcrux.ai" TargetMode="External"/><Relationship Id="rId144" Type="http://schemas.openxmlformats.org/officeDocument/2006/relationships/hyperlink" Target="https://www.getcrux.ai/discover/marketing-attribution-tools" TargetMode="External"/><Relationship Id="rId139" Type="http://schemas.openxmlformats.org/officeDocument/2006/relationships/hyperlink" Target="http://firstpagesage.com" TargetMode="External"/><Relationship Id="rId138" Type="http://schemas.openxmlformats.org/officeDocument/2006/relationships/hyperlink" Target="https://firstpagesage.com/seo-blog/top-b2b-seo-agencies-us/" TargetMode="External"/><Relationship Id="rId137" Type="http://schemas.openxmlformats.org/officeDocument/2006/relationships/hyperlink" Target="http://firstpagesage.com" TargetMode="External"/><Relationship Id="rId132" Type="http://schemas.openxmlformats.org/officeDocument/2006/relationships/hyperlink" Target="https://www.f6s.com/software/category/first-party-data-activation" TargetMode="External"/><Relationship Id="rId131" Type="http://schemas.openxmlformats.org/officeDocument/2006/relationships/hyperlink" Target="https://enterprisemarketingportal.google/find-a-partner/adswerve-us" TargetMode="External"/><Relationship Id="rId130" Type="http://schemas.openxmlformats.org/officeDocument/2006/relationships/hyperlink" Target="http://ensun.io" TargetMode="External"/><Relationship Id="rId136" Type="http://schemas.openxmlformats.org/officeDocument/2006/relationships/hyperlink" Target="https://firstpagesage.com/seo-blog/the-top-ecommerce-agentic-search-optimization-aso-agencies" TargetMode="External"/><Relationship Id="rId135" Type="http://schemas.openxmlformats.org/officeDocument/2006/relationships/hyperlink" Target="http://facebook.com" TargetMode="External"/><Relationship Id="rId134" Type="http://schemas.openxmlformats.org/officeDocument/2006/relationships/hyperlink" Target="https://www.facebook.com/McKinsey/videos/only-11-of-companies-are-fully-leveraging-the-potential-of-gen-ai-quantumblack-a/932826565549113/" TargetMode="External"/><Relationship Id="rId133" Type="http://schemas.openxmlformats.org/officeDocument/2006/relationships/hyperlink" Target="http://f6s.com" TargetMode="External"/><Relationship Id="rId172" Type="http://schemas.openxmlformats.org/officeDocument/2006/relationships/hyperlink" Target="https://www.google.com/searchviewer/10?svid=CAwSHRIbCgNwdnESFENnMHZaeTh4TVhZNWFqZHVOR3htGAo" TargetMode="External"/><Relationship Id="rId171" Type="http://schemas.openxmlformats.org/officeDocument/2006/relationships/hyperlink" Target="http://google.com" TargetMode="External"/><Relationship Id="rId170" Type="http://schemas.openxmlformats.org/officeDocument/2006/relationships/hyperlink" Target="https://www.google.com/searchviewer/10?svid=CAwSHRIbCgNwdnESFENnMHZaeTh4TVdnMWJXNHhhREJtGAo" TargetMode="External"/><Relationship Id="rId165" Type="http://schemas.openxmlformats.org/officeDocument/2006/relationships/hyperlink" Target="http://google.com" TargetMode="External"/><Relationship Id="rId164" Type="http://schemas.openxmlformats.org/officeDocument/2006/relationships/hyperlink" Target="https://www.google.com/searchviewer/10?svid=CAwSHBIaCgNwdnESE0Nnd3ZaeTh4TW1oNGJESTFkSGsYCg" TargetMode="External"/><Relationship Id="rId163" Type="http://schemas.openxmlformats.org/officeDocument/2006/relationships/hyperlink" Target="http://google.com" TargetMode="External"/><Relationship Id="rId162" Type="http://schemas.openxmlformats.org/officeDocument/2006/relationships/hyperlink" Target="https://www.google.com/searchviewer/10?svid=CAwSGxIZCgNwdnESEkNnc3ZaeTh4ZUc1ZmNEVjVhQRgK" TargetMode="External"/><Relationship Id="rId169" Type="http://schemas.openxmlformats.org/officeDocument/2006/relationships/hyperlink" Target="http://google.com" TargetMode="External"/><Relationship Id="rId168" Type="http://schemas.openxmlformats.org/officeDocument/2006/relationships/hyperlink" Target="https://www.google.com/searchviewer/10?svid=CAwSHRIbCgNwdnESFENnMHZaeTh4TVdJMk9ESjBjWFpzGAo" TargetMode="External"/><Relationship Id="rId167" Type="http://schemas.openxmlformats.org/officeDocument/2006/relationships/hyperlink" Target="http://google.com" TargetMode="External"/><Relationship Id="rId166" Type="http://schemas.openxmlformats.org/officeDocument/2006/relationships/hyperlink" Target="https://www.google.com/searchviewer/10?svid=CAwSHRIbCgNwdnESFENnMHZaeTh4TVcwMWFqbDNjbk4yGAo" TargetMode="External"/><Relationship Id="rId161" Type="http://schemas.openxmlformats.org/officeDocument/2006/relationships/hyperlink" Target="http://google.com" TargetMode="External"/><Relationship Id="rId160" Type="http://schemas.openxmlformats.org/officeDocument/2006/relationships/hyperlink" Target="https://www.google.com/searchviewer/10?svid=CAwSGxIZCgNwdnESEkNnc3ZaeTh4ZEhaMFkyTXliZxgK" TargetMode="External"/><Relationship Id="rId159" Type="http://schemas.openxmlformats.org/officeDocument/2006/relationships/hyperlink" Target="http://google.com" TargetMode="External"/><Relationship Id="rId154" Type="http://schemas.openxmlformats.org/officeDocument/2006/relationships/hyperlink" Target="https://www.goodfirms.co/directory/country/top-digital-marketing-companies/us?sid=3975" TargetMode="External"/><Relationship Id="rId153" Type="http://schemas.openxmlformats.org/officeDocument/2006/relationships/hyperlink" Target="http://goodfirms.co" TargetMode="External"/><Relationship Id="rId152" Type="http://schemas.openxmlformats.org/officeDocument/2006/relationships/hyperlink" Target="https://www.goodfirms.co/directory/country/top-digital-marketing-companies/us?sid=3953" TargetMode="External"/><Relationship Id="rId151" Type="http://schemas.openxmlformats.org/officeDocument/2006/relationships/hyperlink" Target="http://goodfirms.co" TargetMode="External"/><Relationship Id="rId158" Type="http://schemas.openxmlformats.org/officeDocument/2006/relationships/hyperlink" Target="https://www.google.com/searchviewer/10?svid=CAwSGxIZCgNwdnESEkNnc3ZaeTh4ZEhKd2NuQjRhZxgK" TargetMode="External"/><Relationship Id="rId157" Type="http://schemas.openxmlformats.org/officeDocument/2006/relationships/hyperlink" Target="http://google.com" TargetMode="External"/><Relationship Id="rId156" Type="http://schemas.openxmlformats.org/officeDocument/2006/relationships/hyperlink" Target="https://www.google.com/ads/publisher/partners/work-with-a-partner/" TargetMode="External"/><Relationship Id="rId155" Type="http://schemas.openxmlformats.org/officeDocument/2006/relationships/hyperlink" Target="http://goodfirms.co" TargetMode="External"/><Relationship Id="rId107" Type="http://schemas.openxmlformats.org/officeDocument/2006/relationships/hyperlink" Target="https://www.cmswire.com/digital-marketing/before-you-buy-the-marketing-agent-build-the-martech-foundation/" TargetMode="External"/><Relationship Id="rId106" Type="http://schemas.openxmlformats.org/officeDocument/2006/relationships/hyperlink" Target="http://clutch.co" TargetMode="External"/><Relationship Id="rId105" Type="http://schemas.openxmlformats.org/officeDocument/2006/relationships/hyperlink" Target="https://clutch.co/us/agencies/ppc/display?page=10" TargetMode="External"/><Relationship Id="rId104" Type="http://schemas.openxmlformats.org/officeDocument/2006/relationships/hyperlink" Target="http://clutch.co" TargetMode="External"/><Relationship Id="rId109" Type="http://schemas.openxmlformats.org/officeDocument/2006/relationships/hyperlink" Target="https://coalitiontechnologies.com/ai-seo-company" TargetMode="External"/><Relationship Id="rId108" Type="http://schemas.openxmlformats.org/officeDocument/2006/relationships/hyperlink" Target="http://cmswire.com" TargetMode="External"/><Relationship Id="rId103" Type="http://schemas.openxmlformats.org/officeDocument/2006/relationships/hyperlink" Target="https://clutch.co/us/agencies/digital-marketing/small-business" TargetMode="External"/><Relationship Id="rId102" Type="http://schemas.openxmlformats.org/officeDocument/2006/relationships/hyperlink" Target="http://google.com" TargetMode="External"/><Relationship Id="rId101" Type="http://schemas.openxmlformats.org/officeDocument/2006/relationships/hyperlink" Target="https://cloud.google.com/customers/jellyfish2" TargetMode="External"/><Relationship Id="rId100" Type="http://schemas.openxmlformats.org/officeDocument/2006/relationships/hyperlink" Target="https://claritydigital.agency/services/ai-marketing-enablement/ai-marketing-strategy" TargetMode="External"/><Relationship Id="rId129" Type="http://schemas.openxmlformats.org/officeDocument/2006/relationships/hyperlink" Target="https://ensun.io/search/geospatial-gis/united-states" TargetMode="External"/><Relationship Id="rId128" Type="http://schemas.openxmlformats.org/officeDocument/2006/relationships/hyperlink" Target="http://edelmandxi.com" TargetMode="External"/><Relationship Id="rId127" Type="http://schemas.openxmlformats.org/officeDocument/2006/relationships/hyperlink" Target="https://www.edelmandxi.com/paid-media" TargetMode="External"/><Relationship Id="rId126" Type="http://schemas.openxmlformats.org/officeDocument/2006/relationships/hyperlink" Target="http://droga5.co.uk" TargetMode="External"/><Relationship Id="rId121" Type="http://schemas.openxmlformats.org/officeDocument/2006/relationships/hyperlink" Target="https://www.digitalapplied.com/blog/data-clean-rooms-advertising-2026-marketer-decision-guide" TargetMode="External"/><Relationship Id="rId120" Type="http://schemas.openxmlformats.org/officeDocument/2006/relationships/hyperlink" Target="http://diginsights.com" TargetMode="External"/><Relationship Id="rId125" Type="http://schemas.openxmlformats.org/officeDocument/2006/relationships/hyperlink" Target="https://droga5.co.uk/people/" TargetMode="External"/><Relationship Id="rId124" Type="http://schemas.openxmlformats.org/officeDocument/2006/relationships/hyperlink" Target="http://directiveconsulting.com" TargetMode="External"/><Relationship Id="rId123" Type="http://schemas.openxmlformats.org/officeDocument/2006/relationships/hyperlink" Target="https://directiveconsulting.com/wp-content/uploads/2019/08/MediaKit.pdf" TargetMode="External"/><Relationship Id="rId122" Type="http://schemas.openxmlformats.org/officeDocument/2006/relationships/hyperlink" Target="http://digitalapplied.com" TargetMode="External"/><Relationship Id="rId118" Type="http://schemas.openxmlformats.org/officeDocument/2006/relationships/hyperlink" Target="http://incrmntal.net" TargetMode="External"/><Relationship Id="rId117" Type="http://schemas.openxmlformats.org/officeDocument/2006/relationships/hyperlink" Target="https://dashboard.incrmntal.net/" TargetMode="External"/><Relationship Id="rId116" Type="http://schemas.openxmlformats.org/officeDocument/2006/relationships/hyperlink" Target="http://customssupport.com" TargetMode="External"/><Relationship Id="rId115" Type="http://schemas.openxmlformats.org/officeDocument/2006/relationships/hyperlink" Target="https://www.customssupport.com/solutions/trade-customs-accreditation/aeo-certification/" TargetMode="External"/><Relationship Id="rId119" Type="http://schemas.openxmlformats.org/officeDocument/2006/relationships/hyperlink" Target="https://diginsights.com/resources/market-research-companies-us-2025/" TargetMode="External"/><Relationship Id="rId110" Type="http://schemas.openxmlformats.org/officeDocument/2006/relationships/hyperlink" Target="http://coalitiontechnologies.com" TargetMode="External"/><Relationship Id="rId114" Type="http://schemas.openxmlformats.org/officeDocument/2006/relationships/hyperlink" Target="http://createscale.com" TargetMode="External"/><Relationship Id="rId113" Type="http://schemas.openxmlformats.org/officeDocument/2006/relationships/hyperlink" Target="https://createscale.com/production" TargetMode="External"/><Relationship Id="rId112" Type="http://schemas.openxmlformats.org/officeDocument/2006/relationships/hyperlink" Target="http://contently.com" TargetMode="External"/><Relationship Id="rId111" Type="http://schemas.openxmlformats.org/officeDocument/2006/relationships/hyperlink" Target="https://contently.com/2025/07/17/top-10-agencies-leading-answer-engine-optimization-aeo-in-2025/"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s://aventigroup.com/services/ai-enablement/" TargetMode="External"/><Relationship Id="rId42" Type="http://schemas.openxmlformats.org/officeDocument/2006/relationships/hyperlink" Target="https://www.bcg.com/capabilities/artificial-intelligence" TargetMode="External"/><Relationship Id="rId41" Type="http://schemas.openxmlformats.org/officeDocument/2006/relationships/hyperlink" Target="http://aventigroup.com" TargetMode="External"/><Relationship Id="rId44" Type="http://schemas.openxmlformats.org/officeDocument/2006/relationships/hyperlink" Target="https://directiveconsulting.com/blog/20-best-paid-social-agencies-turning-scrolls-into-sales/" TargetMode="External"/><Relationship Id="rId43" Type="http://schemas.openxmlformats.org/officeDocument/2006/relationships/hyperlink" Target="http://bcg.com" TargetMode="External"/><Relationship Id="rId46" Type="http://schemas.openxmlformats.org/officeDocument/2006/relationships/hyperlink" Target="https://www.motum-us.com/ai-readiness" TargetMode="External"/><Relationship Id="rId45" Type="http://schemas.openxmlformats.org/officeDocument/2006/relationships/hyperlink" Target="http://directiveconsulting.com" TargetMode="External"/><Relationship Id="rId48" Type="http://schemas.openxmlformats.org/officeDocument/2006/relationships/hyperlink" Target="https://www.pedowitzgroup.com/ai-assessment" TargetMode="External"/><Relationship Id="rId47" Type="http://schemas.openxmlformats.org/officeDocument/2006/relationships/hyperlink" Target="http://motum-us.com" TargetMode="External"/><Relationship Id="rId49" Type="http://schemas.openxmlformats.org/officeDocument/2006/relationships/hyperlink" Target="http://pedowitzgroup.com" TargetMode="External"/><Relationship Id="rId31" Type="http://schemas.openxmlformats.org/officeDocument/2006/relationships/hyperlink" Target="http://webfx.com" TargetMode="External"/><Relationship Id="rId30" Type="http://schemas.openxmlformats.org/officeDocument/2006/relationships/hyperlink" Target="https://www.webfx.com/digital-marketing/agency/usa/" TargetMode="External"/><Relationship Id="rId33" Type="http://schemas.openxmlformats.org/officeDocument/2006/relationships/hyperlink" Target="http://circana.com" TargetMode="External"/><Relationship Id="rId32" Type="http://schemas.openxmlformats.org/officeDocument/2006/relationships/hyperlink" Target="https://www.circana.com/liquid-testing" TargetMode="External"/><Relationship Id="rId35" Type="http://schemas.openxmlformats.org/officeDocument/2006/relationships/hyperlink" Target="http://infotrust.com" TargetMode="External"/><Relationship Id="rId34" Type="http://schemas.openxmlformats.org/officeDocument/2006/relationships/hyperlink" Target="https://infotrust.com/google-marketing-platform-consulting/" TargetMode="External"/><Relationship Id="rId37" Type="http://schemas.openxmlformats.org/officeDocument/2006/relationships/hyperlink" Target="http://percepture.com" TargetMode="External"/><Relationship Id="rId36" Type="http://schemas.openxmlformats.org/officeDocument/2006/relationships/hyperlink" Target="https://percepture.com/services/geo-services/" TargetMode="External"/><Relationship Id="rId39" Type="http://schemas.openxmlformats.org/officeDocument/2006/relationships/hyperlink" Target="http://quandarypeak.com" TargetMode="External"/><Relationship Id="rId38" Type="http://schemas.openxmlformats.org/officeDocument/2006/relationships/hyperlink" Target="https://quandarypeak.com/ai-strategy-consulting/" TargetMode="External"/><Relationship Id="rId20" Type="http://schemas.openxmlformats.org/officeDocument/2006/relationships/hyperlink" Target="https://liftlab.com/platform/incrementality-testing-engine/" TargetMode="External"/><Relationship Id="rId22" Type="http://schemas.openxmlformats.org/officeDocument/2006/relationships/hyperlink" Target="https://liftlab.com/solutions/incrementality-testing/" TargetMode="External"/><Relationship Id="rId21" Type="http://schemas.openxmlformats.org/officeDocument/2006/relationships/hyperlink" Target="http://liftlab.com" TargetMode="External"/><Relationship Id="rId24" Type="http://schemas.openxmlformats.org/officeDocument/2006/relationships/hyperlink" Target="https://www.wsiworld.com/our-services/ai-consulting" TargetMode="External"/><Relationship Id="rId23" Type="http://schemas.openxmlformats.org/officeDocument/2006/relationships/hyperlink" Target="http://liftlab.com" TargetMode="External"/><Relationship Id="rId26" Type="http://schemas.openxmlformats.org/officeDocument/2006/relationships/hyperlink" Target="https://www.deloitte.com/us/en/services/consulting/services/generative-ai-readiness-and-adoption.html" TargetMode="External"/><Relationship Id="rId25" Type="http://schemas.openxmlformats.org/officeDocument/2006/relationships/hyperlink" Target="http://wsiworld.com" TargetMode="External"/><Relationship Id="rId28" Type="http://schemas.openxmlformats.org/officeDocument/2006/relationships/hyperlink" Target="https://info.measured.com/media-mix-modeling-demo" TargetMode="External"/><Relationship Id="rId27" Type="http://schemas.openxmlformats.org/officeDocument/2006/relationships/hyperlink" Target="http://deloitte.com" TargetMode="External"/><Relationship Id="rId29" Type="http://schemas.openxmlformats.org/officeDocument/2006/relationships/hyperlink" Target="http://measured.com" TargetMode="External"/><Relationship Id="rId11" Type="http://schemas.openxmlformats.org/officeDocument/2006/relationships/hyperlink" Target="http://marketri.com" TargetMode="External"/><Relationship Id="rId10" Type="http://schemas.openxmlformats.org/officeDocument/2006/relationships/hyperlink" Target="https://marketri.com/ai-marketing-consulting/" TargetMode="External"/><Relationship Id="rId13" Type="http://schemas.openxmlformats.org/officeDocument/2006/relationships/hyperlink" Target="http://pedowitzgroup.com" TargetMode="External"/><Relationship Id="rId12" Type="http://schemas.openxmlformats.org/officeDocument/2006/relationships/hyperlink" Target="https://www.pedowitzgroup.com/solutions/ai" TargetMode="External"/><Relationship Id="rId15" Type="http://schemas.openxmlformats.org/officeDocument/2006/relationships/hyperlink" Target="http://techaheadcorp.com" TargetMode="External"/><Relationship Id="rId14" Type="http://schemas.openxmlformats.org/officeDocument/2006/relationships/hyperlink" Target="https://www.techaheadcorp.com/services/ai-consulting-company/" TargetMode="External"/><Relationship Id="rId17" Type="http://schemas.openxmlformats.org/officeDocument/2006/relationships/hyperlink" Target="http://mma.com" TargetMode="External"/><Relationship Id="rId16" Type="http://schemas.openxmlformats.org/officeDocument/2006/relationships/hyperlink" Target="https://mma.com/solutions/unified-marketing-measurement/" TargetMode="External"/><Relationship Id="rId19" Type="http://schemas.openxmlformats.org/officeDocument/2006/relationships/hyperlink" Target="http://getrecast.com" TargetMode="External"/><Relationship Id="rId18" Type="http://schemas.openxmlformats.org/officeDocument/2006/relationships/hyperlink" Target="https://getrecast.com/experimentation/" TargetMode="External"/><Relationship Id="rId84" Type="http://schemas.openxmlformats.org/officeDocument/2006/relationships/hyperlink" Target="https://www.ishir.com/ai-ready-go-to-market.htm" TargetMode="External"/><Relationship Id="rId83" Type="http://schemas.openxmlformats.org/officeDocument/2006/relationships/hyperlink" Target="http://commonthreadco.com" TargetMode="External"/><Relationship Id="rId86" Type="http://schemas.openxmlformats.org/officeDocument/2006/relationships/hyperlink" Target="https://www.measured.com/enterprise/" TargetMode="External"/><Relationship Id="rId85" Type="http://schemas.openxmlformats.org/officeDocument/2006/relationships/hyperlink" Target="http://ishir.com" TargetMode="External"/><Relationship Id="rId88" Type="http://schemas.openxmlformats.org/officeDocument/2006/relationships/hyperlink" Target="https://www.measured.com/incrementality-testing/" TargetMode="External"/><Relationship Id="rId87" Type="http://schemas.openxmlformats.org/officeDocument/2006/relationships/hyperlink" Target="http://measured.com" TargetMode="External"/><Relationship Id="rId89" Type="http://schemas.openxmlformats.org/officeDocument/2006/relationships/hyperlink" Target="http://measured.com" TargetMode="External"/><Relationship Id="rId80" Type="http://schemas.openxmlformats.org/officeDocument/2006/relationships/hyperlink" Target="https://clutch.co/us/agencies/ppc/display%3Fpage%3D5" TargetMode="External"/><Relationship Id="rId82" Type="http://schemas.openxmlformats.org/officeDocument/2006/relationships/hyperlink" Target="https://commonthreadco.com/pages/incrementality" TargetMode="External"/><Relationship Id="rId81" Type="http://schemas.openxmlformats.org/officeDocument/2006/relationships/hyperlink" Target="http://clutch.co" TargetMode="External"/><Relationship Id="rId73" Type="http://schemas.openxmlformats.org/officeDocument/2006/relationships/hyperlink" Target="http://adswerve.com" TargetMode="External"/><Relationship Id="rId72" Type="http://schemas.openxmlformats.org/officeDocument/2006/relationships/hyperlink" Target="https://adswerve.com/partners/google" TargetMode="External"/><Relationship Id="rId75" Type="http://schemas.openxmlformats.org/officeDocument/2006/relationships/hyperlink" Target="http://arcintermedia.com" TargetMode="External"/><Relationship Id="rId74" Type="http://schemas.openxmlformats.org/officeDocument/2006/relationships/hyperlink" Target="https://www.arcintermedia.com/services/consulting-technical/marketing-ai-consulting/" TargetMode="External"/><Relationship Id="rId77" Type="http://schemas.openxmlformats.org/officeDocument/2006/relationships/hyperlink" Target="http://bounteous.com" TargetMode="External"/><Relationship Id="rId76" Type="http://schemas.openxmlformats.org/officeDocument/2006/relationships/hyperlink" Target="https://www.bounteous.com/partners/google/" TargetMode="External"/><Relationship Id="rId79" Type="http://schemas.openxmlformats.org/officeDocument/2006/relationships/hyperlink" Target="http://bounteous.com" TargetMode="External"/><Relationship Id="rId78" Type="http://schemas.openxmlformats.org/officeDocument/2006/relationships/hyperlink" Target="https://www.bounteous.com/partners/google/google-marketing-platform/" TargetMode="External"/><Relationship Id="rId71" Type="http://schemas.openxmlformats.org/officeDocument/2006/relationships/hyperlink" Target="http://velocitybyca.com" TargetMode="External"/><Relationship Id="rId70" Type="http://schemas.openxmlformats.org/officeDocument/2006/relationships/hyperlink" Target="https://www.velocitybyca.com/enterprise-ai-consulting" TargetMode="External"/><Relationship Id="rId62" Type="http://schemas.openxmlformats.org/officeDocument/2006/relationships/hyperlink" Target="https://maxconnect.com/services/digital/display-advertising" TargetMode="External"/><Relationship Id="rId61" Type="http://schemas.openxmlformats.org/officeDocument/2006/relationships/hyperlink" Target="http://liftlab.com" TargetMode="External"/><Relationship Id="rId64" Type="http://schemas.openxmlformats.org/officeDocument/2006/relationships/hyperlink" Target="https://www.measured.com/incremental-lift-tests/" TargetMode="External"/><Relationship Id="rId63" Type="http://schemas.openxmlformats.org/officeDocument/2006/relationships/hyperlink" Target="http://maxconnect.com" TargetMode="External"/><Relationship Id="rId66" Type="http://schemas.openxmlformats.org/officeDocument/2006/relationships/hyperlink" Target="https://mma.com/solutions/lp-transform-your-marketing-measurement/" TargetMode="External"/><Relationship Id="rId65" Type="http://schemas.openxmlformats.org/officeDocument/2006/relationships/hyperlink" Target="http://measured.com" TargetMode="External"/><Relationship Id="rId68" Type="http://schemas.openxmlformats.org/officeDocument/2006/relationships/hyperlink" Target="https://www.seerinteractive.com/ai-consulting" TargetMode="External"/><Relationship Id="rId67" Type="http://schemas.openxmlformats.org/officeDocument/2006/relationships/hyperlink" Target="http://mma.com" TargetMode="External"/><Relationship Id="rId60" Type="http://schemas.openxmlformats.org/officeDocument/2006/relationships/hyperlink" Target="https://liftlab.com/platform/unified-marketing-measurement/" TargetMode="External"/><Relationship Id="rId69" Type="http://schemas.openxmlformats.org/officeDocument/2006/relationships/hyperlink" Target="http://seerinteractive.com" TargetMode="External"/><Relationship Id="rId51" Type="http://schemas.openxmlformats.org/officeDocument/2006/relationships/hyperlink" Target="http://s360digital.com" TargetMode="External"/><Relationship Id="rId50" Type="http://schemas.openxmlformats.org/officeDocument/2006/relationships/hyperlink" Target="https://s360digital.com/capabilities/tech/google-marketing-platform/" TargetMode="External"/><Relationship Id="rId53" Type="http://schemas.openxmlformats.org/officeDocument/2006/relationships/hyperlink" Target="http://google.com" TargetMode="External"/><Relationship Id="rId52" Type="http://schemas.openxmlformats.org/officeDocument/2006/relationships/hyperlink" Target="https://business.google.com/us/support/become-a-partner/" TargetMode="External"/><Relationship Id="rId55" Type="http://schemas.openxmlformats.org/officeDocument/2006/relationships/hyperlink" Target="http://fusepointinsights.com" TargetMode="External"/><Relationship Id="rId54" Type="http://schemas.openxmlformats.org/officeDocument/2006/relationships/hyperlink" Target="https://fusepointinsights.com/service/incrementality-experiments/" TargetMode="External"/><Relationship Id="rId57" Type="http://schemas.openxmlformats.org/officeDocument/2006/relationships/hyperlink" Target="http://incrmntal.com" TargetMode="External"/><Relationship Id="rId56" Type="http://schemas.openxmlformats.org/officeDocument/2006/relationships/hyperlink" Target="https://www.incrmntal.com/solutions/agencies" TargetMode="External"/><Relationship Id="rId59" Type="http://schemas.openxmlformats.org/officeDocument/2006/relationships/hyperlink" Target="http://isuccessconsulting.com" TargetMode="External"/><Relationship Id="rId58" Type="http://schemas.openxmlformats.org/officeDocument/2006/relationships/hyperlink" Target="https://isuccessconsulting.com/aireadiness/" TargetMode="External"/><Relationship Id="rId95" Type="http://schemas.openxmlformats.org/officeDocument/2006/relationships/hyperlink" Target="https://www.stonehillinnovation.com/ai-readiness-assessment-consulting" TargetMode="External"/><Relationship Id="rId94" Type="http://schemas.openxmlformats.org/officeDocument/2006/relationships/hyperlink" Target="https://search.agency/ai-search" TargetMode="External"/><Relationship Id="rId97" Type="http://schemas.openxmlformats.org/officeDocument/2006/relationships/hyperlink" Target="https://www.adaptiveco.io/services/ai-agent-consulting" TargetMode="External"/><Relationship Id="rId96" Type="http://schemas.openxmlformats.org/officeDocument/2006/relationships/hyperlink" Target="http://stonehillinnovation.com" TargetMode="External"/><Relationship Id="rId99" Type="http://schemas.openxmlformats.org/officeDocument/2006/relationships/hyperlink" Target="https://adswerve.com/our-services/consulting-and-licensing" TargetMode="External"/><Relationship Id="rId98" Type="http://schemas.openxmlformats.org/officeDocument/2006/relationships/hyperlink" Target="http://adaptiveco.io" TargetMode="External"/><Relationship Id="rId91" Type="http://schemas.openxmlformats.org/officeDocument/2006/relationships/hyperlink" Target="http://rockerbox.com" TargetMode="External"/><Relationship Id="rId90" Type="http://schemas.openxmlformats.org/officeDocument/2006/relationships/hyperlink" Target="https://www.rockerbox.com/testing" TargetMode="External"/><Relationship Id="rId93" Type="http://schemas.openxmlformats.org/officeDocument/2006/relationships/hyperlink" Target="http://sealglobalholdings.com" TargetMode="External"/><Relationship Id="rId92" Type="http://schemas.openxmlformats.org/officeDocument/2006/relationships/hyperlink" Target="https://www.sealglobalholdings.com/ai-search-optimization-agency" TargetMode="External"/><Relationship Id="rId305" Type="http://schemas.openxmlformats.org/officeDocument/2006/relationships/hyperlink" Target="http://verdtek.com" TargetMode="External"/><Relationship Id="rId304" Type="http://schemas.openxmlformats.org/officeDocument/2006/relationships/hyperlink" Target="https://verdtek.com/ai-adoption/" TargetMode="External"/><Relationship Id="rId303" Type="http://schemas.openxmlformats.org/officeDocument/2006/relationships/hyperlink" Target="http://useready.com" TargetMode="External"/><Relationship Id="rId302" Type="http://schemas.openxmlformats.org/officeDocument/2006/relationships/hyperlink" Target="https://www.useready.com/aixcelerate" TargetMode="External"/><Relationship Id="rId309" Type="http://schemas.openxmlformats.org/officeDocument/2006/relationships/hyperlink" Target="http://wested.org" TargetMode="External"/><Relationship Id="rId308" Type="http://schemas.openxmlformats.org/officeDocument/2006/relationships/hyperlink" Target="https://www.wested.org/support/ai-readiness-and-integration/" TargetMode="External"/><Relationship Id="rId307" Type="http://schemas.openxmlformats.org/officeDocument/2006/relationships/hyperlink" Target="http://visioneerit.com" TargetMode="External"/><Relationship Id="rId306" Type="http://schemas.openxmlformats.org/officeDocument/2006/relationships/hyperlink" Target="https://www.visioneerit.com/services/artificial-intelligence-adoption" TargetMode="External"/><Relationship Id="rId301" Type="http://schemas.openxmlformats.org/officeDocument/2006/relationships/hyperlink" Target="http://trinitybps.com" TargetMode="External"/><Relationship Id="rId300" Type="http://schemas.openxmlformats.org/officeDocument/2006/relationships/hyperlink" Target="https://www.trinitybps.com/ai-consulting" TargetMode="External"/><Relationship Id="rId312" Type="http://schemas.openxmlformats.org/officeDocument/2006/relationships/drawing" Target="../drawings/drawing28.xml"/><Relationship Id="rId311" Type="http://schemas.openxmlformats.org/officeDocument/2006/relationships/hyperlink" Target="http://wpromote.com" TargetMode="External"/><Relationship Id="rId310" Type="http://schemas.openxmlformats.org/officeDocument/2006/relationships/hyperlink" Target="https://www.wpromote.com/digital-marketing-services/strategy-planning/" TargetMode="External"/><Relationship Id="rId297" Type="http://schemas.openxmlformats.org/officeDocument/2006/relationships/hyperlink" Target="http://tinuiti.com" TargetMode="External"/><Relationship Id="rId296" Type="http://schemas.openxmlformats.org/officeDocument/2006/relationships/hyperlink" Target="https://tinuiti.com/blisspoint/measurement/incrementality-lab/" TargetMode="External"/><Relationship Id="rId295" Type="http://schemas.openxmlformats.org/officeDocument/2006/relationships/hyperlink" Target="http://thinkstrategic.com" TargetMode="External"/><Relationship Id="rId294" Type="http://schemas.openxmlformats.org/officeDocument/2006/relationships/hyperlink" Target="https://thinkstrategic.com/display-advertising/" TargetMode="External"/><Relationship Id="rId299" Type="http://schemas.openxmlformats.org/officeDocument/2006/relationships/hyperlink" Target="http://tinuiti.com" TargetMode="External"/><Relationship Id="rId298" Type="http://schemas.openxmlformats.org/officeDocument/2006/relationships/hyperlink" Target="https://tinuiti.com/services/social/" TargetMode="External"/><Relationship Id="rId271" Type="http://schemas.openxmlformats.org/officeDocument/2006/relationships/hyperlink" Target="http://sei.com" TargetMode="External"/><Relationship Id="rId270" Type="http://schemas.openxmlformats.org/officeDocument/2006/relationships/hyperlink" Target="https://www.sei.com/our-services/ai-readiness-assessments/" TargetMode="External"/><Relationship Id="rId269" Type="http://schemas.openxmlformats.org/officeDocument/2006/relationships/hyperlink" Target="http://s360digital.com" TargetMode="External"/><Relationship Id="rId264" Type="http://schemas.openxmlformats.org/officeDocument/2006/relationships/hyperlink" Target="https://rsmus.com/services/digital-transformation/ai-readiness-assessment.html" TargetMode="External"/><Relationship Id="rId263" Type="http://schemas.openxmlformats.org/officeDocument/2006/relationships/hyperlink" Target="https://rational.partners/us/services/ai-enablement" TargetMode="External"/><Relationship Id="rId262" Type="http://schemas.openxmlformats.org/officeDocument/2006/relationships/hyperlink" Target="http://rankmybusiness.com.au" TargetMode="External"/><Relationship Id="rId261" Type="http://schemas.openxmlformats.org/officeDocument/2006/relationships/hyperlink" Target="https://rankmybusiness.com.au/ai-seo-marketing-agency/" TargetMode="External"/><Relationship Id="rId268" Type="http://schemas.openxmlformats.org/officeDocument/2006/relationships/hyperlink" Target="https://s360digital.com/capabilities/data/incrementality-testing/" TargetMode="External"/><Relationship Id="rId267" Type="http://schemas.openxmlformats.org/officeDocument/2006/relationships/hyperlink" Target="http://rsmus.com" TargetMode="External"/><Relationship Id="rId266" Type="http://schemas.openxmlformats.org/officeDocument/2006/relationships/hyperlink" Target="https://rsmus.com/services/digital-transformation/artificial-intelligence.html" TargetMode="External"/><Relationship Id="rId265" Type="http://schemas.openxmlformats.org/officeDocument/2006/relationships/hyperlink" Target="http://rsmus.com" TargetMode="External"/><Relationship Id="rId260" Type="http://schemas.openxmlformats.org/officeDocument/2006/relationships/hyperlink" Target="https://primetrics.cpa/what-we-do/it-services/ai-readiness-adoption/" TargetMode="External"/><Relationship Id="rId259" Type="http://schemas.openxmlformats.org/officeDocument/2006/relationships/hyperlink" Target="http://powerdigitalmarketing.com" TargetMode="External"/><Relationship Id="rId258" Type="http://schemas.openxmlformats.org/officeDocument/2006/relationships/hyperlink" Target="https://powerdigitalmarketing.com/atlanta/seo/" TargetMode="External"/><Relationship Id="rId253" Type="http://schemas.openxmlformats.org/officeDocument/2006/relationships/hyperlink" Target="http://phueled.com" TargetMode="External"/><Relationship Id="rId252" Type="http://schemas.openxmlformats.org/officeDocument/2006/relationships/hyperlink" Target="https://phueled.com/marketing-science" TargetMode="External"/><Relationship Id="rId251" Type="http://schemas.openxmlformats.org/officeDocument/2006/relationships/hyperlink" Target="http://perceptive-analytics.com" TargetMode="External"/><Relationship Id="rId250" Type="http://schemas.openxmlformats.org/officeDocument/2006/relationships/hyperlink" Target="https://www.perceptive-analytics.com/marketing-analytics-companies/" TargetMode="External"/><Relationship Id="rId257" Type="http://schemas.openxmlformats.org/officeDocument/2006/relationships/hyperlink" Target="http://portagelabs.io" TargetMode="External"/><Relationship Id="rId256" Type="http://schemas.openxmlformats.org/officeDocument/2006/relationships/hyperlink" Target="https://www.portagelabs.io/services/ai-enablement" TargetMode="External"/><Relationship Id="rId255" Type="http://schemas.openxmlformats.org/officeDocument/2006/relationships/hyperlink" Target="http://pointsourcemarketing.com" TargetMode="External"/><Relationship Id="rId254" Type="http://schemas.openxmlformats.org/officeDocument/2006/relationships/hyperlink" Target="https://pointsourcemarketing.com/performance-marketing/analytics/ga-consulting/" TargetMode="External"/><Relationship Id="rId293" Type="http://schemas.openxmlformats.org/officeDocument/2006/relationships/hyperlink" Target="http://thekeenfolks.com" TargetMode="External"/><Relationship Id="rId292" Type="http://schemas.openxmlformats.org/officeDocument/2006/relationships/hyperlink" Target="https://www.thekeenfolks.com/solutions/20-the-best-ai-marketing-companies-for-large-enterprises" TargetMode="External"/><Relationship Id="rId291" Type="http://schemas.openxmlformats.org/officeDocument/2006/relationships/hyperlink" Target="http://thehackettgroup.com" TargetMode="External"/><Relationship Id="rId290" Type="http://schemas.openxmlformats.org/officeDocument/2006/relationships/hyperlink" Target="https://www.thehackettgroup.com/ai-consulting-hckt/" TargetMode="External"/><Relationship Id="rId286" Type="http://schemas.openxmlformats.org/officeDocument/2006/relationships/hyperlink" Target="https://soft-industry.com/data-analytics-services/" TargetMode="External"/><Relationship Id="rId285" Type="http://schemas.openxmlformats.org/officeDocument/2006/relationships/hyperlink" Target="http://smartsites.com" TargetMode="External"/><Relationship Id="rId284" Type="http://schemas.openxmlformats.org/officeDocument/2006/relationships/hyperlink" Target="https://www.smartsites.com/web-design/graphics-digital/web-display-banners/" TargetMode="External"/><Relationship Id="rId283" Type="http://schemas.openxmlformats.org/officeDocument/2006/relationships/hyperlink" Target="http://smartsites.com" TargetMode="External"/><Relationship Id="rId289" Type="http://schemas.openxmlformats.org/officeDocument/2006/relationships/hyperlink" Target="http://technologyarch.com" TargetMode="External"/><Relationship Id="rId288" Type="http://schemas.openxmlformats.org/officeDocument/2006/relationships/hyperlink" Target="https://technologyarch.com/it-consulting/ai-adoption/" TargetMode="External"/><Relationship Id="rId287" Type="http://schemas.openxmlformats.org/officeDocument/2006/relationships/hyperlink" Target="http://soft-industry.com" TargetMode="External"/><Relationship Id="rId282" Type="http://schemas.openxmlformats.org/officeDocument/2006/relationships/hyperlink" Target="https://www.smartsites.com/ppc-marketing/display-advertising/" TargetMode="External"/><Relationship Id="rId281" Type="http://schemas.openxmlformats.org/officeDocument/2006/relationships/hyperlink" Target="http://silverbackstrategies.com" TargetMode="External"/><Relationship Id="rId280" Type="http://schemas.openxmlformats.org/officeDocument/2006/relationships/hyperlink" Target="https://www.silverbackstrategies.com/services/measurement/incrementality-testing/" TargetMode="External"/><Relationship Id="rId275" Type="http://schemas.openxmlformats.org/officeDocument/2006/relationships/hyperlink" Target="http://seobrand.com" TargetMode="External"/><Relationship Id="rId274" Type="http://schemas.openxmlformats.org/officeDocument/2006/relationships/hyperlink" Target="https://www.seobrand.com/ai-seo-services/" TargetMode="External"/><Relationship Id="rId273" Type="http://schemas.openxmlformats.org/officeDocument/2006/relationships/hyperlink" Target="http://seo.com" TargetMode="External"/><Relationship Id="rId272" Type="http://schemas.openxmlformats.org/officeDocument/2006/relationships/hyperlink" Target="https://www.seo.com/ai/services/" TargetMode="External"/><Relationship Id="rId279" Type="http://schemas.openxmlformats.org/officeDocument/2006/relationships/hyperlink" Target="http://shipmercury.com" TargetMode="External"/><Relationship Id="rId278" Type="http://schemas.openxmlformats.org/officeDocument/2006/relationships/hyperlink" Target="https://www.shipmercury.com/shipping-service/ctpat-consulting" TargetMode="External"/><Relationship Id="rId277" Type="http://schemas.openxmlformats.org/officeDocument/2006/relationships/hyperlink" Target="http://shifu-marketing.com" TargetMode="External"/><Relationship Id="rId276" Type="http://schemas.openxmlformats.org/officeDocument/2006/relationships/hyperlink" Target="https://shifu-marketing.com/ai-consulting-services/ai-strategy-consulting/" TargetMode="External"/><Relationship Id="rId228" Type="http://schemas.openxmlformats.org/officeDocument/2006/relationships/hyperlink" Target="https://www.measured.com/incrementality-platform-overview/" TargetMode="External"/><Relationship Id="rId227" Type="http://schemas.openxmlformats.org/officeDocument/2006/relationships/hyperlink" Target="http://measured.com" TargetMode="External"/><Relationship Id="rId226" Type="http://schemas.openxmlformats.org/officeDocument/2006/relationships/hyperlink" Target="https://www.measured.com/blog/%F0%9F%9A%80-unleashing-the-power-of-incrementality-the-all-new-measured-platform/" TargetMode="External"/><Relationship Id="rId225" Type="http://schemas.openxmlformats.org/officeDocument/2006/relationships/hyperlink" Target="http://mcsaatchiperformance.com" TargetMode="External"/><Relationship Id="rId229" Type="http://schemas.openxmlformats.org/officeDocument/2006/relationships/hyperlink" Target="http://measured.com" TargetMode="External"/><Relationship Id="rId220" Type="http://schemas.openxmlformats.org/officeDocument/2006/relationships/hyperlink" Target="https://marketingplatform.google.com/about/enterprise/" TargetMode="External"/><Relationship Id="rId224" Type="http://schemas.openxmlformats.org/officeDocument/2006/relationships/hyperlink" Target="https://www.mcsaatchiperformance.com/what-we-do/display/" TargetMode="External"/><Relationship Id="rId223" Type="http://schemas.openxmlformats.org/officeDocument/2006/relationships/hyperlink" Target="http://mckinsey.com" TargetMode="External"/><Relationship Id="rId222" Type="http://schemas.openxmlformats.org/officeDocument/2006/relationships/hyperlink" Target="https://www.mckinsey.com/capabilities/growth-marketing-and-sales/how-we-help-clients/cmac" TargetMode="External"/><Relationship Id="rId221" Type="http://schemas.openxmlformats.org/officeDocument/2006/relationships/hyperlink" Target="http://google.com" TargetMode="External"/><Relationship Id="rId217" Type="http://schemas.openxmlformats.org/officeDocument/2006/relationships/hyperlink" Target="http://marketingaiinstitute.com" TargetMode="External"/><Relationship Id="rId216" Type="http://schemas.openxmlformats.org/officeDocument/2006/relationships/hyperlink" Target="https://www.marketingaiinstitute.com/marketing-ai-consulting" TargetMode="External"/><Relationship Id="rId215" Type="http://schemas.openxmlformats.org/officeDocument/2006/relationships/hyperlink" Target="http://marketbridge.com" TargetMode="External"/><Relationship Id="rId214" Type="http://schemas.openxmlformats.org/officeDocument/2006/relationships/hyperlink" Target="https://marketbridge.com/services/marketing-analytics-data/test-learn/" TargetMode="External"/><Relationship Id="rId219" Type="http://schemas.openxmlformats.org/officeDocument/2006/relationships/hyperlink" Target="http://marketingattribution.com" TargetMode="External"/><Relationship Id="rId218" Type="http://schemas.openxmlformats.org/officeDocument/2006/relationships/hyperlink" Target="https://www.marketingattribution.com/marketing-mix-models/" TargetMode="External"/><Relationship Id="rId213" Type="http://schemas.openxmlformats.org/officeDocument/2006/relationships/hyperlink" Target="http://marceldigital.com" TargetMode="External"/><Relationship Id="rId212" Type="http://schemas.openxmlformats.org/officeDocument/2006/relationships/hyperlink" Target="https://www.marceldigital.com/services/answer-engine-optimization" TargetMode="External"/><Relationship Id="rId211" Type="http://schemas.openxmlformats.org/officeDocument/2006/relationships/hyperlink" Target="http://manning.com" TargetMode="External"/><Relationship Id="rId210" Type="http://schemas.openxmlformats.org/officeDocument/2006/relationships/hyperlink" Target="https://www.manning.com/books/first-party-data-activation" TargetMode="External"/><Relationship Id="rId249" Type="http://schemas.openxmlformats.org/officeDocument/2006/relationships/hyperlink" Target="http://panorama-consulting.com" TargetMode="External"/><Relationship Id="rId248" Type="http://schemas.openxmlformats.org/officeDocument/2006/relationships/hyperlink" Target="https://www.panorama-consulting.com/services/ai-readiness-and-enablement-service-offering/" TargetMode="External"/><Relationship Id="rId247" Type="http://schemas.openxmlformats.org/officeDocument/2006/relationships/hyperlink" Target="http://orangemantra.com" TargetMode="External"/><Relationship Id="rId242" Type="http://schemas.openxmlformats.org/officeDocument/2006/relationships/hyperlink" Target="https://oneclickseo.com/services/generative-engine-optimization/" TargetMode="External"/><Relationship Id="rId241" Type="http://schemas.openxmlformats.org/officeDocument/2006/relationships/hyperlink" Target="http://niracore.com" TargetMode="External"/><Relationship Id="rId240" Type="http://schemas.openxmlformats.org/officeDocument/2006/relationships/hyperlink" Target="https://www.niracore.com/top-data-analytics-companies-usa-2026/" TargetMode="External"/><Relationship Id="rId246" Type="http://schemas.openxmlformats.org/officeDocument/2006/relationships/hyperlink" Target="https://www.orangemantra.com/services/genrative-engine-optimization/" TargetMode="External"/><Relationship Id="rId245" Type="http://schemas.openxmlformats.org/officeDocument/2006/relationships/hyperlink" Target="http://optimisemedia.com" TargetMode="External"/><Relationship Id="rId244" Type="http://schemas.openxmlformats.org/officeDocument/2006/relationships/hyperlink" Target="https://optimisemedia.com/agency-services/" TargetMode="External"/><Relationship Id="rId243" Type="http://schemas.openxmlformats.org/officeDocument/2006/relationships/hyperlink" Target="http://oneclickseo.com" TargetMode="External"/><Relationship Id="rId239" Type="http://schemas.openxmlformats.org/officeDocument/2006/relationships/hyperlink" Target="http://netpeak.us" TargetMode="External"/><Relationship Id="rId238" Type="http://schemas.openxmlformats.org/officeDocument/2006/relationships/hyperlink" Target="https://netpeak.us/services/generative-engine-optimization/" TargetMode="External"/><Relationship Id="rId237" Type="http://schemas.openxmlformats.org/officeDocument/2006/relationships/hyperlink" Target="http://myohomarketing.com.au" TargetMode="External"/><Relationship Id="rId236" Type="http://schemas.openxmlformats.org/officeDocument/2006/relationships/hyperlink" Target="https://myohomarketing.com.au/generative-engine-optimisation/" TargetMode="External"/><Relationship Id="rId231" Type="http://schemas.openxmlformats.org/officeDocument/2006/relationships/hyperlink" Target="http://measured.com" TargetMode="External"/><Relationship Id="rId230" Type="http://schemas.openxmlformats.org/officeDocument/2006/relationships/hyperlink" Target="https://www.measured.com/media-mix-modeling/" TargetMode="External"/><Relationship Id="rId235" Type="http://schemas.openxmlformats.org/officeDocument/2006/relationships/hyperlink" Target="http://monks.com" TargetMode="External"/><Relationship Id="rId234" Type="http://schemas.openxmlformats.org/officeDocument/2006/relationships/hyperlink" Target="https://www.monks.com/partners/google-marketing-platform" TargetMode="External"/><Relationship Id="rId233" Type="http://schemas.openxmlformats.org/officeDocument/2006/relationships/hyperlink" Target="http://mma.com" TargetMode="External"/><Relationship Id="rId232" Type="http://schemas.openxmlformats.org/officeDocument/2006/relationships/hyperlink" Target="https://mma.com/solutions/agile-attribution/" TargetMode="External"/><Relationship Id="rId206" Type="http://schemas.openxmlformats.org/officeDocument/2006/relationships/hyperlink" Target="https://lifesight.io/?trk=public_post_main-feed-card-text" TargetMode="External"/><Relationship Id="rId205" Type="http://schemas.openxmlformats.org/officeDocument/2006/relationships/hyperlink" Target="https://www.lazarev.agency/services/ui-ux-consulting" TargetMode="External"/><Relationship Id="rId204" Type="http://schemas.openxmlformats.org/officeDocument/2006/relationships/hyperlink" Target="http://kuehne-nagel.com" TargetMode="External"/><Relationship Id="rId203" Type="http://schemas.openxmlformats.org/officeDocument/2006/relationships/hyperlink" Target="https://www.kuehne-nagel.com/us/services/customs-clearance" TargetMode="External"/><Relationship Id="rId209" Type="http://schemas.openxmlformats.org/officeDocument/2006/relationships/hyperlink" Target="http://lumenlimitless.com" TargetMode="External"/><Relationship Id="rId208" Type="http://schemas.openxmlformats.org/officeDocument/2006/relationships/hyperlink" Target="https://www.lumenlimitless.com/services/ai-consulting" TargetMode="External"/><Relationship Id="rId207" Type="http://schemas.openxmlformats.org/officeDocument/2006/relationships/hyperlink" Target="http://lifesight.io" TargetMode="External"/><Relationship Id="rId202" Type="http://schemas.openxmlformats.org/officeDocument/2006/relationships/hyperlink" Target="http://klientboost.com" TargetMode="External"/><Relationship Id="rId201" Type="http://schemas.openxmlformats.org/officeDocument/2006/relationships/hyperlink" Target="https://www.klientboost.com/services/google-ads-agency/" TargetMode="External"/><Relationship Id="rId200" Type="http://schemas.openxmlformats.org/officeDocument/2006/relationships/hyperlink" Target="http://klientboost.com" TargetMode="External"/><Relationship Id="rId1" Type="http://schemas.openxmlformats.org/officeDocument/2006/relationships/hyperlink" Target="http://decisionfoundry.com" TargetMode="External"/><Relationship Id="rId2" Type="http://schemas.openxmlformats.org/officeDocument/2006/relationships/hyperlink" Target="https://www.artefact.com/offers/marketing-data-driven/marketing-analytics/" TargetMode="External"/><Relationship Id="rId3" Type="http://schemas.openxmlformats.org/officeDocument/2006/relationships/hyperlink" Target="http://artefact.com" TargetMode="External"/><Relationship Id="rId4" Type="http://schemas.openxmlformats.org/officeDocument/2006/relationships/hyperlink" Target="https://www.haus.io/use-cases/incrementality" TargetMode="External"/><Relationship Id="rId9" Type="http://schemas.openxmlformats.org/officeDocument/2006/relationships/hyperlink" Target="http://centricconsulting.com" TargetMode="External"/><Relationship Id="rId5" Type="http://schemas.openxmlformats.org/officeDocument/2006/relationships/hyperlink" Target="http://haus.io" TargetMode="External"/><Relationship Id="rId6" Type="http://schemas.openxmlformats.org/officeDocument/2006/relationships/hyperlink" Target="https://www.nuundigital.com/services/data-analytics/marketing-analytics-attribution" TargetMode="External"/><Relationship Id="rId7" Type="http://schemas.openxmlformats.org/officeDocument/2006/relationships/hyperlink" Target="http://nuundigital.com" TargetMode="External"/><Relationship Id="rId8" Type="http://schemas.openxmlformats.org/officeDocument/2006/relationships/hyperlink" Target="https://centricconsulting.com/technology-solutions/artificial-intelligence-consulting/" TargetMode="External"/><Relationship Id="rId190" Type="http://schemas.openxmlformats.org/officeDocument/2006/relationships/hyperlink" Target="http://incrmntal.com" TargetMode="External"/><Relationship Id="rId194" Type="http://schemas.openxmlformats.org/officeDocument/2006/relationships/hyperlink" Target="http://incrmntal.com" TargetMode="External"/><Relationship Id="rId193" Type="http://schemas.openxmlformats.org/officeDocument/2006/relationships/hyperlink" Target="https://www.incrmntal.com/solutions/marketing-analysts" TargetMode="External"/><Relationship Id="rId192" Type="http://schemas.openxmlformats.org/officeDocument/2006/relationships/hyperlink" Target="http://incrmntal.com" TargetMode="External"/><Relationship Id="rId191" Type="http://schemas.openxmlformats.org/officeDocument/2006/relationships/hyperlink" Target="https://www.incrmntal.com/platform" TargetMode="External"/><Relationship Id="rId187" Type="http://schemas.openxmlformats.org/officeDocument/2006/relationships/hyperlink" Target="https://www.incrmntal.com/autonomous" TargetMode="External"/><Relationship Id="rId186" Type="http://schemas.openxmlformats.org/officeDocument/2006/relationships/hyperlink" Target="http://incremental.com" TargetMode="External"/><Relationship Id="rId185" Type="http://schemas.openxmlformats.org/officeDocument/2006/relationships/hyperlink" Target="https://www.incremental.com/how-it-works" TargetMode="External"/><Relationship Id="rId184" Type="http://schemas.openxmlformats.org/officeDocument/2006/relationships/hyperlink" Target="http://iconagility.com" TargetMode="External"/><Relationship Id="rId189" Type="http://schemas.openxmlformats.org/officeDocument/2006/relationships/hyperlink" Target="https://www.incrmntal.com/marketing-measurement" TargetMode="External"/><Relationship Id="rId188" Type="http://schemas.openxmlformats.org/officeDocument/2006/relationships/hyperlink" Target="http://incrmntal.com" TargetMode="External"/><Relationship Id="rId183" Type="http://schemas.openxmlformats.org/officeDocument/2006/relationships/hyperlink" Target="https://www.iconagility.com/services/ai" TargetMode="External"/><Relationship Id="rId182" Type="http://schemas.openxmlformats.org/officeDocument/2006/relationships/hyperlink" Target="http://ibm.com" TargetMode="External"/><Relationship Id="rId181" Type="http://schemas.openxmlformats.org/officeDocument/2006/relationships/hyperlink" Target="https://www.ibm.com/consulting/marketing" TargetMode="External"/><Relationship Id="rId180" Type="http://schemas.openxmlformats.org/officeDocument/2006/relationships/hyperlink" Target="http://hotsourcecreative.com" TargetMode="External"/><Relationship Id="rId176" Type="http://schemas.openxmlformats.org/officeDocument/2006/relationships/hyperlink" Target="http://growthmethod.com" TargetMode="External"/><Relationship Id="rId175" Type="http://schemas.openxmlformats.org/officeDocument/2006/relationships/hyperlink" Target="https://growthmethod.com/growth-marketing-agency/" TargetMode="External"/><Relationship Id="rId174" Type="http://schemas.openxmlformats.org/officeDocument/2006/relationships/hyperlink" Target="http://growthmarketingpro.com" TargetMode="External"/><Relationship Id="rId173" Type="http://schemas.openxmlformats.org/officeDocument/2006/relationships/hyperlink" Target="https://www.growthmarketingpro.com/generative-engine-optimization-agency/" TargetMode="External"/><Relationship Id="rId179" Type="http://schemas.openxmlformats.org/officeDocument/2006/relationships/hyperlink" Target="https://www.hotsourcecreative.com/ai-consultants-bristol/" TargetMode="External"/><Relationship Id="rId178" Type="http://schemas.openxmlformats.org/officeDocument/2006/relationships/hyperlink" Target="http://havstrategy.com" TargetMode="External"/><Relationship Id="rId177" Type="http://schemas.openxmlformats.org/officeDocument/2006/relationships/hyperlink" Target="https://www.havstrategy.com/best-performance-marketing-agency-in-us/" TargetMode="External"/><Relationship Id="rId198" Type="http://schemas.openxmlformats.org/officeDocument/2006/relationships/hyperlink" Target="http://kiwop.com" TargetMode="External"/><Relationship Id="rId197" Type="http://schemas.openxmlformats.org/officeDocument/2006/relationships/hyperlink" Target="https://www.kiwop.com/en/marketing-attribution" TargetMode="External"/><Relationship Id="rId196" Type="http://schemas.openxmlformats.org/officeDocument/2006/relationships/hyperlink" Target="http://kailos.ai" TargetMode="External"/><Relationship Id="rId195" Type="http://schemas.openxmlformats.org/officeDocument/2006/relationships/hyperlink" Target="https://www.kailos.ai/ai-marketing-consulting-and-integration" TargetMode="External"/><Relationship Id="rId199" Type="http://schemas.openxmlformats.org/officeDocument/2006/relationships/hyperlink" Target="https://www.klientboost.com/services/" TargetMode="External"/><Relationship Id="rId150" Type="http://schemas.openxmlformats.org/officeDocument/2006/relationships/hyperlink" Target="http://disruptiveadvertising.com" TargetMode="External"/><Relationship Id="rId149" Type="http://schemas.openxmlformats.org/officeDocument/2006/relationships/hyperlink" Target="https://disruptiveadvertising.com/social-media-advertising/" TargetMode="External"/><Relationship Id="rId148" Type="http://schemas.openxmlformats.org/officeDocument/2006/relationships/hyperlink" Target="http://disruptiveadvertising.com" TargetMode="External"/><Relationship Id="rId143" Type="http://schemas.openxmlformats.org/officeDocument/2006/relationships/hyperlink" Target="https://www.digidir.com/digital-marketing-service-in-usa/" TargetMode="External"/><Relationship Id="rId142" Type="http://schemas.openxmlformats.org/officeDocument/2006/relationships/hyperlink" Target="http://dentsu.com" TargetMode="External"/><Relationship Id="rId141" Type="http://schemas.openxmlformats.org/officeDocument/2006/relationships/hyperlink" Target="https://www.dentsu.com/us/en/who-we-are/our-agencies/merkle" TargetMode="External"/><Relationship Id="rId140" Type="http://schemas.openxmlformats.org/officeDocument/2006/relationships/hyperlink" Target="http://demandspring.com" TargetMode="External"/><Relationship Id="rId147" Type="http://schemas.openxmlformats.org/officeDocument/2006/relationships/hyperlink" Target="https://disruptiveadvertising.com/advertising-services/" TargetMode="External"/><Relationship Id="rId146" Type="http://schemas.openxmlformats.org/officeDocument/2006/relationships/hyperlink" Target="http://directom.com" TargetMode="External"/><Relationship Id="rId145" Type="http://schemas.openxmlformats.org/officeDocument/2006/relationships/hyperlink" Target="https://www.directom.com/services/generative-engine-optimization-services/" TargetMode="External"/><Relationship Id="rId144" Type="http://schemas.openxmlformats.org/officeDocument/2006/relationships/hyperlink" Target="http://digidir.com" TargetMode="External"/><Relationship Id="rId139" Type="http://schemas.openxmlformats.org/officeDocument/2006/relationships/hyperlink" Target="https://demandspring.com/services/training-enablement-for-ai-first-mindset-teams/" TargetMode="External"/><Relationship Id="rId138" Type="http://schemas.openxmlformats.org/officeDocument/2006/relationships/hyperlink" Target="http://coderoad.com" TargetMode="External"/><Relationship Id="rId137" Type="http://schemas.openxmlformats.org/officeDocument/2006/relationships/hyperlink" Target="https://coderoad.com/velocity-as-a-service/ai" TargetMode="External"/><Relationship Id="rId132" Type="http://schemas.openxmlformats.org/officeDocument/2006/relationships/hyperlink" Target="http://cigen.io" TargetMode="External"/><Relationship Id="rId131" Type="http://schemas.openxmlformats.org/officeDocument/2006/relationships/hyperlink" Target="https://www.cigen.io/services/ai-adoption-strategy-consulting" TargetMode="External"/><Relationship Id="rId130" Type="http://schemas.openxmlformats.org/officeDocument/2006/relationships/hyperlink" Target="http://cieden.com" TargetMode="External"/><Relationship Id="rId136" Type="http://schemas.openxmlformats.org/officeDocument/2006/relationships/hyperlink" Target="http://clutch.co" TargetMode="External"/><Relationship Id="rId135" Type="http://schemas.openxmlformats.org/officeDocument/2006/relationships/hyperlink" Target="https://clutch.co/us/agencies/ppc/display%3Fpage%3D6" TargetMode="External"/><Relationship Id="rId134" Type="http://schemas.openxmlformats.org/officeDocument/2006/relationships/hyperlink" Target="http://circana.com" TargetMode="External"/><Relationship Id="rId133" Type="http://schemas.openxmlformats.org/officeDocument/2006/relationships/hyperlink" Target="https://www.circana.com/solutions/marketing-mix" TargetMode="External"/><Relationship Id="rId172" Type="http://schemas.openxmlformats.org/officeDocument/2006/relationships/hyperlink" Target="http://growthmarketingconsultancy.com" TargetMode="External"/><Relationship Id="rId171" Type="http://schemas.openxmlformats.org/officeDocument/2006/relationships/hyperlink" Target="https://growthmarketingconsultancy.com/services/paid-social" TargetMode="External"/><Relationship Id="rId170" Type="http://schemas.openxmlformats.org/officeDocument/2006/relationships/hyperlink" Target="http://grazitti.com" TargetMode="External"/><Relationship Id="rId165" Type="http://schemas.openxmlformats.org/officeDocument/2006/relationships/hyperlink" Target="https://getfishslapped.com/programmatic-display/" TargetMode="External"/><Relationship Id="rId164" Type="http://schemas.openxmlformats.org/officeDocument/2006/relationships/hyperlink" Target="http://gallup.com" TargetMode="External"/><Relationship Id="rId163" Type="http://schemas.openxmlformats.org/officeDocument/2006/relationships/hyperlink" Target="https://www.gallup.com/workplace/650153/ai-adoption.aspx" TargetMode="External"/><Relationship Id="rId162" Type="http://schemas.openxmlformats.org/officeDocument/2006/relationships/hyperlink" Target="http://freshcoast.ai" TargetMode="External"/><Relationship Id="rId169" Type="http://schemas.openxmlformats.org/officeDocument/2006/relationships/hyperlink" Target="https://www.grazitti.com/services/digital-marketing/services/programatic-ads-agency/" TargetMode="External"/><Relationship Id="rId168" Type="http://schemas.openxmlformats.org/officeDocument/2006/relationships/hyperlink" Target="http://getrecast.com" TargetMode="External"/><Relationship Id="rId167" Type="http://schemas.openxmlformats.org/officeDocument/2006/relationships/hyperlink" Target="https://getrecast.com/geolift-by-recast/" TargetMode="External"/><Relationship Id="rId166" Type="http://schemas.openxmlformats.org/officeDocument/2006/relationships/hyperlink" Target="http://getfishslapped.com" TargetMode="External"/><Relationship Id="rId161" Type="http://schemas.openxmlformats.org/officeDocument/2006/relationships/hyperlink" Target="https://www.freshcoast.ai/services.html" TargetMode="External"/><Relationship Id="rId160" Type="http://schemas.openxmlformats.org/officeDocument/2006/relationships/hyperlink" Target="http://foundersworkshop.com" TargetMode="External"/><Relationship Id="rId159" Type="http://schemas.openxmlformats.org/officeDocument/2006/relationships/hyperlink" Target="https://foundersworkshop.com/feeds/service/ai-adoption-readiness-consulting-enterprises" TargetMode="External"/><Relationship Id="rId154" Type="http://schemas.openxmlformats.org/officeDocument/2006/relationships/hyperlink" Target="http://experian.com" TargetMode="External"/><Relationship Id="rId153" Type="http://schemas.openxmlformats.org/officeDocument/2006/relationships/hyperlink" Target="https://www.experian.com/marketing/consumer-view/activation" TargetMode="External"/><Relationship Id="rId152" Type="http://schemas.openxmlformats.org/officeDocument/2006/relationships/hyperlink" Target="http://bounteous.com" TargetMode="External"/><Relationship Id="rId151" Type="http://schemas.openxmlformats.org/officeDocument/2006/relationships/hyperlink" Target="https://events.bounteous.com/googletrainingprogram" TargetMode="External"/><Relationship Id="rId158" Type="http://schemas.openxmlformats.org/officeDocument/2006/relationships/hyperlink" Target="http://found.co.uk" TargetMode="External"/><Relationship Id="rId157" Type="http://schemas.openxmlformats.org/officeDocument/2006/relationships/hyperlink" Target="https://www.found.co.uk/services/seo/ai-seo/aeo/" TargetMode="External"/><Relationship Id="rId156" Type="http://schemas.openxmlformats.org/officeDocument/2006/relationships/hyperlink" Target="http://exposureninja.com" TargetMode="External"/><Relationship Id="rId155" Type="http://schemas.openxmlformats.org/officeDocument/2006/relationships/hyperlink" Target="https://exposureninja.com/services/analytics-data-reporting/" TargetMode="External"/><Relationship Id="rId107" Type="http://schemas.openxmlformats.org/officeDocument/2006/relationships/hyperlink" Target="https://www.anderinger.com/services/customs-brokerage-consulting/us-customs-brokerage/" TargetMode="External"/><Relationship Id="rId106" Type="http://schemas.openxmlformats.org/officeDocument/2006/relationships/hyperlink" Target="http://aiag.org" TargetMode="External"/><Relationship Id="rId105" Type="http://schemas.openxmlformats.org/officeDocument/2006/relationships/hyperlink" Target="https://www.aiag.org/expertise-areas/supply-chain-management/north-american-customs---trade/ctpat-aeo---supply-chain-security-management" TargetMode="External"/><Relationship Id="rId104" Type="http://schemas.openxmlformats.org/officeDocument/2006/relationships/hyperlink" Target="http://aeoagency.org" TargetMode="External"/><Relationship Id="rId109" Type="http://schemas.openxmlformats.org/officeDocument/2006/relationships/hyperlink" Target="https://www.argonandco.com/us/services/data-and-ai/ai-adoption/" TargetMode="External"/><Relationship Id="rId108" Type="http://schemas.openxmlformats.org/officeDocument/2006/relationships/hyperlink" Target="http://anderinger.com" TargetMode="External"/><Relationship Id="rId103" Type="http://schemas.openxmlformats.org/officeDocument/2006/relationships/hyperlink" Target="https://aeoagency.org/aeo-approach/" TargetMode="External"/><Relationship Id="rId102" Type="http://schemas.openxmlformats.org/officeDocument/2006/relationships/hyperlink" Target="http://adswerve.com" TargetMode="External"/><Relationship Id="rId101" Type="http://schemas.openxmlformats.org/officeDocument/2006/relationships/hyperlink" Target="https://adswerve.com/partners" TargetMode="External"/><Relationship Id="rId100" Type="http://schemas.openxmlformats.org/officeDocument/2006/relationships/hyperlink" Target="http://adswerve.com" TargetMode="External"/><Relationship Id="rId129" Type="http://schemas.openxmlformats.org/officeDocument/2006/relationships/hyperlink" Target="https://cieden.com/ai-strategy-consulting" TargetMode="External"/><Relationship Id="rId128" Type="http://schemas.openxmlformats.org/officeDocument/2006/relationships/hyperlink" Target="http://chatterbuzzmedia.com" TargetMode="External"/><Relationship Id="rId127" Type="http://schemas.openxmlformats.org/officeDocument/2006/relationships/hyperlink" Target="https://www.chatterbuzzmedia.com/social-media-advertising/" TargetMode="External"/><Relationship Id="rId126" Type="http://schemas.openxmlformats.org/officeDocument/2006/relationships/hyperlink" Target="http://google.com" TargetMode="External"/><Relationship Id="rId121" Type="http://schemas.openxmlformats.org/officeDocument/2006/relationships/hyperlink" Target="https://brillmedia.co/services/media-buying-agency/" TargetMode="External"/><Relationship Id="rId120" Type="http://schemas.openxmlformats.org/officeDocument/2006/relationships/hyperlink" Target="http://brightlinkconsulting.com" TargetMode="External"/><Relationship Id="rId125" Type="http://schemas.openxmlformats.org/officeDocument/2006/relationships/hyperlink" Target="https://business.google.com/en-all/support/work-with-a-partner/" TargetMode="External"/><Relationship Id="rId124" Type="http://schemas.openxmlformats.org/officeDocument/2006/relationships/hyperlink" Target="http://google.com" TargetMode="External"/><Relationship Id="rId123" Type="http://schemas.openxmlformats.org/officeDocument/2006/relationships/hyperlink" Target="https://business.google.com/en-all/support/become-a-partner/" TargetMode="External"/><Relationship Id="rId122" Type="http://schemas.openxmlformats.org/officeDocument/2006/relationships/hyperlink" Target="http://brillmedia.co" TargetMode="External"/><Relationship Id="rId118" Type="http://schemas.openxmlformats.org/officeDocument/2006/relationships/hyperlink" Target="http://bounteous.com" TargetMode="External"/><Relationship Id="rId117" Type="http://schemas.openxmlformats.org/officeDocument/2006/relationships/hyperlink" Target="https://www.bounteous.com/partners/google/media-accelerate/" TargetMode="External"/><Relationship Id="rId116" Type="http://schemas.openxmlformats.org/officeDocument/2006/relationships/hyperlink" Target="http://bounteous.com" TargetMode="External"/><Relationship Id="rId115" Type="http://schemas.openxmlformats.org/officeDocument/2006/relationships/hyperlink" Target="https://www.bounteous.com/partners/google/google-search-ads-360/" TargetMode="External"/><Relationship Id="rId119" Type="http://schemas.openxmlformats.org/officeDocument/2006/relationships/hyperlink" Target="https://brightlinkconsulting.com/ai-adoption" TargetMode="External"/><Relationship Id="rId110" Type="http://schemas.openxmlformats.org/officeDocument/2006/relationships/hyperlink" Target="http://argonandco.com" TargetMode="External"/><Relationship Id="rId114" Type="http://schemas.openxmlformats.org/officeDocument/2006/relationships/hyperlink" Target="http://best-masters.com" TargetMode="External"/><Relationship Id="rId113" Type="http://schemas.openxmlformats.org/officeDocument/2006/relationships/hyperlink" Target="https://www.best-masters.com/master-marketing-ranking.html" TargetMode="External"/><Relationship Id="rId112" Type="http://schemas.openxmlformats.org/officeDocument/2006/relationships/hyperlink" Target="http://attributionapp.com" TargetMode="External"/><Relationship Id="rId111" Type="http://schemas.openxmlformats.org/officeDocument/2006/relationships/hyperlink" Target="https://www.attributionapp.com/plans/agency-partners/"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s://thegpn.org/page/Partners" TargetMode="External"/><Relationship Id="rId42" Type="http://schemas.openxmlformats.org/officeDocument/2006/relationships/hyperlink" Target="https://clutch.co/us/consulting/ai/strategy%3Fpage%3D3" TargetMode="External"/><Relationship Id="rId41" Type="http://schemas.openxmlformats.org/officeDocument/2006/relationships/hyperlink" Target="http://thegpn.org" TargetMode="External"/><Relationship Id="rId44" Type="http://schemas.openxmlformats.org/officeDocument/2006/relationships/hyperlink" Target="https://www.goodfirms.co/artificial-intelligence/ai-consulting" TargetMode="External"/><Relationship Id="rId43" Type="http://schemas.openxmlformats.org/officeDocument/2006/relationships/hyperlink" Target="http://clutch.co" TargetMode="External"/><Relationship Id="rId46" Type="http://schemas.openxmlformats.org/officeDocument/2006/relationships/hyperlink" Target="https://www.semfirms.com/digital-marketing-firms" TargetMode="External"/><Relationship Id="rId45" Type="http://schemas.openxmlformats.org/officeDocument/2006/relationships/hyperlink" Target="http://goodfirms.co" TargetMode="External"/><Relationship Id="rId48" Type="http://schemas.openxmlformats.org/officeDocument/2006/relationships/hyperlink" Target="https://www.cracklepr.com/best-geo-agencies-2026" TargetMode="External"/><Relationship Id="rId47" Type="http://schemas.openxmlformats.org/officeDocument/2006/relationships/hyperlink" Target="http://semfirms.com" TargetMode="External"/><Relationship Id="rId49" Type="http://schemas.openxmlformats.org/officeDocument/2006/relationships/hyperlink" Target="http://cracklepr.com" TargetMode="External"/><Relationship Id="rId31" Type="http://schemas.openxmlformats.org/officeDocument/2006/relationships/hyperlink" Target="http://foundgrove.com" TargetMode="External"/><Relationship Id="rId30" Type="http://schemas.openxmlformats.org/officeDocument/2006/relationships/hyperlink" Target="https://foundgrove.com/blog/top-generative-engine-optimization-agencies-2026" TargetMode="External"/><Relationship Id="rId33" Type="http://schemas.openxmlformats.org/officeDocument/2006/relationships/hyperlink" Target="http://clutch.co" TargetMode="External"/><Relationship Id="rId32" Type="http://schemas.openxmlformats.org/officeDocument/2006/relationships/hyperlink" Target="https://clutch.co/us/consulting/ai/maturation" TargetMode="External"/><Relationship Id="rId35" Type="http://schemas.openxmlformats.org/officeDocument/2006/relationships/hyperlink" Target="http://gartner.com" TargetMode="External"/><Relationship Id="rId34" Type="http://schemas.openxmlformats.org/officeDocument/2006/relationships/hyperlink" Target="https://www.gartner.com/reviews/product/measured-89579724" TargetMode="External"/><Relationship Id="rId37" Type="http://schemas.openxmlformats.org/officeDocument/2006/relationships/hyperlink" Target="http://getrecast.com" TargetMode="External"/><Relationship Id="rId36" Type="http://schemas.openxmlformats.org/officeDocument/2006/relationships/hyperlink" Target="https://getrecast.com/recast-llm-information/" TargetMode="External"/><Relationship Id="rId39" Type="http://schemas.openxmlformats.org/officeDocument/2006/relationships/hyperlink" Target="http://mobileappdaily.com" TargetMode="External"/><Relationship Id="rId38" Type="http://schemas.openxmlformats.org/officeDocument/2006/relationships/hyperlink" Target="https://www.mobileappdaily.com/directory/digital-marketing-companies/us/" TargetMode="External"/><Relationship Id="rId20" Type="http://schemas.openxmlformats.org/officeDocument/2006/relationships/hyperlink" Target="https://www.cbinsights.com/esp/enterprise-tech/marketing-&amp;-ad-tech/marketing-attribution" TargetMode="External"/><Relationship Id="rId22" Type="http://schemas.openxmlformats.org/officeDocument/2006/relationships/hyperlink" Target="https://www.sortlist.com/attribution-marketing" TargetMode="External"/><Relationship Id="rId21" Type="http://schemas.openxmlformats.org/officeDocument/2006/relationships/hyperlink" Target="http://cbinsights.com" TargetMode="External"/><Relationship Id="rId24" Type="http://schemas.openxmlformats.org/officeDocument/2006/relationships/hyperlink" Target="https://clutch.co/agencies/ppc/display%3Fpage%3D0" TargetMode="External"/><Relationship Id="rId23" Type="http://schemas.openxmlformats.org/officeDocument/2006/relationships/hyperlink" Target="http://sortlist.com" TargetMode="External"/><Relationship Id="rId26" Type="http://schemas.openxmlformats.org/officeDocument/2006/relationships/hyperlink" Target="https://aimadethisbrand.com/government-ai-consulting/" TargetMode="External"/><Relationship Id="rId25" Type="http://schemas.openxmlformats.org/officeDocument/2006/relationships/hyperlink" Target="http://clutch.co" TargetMode="External"/><Relationship Id="rId28" Type="http://schemas.openxmlformats.org/officeDocument/2006/relationships/hyperlink" Target="https://www.designrush.com/agency/digital-marketing" TargetMode="External"/><Relationship Id="rId27" Type="http://schemas.openxmlformats.org/officeDocument/2006/relationships/hyperlink" Target="http://aimadethisbrand.com" TargetMode="External"/><Relationship Id="rId29" Type="http://schemas.openxmlformats.org/officeDocument/2006/relationships/hyperlink" Target="http://designrush.com" TargetMode="External"/><Relationship Id="rId11" Type="http://schemas.openxmlformats.org/officeDocument/2006/relationships/hyperlink" Target="http://digitalagencynetwork.com" TargetMode="External"/><Relationship Id="rId10" Type="http://schemas.openxmlformats.org/officeDocument/2006/relationships/hyperlink" Target="https://digitalagencynetwork.com/agencies/usa/geo/" TargetMode="External"/><Relationship Id="rId13" Type="http://schemas.openxmlformats.org/officeDocument/2006/relationships/hyperlink" Target="http://techbehemoths.com" TargetMode="External"/><Relationship Id="rId12" Type="http://schemas.openxmlformats.org/officeDocument/2006/relationships/hyperlink" Target="https://techbehemoths.com/companies/marketing-analytics/united-states" TargetMode="External"/><Relationship Id="rId15" Type="http://schemas.openxmlformats.org/officeDocument/2006/relationships/hyperlink" Target="http://techbehemoths.com" TargetMode="External"/><Relationship Id="rId14" Type="http://schemas.openxmlformats.org/officeDocument/2006/relationships/hyperlink" Target="https://techbehemoths.com/companies/google-marketing-platform/united-states" TargetMode="External"/><Relationship Id="rId17" Type="http://schemas.openxmlformats.org/officeDocument/2006/relationships/hyperlink" Target="http://themanifest.com" TargetMode="External"/><Relationship Id="rId16" Type="http://schemas.openxmlformats.org/officeDocument/2006/relationships/hyperlink" Target="https://themanifest.com/us/media-buying/agencies" TargetMode="External"/><Relationship Id="rId19" Type="http://schemas.openxmlformats.org/officeDocument/2006/relationships/hyperlink" Target="http://gartner.com" TargetMode="External"/><Relationship Id="rId18" Type="http://schemas.openxmlformats.org/officeDocument/2006/relationships/hyperlink" Target="https://www.gartner.com/reviews/product/measured-89579724?marketSeoName=marketing-mix-modeling-solutions" TargetMode="External"/><Relationship Id="rId84" Type="http://schemas.openxmlformats.org/officeDocument/2006/relationships/hyperlink" Target="https://builtin.com/company/tinuiti" TargetMode="External"/><Relationship Id="rId83" Type="http://schemas.openxmlformats.org/officeDocument/2006/relationships/hyperlink" Target="http://beyondthearc.com" TargetMode="External"/><Relationship Id="rId86" Type="http://schemas.openxmlformats.org/officeDocument/2006/relationships/hyperlink" Target="https://www.businessofapps.com/marketplace/vayner-media/" TargetMode="External"/><Relationship Id="rId85" Type="http://schemas.openxmlformats.org/officeDocument/2006/relationships/hyperlink" Target="http://builtin.com" TargetMode="External"/><Relationship Id="rId88" Type="http://schemas.openxmlformats.org/officeDocument/2006/relationships/hyperlink" Target="https://buywithprime.amazon.com/agency-partner-directory/tinuiti" TargetMode="External"/><Relationship Id="rId87" Type="http://schemas.openxmlformats.org/officeDocument/2006/relationships/hyperlink" Target="http://businessofapps.com" TargetMode="External"/><Relationship Id="rId89" Type="http://schemas.openxmlformats.org/officeDocument/2006/relationships/hyperlink" Target="http://amazon.com" TargetMode="External"/><Relationship Id="rId80" Type="http://schemas.openxmlformats.org/officeDocument/2006/relationships/hyperlink" Target="https://amworldgroup.com/directory/seo-agencies/jellyfish" TargetMode="External"/><Relationship Id="rId82" Type="http://schemas.openxmlformats.org/officeDocument/2006/relationships/hyperlink" Target="https://beyondthearc.com/news/recognition" TargetMode="External"/><Relationship Id="rId81" Type="http://schemas.openxmlformats.org/officeDocument/2006/relationships/hyperlink" Target="http://amworldgroup.com" TargetMode="External"/><Relationship Id="rId73" Type="http://schemas.openxmlformats.org/officeDocument/2006/relationships/hyperlink" Target="http://aaaa.org" TargetMode="External"/><Relationship Id="rId72" Type="http://schemas.openxmlformats.org/officeDocument/2006/relationships/hyperlink" Target="https://www.aaaa.org/agency-profile/a4O5Y000001uknt/broadhead/" TargetMode="External"/><Relationship Id="rId75" Type="http://schemas.openxmlformats.org/officeDocument/2006/relationships/hyperlink" Target="http://agencyspotter.com" TargetMode="External"/><Relationship Id="rId74" Type="http://schemas.openxmlformats.org/officeDocument/2006/relationships/hyperlink" Target="https://www.agencyspotter.com/bbdo" TargetMode="External"/><Relationship Id="rId77" Type="http://schemas.openxmlformats.org/officeDocument/2006/relationships/hyperlink" Target="http://keywordseverywhere.com" TargetMode="External"/><Relationship Id="rId76" Type="http://schemas.openxmlformats.org/officeDocument/2006/relationships/hyperlink" Target="https://aiseo.keywordseverywhere.com/brand/recast" TargetMode="External"/><Relationship Id="rId79" Type="http://schemas.openxmlformats.org/officeDocument/2006/relationships/hyperlink" Target="http://amakc.com" TargetMode="External"/><Relationship Id="rId78" Type="http://schemas.openxmlformats.org/officeDocument/2006/relationships/hyperlink" Target="https://amakc.com/kansas-city-marketing-companies-directory/" TargetMode="External"/><Relationship Id="rId71" Type="http://schemas.openxmlformats.org/officeDocument/2006/relationships/hyperlink" Target="http://wpp.com" TargetMode="External"/><Relationship Id="rId70" Type="http://schemas.openxmlformats.org/officeDocument/2006/relationships/hyperlink" Target="https://www.wpp.com/en/about" TargetMode="External"/><Relationship Id="rId62" Type="http://schemas.openxmlformats.org/officeDocument/2006/relationships/hyperlink" Target="https://www.monks.com/google-partnership" TargetMode="External"/><Relationship Id="rId61" Type="http://schemas.openxmlformats.org/officeDocument/2006/relationships/hyperlink" Target="http://linkedin.com" TargetMode="External"/><Relationship Id="rId64" Type="http://schemas.openxmlformats.org/officeDocument/2006/relationships/hyperlink" Target="https://www.semrush.com/agencies/list/display-advertising/united-states/" TargetMode="External"/><Relationship Id="rId63" Type="http://schemas.openxmlformats.org/officeDocument/2006/relationships/hyperlink" Target="http://monks.com" TargetMode="External"/><Relationship Id="rId66" Type="http://schemas.openxmlformats.org/officeDocument/2006/relationships/hyperlink" Target="https://www.trustradius.com/products/agency-analytics/reviews" TargetMode="External"/><Relationship Id="rId65" Type="http://schemas.openxmlformats.org/officeDocument/2006/relationships/hyperlink" Target="http://semrush.com" TargetMode="External"/><Relationship Id="rId68" Type="http://schemas.openxmlformats.org/officeDocument/2006/relationships/hyperlink" Target="https://www.welcometothejungle.com/en/companies/artefact" TargetMode="External"/><Relationship Id="rId67" Type="http://schemas.openxmlformats.org/officeDocument/2006/relationships/hyperlink" Target="http://trustradius.com" TargetMode="External"/><Relationship Id="rId60" Type="http://schemas.openxmlformats.org/officeDocument/2006/relationships/hyperlink" Target="https://www.linkedin.com/company/mutesix" TargetMode="External"/><Relationship Id="rId69" Type="http://schemas.openxmlformats.org/officeDocument/2006/relationships/hyperlink" Target="http://welcometothejungle.com" TargetMode="External"/><Relationship Id="rId51" Type="http://schemas.openxmlformats.org/officeDocument/2006/relationships/hyperlink" Target="http://designrush.com" TargetMode="External"/><Relationship Id="rId50" Type="http://schemas.openxmlformats.org/officeDocument/2006/relationships/hyperlink" Target="https://www.designrush.com/agency/creative-agencies" TargetMode="External"/><Relationship Id="rId53" Type="http://schemas.openxmlformats.org/officeDocument/2006/relationships/hyperlink" Target="http://wikipedia.org" TargetMode="External"/><Relationship Id="rId52" Type="http://schemas.openxmlformats.org/officeDocument/2006/relationships/hyperlink" Target="https://en.wikipedia.org/wiki/Wieden+Kennedy" TargetMode="External"/><Relationship Id="rId55" Type="http://schemas.openxmlformats.org/officeDocument/2006/relationships/hyperlink" Target="http://g2.com" TargetMode="External"/><Relationship Id="rId54" Type="http://schemas.openxmlformats.org/officeDocument/2006/relationships/hyperlink" Target="https://www.g2.com/products/measured/reviews" TargetMode="External"/><Relationship Id="rId57" Type="http://schemas.openxmlformats.org/officeDocument/2006/relationships/hyperlink" Target="http://pixelmojo.io" TargetMode="External"/><Relationship Id="rId56" Type="http://schemas.openxmlformats.org/officeDocument/2006/relationships/hyperlink" Target="https://www.pixelmojo.io/best-ai-visibility-agencies" TargetMode="External"/><Relationship Id="rId59" Type="http://schemas.openxmlformats.org/officeDocument/2006/relationships/hyperlink" Target="http://sortlist.com" TargetMode="External"/><Relationship Id="rId58" Type="http://schemas.openxmlformats.org/officeDocument/2006/relationships/hyperlink" Target="https://www.sortlist.com/s/data-driven-marketing/united-states-us" TargetMode="External"/><Relationship Id="rId95" Type="http://schemas.openxmlformats.org/officeDocument/2006/relationships/hyperlink" Target="http://creativelivesinprogress.com" TargetMode="External"/><Relationship Id="rId94" Type="http://schemas.openxmlformats.org/officeDocument/2006/relationships/hyperlink" Target="https://creativelivesinprogress.com/company-directory/huge" TargetMode="External"/><Relationship Id="rId97" Type="http://schemas.openxmlformats.org/officeDocument/2006/relationships/hyperlink" Target="http://cybersecuritymarketingagencies.com" TargetMode="External"/><Relationship Id="rId96" Type="http://schemas.openxmlformats.org/officeDocument/2006/relationships/hyperlink" Target="https://cybersecuritymarketingagencies.com/best-cybersecurity-marketing-agency" TargetMode="External"/><Relationship Id="rId99" Type="http://schemas.openxmlformats.org/officeDocument/2006/relationships/hyperlink" Target="http://digitalagencynetwork.com" TargetMode="External"/><Relationship Id="rId98" Type="http://schemas.openxmlformats.org/officeDocument/2006/relationships/hyperlink" Target="https://digitalagencynetwork.com/agency/seer-interactive/" TargetMode="External"/><Relationship Id="rId91" Type="http://schemas.openxmlformats.org/officeDocument/2006/relationships/hyperlink" Target="http://clutch.co" TargetMode="External"/><Relationship Id="rId90" Type="http://schemas.openxmlformats.org/officeDocument/2006/relationships/hyperlink" Target="https://clutch.co/agencies/media-buying?page=0" TargetMode="External"/><Relationship Id="rId93" Type="http://schemas.openxmlformats.org/officeDocument/2006/relationships/hyperlink" Target="http://clutch.co" TargetMode="External"/><Relationship Id="rId92" Type="http://schemas.openxmlformats.org/officeDocument/2006/relationships/hyperlink" Target="https://clutch.co/profile/mutesix" TargetMode="External"/><Relationship Id="rId1" Type="http://schemas.openxmlformats.org/officeDocument/2006/relationships/hyperlink" Target="http://digitalagencynetwork.com" TargetMode="External"/><Relationship Id="rId2" Type="http://schemas.openxmlformats.org/officeDocument/2006/relationships/hyperlink" Target="https://agencies.semrush.com/list/united-states/" TargetMode="External"/><Relationship Id="rId3" Type="http://schemas.openxmlformats.org/officeDocument/2006/relationships/hyperlink" Target="http://semrush.com" TargetMode="External"/><Relationship Id="rId4" Type="http://schemas.openxmlformats.org/officeDocument/2006/relationships/hyperlink" Target="https://www.gartner.com/reviews/market/global-digital-marketing-agencies" TargetMode="External"/><Relationship Id="rId9" Type="http://schemas.openxmlformats.org/officeDocument/2006/relationships/hyperlink" Target="http://businessofapps.com" TargetMode="External"/><Relationship Id="rId5" Type="http://schemas.openxmlformats.org/officeDocument/2006/relationships/hyperlink" Target="http://gartner.com" TargetMode="External"/><Relationship Id="rId6" Type="http://schemas.openxmlformats.org/officeDocument/2006/relationships/hyperlink" Target="https://www.goodfirms.co/big-data-analytics/marketing-analytics" TargetMode="External"/><Relationship Id="rId7" Type="http://schemas.openxmlformats.org/officeDocument/2006/relationships/hyperlink" Target="http://goodfirms.co" TargetMode="External"/><Relationship Id="rId8" Type="http://schemas.openxmlformats.org/officeDocument/2006/relationships/hyperlink" Target="https://www.businessofapps.com/marketplace/ai-marketing/" TargetMode="External"/><Relationship Id="rId150" Type="http://schemas.openxmlformats.org/officeDocument/2006/relationships/hyperlink" Target="https://www.trustpilot.com/review/www.mutesix.com" TargetMode="External"/><Relationship Id="rId149" Type="http://schemas.openxmlformats.org/officeDocument/2006/relationships/hyperlink" Target="http://theatdb.com" TargetMode="External"/><Relationship Id="rId148" Type="http://schemas.openxmlformats.org/officeDocument/2006/relationships/hyperlink" Target="https://www.theatdb.com/companies/accenture-song" TargetMode="External"/><Relationship Id="rId143" Type="http://schemas.openxmlformats.org/officeDocument/2006/relationships/hyperlink" Target="http://semrush.com" TargetMode="External"/><Relationship Id="rId142" Type="http://schemas.openxmlformats.org/officeDocument/2006/relationships/hyperlink" Target="https://www.semrush.com/agencies/list/display-advertising/information-technology/united-states/" TargetMode="External"/><Relationship Id="rId141" Type="http://schemas.openxmlformats.org/officeDocument/2006/relationships/hyperlink" Target="http://selectedfirms.co" TargetMode="External"/><Relationship Id="rId140" Type="http://schemas.openxmlformats.org/officeDocument/2006/relationships/hyperlink" Target="https://selectedfirms.co/companies/aeo-companies" TargetMode="External"/><Relationship Id="rId147" Type="http://schemas.openxmlformats.org/officeDocument/2006/relationships/hyperlink" Target="http://vaia.com" TargetMode="External"/><Relationship Id="rId146" Type="http://schemas.openxmlformats.org/officeDocument/2006/relationships/hyperlink" Target="https://talents.vaia.com/companies/vaynermedia-llc/" TargetMode="External"/><Relationship Id="rId145" Type="http://schemas.openxmlformats.org/officeDocument/2006/relationships/hyperlink" Target="http://sourceforge.net" TargetMode="External"/><Relationship Id="rId144" Type="http://schemas.openxmlformats.org/officeDocument/2006/relationships/hyperlink" Target="https://sourceforge.net/software/product/INCRMNTAL/" TargetMode="External"/><Relationship Id="rId139" Type="http://schemas.openxmlformats.org/officeDocument/2006/relationships/hyperlink" Target="http://sdim.nl" TargetMode="External"/><Relationship Id="rId138" Type="http://schemas.openxmlformats.org/officeDocument/2006/relationships/hyperlink" Target="https://www.sdim.nl/en/certifications-and-partners/google-premier-partner/" TargetMode="External"/><Relationship Id="rId137" Type="http://schemas.openxmlformats.org/officeDocument/2006/relationships/hyperlink" Target="http://spotify.com" TargetMode="External"/><Relationship Id="rId132" Type="http://schemas.openxmlformats.org/officeDocument/2006/relationships/hyperlink" Target="https://www.nv5.com/geospatial/" TargetMode="External"/><Relationship Id="rId131" Type="http://schemas.openxmlformats.org/officeDocument/2006/relationships/hyperlink" Target="http://luckie.com" TargetMode="External"/><Relationship Id="rId130" Type="http://schemas.openxmlformats.org/officeDocument/2006/relationships/hyperlink" Target="https://luckie.com/about-us/" TargetMode="External"/><Relationship Id="rId136" Type="http://schemas.openxmlformats.org/officeDocument/2006/relationships/hyperlink" Target="https://open.spotify.com/artist/4yiB30K5scGkjmAgHGIH8Y" TargetMode="External"/><Relationship Id="rId135" Type="http://schemas.openxmlformats.org/officeDocument/2006/relationships/hyperlink" Target="http://oneclub.org" TargetMode="External"/><Relationship Id="rId134" Type="http://schemas.openxmlformats.org/officeDocument/2006/relationships/hyperlink" Target="https://www.oneclub.org/AWARDS/THEONESHOW/-archive/holdingcompany/2025/all/1/840" TargetMode="External"/><Relationship Id="rId133" Type="http://schemas.openxmlformats.org/officeDocument/2006/relationships/hyperlink" Target="http://nv5.com" TargetMode="External"/><Relationship Id="rId160" Type="http://schemas.openxmlformats.org/officeDocument/2006/relationships/drawing" Target="../drawings/drawing29.xml"/><Relationship Id="rId159" Type="http://schemas.openxmlformats.org/officeDocument/2006/relationships/hyperlink" Target="http://wpp.com" TargetMode="External"/><Relationship Id="rId154" Type="http://schemas.openxmlformats.org/officeDocument/2006/relationships/hyperlink" Target="https://vaynermedia.com/work/" TargetMode="External"/><Relationship Id="rId153" Type="http://schemas.openxmlformats.org/officeDocument/2006/relationships/hyperlink" Target="http://tryprofound.com" TargetMode="External"/><Relationship Id="rId152" Type="http://schemas.openxmlformats.org/officeDocument/2006/relationships/hyperlink" Target="https://www.tryprofound.com/partners/tinuiti" TargetMode="External"/><Relationship Id="rId151" Type="http://schemas.openxmlformats.org/officeDocument/2006/relationships/hyperlink" Target="http://trustpilot.com" TargetMode="External"/><Relationship Id="rId158" Type="http://schemas.openxmlformats.org/officeDocument/2006/relationships/hyperlink" Target="https://www.wpp.com/en/news/2026/03/wpp-claims-top-spot-on-warc-creative-100-for-fourth-consecutive-year" TargetMode="External"/><Relationship Id="rId157" Type="http://schemas.openxmlformats.org/officeDocument/2006/relationships/hyperlink" Target="http://vendry.io" TargetMode="External"/><Relationship Id="rId156" Type="http://schemas.openxmlformats.org/officeDocument/2006/relationships/hyperlink" Target="https://www.vendry.io/agency/the-social-shepherd-xbvkqj" TargetMode="External"/><Relationship Id="rId155" Type="http://schemas.openxmlformats.org/officeDocument/2006/relationships/hyperlink" Target="http://vaynermedia.com" TargetMode="External"/><Relationship Id="rId107" Type="http://schemas.openxmlformats.org/officeDocument/2006/relationships/hyperlink" Target="http://wikipedia.org" TargetMode="External"/><Relationship Id="rId106" Type="http://schemas.openxmlformats.org/officeDocument/2006/relationships/hyperlink" Target="https://en.wikipedia.org/wiki/Ogilvy_(agency)" TargetMode="External"/><Relationship Id="rId105" Type="http://schemas.openxmlformats.org/officeDocument/2006/relationships/hyperlink" Target="http://wikipedia.org" TargetMode="External"/><Relationship Id="rId104" Type="http://schemas.openxmlformats.org/officeDocument/2006/relationships/hyperlink" Target="https://en.wikipedia.org/wiki/Ogilvy_%28agency%29" TargetMode="External"/><Relationship Id="rId109" Type="http://schemas.openxmlformats.org/officeDocument/2006/relationships/hyperlink" Target="http://epinium.com" TargetMode="External"/><Relationship Id="rId108" Type="http://schemas.openxmlformats.org/officeDocument/2006/relationships/hyperlink" Target="https://epinium.com/en/best-amazon-agencies/" TargetMode="External"/><Relationship Id="rId103" Type="http://schemas.openxmlformats.org/officeDocument/2006/relationships/hyperlink" Target="http://hubspot.com" TargetMode="External"/><Relationship Id="rId102" Type="http://schemas.openxmlformats.org/officeDocument/2006/relationships/hyperlink" Target="https://ecosystem.hubspot.com/marketplace/solutions/power-digital-marketing" TargetMode="External"/><Relationship Id="rId101" Type="http://schemas.openxmlformats.org/officeDocument/2006/relationships/hyperlink" Target="http://digitalagencynetwork.com" TargetMode="External"/><Relationship Id="rId100" Type="http://schemas.openxmlformats.org/officeDocument/2006/relationships/hyperlink" Target="https://digitalagencynetwork.com/agency/webfx/" TargetMode="External"/><Relationship Id="rId129" Type="http://schemas.openxmlformats.org/officeDocument/2006/relationships/hyperlink" Target="http://linkedin.com" TargetMode="External"/><Relationship Id="rId128" Type="http://schemas.openxmlformats.org/officeDocument/2006/relationships/hyperlink" Target="https://www.linkedin.com/company/vaynermedia" TargetMode="External"/><Relationship Id="rId127" Type="http://schemas.openxmlformats.org/officeDocument/2006/relationships/hyperlink" Target="http://linkedin.com" TargetMode="External"/><Relationship Id="rId126" Type="http://schemas.openxmlformats.org/officeDocument/2006/relationships/hyperlink" Target="https://www.linkedin.com/company/the-social-shepherd" TargetMode="External"/><Relationship Id="rId121" Type="http://schemas.openxmlformats.org/officeDocument/2006/relationships/hyperlink" Target="http://latimes.com" TargetMode="External"/><Relationship Id="rId120" Type="http://schemas.openxmlformats.org/officeDocument/2006/relationships/hyperlink" Target="https://www.latimes.com/b2b/industry-lists/top-ad-agencies/tbwa-chiat-day-los-angeles" TargetMode="External"/><Relationship Id="rId125" Type="http://schemas.openxmlformats.org/officeDocument/2006/relationships/hyperlink" Target="http://linkedin.com" TargetMode="External"/><Relationship Id="rId124" Type="http://schemas.openxmlformats.org/officeDocument/2006/relationships/hyperlink" Target="https://www.linkedin.com/company/artefact-global" TargetMode="External"/><Relationship Id="rId123" Type="http://schemas.openxmlformats.org/officeDocument/2006/relationships/hyperlink" Target="http://leadiq.com" TargetMode="External"/><Relationship Id="rId122" Type="http://schemas.openxmlformats.org/officeDocument/2006/relationships/hyperlink" Target="https://leadiq.com/c/adaction/5a1d9d4223000053008d1c3e" TargetMode="External"/><Relationship Id="rId118" Type="http://schemas.openxmlformats.org/officeDocument/2006/relationships/hyperlink" Target="https://impact.com/agency-partner-program/directory" TargetMode="External"/><Relationship Id="rId117" Type="http://schemas.openxmlformats.org/officeDocument/2006/relationships/hyperlink" Target="http://iacaward.org" TargetMode="External"/><Relationship Id="rId116" Type="http://schemas.openxmlformats.org/officeDocument/2006/relationships/hyperlink" Target="https://www.iacaward.org/iac/winner/18188/delve-wins-2021-iac-award-for-delve-applies-data-science-to-deliver-200-roas-for-unicef-usa.html" TargetMode="External"/><Relationship Id="rId115" Type="http://schemas.openxmlformats.org/officeDocument/2006/relationships/hyperlink" Target="http://gartner.com" TargetMode="External"/><Relationship Id="rId119" Type="http://schemas.openxmlformats.org/officeDocument/2006/relationships/hyperlink" Target="http://impact.com" TargetMode="External"/><Relationship Id="rId110" Type="http://schemas.openxmlformats.org/officeDocument/2006/relationships/hyperlink" Target="https://www.facebook.com/tinuiti1/" TargetMode="External"/><Relationship Id="rId114" Type="http://schemas.openxmlformats.org/officeDocument/2006/relationships/hyperlink" Target="https://www.gartner.com/reviews/product/ogilvy-global-digital-marketing-agencies" TargetMode="External"/><Relationship Id="rId113" Type="http://schemas.openxmlformats.org/officeDocument/2006/relationships/hyperlink" Target="http://finalscout.com" TargetMode="External"/><Relationship Id="rId112" Type="http://schemas.openxmlformats.org/officeDocument/2006/relationships/hyperlink" Target="https://finalscout.com/company/delve" TargetMode="External"/><Relationship Id="rId111" Type="http://schemas.openxmlformats.org/officeDocument/2006/relationships/hyperlink" Target="http://facebook.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2" t="s">
        <v>1</v>
      </c>
      <c r="B1" s="2" t="s">
        <v>5</v>
      </c>
      <c r="C1" s="2" t="s">
        <v>6</v>
      </c>
      <c r="D1" s="2" t="s">
        <v>8</v>
      </c>
      <c r="E1" s="2" t="s">
        <v>9</v>
      </c>
      <c r="F1" s="2" t="s">
        <v>10</v>
      </c>
      <c r="G1" s="2" t="s">
        <v>12</v>
      </c>
      <c r="H1" s="2" t="s">
        <v>13</v>
      </c>
      <c r="I1" s="2" t="s">
        <v>14</v>
      </c>
      <c r="J1" s="5"/>
      <c r="K1" s="5"/>
      <c r="L1" s="5"/>
      <c r="M1" s="5"/>
      <c r="N1" s="5"/>
      <c r="O1" s="5"/>
      <c r="P1" s="5"/>
      <c r="Q1" s="5"/>
      <c r="R1" s="5"/>
      <c r="S1" s="5"/>
      <c r="T1" s="5"/>
      <c r="U1" s="5"/>
      <c r="V1" s="5"/>
      <c r="W1" s="5"/>
      <c r="X1" s="5"/>
      <c r="Y1" s="5"/>
      <c r="Z1" s="5"/>
    </row>
    <row r="2" ht="15.75" customHeight="1">
      <c r="A2" s="7" t="s">
        <v>15</v>
      </c>
      <c r="B2" s="8" t="s">
        <v>17</v>
      </c>
      <c r="C2" s="9" t="s">
        <v>19</v>
      </c>
      <c r="D2" s="8">
        <v>327.0</v>
      </c>
      <c r="E2" s="8">
        <v>305.0</v>
      </c>
      <c r="F2" s="8">
        <v>0.32</v>
      </c>
      <c r="G2" s="8">
        <v>0.73</v>
      </c>
      <c r="H2" s="8">
        <v>1.26</v>
      </c>
      <c r="I2" s="8">
        <v>-0.15</v>
      </c>
    </row>
    <row r="3" ht="15.75" customHeight="1">
      <c r="A3" s="7" t="s">
        <v>20</v>
      </c>
      <c r="B3" s="8" t="s">
        <v>17</v>
      </c>
      <c r="C3" s="9" t="s">
        <v>23</v>
      </c>
      <c r="D3" s="8">
        <v>182.0</v>
      </c>
      <c r="E3" s="8">
        <v>140.0</v>
      </c>
      <c r="F3" s="8">
        <v>0.18</v>
      </c>
      <c r="G3" s="8">
        <v>0.2</v>
      </c>
      <c r="H3" s="8">
        <v>1.15</v>
      </c>
      <c r="I3" s="8">
        <v>0.27</v>
      </c>
    </row>
    <row r="4" ht="15.75" customHeight="1">
      <c r="A4" s="7" t="s">
        <v>26</v>
      </c>
      <c r="B4" s="8" t="s">
        <v>28</v>
      </c>
      <c r="C4" s="9" t="s">
        <v>29</v>
      </c>
      <c r="D4" s="8">
        <v>155.0</v>
      </c>
      <c r="E4" s="8">
        <v>142.0</v>
      </c>
      <c r="F4" s="8">
        <v>0.15</v>
      </c>
      <c r="G4" s="8">
        <v>0.21</v>
      </c>
      <c r="H4" s="8">
        <v>0.5</v>
      </c>
      <c r="I4" s="8">
        <v>-0.35</v>
      </c>
    </row>
    <row r="5" ht="15.75" customHeight="1">
      <c r="A5" s="7" t="s">
        <v>30</v>
      </c>
      <c r="B5" s="8" t="s">
        <v>28</v>
      </c>
      <c r="C5" s="9" t="s">
        <v>32</v>
      </c>
      <c r="D5" s="8">
        <v>146.0</v>
      </c>
      <c r="E5" s="8">
        <v>134.0</v>
      </c>
      <c r="F5" s="8">
        <v>0.14</v>
      </c>
      <c r="G5" s="8">
        <v>0.17</v>
      </c>
      <c r="H5" s="8">
        <v>0.05</v>
      </c>
      <c r="I5" s="8">
        <v>0.05</v>
      </c>
    </row>
    <row r="6" ht="15.75" customHeight="1">
      <c r="A6" s="8" t="s">
        <v>35</v>
      </c>
      <c r="B6" s="8" t="s">
        <v>17</v>
      </c>
      <c r="C6" s="9" t="s">
        <v>38</v>
      </c>
      <c r="D6" s="8">
        <v>134.0</v>
      </c>
      <c r="E6" s="8">
        <v>91.0</v>
      </c>
      <c r="F6" s="8">
        <v>0.13</v>
      </c>
      <c r="G6" s="8">
        <v>0.15</v>
      </c>
      <c r="H6" s="8">
        <v>1.49</v>
      </c>
      <c r="I6" s="8">
        <v>0.51</v>
      </c>
    </row>
    <row r="7" ht="15.75" customHeight="1">
      <c r="A7" s="7" t="s">
        <v>40</v>
      </c>
      <c r="B7" s="8" t="s">
        <v>28</v>
      </c>
      <c r="C7" s="9" t="s">
        <v>45</v>
      </c>
      <c r="D7" s="8">
        <v>133.0</v>
      </c>
      <c r="E7" s="8">
        <v>124.0</v>
      </c>
      <c r="F7" s="8">
        <v>0.13</v>
      </c>
      <c r="G7" s="8">
        <v>0.2</v>
      </c>
      <c r="H7" s="8">
        <v>0.26</v>
      </c>
      <c r="I7" s="8">
        <v>0.26</v>
      </c>
    </row>
    <row r="8" ht="15.75" customHeight="1">
      <c r="A8" s="7" t="s">
        <v>46</v>
      </c>
      <c r="B8" s="8" t="s">
        <v>48</v>
      </c>
      <c r="C8" s="9" t="s">
        <v>49</v>
      </c>
      <c r="D8" s="8">
        <v>127.0</v>
      </c>
      <c r="E8" s="8">
        <v>107.0</v>
      </c>
      <c r="F8" s="8">
        <v>0.12</v>
      </c>
      <c r="G8" s="8">
        <v>0.13</v>
      </c>
      <c r="H8" s="8">
        <v>0.29</v>
      </c>
      <c r="I8" s="8">
        <v>-0.26</v>
      </c>
    </row>
    <row r="9" ht="15.75" customHeight="1">
      <c r="A9" s="7" t="s">
        <v>52</v>
      </c>
      <c r="B9" s="8" t="s">
        <v>17</v>
      </c>
      <c r="C9" s="9" t="s">
        <v>57</v>
      </c>
      <c r="D9" s="8">
        <v>125.0</v>
      </c>
      <c r="E9" s="8">
        <v>62.0</v>
      </c>
      <c r="F9" s="8">
        <v>0.12</v>
      </c>
      <c r="G9" s="8">
        <v>0.14</v>
      </c>
      <c r="H9" s="8">
        <v>1.23</v>
      </c>
      <c r="I9" s="8">
        <v>-0.23</v>
      </c>
    </row>
    <row r="10" ht="15.75" customHeight="1">
      <c r="A10" s="7" t="s">
        <v>59</v>
      </c>
      <c r="B10" s="8" t="s">
        <v>17</v>
      </c>
      <c r="C10" s="9" t="s">
        <v>63</v>
      </c>
      <c r="D10" s="8">
        <v>105.0</v>
      </c>
      <c r="E10" s="8">
        <v>101.0</v>
      </c>
      <c r="F10" s="8">
        <v>0.1</v>
      </c>
      <c r="G10" s="8">
        <v>0.13</v>
      </c>
      <c r="H10" s="8">
        <v>0.67</v>
      </c>
      <c r="I10" s="8">
        <v>0.42</v>
      </c>
    </row>
    <row r="11" ht="15.75" customHeight="1">
      <c r="A11" s="7" t="s">
        <v>66</v>
      </c>
      <c r="B11" s="8" t="s">
        <v>17</v>
      </c>
      <c r="C11" s="9" t="s">
        <v>69</v>
      </c>
      <c r="D11" s="8">
        <v>104.0</v>
      </c>
      <c r="E11" s="8">
        <v>61.0</v>
      </c>
      <c r="F11" s="8">
        <v>0.1</v>
      </c>
      <c r="G11" s="8">
        <v>0.1</v>
      </c>
      <c r="H11" s="8">
        <v>1.62</v>
      </c>
      <c r="I11" s="8">
        <v>0.08</v>
      </c>
    </row>
    <row r="12" ht="15.75" customHeight="1">
      <c r="A12" s="7" t="s">
        <v>71</v>
      </c>
      <c r="B12" s="8" t="s">
        <v>76</v>
      </c>
      <c r="C12" s="9" t="s">
        <v>78</v>
      </c>
      <c r="D12" s="8">
        <v>98.0</v>
      </c>
      <c r="E12" s="8">
        <v>71.0</v>
      </c>
      <c r="F12" s="8">
        <v>0.1</v>
      </c>
      <c r="G12" s="8">
        <v>0.11</v>
      </c>
      <c r="H12" s="8">
        <v>2.09</v>
      </c>
      <c r="I12" s="8">
        <v>0.68</v>
      </c>
    </row>
    <row r="13" ht="15.75" customHeight="1">
      <c r="A13" s="7" t="s">
        <v>79</v>
      </c>
      <c r="B13" s="8" t="s">
        <v>17</v>
      </c>
      <c r="C13" s="9" t="s">
        <v>83</v>
      </c>
      <c r="D13" s="8">
        <v>93.0</v>
      </c>
      <c r="E13" s="8">
        <v>74.0</v>
      </c>
      <c r="F13" s="8">
        <v>0.09</v>
      </c>
      <c r="G13" s="8">
        <v>0.1</v>
      </c>
      <c r="H13" s="8">
        <v>1.86</v>
      </c>
      <c r="I13" s="8">
        <v>-0.03</v>
      </c>
    </row>
    <row r="14" ht="15.75" customHeight="1">
      <c r="A14" s="7" t="s">
        <v>54</v>
      </c>
      <c r="B14" s="8" t="s">
        <v>28</v>
      </c>
      <c r="C14" s="9" t="s">
        <v>88</v>
      </c>
      <c r="D14" s="8">
        <v>93.0</v>
      </c>
      <c r="E14" s="8">
        <v>81.0</v>
      </c>
      <c r="F14" s="8">
        <v>0.09</v>
      </c>
      <c r="G14" s="8">
        <v>0.1</v>
      </c>
      <c r="H14" s="8">
        <v>1.04</v>
      </c>
      <c r="I14" s="8">
        <v>-0.04</v>
      </c>
    </row>
    <row r="15" ht="15.75" customHeight="1">
      <c r="A15" s="7" t="s">
        <v>85</v>
      </c>
      <c r="B15" s="8" t="s">
        <v>17</v>
      </c>
      <c r="C15" s="9" t="s">
        <v>92</v>
      </c>
      <c r="D15" s="8">
        <v>92.0</v>
      </c>
      <c r="E15" s="8">
        <v>53.0</v>
      </c>
      <c r="F15" s="8">
        <v>0.09</v>
      </c>
      <c r="G15" s="8">
        <v>0.14</v>
      </c>
      <c r="H15" s="8">
        <v>2.25</v>
      </c>
      <c r="I15" s="8">
        <v>0.43</v>
      </c>
    </row>
    <row r="16" ht="15.75" customHeight="1">
      <c r="A16" s="7" t="s">
        <v>65</v>
      </c>
      <c r="B16" s="8" t="s">
        <v>17</v>
      </c>
      <c r="C16" s="9" t="s">
        <v>97</v>
      </c>
      <c r="D16" s="8">
        <v>89.0</v>
      </c>
      <c r="E16" s="8">
        <v>68.0</v>
      </c>
      <c r="F16" s="8">
        <v>0.09</v>
      </c>
      <c r="G16" s="8">
        <v>0.09</v>
      </c>
      <c r="H16" s="8">
        <v>0.63</v>
      </c>
      <c r="I16" s="8">
        <v>-1.32</v>
      </c>
    </row>
    <row r="17" ht="15.75" customHeight="1">
      <c r="A17" s="7" t="s">
        <v>99</v>
      </c>
      <c r="B17" s="8" t="s">
        <v>76</v>
      </c>
      <c r="C17" s="9" t="s">
        <v>103</v>
      </c>
      <c r="D17" s="8">
        <v>88.0</v>
      </c>
      <c r="F17" s="8">
        <v>0.09</v>
      </c>
      <c r="G17" s="8">
        <v>0.1</v>
      </c>
      <c r="H17" s="8">
        <v>0.24</v>
      </c>
    </row>
    <row r="18" ht="15.75" customHeight="1">
      <c r="A18" s="7" t="s">
        <v>105</v>
      </c>
      <c r="B18" s="8" t="s">
        <v>17</v>
      </c>
      <c r="C18" s="9" t="s">
        <v>110</v>
      </c>
      <c r="D18" s="8">
        <v>87.0</v>
      </c>
      <c r="E18" s="8">
        <v>80.0</v>
      </c>
      <c r="F18" s="8">
        <v>0.09</v>
      </c>
      <c r="G18" s="8">
        <v>0.09</v>
      </c>
      <c r="H18" s="8">
        <v>0.97</v>
      </c>
      <c r="I18" s="8">
        <v>0.54</v>
      </c>
    </row>
    <row r="19" ht="15.75" customHeight="1">
      <c r="A19" s="7" t="s">
        <v>112</v>
      </c>
      <c r="B19" s="8" t="s">
        <v>17</v>
      </c>
      <c r="C19" s="9" t="s">
        <v>116</v>
      </c>
      <c r="D19" s="8">
        <v>82.0</v>
      </c>
      <c r="E19" s="8">
        <v>46.0</v>
      </c>
      <c r="F19" s="8">
        <v>0.08</v>
      </c>
      <c r="G19" s="8">
        <v>0.08</v>
      </c>
      <c r="H19" s="8">
        <v>1.41</v>
      </c>
      <c r="I19" s="8">
        <v>0.05</v>
      </c>
    </row>
    <row r="20" ht="15.75" customHeight="1">
      <c r="A20" s="7" t="s">
        <v>118</v>
      </c>
      <c r="B20" s="8" t="s">
        <v>17</v>
      </c>
      <c r="C20" s="9" t="s">
        <v>120</v>
      </c>
      <c r="D20" s="8">
        <v>77.0</v>
      </c>
      <c r="F20" s="8">
        <v>0.08</v>
      </c>
      <c r="G20" s="8">
        <v>0.08</v>
      </c>
      <c r="H20" s="8">
        <v>0.82</v>
      </c>
    </row>
    <row r="21" ht="15.75" customHeight="1">
      <c r="A21" s="7" t="s">
        <v>123</v>
      </c>
      <c r="B21" s="8" t="s">
        <v>76</v>
      </c>
      <c r="C21" s="9" t="s">
        <v>125</v>
      </c>
      <c r="D21" s="8">
        <v>76.0</v>
      </c>
      <c r="E21" s="8">
        <v>59.0</v>
      </c>
      <c r="F21" s="8">
        <v>0.07</v>
      </c>
      <c r="G21" s="8">
        <v>0.08</v>
      </c>
      <c r="H21" s="8">
        <v>1.46</v>
      </c>
      <c r="I21" s="8">
        <v>0.7</v>
      </c>
    </row>
    <row r="22" ht="15.75" customHeight="1">
      <c r="A22" s="7" t="s">
        <v>126</v>
      </c>
      <c r="B22" s="8" t="s">
        <v>28</v>
      </c>
      <c r="C22" s="9" t="s">
        <v>131</v>
      </c>
      <c r="D22" s="8">
        <v>76.0</v>
      </c>
      <c r="E22" s="8">
        <v>71.0</v>
      </c>
      <c r="F22" s="8">
        <v>0.07</v>
      </c>
      <c r="G22" s="8">
        <v>0.08</v>
      </c>
      <c r="H22" s="8">
        <v>0.71</v>
      </c>
      <c r="I22" s="8">
        <v>0.11</v>
      </c>
    </row>
    <row r="23" ht="15.75" customHeight="1">
      <c r="A23" s="7" t="s">
        <v>133</v>
      </c>
      <c r="B23" s="8" t="s">
        <v>17</v>
      </c>
      <c r="C23" s="9" t="s">
        <v>137</v>
      </c>
      <c r="D23" s="8">
        <v>74.0</v>
      </c>
      <c r="E23" s="8">
        <v>59.0</v>
      </c>
      <c r="F23" s="8">
        <v>0.07</v>
      </c>
      <c r="G23" s="8">
        <v>0.08</v>
      </c>
      <c r="H23" s="8">
        <v>1.26</v>
      </c>
      <c r="I23" s="8">
        <v>0.12</v>
      </c>
    </row>
    <row r="24" ht="15.75" customHeight="1">
      <c r="A24" s="7" t="s">
        <v>138</v>
      </c>
      <c r="B24" s="8" t="s">
        <v>28</v>
      </c>
      <c r="C24" s="9" t="s">
        <v>142</v>
      </c>
      <c r="D24" s="8">
        <v>73.0</v>
      </c>
      <c r="E24" s="8">
        <v>66.0</v>
      </c>
      <c r="F24" s="8">
        <v>0.07</v>
      </c>
      <c r="G24" s="8">
        <v>0.08</v>
      </c>
      <c r="H24" s="8">
        <v>1.05</v>
      </c>
      <c r="I24" s="8">
        <v>-0.66</v>
      </c>
    </row>
    <row r="25" ht="15.75" customHeight="1">
      <c r="A25" s="7" t="s">
        <v>145</v>
      </c>
      <c r="B25" s="8" t="s">
        <v>48</v>
      </c>
      <c r="C25" s="9" t="s">
        <v>149</v>
      </c>
      <c r="D25" s="8">
        <v>70.0</v>
      </c>
      <c r="E25" s="8">
        <v>67.0</v>
      </c>
      <c r="F25" s="8">
        <v>0.07</v>
      </c>
      <c r="G25" s="8">
        <v>0.12</v>
      </c>
      <c r="H25" s="8">
        <v>1.07</v>
      </c>
      <c r="I25" s="8">
        <v>-1.93</v>
      </c>
    </row>
    <row r="26" ht="15.75" customHeight="1">
      <c r="A26" s="7" t="s">
        <v>37</v>
      </c>
      <c r="B26" s="8" t="s">
        <v>28</v>
      </c>
      <c r="C26" s="9" t="s">
        <v>153</v>
      </c>
      <c r="D26" s="8">
        <v>68.0</v>
      </c>
      <c r="F26" s="8">
        <v>0.07</v>
      </c>
      <c r="G26" s="8">
        <v>0.07</v>
      </c>
      <c r="H26" s="8">
        <v>1.37</v>
      </c>
    </row>
    <row r="27" ht="15.75" customHeight="1">
      <c r="A27" s="7" t="s">
        <v>156</v>
      </c>
      <c r="B27" s="8" t="s">
        <v>28</v>
      </c>
      <c r="C27" s="9" t="s">
        <v>159</v>
      </c>
      <c r="D27" s="8">
        <v>68.0</v>
      </c>
      <c r="F27" s="8">
        <v>0.07</v>
      </c>
      <c r="G27" s="8">
        <v>0.07</v>
      </c>
      <c r="H27" s="8">
        <v>0.57</v>
      </c>
    </row>
    <row r="28" ht="15.75" customHeight="1">
      <c r="A28" s="7" t="s">
        <v>161</v>
      </c>
      <c r="B28" s="8" t="s">
        <v>17</v>
      </c>
      <c r="C28" s="9" t="s">
        <v>164</v>
      </c>
      <c r="D28" s="8">
        <v>63.0</v>
      </c>
      <c r="E28" s="8">
        <v>19.0</v>
      </c>
      <c r="F28" s="8">
        <v>0.06</v>
      </c>
      <c r="G28" s="8">
        <v>0.1</v>
      </c>
      <c r="H28" s="8">
        <v>1.29</v>
      </c>
      <c r="I28" s="8">
        <v>-0.42</v>
      </c>
    </row>
    <row r="29" ht="15.75" customHeight="1">
      <c r="A29" s="7" t="s">
        <v>60</v>
      </c>
      <c r="B29" s="8" t="s">
        <v>17</v>
      </c>
      <c r="C29" s="9" t="s">
        <v>168</v>
      </c>
      <c r="D29" s="8">
        <v>62.0</v>
      </c>
      <c r="E29" s="8">
        <v>22.0</v>
      </c>
      <c r="F29" s="8">
        <v>0.06</v>
      </c>
      <c r="G29" s="8">
        <v>0.06</v>
      </c>
      <c r="H29" s="8">
        <v>2.06</v>
      </c>
      <c r="I29" s="8">
        <v>0.56</v>
      </c>
    </row>
    <row r="30" ht="15.75" customHeight="1">
      <c r="A30" s="7" t="s">
        <v>158</v>
      </c>
      <c r="B30" s="8" t="s">
        <v>17</v>
      </c>
      <c r="C30" s="9" t="s">
        <v>173</v>
      </c>
      <c r="D30" s="8">
        <v>59.0</v>
      </c>
      <c r="E30" s="8">
        <v>11.0</v>
      </c>
      <c r="F30" s="8">
        <v>0.06</v>
      </c>
      <c r="G30" s="8">
        <v>0.06</v>
      </c>
      <c r="H30" s="8">
        <v>1.29</v>
      </c>
      <c r="I30" s="8">
        <v>0.23</v>
      </c>
    </row>
    <row r="31" ht="15.75" customHeight="1">
      <c r="A31" s="7" t="s">
        <v>165</v>
      </c>
      <c r="B31" s="8" t="s">
        <v>17</v>
      </c>
      <c r="C31" s="9" t="s">
        <v>177</v>
      </c>
      <c r="D31" s="8">
        <v>56.0</v>
      </c>
      <c r="E31" s="8">
        <v>49.0</v>
      </c>
      <c r="F31" s="8">
        <v>0.05</v>
      </c>
      <c r="G31" s="8">
        <v>0.06</v>
      </c>
      <c r="H31" s="8">
        <v>1.3</v>
      </c>
      <c r="I31" s="8">
        <v>0.73</v>
      </c>
    </row>
    <row r="32" ht="15.75" customHeight="1">
      <c r="A32" s="7" t="s">
        <v>180</v>
      </c>
      <c r="B32" s="8" t="s">
        <v>48</v>
      </c>
      <c r="C32" s="9" t="s">
        <v>184</v>
      </c>
      <c r="D32" s="8">
        <v>52.0</v>
      </c>
      <c r="E32" s="8">
        <v>43.0</v>
      </c>
      <c r="F32" s="8">
        <v>0.05</v>
      </c>
      <c r="G32" s="8">
        <v>0.05</v>
      </c>
      <c r="H32" s="8">
        <v>0.25</v>
      </c>
      <c r="I32" s="8">
        <v>-0.19</v>
      </c>
    </row>
    <row r="33" ht="15.75" customHeight="1">
      <c r="A33" s="7" t="s">
        <v>188</v>
      </c>
      <c r="B33" s="8" t="s">
        <v>17</v>
      </c>
      <c r="C33" s="9" t="s">
        <v>193</v>
      </c>
      <c r="D33" s="8">
        <v>45.0</v>
      </c>
      <c r="E33" s="8">
        <v>22.0</v>
      </c>
      <c r="F33" s="8">
        <v>0.04</v>
      </c>
      <c r="G33" s="8">
        <v>0.05</v>
      </c>
      <c r="H33" s="8">
        <v>1.58</v>
      </c>
      <c r="I33" s="8">
        <v>0.36</v>
      </c>
    </row>
    <row r="34" ht="15.75" customHeight="1">
      <c r="A34" s="7" t="s">
        <v>195</v>
      </c>
      <c r="B34" s="8" t="s">
        <v>28</v>
      </c>
      <c r="C34" s="9" t="s">
        <v>198</v>
      </c>
      <c r="D34" s="8">
        <v>45.0</v>
      </c>
      <c r="E34" s="8">
        <v>3.0</v>
      </c>
      <c r="F34" s="8">
        <v>0.04</v>
      </c>
      <c r="G34" s="8">
        <v>0.04</v>
      </c>
      <c r="H34" s="8">
        <v>0.47</v>
      </c>
      <c r="I34" s="8">
        <v>-1.06</v>
      </c>
    </row>
    <row r="35" ht="15.75" customHeight="1">
      <c r="A35" s="7" t="s">
        <v>201</v>
      </c>
      <c r="B35" s="8" t="s">
        <v>17</v>
      </c>
      <c r="C35" s="9" t="s">
        <v>205</v>
      </c>
      <c r="D35" s="8">
        <v>42.0</v>
      </c>
      <c r="E35" s="8">
        <v>12.0</v>
      </c>
      <c r="F35" s="8">
        <v>0.04</v>
      </c>
      <c r="G35" s="8">
        <v>0.05</v>
      </c>
      <c r="H35" s="8">
        <v>1.64</v>
      </c>
      <c r="I35" s="8">
        <v>0.41</v>
      </c>
    </row>
    <row r="36" ht="15.75" customHeight="1">
      <c r="A36" s="7" t="s">
        <v>102</v>
      </c>
      <c r="B36" s="8" t="s">
        <v>17</v>
      </c>
      <c r="C36" s="9" t="s">
        <v>210</v>
      </c>
      <c r="D36" s="8">
        <v>42.0</v>
      </c>
      <c r="E36" s="8">
        <v>25.0</v>
      </c>
      <c r="F36" s="8">
        <v>0.04</v>
      </c>
      <c r="G36" s="8">
        <v>0.05</v>
      </c>
      <c r="H36" s="8">
        <v>0.93</v>
      </c>
      <c r="I36" s="8">
        <v>0.52</v>
      </c>
    </row>
    <row r="37" ht="15.75" customHeight="1">
      <c r="A37" s="7" t="s">
        <v>212</v>
      </c>
      <c r="B37" s="8" t="s">
        <v>17</v>
      </c>
      <c r="C37" s="9" t="s">
        <v>216</v>
      </c>
      <c r="D37" s="8">
        <v>42.0</v>
      </c>
      <c r="E37" s="8">
        <v>38.0</v>
      </c>
      <c r="F37" s="8">
        <v>0.04</v>
      </c>
      <c r="G37" s="8">
        <v>0.04</v>
      </c>
      <c r="H37" s="8">
        <v>1.14</v>
      </c>
      <c r="I37" s="8">
        <v>-0.11</v>
      </c>
    </row>
    <row r="38" ht="15.75" customHeight="1">
      <c r="A38" s="7" t="s">
        <v>217</v>
      </c>
      <c r="B38" s="8" t="s">
        <v>28</v>
      </c>
      <c r="C38" s="9" t="s">
        <v>221</v>
      </c>
      <c r="D38" s="8">
        <v>41.0</v>
      </c>
      <c r="F38" s="8">
        <v>0.04</v>
      </c>
      <c r="G38" s="8">
        <v>0.05</v>
      </c>
      <c r="H38" s="8">
        <v>0.76</v>
      </c>
    </row>
    <row r="39" ht="15.75" customHeight="1">
      <c r="A39" s="7" t="s">
        <v>222</v>
      </c>
      <c r="B39" s="8" t="s">
        <v>17</v>
      </c>
      <c r="C39" s="9" t="s">
        <v>227</v>
      </c>
      <c r="D39" s="8">
        <v>41.0</v>
      </c>
      <c r="E39" s="8">
        <v>20.0</v>
      </c>
      <c r="F39" s="8">
        <v>0.04</v>
      </c>
      <c r="G39" s="8">
        <v>0.04</v>
      </c>
      <c r="H39" s="8">
        <v>1.07</v>
      </c>
      <c r="I39" s="8">
        <v>0.03</v>
      </c>
    </row>
    <row r="40" ht="15.75" customHeight="1">
      <c r="A40" s="7" t="s">
        <v>200</v>
      </c>
      <c r="B40" s="8" t="s">
        <v>191</v>
      </c>
      <c r="C40" s="9" t="s">
        <v>231</v>
      </c>
      <c r="D40" s="8">
        <v>39.0</v>
      </c>
      <c r="E40" s="8">
        <v>34.0</v>
      </c>
      <c r="F40" s="8">
        <v>0.04</v>
      </c>
      <c r="G40" s="8">
        <v>0.12</v>
      </c>
      <c r="H40" s="8">
        <v>2.05</v>
      </c>
      <c r="I40" s="8">
        <v>1.85</v>
      </c>
    </row>
    <row r="41" ht="15.75" customHeight="1">
      <c r="A41" s="7" t="s">
        <v>233</v>
      </c>
      <c r="B41" s="8" t="s">
        <v>28</v>
      </c>
      <c r="C41" s="9" t="s">
        <v>236</v>
      </c>
      <c r="D41" s="8">
        <v>38.0</v>
      </c>
      <c r="E41" s="8">
        <v>36.0</v>
      </c>
      <c r="F41" s="8">
        <v>0.04</v>
      </c>
      <c r="G41" s="8">
        <v>0.04</v>
      </c>
      <c r="H41" s="8">
        <v>0.87</v>
      </c>
      <c r="I41" s="8">
        <v>-0.13</v>
      </c>
    </row>
    <row r="42" ht="15.75" customHeight="1">
      <c r="A42" s="7" t="s">
        <v>204</v>
      </c>
      <c r="B42" s="8" t="s">
        <v>28</v>
      </c>
      <c r="C42" s="9" t="s">
        <v>241</v>
      </c>
      <c r="D42" s="8">
        <v>38.0</v>
      </c>
      <c r="E42" s="8">
        <v>28.0</v>
      </c>
      <c r="F42" s="8">
        <v>0.04</v>
      </c>
      <c r="G42" s="8">
        <v>0.04</v>
      </c>
      <c r="H42" s="8">
        <v>0.82</v>
      </c>
      <c r="I42" s="8">
        <v>-0.18</v>
      </c>
    </row>
    <row r="43" ht="15.75" customHeight="1">
      <c r="A43" s="7" t="s">
        <v>244</v>
      </c>
      <c r="B43" s="8" t="s">
        <v>28</v>
      </c>
      <c r="C43" s="9" t="s">
        <v>247</v>
      </c>
      <c r="D43" s="8">
        <v>37.0</v>
      </c>
      <c r="F43" s="8">
        <v>0.04</v>
      </c>
      <c r="G43" s="8">
        <v>0.04</v>
      </c>
      <c r="H43" s="8">
        <v>1.27</v>
      </c>
    </row>
    <row r="44" ht="15.75" customHeight="1">
      <c r="A44" s="7" t="s">
        <v>152</v>
      </c>
      <c r="B44" s="8" t="s">
        <v>28</v>
      </c>
      <c r="C44" s="9" t="s">
        <v>252</v>
      </c>
      <c r="D44" s="8">
        <v>37.0</v>
      </c>
      <c r="E44" s="8">
        <v>20.0</v>
      </c>
      <c r="F44" s="8">
        <v>0.04</v>
      </c>
      <c r="G44" s="8">
        <v>0.04</v>
      </c>
      <c r="H44" s="8">
        <v>0.49</v>
      </c>
      <c r="I44" s="8">
        <v>0.13</v>
      </c>
    </row>
    <row r="45" ht="15.75" customHeight="1">
      <c r="A45" s="7" t="s">
        <v>253</v>
      </c>
      <c r="B45" s="8" t="s">
        <v>28</v>
      </c>
      <c r="C45" s="9" t="s">
        <v>257</v>
      </c>
      <c r="D45" s="8">
        <v>37.0</v>
      </c>
      <c r="E45" s="8">
        <v>19.0</v>
      </c>
      <c r="F45" s="8">
        <v>0.04</v>
      </c>
      <c r="G45" s="8">
        <v>0.04</v>
      </c>
      <c r="H45" s="8">
        <v>0.11</v>
      </c>
      <c r="I45" s="8">
        <v>-0.06</v>
      </c>
    </row>
    <row r="46" ht="15.75" customHeight="1">
      <c r="A46" s="7" t="s">
        <v>140</v>
      </c>
      <c r="B46" s="8" t="s">
        <v>28</v>
      </c>
      <c r="C46" s="9" t="s">
        <v>261</v>
      </c>
      <c r="D46" s="8">
        <v>37.0</v>
      </c>
      <c r="F46" s="8">
        <v>0.04</v>
      </c>
      <c r="G46" s="8">
        <v>0.04</v>
      </c>
      <c r="H46" s="8">
        <v>1.65</v>
      </c>
    </row>
    <row r="47" ht="15.75" customHeight="1">
      <c r="A47" s="7" t="s">
        <v>264</v>
      </c>
      <c r="B47" s="8" t="s">
        <v>17</v>
      </c>
      <c r="C47" s="9" t="s">
        <v>268</v>
      </c>
      <c r="D47" s="8">
        <v>36.0</v>
      </c>
      <c r="E47" s="8">
        <v>30.0</v>
      </c>
      <c r="F47" s="8">
        <v>0.04</v>
      </c>
      <c r="G47" s="8">
        <v>0.04</v>
      </c>
      <c r="H47" s="8">
        <v>1.31</v>
      </c>
      <c r="I47" s="8">
        <v>0.64</v>
      </c>
    </row>
    <row r="48" ht="15.75" customHeight="1">
      <c r="A48" s="8" t="s">
        <v>270</v>
      </c>
      <c r="B48" s="8" t="s">
        <v>28</v>
      </c>
      <c r="C48" s="9" t="s">
        <v>271</v>
      </c>
      <c r="D48" s="8">
        <v>36.0</v>
      </c>
      <c r="E48" s="8">
        <v>19.0</v>
      </c>
      <c r="F48" s="8">
        <v>0.04</v>
      </c>
      <c r="G48" s="8">
        <v>0.04</v>
      </c>
      <c r="H48" s="8">
        <v>0.31</v>
      </c>
      <c r="I48" s="8">
        <v>0.31</v>
      </c>
    </row>
    <row r="49" ht="15.75" customHeight="1">
      <c r="A49" s="7" t="s">
        <v>246</v>
      </c>
      <c r="B49" s="8" t="s">
        <v>48</v>
      </c>
      <c r="C49" s="9" t="s">
        <v>276</v>
      </c>
      <c r="D49" s="8">
        <v>35.0</v>
      </c>
      <c r="E49" s="8">
        <v>34.0</v>
      </c>
      <c r="F49" s="8">
        <v>0.03</v>
      </c>
      <c r="G49" s="8">
        <v>0.06</v>
      </c>
      <c r="H49" s="8">
        <v>0.34</v>
      </c>
      <c r="I49" s="8">
        <v>0.34</v>
      </c>
    </row>
    <row r="50" ht="15.75" customHeight="1">
      <c r="A50" s="7" t="s">
        <v>277</v>
      </c>
      <c r="B50" s="8" t="s">
        <v>76</v>
      </c>
      <c r="C50" s="9" t="s">
        <v>279</v>
      </c>
      <c r="D50" s="8">
        <v>33.0</v>
      </c>
      <c r="E50" s="8">
        <v>0.0</v>
      </c>
      <c r="F50" s="8">
        <v>0.03</v>
      </c>
      <c r="G50" s="8">
        <v>0.04</v>
      </c>
      <c r="H50" s="8">
        <v>1.45</v>
      </c>
      <c r="I50" s="8">
        <v>0.15</v>
      </c>
    </row>
    <row r="51" ht="15.75" customHeight="1">
      <c r="A51" s="7" t="s">
        <v>281</v>
      </c>
      <c r="B51" s="8" t="s">
        <v>28</v>
      </c>
      <c r="C51" s="9" t="s">
        <v>284</v>
      </c>
      <c r="D51" s="8">
        <v>32.0</v>
      </c>
      <c r="E51" s="8">
        <v>21.0</v>
      </c>
      <c r="F51" s="8">
        <v>0.03</v>
      </c>
      <c r="G51" s="8">
        <v>0.03</v>
      </c>
      <c r="H51" s="8">
        <v>0.91</v>
      </c>
      <c r="I51" s="8">
        <v>-0.28</v>
      </c>
    </row>
    <row r="52" ht="15.75" customHeight="1">
      <c r="A52" s="7" t="s">
        <v>286</v>
      </c>
      <c r="B52" s="8" t="s">
        <v>48</v>
      </c>
      <c r="C52" s="9" t="s">
        <v>288</v>
      </c>
      <c r="D52" s="8">
        <v>31.0</v>
      </c>
      <c r="F52" s="8">
        <v>0.03</v>
      </c>
      <c r="G52" s="8">
        <v>0.04</v>
      </c>
      <c r="H52" s="8">
        <v>0.13</v>
      </c>
    </row>
    <row r="53" ht="15.75" customHeight="1">
      <c r="A53" s="7" t="s">
        <v>290</v>
      </c>
      <c r="B53" s="8" t="s">
        <v>28</v>
      </c>
      <c r="C53" s="9" t="s">
        <v>291</v>
      </c>
      <c r="D53" s="8">
        <v>31.0</v>
      </c>
      <c r="E53" s="8">
        <v>8.0</v>
      </c>
      <c r="F53" s="8">
        <v>0.03</v>
      </c>
      <c r="G53" s="8">
        <v>0.03</v>
      </c>
      <c r="H53" s="8">
        <v>0.97</v>
      </c>
      <c r="I53" s="8">
        <v>0.19</v>
      </c>
    </row>
    <row r="54" ht="15.75" customHeight="1">
      <c r="A54" s="7" t="s">
        <v>294</v>
      </c>
      <c r="B54" s="8" t="s">
        <v>28</v>
      </c>
      <c r="C54" s="9" t="s">
        <v>296</v>
      </c>
      <c r="D54" s="8">
        <v>30.0</v>
      </c>
      <c r="E54" s="8">
        <v>6.0</v>
      </c>
      <c r="F54" s="8">
        <v>0.03</v>
      </c>
      <c r="G54" s="8">
        <v>0.03</v>
      </c>
      <c r="H54" s="8">
        <v>1.13</v>
      </c>
      <c r="I54" s="8">
        <v>-0.28</v>
      </c>
    </row>
    <row r="55" ht="15.75" customHeight="1">
      <c r="A55" s="7" t="s">
        <v>298</v>
      </c>
      <c r="B55" s="8" t="s">
        <v>17</v>
      </c>
      <c r="C55" s="9" t="s">
        <v>301</v>
      </c>
      <c r="D55" s="8">
        <v>30.0</v>
      </c>
      <c r="E55" s="8">
        <v>17.0</v>
      </c>
      <c r="F55" s="8">
        <v>0.03</v>
      </c>
      <c r="G55" s="8">
        <v>0.03</v>
      </c>
      <c r="H55" s="8">
        <v>0.9</v>
      </c>
      <c r="I55" s="8">
        <v>0.75</v>
      </c>
    </row>
    <row r="56" ht="15.75" customHeight="1">
      <c r="A56" s="7" t="s">
        <v>224</v>
      </c>
      <c r="B56" s="8" t="s">
        <v>28</v>
      </c>
      <c r="C56" s="9" t="s">
        <v>304</v>
      </c>
      <c r="D56" s="8">
        <v>30.0</v>
      </c>
      <c r="E56" s="8">
        <v>14.0</v>
      </c>
      <c r="F56" s="8">
        <v>0.03</v>
      </c>
      <c r="G56" s="8">
        <v>0.03</v>
      </c>
      <c r="H56" s="8">
        <v>0.57</v>
      </c>
      <c r="I56" s="8">
        <v>-0.31</v>
      </c>
    </row>
    <row r="57" ht="15.75" customHeight="1">
      <c r="A57" s="7" t="s">
        <v>306</v>
      </c>
      <c r="B57" s="8" t="s">
        <v>28</v>
      </c>
      <c r="C57" s="9" t="s">
        <v>308</v>
      </c>
      <c r="D57" s="8">
        <v>29.0</v>
      </c>
      <c r="F57" s="8">
        <v>0.03</v>
      </c>
      <c r="G57" s="8">
        <v>0.03</v>
      </c>
      <c r="H57" s="8">
        <v>0.34</v>
      </c>
    </row>
    <row r="58" ht="15.75" customHeight="1">
      <c r="A58" s="7" t="s">
        <v>297</v>
      </c>
      <c r="B58" s="8" t="s">
        <v>28</v>
      </c>
      <c r="C58" s="9" t="s">
        <v>311</v>
      </c>
      <c r="D58" s="8">
        <v>29.0</v>
      </c>
      <c r="E58" s="8">
        <v>28.0</v>
      </c>
      <c r="F58" s="8">
        <v>0.03</v>
      </c>
      <c r="G58" s="8">
        <v>0.03</v>
      </c>
      <c r="H58" s="8">
        <v>0.93</v>
      </c>
      <c r="I58" s="8">
        <v>-0.07</v>
      </c>
    </row>
    <row r="59" ht="15.75" customHeight="1">
      <c r="A59" s="7" t="s">
        <v>313</v>
      </c>
      <c r="B59" s="8" t="s">
        <v>48</v>
      </c>
      <c r="C59" s="9" t="s">
        <v>316</v>
      </c>
      <c r="D59" s="8">
        <v>29.0</v>
      </c>
      <c r="F59" s="8">
        <v>0.03</v>
      </c>
      <c r="G59" s="8">
        <v>0.03</v>
      </c>
      <c r="H59" s="8">
        <v>1.0</v>
      </c>
    </row>
    <row r="60" ht="15.75" customHeight="1">
      <c r="A60" s="7" t="s">
        <v>251</v>
      </c>
      <c r="B60" s="8" t="s">
        <v>28</v>
      </c>
      <c r="C60" s="9" t="s">
        <v>320</v>
      </c>
      <c r="D60" s="8">
        <v>29.0</v>
      </c>
      <c r="F60" s="8">
        <v>0.03</v>
      </c>
      <c r="G60" s="8">
        <v>0.03</v>
      </c>
      <c r="H60" s="8">
        <v>0.76</v>
      </c>
    </row>
    <row r="61" ht="15.75" customHeight="1">
      <c r="A61" s="7" t="s">
        <v>283</v>
      </c>
      <c r="B61" s="8" t="s">
        <v>28</v>
      </c>
      <c r="C61" s="9" t="s">
        <v>323</v>
      </c>
      <c r="D61" s="8">
        <v>28.0</v>
      </c>
      <c r="E61" s="8">
        <v>27.0</v>
      </c>
      <c r="F61" s="8">
        <v>0.03</v>
      </c>
      <c r="G61" s="8">
        <v>0.03</v>
      </c>
      <c r="H61" s="8">
        <v>1.14</v>
      </c>
      <c r="I61" s="8">
        <v>0.14</v>
      </c>
    </row>
    <row r="62" ht="15.75" customHeight="1">
      <c r="A62" s="7" t="s">
        <v>275</v>
      </c>
      <c r="B62" s="8" t="s">
        <v>191</v>
      </c>
      <c r="C62" s="9" t="s">
        <v>326</v>
      </c>
      <c r="D62" s="8">
        <v>28.0</v>
      </c>
      <c r="F62" s="8">
        <v>0.03</v>
      </c>
      <c r="G62" s="8">
        <v>0.03</v>
      </c>
      <c r="H62" s="8">
        <v>0.5</v>
      </c>
    </row>
    <row r="63" ht="15.75" customHeight="1">
      <c r="A63" s="7" t="s">
        <v>329</v>
      </c>
      <c r="B63" s="8" t="s">
        <v>48</v>
      </c>
      <c r="C63" s="9" t="s">
        <v>331</v>
      </c>
      <c r="D63" s="8">
        <v>28.0</v>
      </c>
      <c r="F63" s="8">
        <v>0.03</v>
      </c>
      <c r="G63" s="8">
        <v>0.03</v>
      </c>
      <c r="H63" s="8">
        <v>0.11</v>
      </c>
    </row>
    <row r="64" ht="15.75" customHeight="1">
      <c r="A64" s="7" t="s">
        <v>334</v>
      </c>
      <c r="B64" s="8" t="s">
        <v>28</v>
      </c>
      <c r="C64" s="9" t="s">
        <v>337</v>
      </c>
      <c r="D64" s="8">
        <v>27.0</v>
      </c>
      <c r="E64" s="8">
        <v>19.0</v>
      </c>
      <c r="F64" s="8">
        <v>0.03</v>
      </c>
      <c r="G64" s="8">
        <v>0.03</v>
      </c>
      <c r="H64" s="8">
        <v>2.56</v>
      </c>
      <c r="I64" s="8">
        <v>2.06</v>
      </c>
    </row>
    <row r="65" ht="15.75" customHeight="1">
      <c r="A65" s="7" t="s">
        <v>339</v>
      </c>
      <c r="B65" s="8" t="s">
        <v>76</v>
      </c>
      <c r="C65" s="9" t="s">
        <v>341</v>
      </c>
      <c r="D65" s="8">
        <v>27.0</v>
      </c>
      <c r="E65" s="8">
        <v>26.0</v>
      </c>
      <c r="F65" s="8">
        <v>0.03</v>
      </c>
      <c r="G65" s="8">
        <v>0.03</v>
      </c>
      <c r="H65" s="8">
        <v>0.19</v>
      </c>
      <c r="I65" s="8">
        <v>0.19</v>
      </c>
    </row>
    <row r="66" ht="15.75" customHeight="1">
      <c r="A66" s="7" t="s">
        <v>344</v>
      </c>
      <c r="B66" s="8" t="s">
        <v>28</v>
      </c>
      <c r="C66" s="9" t="s">
        <v>346</v>
      </c>
      <c r="D66" s="8">
        <v>26.0</v>
      </c>
      <c r="E66" s="8">
        <v>1.0</v>
      </c>
      <c r="F66" s="8">
        <v>0.03</v>
      </c>
      <c r="G66" s="8">
        <v>0.03</v>
      </c>
      <c r="H66" s="8">
        <v>1.62</v>
      </c>
      <c r="I66" s="8">
        <v>-0.34</v>
      </c>
    </row>
    <row r="67" ht="15.75" customHeight="1">
      <c r="A67" s="7" t="s">
        <v>349</v>
      </c>
      <c r="B67" s="8" t="s">
        <v>28</v>
      </c>
      <c r="C67" s="9" t="s">
        <v>351</v>
      </c>
      <c r="D67" s="8">
        <v>26.0</v>
      </c>
      <c r="E67" s="8">
        <v>0.0</v>
      </c>
      <c r="F67" s="8">
        <v>0.03</v>
      </c>
      <c r="G67" s="8">
        <v>0.03</v>
      </c>
      <c r="H67" s="8">
        <v>1.88</v>
      </c>
      <c r="I67" s="8">
        <v>0.58</v>
      </c>
    </row>
    <row r="68" ht="15.75" customHeight="1">
      <c r="A68" s="8" t="s">
        <v>352</v>
      </c>
      <c r="B68" s="8" t="s">
        <v>28</v>
      </c>
      <c r="C68" s="9" t="s">
        <v>354</v>
      </c>
      <c r="D68" s="8">
        <v>26.0</v>
      </c>
      <c r="E68" s="8">
        <v>23.0</v>
      </c>
      <c r="F68" s="8">
        <v>0.03</v>
      </c>
      <c r="G68" s="8">
        <v>0.03</v>
      </c>
      <c r="H68" s="8">
        <v>1.15</v>
      </c>
      <c r="I68" s="8">
        <v>1.15</v>
      </c>
    </row>
    <row r="69" ht="15.75" customHeight="1">
      <c r="A69" s="7" t="s">
        <v>356</v>
      </c>
      <c r="B69" s="8" t="s">
        <v>28</v>
      </c>
      <c r="C69" s="9" t="s">
        <v>359</v>
      </c>
      <c r="D69" s="8">
        <v>25.0</v>
      </c>
      <c r="F69" s="8">
        <v>0.02</v>
      </c>
      <c r="G69" s="8">
        <v>0.05</v>
      </c>
      <c r="H69" s="8">
        <v>0.44</v>
      </c>
    </row>
    <row r="70" ht="15.75" customHeight="1">
      <c r="A70" s="8" t="s">
        <v>361</v>
      </c>
      <c r="B70" s="8" t="s">
        <v>28</v>
      </c>
      <c r="C70" s="9" t="s">
        <v>362</v>
      </c>
      <c r="D70" s="8">
        <v>25.0</v>
      </c>
      <c r="E70" s="8">
        <v>18.0</v>
      </c>
      <c r="F70" s="8">
        <v>0.02</v>
      </c>
      <c r="G70" s="8">
        <v>0.03</v>
      </c>
      <c r="H70" s="8">
        <v>0.64</v>
      </c>
      <c r="I70" s="8">
        <v>0.21</v>
      </c>
    </row>
    <row r="71" ht="15.75" customHeight="1">
      <c r="A71" s="7" t="s">
        <v>364</v>
      </c>
      <c r="B71" s="8" t="s">
        <v>28</v>
      </c>
      <c r="C71" s="9" t="s">
        <v>367</v>
      </c>
      <c r="D71" s="8">
        <v>25.0</v>
      </c>
      <c r="F71" s="8">
        <v>0.02</v>
      </c>
      <c r="G71" s="8">
        <v>0.02</v>
      </c>
      <c r="H71" s="8">
        <v>0.48</v>
      </c>
    </row>
    <row r="72" ht="15.75" customHeight="1">
      <c r="A72" s="7" t="s">
        <v>369</v>
      </c>
      <c r="B72" s="8" t="s">
        <v>17</v>
      </c>
      <c r="C72" s="9" t="s">
        <v>372</v>
      </c>
      <c r="D72" s="8">
        <v>24.0</v>
      </c>
      <c r="E72" s="8">
        <v>19.0</v>
      </c>
      <c r="F72" s="8">
        <v>0.02</v>
      </c>
      <c r="G72" s="8">
        <v>0.04</v>
      </c>
      <c r="H72" s="8">
        <v>0.71</v>
      </c>
      <c r="I72" s="8">
        <v>-0.69</v>
      </c>
    </row>
    <row r="73" ht="15.75" customHeight="1">
      <c r="A73" s="7" t="s">
        <v>373</v>
      </c>
      <c r="B73" s="8" t="s">
        <v>28</v>
      </c>
      <c r="C73" s="9" t="s">
        <v>376</v>
      </c>
      <c r="D73" s="8">
        <v>24.0</v>
      </c>
      <c r="E73" s="8">
        <v>22.0</v>
      </c>
      <c r="F73" s="8">
        <v>0.02</v>
      </c>
      <c r="G73" s="8">
        <v>0.02</v>
      </c>
      <c r="H73" s="8">
        <v>1.46</v>
      </c>
      <c r="I73" s="8">
        <v>0.46</v>
      </c>
    </row>
    <row r="74" ht="15.75" customHeight="1">
      <c r="A74" s="7" t="s">
        <v>377</v>
      </c>
      <c r="B74" s="8" t="s">
        <v>48</v>
      </c>
      <c r="C74" s="9" t="s">
        <v>380</v>
      </c>
      <c r="D74" s="8">
        <v>24.0</v>
      </c>
      <c r="E74" s="8">
        <v>19.0</v>
      </c>
      <c r="F74" s="8">
        <v>0.02</v>
      </c>
      <c r="G74" s="8">
        <v>0.03</v>
      </c>
      <c r="H74" s="8">
        <v>0.21</v>
      </c>
      <c r="I74" s="8">
        <v>0.21</v>
      </c>
    </row>
    <row r="75" ht="15.75" customHeight="1">
      <c r="A75" s="14" t="s">
        <v>382</v>
      </c>
      <c r="B75" s="8" t="s">
        <v>28</v>
      </c>
      <c r="C75" s="9" t="s">
        <v>385</v>
      </c>
      <c r="D75" s="8">
        <v>24.0</v>
      </c>
      <c r="E75" s="8">
        <v>19.0</v>
      </c>
      <c r="F75" s="8">
        <v>0.02</v>
      </c>
      <c r="G75" s="8">
        <v>0.02</v>
      </c>
      <c r="H75" s="8">
        <v>0.96</v>
      </c>
      <c r="I75" s="8">
        <v>0.16</v>
      </c>
    </row>
    <row r="76" ht="15.75" customHeight="1">
      <c r="A76" s="7" t="s">
        <v>375</v>
      </c>
      <c r="B76" s="8" t="s">
        <v>28</v>
      </c>
      <c r="C76" s="9" t="s">
        <v>389</v>
      </c>
      <c r="D76" s="8">
        <v>24.0</v>
      </c>
      <c r="E76" s="8">
        <v>22.0</v>
      </c>
      <c r="F76" s="8">
        <v>0.02</v>
      </c>
      <c r="G76" s="8">
        <v>0.02</v>
      </c>
      <c r="H76" s="8">
        <v>1.04</v>
      </c>
      <c r="I76" s="8">
        <v>-1.46</v>
      </c>
    </row>
    <row r="77" ht="15.75" customHeight="1">
      <c r="A77" s="7" t="s">
        <v>391</v>
      </c>
      <c r="B77" s="8" t="s">
        <v>28</v>
      </c>
      <c r="C77" s="9" t="s">
        <v>393</v>
      </c>
      <c r="D77" s="8">
        <v>24.0</v>
      </c>
      <c r="E77" s="8">
        <v>16.0</v>
      </c>
      <c r="F77" s="8">
        <v>0.02</v>
      </c>
      <c r="G77" s="8">
        <v>0.02</v>
      </c>
      <c r="H77" s="8">
        <v>1.17</v>
      </c>
      <c r="I77" s="8">
        <v>0.04</v>
      </c>
    </row>
    <row r="78" ht="15.75" customHeight="1">
      <c r="A78" s="7" t="s">
        <v>395</v>
      </c>
      <c r="B78" s="8" t="s">
        <v>28</v>
      </c>
      <c r="C78" s="9" t="s">
        <v>397</v>
      </c>
      <c r="D78" s="8">
        <v>23.0</v>
      </c>
      <c r="F78" s="8">
        <v>0.02</v>
      </c>
      <c r="G78" s="8">
        <v>0.02</v>
      </c>
      <c r="H78" s="8">
        <v>0.74</v>
      </c>
    </row>
    <row r="79" ht="15.75" customHeight="1">
      <c r="A79" s="7" t="s">
        <v>398</v>
      </c>
      <c r="B79" s="8" t="s">
        <v>28</v>
      </c>
      <c r="C79" s="9" t="s">
        <v>401</v>
      </c>
      <c r="D79" s="8">
        <v>23.0</v>
      </c>
      <c r="E79" s="8">
        <v>22.0</v>
      </c>
      <c r="F79" s="8">
        <v>0.02</v>
      </c>
      <c r="G79" s="8">
        <v>0.02</v>
      </c>
      <c r="H79" s="8">
        <v>0.39</v>
      </c>
      <c r="I79" s="8">
        <v>0.39</v>
      </c>
    </row>
    <row r="80" ht="15.75" customHeight="1">
      <c r="A80" s="7" t="s">
        <v>403</v>
      </c>
      <c r="B80" s="8" t="s">
        <v>405</v>
      </c>
      <c r="C80" s="9" t="s">
        <v>406</v>
      </c>
      <c r="D80" s="8">
        <v>23.0</v>
      </c>
      <c r="E80" s="8">
        <v>-1.0</v>
      </c>
      <c r="F80" s="8">
        <v>0.02</v>
      </c>
      <c r="G80" s="8">
        <v>0.02</v>
      </c>
      <c r="H80" s="8">
        <v>0.17</v>
      </c>
      <c r="I80" s="8">
        <v>-0.03</v>
      </c>
    </row>
    <row r="81" ht="15.75" customHeight="1">
      <c r="A81" s="7" t="s">
        <v>408</v>
      </c>
      <c r="B81" s="8" t="s">
        <v>28</v>
      </c>
      <c r="C81" s="9" t="s">
        <v>410</v>
      </c>
      <c r="D81" s="8">
        <v>22.0</v>
      </c>
      <c r="E81" s="8">
        <v>13.0</v>
      </c>
      <c r="F81" s="8">
        <v>0.02</v>
      </c>
      <c r="G81" s="8">
        <v>0.04</v>
      </c>
      <c r="H81" s="8">
        <v>2.05</v>
      </c>
      <c r="I81" s="8">
        <v>0.05</v>
      </c>
    </row>
    <row r="82" ht="15.75" customHeight="1">
      <c r="A82" s="7" t="s">
        <v>412</v>
      </c>
      <c r="B82" s="8" t="s">
        <v>405</v>
      </c>
      <c r="C82" s="9" t="s">
        <v>414</v>
      </c>
      <c r="D82" s="8">
        <v>22.0</v>
      </c>
      <c r="F82" s="8">
        <v>0.02</v>
      </c>
      <c r="G82" s="8">
        <v>0.03</v>
      </c>
      <c r="H82" s="8">
        <v>0.95</v>
      </c>
    </row>
    <row r="83" ht="15.75" customHeight="1">
      <c r="A83" s="7" t="s">
        <v>416</v>
      </c>
      <c r="B83" s="8" t="s">
        <v>28</v>
      </c>
      <c r="C83" s="9" t="s">
        <v>419</v>
      </c>
      <c r="D83" s="8">
        <v>22.0</v>
      </c>
      <c r="E83" s="8">
        <v>20.0</v>
      </c>
      <c r="F83" s="8">
        <v>0.02</v>
      </c>
      <c r="G83" s="8">
        <v>0.02</v>
      </c>
      <c r="H83" s="8">
        <v>0.64</v>
      </c>
      <c r="I83" s="8">
        <v>0.64</v>
      </c>
    </row>
    <row r="84" ht="15.75" customHeight="1">
      <c r="A84" s="7" t="s">
        <v>421</v>
      </c>
      <c r="B84" s="8" t="s">
        <v>17</v>
      </c>
      <c r="C84" s="9" t="s">
        <v>425</v>
      </c>
      <c r="D84" s="8">
        <v>21.0</v>
      </c>
      <c r="E84" s="8">
        <v>17.0</v>
      </c>
      <c r="F84" s="8">
        <v>0.02</v>
      </c>
      <c r="G84" s="8">
        <v>0.02</v>
      </c>
      <c r="H84" s="8">
        <v>0.57</v>
      </c>
      <c r="I84" s="8">
        <v>0.32</v>
      </c>
    </row>
    <row r="85" ht="15.75" customHeight="1">
      <c r="A85" s="7" t="s">
        <v>428</v>
      </c>
      <c r="B85" s="8" t="s">
        <v>405</v>
      </c>
      <c r="C85" s="9" t="s">
        <v>430</v>
      </c>
      <c r="D85" s="8">
        <v>21.0</v>
      </c>
      <c r="E85" s="8">
        <v>16.0</v>
      </c>
      <c r="F85" s="8">
        <v>0.02</v>
      </c>
      <c r="G85" s="8">
        <v>0.02</v>
      </c>
      <c r="H85" s="8">
        <v>2.29</v>
      </c>
      <c r="I85" s="8">
        <v>-0.51</v>
      </c>
    </row>
    <row r="86" ht="15.75" customHeight="1">
      <c r="A86" s="7" t="s">
        <v>432</v>
      </c>
      <c r="B86" s="8" t="s">
        <v>28</v>
      </c>
      <c r="C86" s="9" t="s">
        <v>434</v>
      </c>
      <c r="D86" s="8">
        <v>21.0</v>
      </c>
      <c r="F86" s="8">
        <v>0.02</v>
      </c>
      <c r="G86" s="8">
        <v>0.02</v>
      </c>
      <c r="H86" s="8">
        <v>1.05</v>
      </c>
    </row>
    <row r="87" ht="15.75" customHeight="1">
      <c r="A87" s="7" t="s">
        <v>435</v>
      </c>
      <c r="B87" s="8" t="s">
        <v>17</v>
      </c>
      <c r="C87" s="9" t="s">
        <v>439</v>
      </c>
      <c r="D87" s="8">
        <v>21.0</v>
      </c>
      <c r="E87" s="8">
        <v>19.0</v>
      </c>
      <c r="F87" s="8">
        <v>0.02</v>
      </c>
      <c r="G87" s="8">
        <v>0.02</v>
      </c>
      <c r="H87" s="8">
        <v>0.67</v>
      </c>
      <c r="I87" s="8">
        <v>0.17</v>
      </c>
    </row>
    <row r="88" ht="15.75" customHeight="1">
      <c r="A88" s="7" t="s">
        <v>440</v>
      </c>
      <c r="B88" s="8" t="s">
        <v>28</v>
      </c>
      <c r="C88" s="9" t="s">
        <v>443</v>
      </c>
      <c r="D88" s="8">
        <v>21.0</v>
      </c>
      <c r="E88" s="8">
        <v>10.0</v>
      </c>
      <c r="F88" s="8">
        <v>0.02</v>
      </c>
      <c r="G88" s="8">
        <v>0.02</v>
      </c>
      <c r="H88" s="8">
        <v>2.38</v>
      </c>
      <c r="I88" s="8">
        <v>0.38</v>
      </c>
    </row>
    <row r="89" ht="15.75" customHeight="1">
      <c r="A89" s="7" t="s">
        <v>445</v>
      </c>
      <c r="B89" s="8" t="s">
        <v>17</v>
      </c>
      <c r="C89" s="9" t="s">
        <v>447</v>
      </c>
      <c r="D89" s="8">
        <v>21.0</v>
      </c>
      <c r="F89" s="8">
        <v>0.02</v>
      </c>
      <c r="G89" s="8">
        <v>0.02</v>
      </c>
      <c r="H89" s="8">
        <v>1.0</v>
      </c>
    </row>
    <row r="90" ht="15.75" customHeight="1">
      <c r="A90" s="7" t="s">
        <v>449</v>
      </c>
      <c r="B90" s="8" t="s">
        <v>28</v>
      </c>
      <c r="C90" s="9" t="s">
        <v>451</v>
      </c>
      <c r="D90" s="8">
        <v>21.0</v>
      </c>
      <c r="E90" s="8">
        <v>11.0</v>
      </c>
      <c r="F90" s="8">
        <v>0.02</v>
      </c>
      <c r="G90" s="8">
        <v>0.02</v>
      </c>
      <c r="H90" s="8">
        <v>1.43</v>
      </c>
      <c r="I90" s="8">
        <v>-0.77</v>
      </c>
    </row>
    <row r="91" ht="15.75" customHeight="1">
      <c r="A91" s="7" t="s">
        <v>453</v>
      </c>
      <c r="B91" s="8" t="s">
        <v>191</v>
      </c>
      <c r="C91" s="9" t="s">
        <v>456</v>
      </c>
      <c r="D91" s="8">
        <v>20.0</v>
      </c>
      <c r="F91" s="8">
        <v>0.02</v>
      </c>
      <c r="G91" s="8">
        <v>0.02</v>
      </c>
      <c r="H91" s="8">
        <v>0.1</v>
      </c>
    </row>
    <row r="92" ht="15.75" customHeight="1">
      <c r="A92" s="7" t="s">
        <v>458</v>
      </c>
      <c r="B92" s="8" t="s">
        <v>17</v>
      </c>
      <c r="C92" s="9" t="s">
        <v>461</v>
      </c>
      <c r="D92" s="8">
        <v>20.0</v>
      </c>
      <c r="E92" s="8">
        <v>12.0</v>
      </c>
      <c r="F92" s="8">
        <v>0.02</v>
      </c>
      <c r="G92" s="8">
        <v>0.02</v>
      </c>
      <c r="H92" s="8">
        <v>0.2</v>
      </c>
      <c r="I92" s="8">
        <v>-0.05</v>
      </c>
    </row>
    <row r="93" ht="15.75" customHeight="1">
      <c r="A93" s="7" t="s">
        <v>463</v>
      </c>
      <c r="B93" s="8" t="s">
        <v>48</v>
      </c>
      <c r="C93" s="9" t="s">
        <v>464</v>
      </c>
      <c r="D93" s="8">
        <v>19.0</v>
      </c>
      <c r="E93" s="8">
        <v>9.0</v>
      </c>
      <c r="F93" s="8">
        <v>0.02</v>
      </c>
      <c r="G93" s="8">
        <v>0.03</v>
      </c>
      <c r="H93" s="8">
        <v>0.95</v>
      </c>
      <c r="I93" s="8">
        <v>0.55</v>
      </c>
    </row>
    <row r="94" ht="15.75" customHeight="1">
      <c r="A94" s="7" t="s">
        <v>466</v>
      </c>
      <c r="B94" s="8" t="s">
        <v>28</v>
      </c>
      <c r="C94" s="9" t="s">
        <v>467</v>
      </c>
      <c r="D94" s="8">
        <v>19.0</v>
      </c>
      <c r="E94" s="8">
        <v>17.0</v>
      </c>
      <c r="F94" s="8">
        <v>0.02</v>
      </c>
      <c r="G94" s="8">
        <v>0.02</v>
      </c>
      <c r="H94" s="8">
        <v>1.47</v>
      </c>
      <c r="I94" s="8">
        <v>-0.53</v>
      </c>
    </row>
    <row r="95" ht="15.75" customHeight="1">
      <c r="A95" s="7" t="s">
        <v>469</v>
      </c>
      <c r="B95" s="8" t="s">
        <v>28</v>
      </c>
      <c r="C95" s="9" t="s">
        <v>472</v>
      </c>
      <c r="D95" s="8">
        <v>19.0</v>
      </c>
      <c r="F95" s="8">
        <v>0.02</v>
      </c>
      <c r="G95" s="8">
        <v>0.02</v>
      </c>
      <c r="H95" s="8">
        <v>1.05</v>
      </c>
    </row>
    <row r="96" ht="15.75" customHeight="1">
      <c r="A96" s="7" t="s">
        <v>474</v>
      </c>
      <c r="B96" s="8" t="s">
        <v>28</v>
      </c>
      <c r="C96" s="9" t="s">
        <v>477</v>
      </c>
      <c r="D96" s="8">
        <v>19.0</v>
      </c>
      <c r="E96" s="8">
        <v>2.0</v>
      </c>
      <c r="F96" s="8">
        <v>0.02</v>
      </c>
      <c r="G96" s="8">
        <v>0.02</v>
      </c>
      <c r="H96" s="8">
        <v>0.05</v>
      </c>
      <c r="I96" s="8">
        <v>-0.01</v>
      </c>
    </row>
    <row r="97" ht="15.75" customHeight="1">
      <c r="A97" s="7" t="s">
        <v>479</v>
      </c>
      <c r="B97" s="8" t="s">
        <v>28</v>
      </c>
      <c r="C97" s="9"/>
      <c r="D97" s="8">
        <v>19.0</v>
      </c>
      <c r="E97" s="8">
        <v>18.0</v>
      </c>
      <c r="F97" s="8">
        <v>0.02</v>
      </c>
      <c r="G97" s="8">
        <v>0.02</v>
      </c>
      <c r="H97" s="8">
        <v>0.05</v>
      </c>
      <c r="I97" s="8">
        <v>-1.95</v>
      </c>
    </row>
    <row r="98" ht="15.75" customHeight="1">
      <c r="A98" s="7" t="s">
        <v>482</v>
      </c>
      <c r="B98" s="8" t="s">
        <v>28</v>
      </c>
      <c r="C98" s="9" t="s">
        <v>484</v>
      </c>
      <c r="D98" s="8">
        <v>18.0</v>
      </c>
      <c r="F98" s="8">
        <v>0.02</v>
      </c>
      <c r="G98" s="8">
        <v>0.02</v>
      </c>
      <c r="H98" s="8">
        <v>2.44</v>
      </c>
    </row>
    <row r="99" ht="15.75" customHeight="1">
      <c r="A99" s="7" t="s">
        <v>486</v>
      </c>
      <c r="B99" s="8" t="s">
        <v>28</v>
      </c>
      <c r="C99" s="9" t="s">
        <v>488</v>
      </c>
      <c r="D99" s="8">
        <v>18.0</v>
      </c>
      <c r="E99" s="8">
        <v>15.0</v>
      </c>
      <c r="F99" s="8">
        <v>0.02</v>
      </c>
      <c r="G99" s="8">
        <v>0.03</v>
      </c>
      <c r="H99" s="8">
        <v>1.44</v>
      </c>
      <c r="I99" s="8">
        <v>1.11</v>
      </c>
    </row>
    <row r="100" ht="15.75" customHeight="1">
      <c r="A100" s="7" t="s">
        <v>490</v>
      </c>
      <c r="B100" s="8" t="s">
        <v>492</v>
      </c>
      <c r="C100" s="9" t="s">
        <v>493</v>
      </c>
      <c r="D100" s="8">
        <v>18.0</v>
      </c>
      <c r="E100" s="8">
        <v>16.0</v>
      </c>
      <c r="F100" s="8">
        <v>0.02</v>
      </c>
      <c r="G100" s="8">
        <v>0.02</v>
      </c>
      <c r="H100" s="8">
        <v>0.72</v>
      </c>
      <c r="I100" s="8">
        <v>-0.28</v>
      </c>
    </row>
    <row r="101" ht="15.75" customHeight="1">
      <c r="A101" s="7" t="s">
        <v>495</v>
      </c>
      <c r="B101" s="8" t="s">
        <v>28</v>
      </c>
      <c r="C101" s="9" t="s">
        <v>498</v>
      </c>
      <c r="D101" s="8">
        <v>18.0</v>
      </c>
      <c r="E101" s="8">
        <v>12.0</v>
      </c>
      <c r="F101" s="8">
        <v>0.02</v>
      </c>
      <c r="G101" s="8">
        <v>0.02</v>
      </c>
      <c r="H101" s="8">
        <v>0.44</v>
      </c>
      <c r="I101" s="8">
        <v>0.11</v>
      </c>
    </row>
    <row r="102" ht="15.75" customHeight="1">
      <c r="A102" s="7" t="s">
        <v>500</v>
      </c>
      <c r="B102" s="8" t="s">
        <v>28</v>
      </c>
      <c r="C102" s="9" t="s">
        <v>498</v>
      </c>
      <c r="D102" s="8">
        <v>17.0</v>
      </c>
      <c r="F102" s="8">
        <v>0.02</v>
      </c>
      <c r="G102" s="8">
        <v>0.02</v>
      </c>
      <c r="H102" s="8">
        <v>2.53</v>
      </c>
    </row>
    <row r="103" ht="15.75" customHeight="1">
      <c r="A103" s="7" t="s">
        <v>503</v>
      </c>
      <c r="B103" s="8" t="s">
        <v>28</v>
      </c>
      <c r="C103" s="9" t="s">
        <v>505</v>
      </c>
      <c r="D103" s="8">
        <v>17.0</v>
      </c>
      <c r="E103" s="8">
        <v>10.0</v>
      </c>
      <c r="F103" s="8">
        <v>0.02</v>
      </c>
      <c r="G103" s="8">
        <v>0.02</v>
      </c>
      <c r="H103" s="8">
        <v>0.06</v>
      </c>
      <c r="I103" s="8">
        <v>-0.23</v>
      </c>
    </row>
    <row r="104" ht="15.75" customHeight="1">
      <c r="A104" s="7" t="s">
        <v>507</v>
      </c>
      <c r="B104" s="8" t="s">
        <v>28</v>
      </c>
      <c r="C104" s="9" t="s">
        <v>510</v>
      </c>
      <c r="D104" s="8">
        <v>17.0</v>
      </c>
      <c r="F104" s="8">
        <v>0.02</v>
      </c>
      <c r="G104" s="8">
        <v>0.02</v>
      </c>
      <c r="H104" s="8">
        <v>1.12</v>
      </c>
    </row>
    <row r="105" ht="15.75" customHeight="1">
      <c r="A105" s="7" t="s">
        <v>512</v>
      </c>
      <c r="B105" s="8" t="s">
        <v>48</v>
      </c>
      <c r="C105" s="9"/>
      <c r="D105" s="8">
        <v>17.0</v>
      </c>
      <c r="E105" s="8">
        <v>10.0</v>
      </c>
      <c r="F105" s="8">
        <v>0.02</v>
      </c>
      <c r="G105" s="8">
        <v>0.02</v>
      </c>
      <c r="H105" s="8">
        <v>2.24</v>
      </c>
      <c r="I105" s="8">
        <v>0.24</v>
      </c>
    </row>
    <row r="106" ht="15.75" customHeight="1">
      <c r="A106" s="7" t="s">
        <v>515</v>
      </c>
      <c r="B106" s="8" t="s">
        <v>17</v>
      </c>
      <c r="C106" s="9" t="s">
        <v>518</v>
      </c>
      <c r="D106" s="8">
        <v>17.0</v>
      </c>
      <c r="E106" s="8">
        <v>12.0</v>
      </c>
      <c r="F106" s="8">
        <v>0.02</v>
      </c>
      <c r="G106" s="8">
        <v>0.02</v>
      </c>
      <c r="H106" s="8">
        <v>1.06</v>
      </c>
      <c r="I106" s="8">
        <v>-0.34</v>
      </c>
    </row>
    <row r="107" ht="15.75" customHeight="1">
      <c r="A107" s="7" t="s">
        <v>520</v>
      </c>
      <c r="B107" s="8" t="s">
        <v>28</v>
      </c>
      <c r="C107" s="9" t="s">
        <v>186</v>
      </c>
      <c r="D107" s="8">
        <v>17.0</v>
      </c>
      <c r="F107" s="8">
        <v>0.02</v>
      </c>
      <c r="G107" s="8">
        <v>0.02</v>
      </c>
      <c r="H107" s="8">
        <v>0.35</v>
      </c>
    </row>
    <row r="108" ht="15.75" customHeight="1">
      <c r="A108" s="7" t="s">
        <v>523</v>
      </c>
      <c r="B108" s="8" t="s">
        <v>28</v>
      </c>
      <c r="C108" s="9" t="s">
        <v>524</v>
      </c>
      <c r="D108" s="8">
        <v>17.0</v>
      </c>
      <c r="E108" s="8">
        <v>5.0</v>
      </c>
      <c r="F108" s="8">
        <v>0.02</v>
      </c>
      <c r="G108" s="8">
        <v>0.02</v>
      </c>
      <c r="H108" s="8">
        <v>0.35</v>
      </c>
      <c r="I108" s="8">
        <v>-0.9</v>
      </c>
    </row>
    <row r="109" ht="15.75" customHeight="1">
      <c r="A109" s="7" t="s">
        <v>526</v>
      </c>
      <c r="B109" s="8" t="s">
        <v>48</v>
      </c>
      <c r="C109" s="9" t="s">
        <v>528</v>
      </c>
      <c r="D109" s="8">
        <v>17.0</v>
      </c>
      <c r="F109" s="8">
        <v>0.02</v>
      </c>
      <c r="G109" s="8">
        <v>0.02</v>
      </c>
      <c r="H109" s="8">
        <v>0.0</v>
      </c>
    </row>
    <row r="110" ht="15.75" customHeight="1">
      <c r="A110" s="7" t="s">
        <v>532</v>
      </c>
      <c r="B110" s="8" t="s">
        <v>28</v>
      </c>
      <c r="C110" s="9" t="s">
        <v>534</v>
      </c>
      <c r="D110" s="8">
        <v>17.0</v>
      </c>
      <c r="E110" s="8">
        <v>13.0</v>
      </c>
      <c r="F110" s="8">
        <v>0.02</v>
      </c>
      <c r="G110" s="8">
        <v>0.02</v>
      </c>
      <c r="H110" s="8">
        <v>0.65</v>
      </c>
      <c r="I110" s="8">
        <v>-0.35</v>
      </c>
    </row>
    <row r="111" ht="15.75" customHeight="1">
      <c r="A111" s="7" t="s">
        <v>536</v>
      </c>
      <c r="B111" s="8" t="s">
        <v>28</v>
      </c>
      <c r="C111" s="9" t="s">
        <v>539</v>
      </c>
      <c r="D111" s="8">
        <v>16.0</v>
      </c>
      <c r="E111" s="8">
        <v>6.0</v>
      </c>
      <c r="F111" s="8">
        <v>0.02</v>
      </c>
      <c r="G111" s="8">
        <v>0.02</v>
      </c>
      <c r="H111" s="8">
        <v>1.0</v>
      </c>
      <c r="I111" s="8">
        <v>-0.4</v>
      </c>
    </row>
    <row r="112" ht="15.75" customHeight="1">
      <c r="A112" s="7" t="s">
        <v>540</v>
      </c>
      <c r="B112" s="8" t="s">
        <v>17</v>
      </c>
      <c r="C112" s="9" t="s">
        <v>544</v>
      </c>
      <c r="D112" s="8">
        <v>16.0</v>
      </c>
      <c r="F112" s="8">
        <v>0.02</v>
      </c>
      <c r="G112" s="8">
        <v>0.02</v>
      </c>
      <c r="H112" s="8">
        <v>0.88</v>
      </c>
    </row>
    <row r="113" ht="15.75" customHeight="1">
      <c r="A113" s="7" t="s">
        <v>545</v>
      </c>
      <c r="B113" s="8" t="s">
        <v>405</v>
      </c>
      <c r="C113" s="9" t="s">
        <v>547</v>
      </c>
      <c r="D113" s="8">
        <v>16.0</v>
      </c>
      <c r="F113" s="8">
        <v>0.02</v>
      </c>
      <c r="G113" s="8">
        <v>0.02</v>
      </c>
      <c r="H113" s="8">
        <v>0.75</v>
      </c>
    </row>
    <row r="114" ht="15.75" customHeight="1">
      <c r="A114" s="7" t="s">
        <v>550</v>
      </c>
      <c r="B114" s="8" t="s">
        <v>28</v>
      </c>
      <c r="C114" s="9" t="s">
        <v>551</v>
      </c>
      <c r="D114" s="8">
        <v>16.0</v>
      </c>
      <c r="E114" s="8">
        <v>11.0</v>
      </c>
      <c r="F114" s="8">
        <v>0.02</v>
      </c>
      <c r="G114" s="8">
        <v>0.02</v>
      </c>
      <c r="H114" s="8">
        <v>0.69</v>
      </c>
      <c r="I114" s="8">
        <v>-0.51</v>
      </c>
    </row>
    <row r="115" ht="15.75" customHeight="1">
      <c r="A115" s="7" t="s">
        <v>553</v>
      </c>
      <c r="B115" s="8" t="s">
        <v>28</v>
      </c>
      <c r="C115" s="9"/>
      <c r="D115" s="8">
        <v>16.0</v>
      </c>
      <c r="E115" s="8">
        <v>13.0</v>
      </c>
      <c r="F115" s="8">
        <v>0.02</v>
      </c>
      <c r="G115" s="8">
        <v>0.02</v>
      </c>
      <c r="H115" s="8">
        <v>1.06</v>
      </c>
      <c r="I115" s="8">
        <v>1.06</v>
      </c>
    </row>
    <row r="116" ht="15.75" customHeight="1">
      <c r="A116" s="7" t="s">
        <v>557</v>
      </c>
      <c r="B116" s="8" t="s">
        <v>405</v>
      </c>
      <c r="C116" s="9" t="s">
        <v>559</v>
      </c>
      <c r="D116" s="8">
        <v>16.0</v>
      </c>
      <c r="E116" s="8">
        <v>14.0</v>
      </c>
      <c r="F116" s="8">
        <v>0.02</v>
      </c>
      <c r="G116" s="8">
        <v>0.02</v>
      </c>
      <c r="H116" s="8">
        <v>0.13</v>
      </c>
      <c r="I116" s="8">
        <v>0.13</v>
      </c>
    </row>
    <row r="117" ht="15.75" customHeight="1">
      <c r="A117" s="7" t="s">
        <v>564</v>
      </c>
      <c r="B117" s="8" t="s">
        <v>28</v>
      </c>
      <c r="C117" s="9" t="s">
        <v>566</v>
      </c>
      <c r="D117" s="8">
        <v>16.0</v>
      </c>
      <c r="E117" s="8">
        <v>12.0</v>
      </c>
      <c r="F117" s="8">
        <v>0.02</v>
      </c>
      <c r="G117" s="8">
        <v>0.02</v>
      </c>
      <c r="H117" s="8">
        <v>2.5</v>
      </c>
      <c r="I117" s="8">
        <v>2.0</v>
      </c>
    </row>
    <row r="118" ht="15.75" customHeight="1">
      <c r="A118" s="7" t="s">
        <v>567</v>
      </c>
      <c r="B118" s="8" t="s">
        <v>28</v>
      </c>
      <c r="C118" s="9" t="s">
        <v>570</v>
      </c>
      <c r="D118" s="8">
        <v>16.0</v>
      </c>
      <c r="E118" s="8">
        <v>12.0</v>
      </c>
      <c r="F118" s="8">
        <v>0.02</v>
      </c>
      <c r="G118" s="8">
        <v>0.02</v>
      </c>
      <c r="H118" s="8">
        <v>0.25</v>
      </c>
      <c r="I118" s="8">
        <v>-0.25</v>
      </c>
    </row>
    <row r="119" ht="15.75" customHeight="1">
      <c r="A119" s="8" t="s">
        <v>572</v>
      </c>
      <c r="B119" s="8" t="s">
        <v>28</v>
      </c>
      <c r="C119" s="9" t="s">
        <v>573</v>
      </c>
      <c r="D119" s="8">
        <v>15.0</v>
      </c>
      <c r="F119" s="8">
        <v>0.01</v>
      </c>
      <c r="G119" s="8">
        <v>0.02</v>
      </c>
      <c r="H119" s="8">
        <v>1.6</v>
      </c>
    </row>
    <row r="120" ht="15.75" customHeight="1">
      <c r="A120" s="7" t="s">
        <v>574</v>
      </c>
      <c r="B120" s="8" t="s">
        <v>28</v>
      </c>
      <c r="C120" s="9"/>
      <c r="D120" s="8">
        <v>15.0</v>
      </c>
      <c r="F120" s="8">
        <v>0.01</v>
      </c>
      <c r="G120" s="8">
        <v>0.01</v>
      </c>
      <c r="H120" s="8">
        <v>0.13</v>
      </c>
    </row>
    <row r="121" ht="15.75" customHeight="1">
      <c r="A121" s="7" t="s">
        <v>577</v>
      </c>
      <c r="B121" s="8" t="s">
        <v>28</v>
      </c>
      <c r="C121" s="9" t="s">
        <v>581</v>
      </c>
      <c r="D121" s="8">
        <v>15.0</v>
      </c>
      <c r="F121" s="8">
        <v>0.01</v>
      </c>
      <c r="G121" s="8">
        <v>0.01</v>
      </c>
      <c r="H121" s="8">
        <v>0.2</v>
      </c>
    </row>
    <row r="122" ht="15.75" customHeight="1">
      <c r="A122" s="7" t="s">
        <v>582</v>
      </c>
      <c r="B122" s="8" t="s">
        <v>28</v>
      </c>
      <c r="C122" s="9" t="s">
        <v>586</v>
      </c>
      <c r="D122" s="8">
        <v>15.0</v>
      </c>
      <c r="E122" s="8">
        <v>7.0</v>
      </c>
      <c r="F122" s="8">
        <v>0.01</v>
      </c>
      <c r="G122" s="8">
        <v>0.01</v>
      </c>
      <c r="H122" s="8">
        <v>0.4</v>
      </c>
      <c r="I122" s="8">
        <v>0.4</v>
      </c>
    </row>
    <row r="123" ht="15.75" customHeight="1">
      <c r="A123" s="7" t="s">
        <v>587</v>
      </c>
      <c r="B123" s="8" t="s">
        <v>28</v>
      </c>
      <c r="C123" s="9" t="s">
        <v>591</v>
      </c>
      <c r="D123" s="8">
        <v>15.0</v>
      </c>
      <c r="E123" s="8">
        <v>11.0</v>
      </c>
      <c r="F123" s="8">
        <v>0.01</v>
      </c>
      <c r="G123" s="8">
        <v>0.01</v>
      </c>
      <c r="H123" s="8">
        <v>1.47</v>
      </c>
      <c r="I123" s="8">
        <v>0.47</v>
      </c>
    </row>
    <row r="124" ht="15.75" customHeight="1">
      <c r="A124" s="7" t="s">
        <v>592</v>
      </c>
      <c r="B124" s="8" t="s">
        <v>28</v>
      </c>
      <c r="C124" s="9" t="s">
        <v>594</v>
      </c>
      <c r="D124" s="8">
        <v>15.0</v>
      </c>
      <c r="E124" s="8">
        <v>12.0</v>
      </c>
      <c r="F124" s="8">
        <v>0.01</v>
      </c>
      <c r="G124" s="8">
        <v>0.01</v>
      </c>
      <c r="H124" s="8">
        <v>0.2</v>
      </c>
      <c r="I124" s="8">
        <v>0.2</v>
      </c>
    </row>
    <row r="125" ht="15.75" customHeight="1">
      <c r="A125" s="7" t="s">
        <v>595</v>
      </c>
      <c r="B125" s="8" t="s">
        <v>191</v>
      </c>
      <c r="C125" s="9" t="s">
        <v>598</v>
      </c>
      <c r="D125" s="8">
        <v>15.0</v>
      </c>
      <c r="E125" s="8">
        <v>12.0</v>
      </c>
      <c r="F125" s="8">
        <v>0.01</v>
      </c>
      <c r="G125" s="8">
        <v>0.01</v>
      </c>
      <c r="H125" s="8">
        <v>0.07</v>
      </c>
      <c r="I125" s="8">
        <v>0.07</v>
      </c>
    </row>
    <row r="126" ht="15.75" customHeight="1">
      <c r="A126" s="7" t="s">
        <v>599</v>
      </c>
      <c r="B126" s="8" t="s">
        <v>28</v>
      </c>
      <c r="C126" s="9" t="s">
        <v>600</v>
      </c>
      <c r="D126" s="8">
        <v>15.0</v>
      </c>
      <c r="E126" s="8">
        <v>14.0</v>
      </c>
      <c r="F126" s="8">
        <v>0.01</v>
      </c>
      <c r="G126" s="8">
        <v>0.01</v>
      </c>
      <c r="H126" s="8">
        <v>1.27</v>
      </c>
      <c r="I126" s="8">
        <v>0.27</v>
      </c>
    </row>
    <row r="127" ht="15.75" customHeight="1">
      <c r="A127" s="7" t="s">
        <v>602</v>
      </c>
      <c r="B127" s="8" t="s">
        <v>28</v>
      </c>
      <c r="C127" s="9" t="s">
        <v>603</v>
      </c>
      <c r="D127" s="8">
        <v>14.0</v>
      </c>
      <c r="E127" s="8">
        <v>13.0</v>
      </c>
      <c r="F127" s="8">
        <v>0.01</v>
      </c>
      <c r="G127" s="8">
        <v>0.02</v>
      </c>
      <c r="H127" s="8">
        <v>0.0</v>
      </c>
      <c r="I127" s="8">
        <v>0.0</v>
      </c>
    </row>
    <row r="128" ht="15.75" customHeight="1">
      <c r="A128" s="7" t="s">
        <v>605</v>
      </c>
      <c r="B128" s="8" t="s">
        <v>28</v>
      </c>
      <c r="C128" s="9" t="s">
        <v>608</v>
      </c>
      <c r="D128" s="8">
        <v>14.0</v>
      </c>
      <c r="E128" s="8">
        <v>11.0</v>
      </c>
      <c r="F128" s="8">
        <v>0.01</v>
      </c>
      <c r="G128" s="8">
        <v>0.01</v>
      </c>
      <c r="H128" s="8">
        <v>1.0</v>
      </c>
      <c r="I128" s="8">
        <v>1.0</v>
      </c>
    </row>
    <row r="129" ht="15.75" customHeight="1">
      <c r="A129" s="7" t="s">
        <v>610</v>
      </c>
      <c r="B129" s="8" t="s">
        <v>28</v>
      </c>
      <c r="C129" s="9" t="s">
        <v>612</v>
      </c>
      <c r="D129" s="8">
        <v>14.0</v>
      </c>
      <c r="E129" s="8">
        <v>12.0</v>
      </c>
      <c r="F129" s="8">
        <v>0.01</v>
      </c>
      <c r="G129" s="8">
        <v>0.01</v>
      </c>
      <c r="H129" s="8">
        <v>0.0</v>
      </c>
      <c r="I129" s="8">
        <v>0.0</v>
      </c>
    </row>
    <row r="130" ht="15.75" customHeight="1">
      <c r="A130" s="7" t="s">
        <v>613</v>
      </c>
      <c r="B130" s="8" t="s">
        <v>76</v>
      </c>
      <c r="C130" s="9" t="s">
        <v>615</v>
      </c>
      <c r="D130" s="8">
        <v>14.0</v>
      </c>
      <c r="E130" s="8">
        <v>10.0</v>
      </c>
      <c r="F130" s="8">
        <v>0.01</v>
      </c>
      <c r="G130" s="8">
        <v>0.01</v>
      </c>
      <c r="H130" s="8">
        <v>0.07</v>
      </c>
      <c r="I130" s="8">
        <v>-0.43</v>
      </c>
    </row>
    <row r="131" ht="15.75" customHeight="1">
      <c r="A131" s="7" t="s">
        <v>617</v>
      </c>
      <c r="B131" s="8" t="s">
        <v>17</v>
      </c>
      <c r="C131" s="9" t="s">
        <v>619</v>
      </c>
      <c r="D131" s="8">
        <v>13.0</v>
      </c>
      <c r="E131" s="8">
        <v>9.0</v>
      </c>
      <c r="F131" s="8">
        <v>0.01</v>
      </c>
      <c r="G131" s="8">
        <v>0.03</v>
      </c>
      <c r="H131" s="8">
        <v>1.77</v>
      </c>
      <c r="I131" s="8">
        <v>-0.98</v>
      </c>
    </row>
    <row r="132" ht="15.75" customHeight="1">
      <c r="A132" s="8" t="s">
        <v>621</v>
      </c>
      <c r="B132" s="8" t="s">
        <v>28</v>
      </c>
      <c r="C132" s="9" t="s">
        <v>623</v>
      </c>
      <c r="D132" s="8">
        <v>13.0</v>
      </c>
      <c r="E132" s="8">
        <v>4.0</v>
      </c>
      <c r="F132" s="8">
        <v>0.01</v>
      </c>
      <c r="G132" s="8">
        <v>0.01</v>
      </c>
      <c r="H132" s="8">
        <v>2.08</v>
      </c>
      <c r="I132" s="8">
        <v>0.97</v>
      </c>
    </row>
    <row r="133" ht="15.75" customHeight="1">
      <c r="A133" s="7" t="s">
        <v>624</v>
      </c>
      <c r="B133" s="8" t="s">
        <v>405</v>
      </c>
      <c r="C133" s="9" t="s">
        <v>626</v>
      </c>
      <c r="D133" s="8">
        <v>13.0</v>
      </c>
      <c r="E133" s="8">
        <v>11.0</v>
      </c>
      <c r="F133" s="8">
        <v>0.01</v>
      </c>
      <c r="G133" s="8">
        <v>0.01</v>
      </c>
      <c r="H133" s="8">
        <v>2.08</v>
      </c>
      <c r="I133" s="8">
        <v>0.08</v>
      </c>
    </row>
    <row r="134" ht="15.75" customHeight="1">
      <c r="A134" s="7" t="s">
        <v>628</v>
      </c>
      <c r="B134" s="8" t="s">
        <v>48</v>
      </c>
      <c r="C134" s="9" t="s">
        <v>630</v>
      </c>
      <c r="D134" s="8">
        <v>13.0</v>
      </c>
      <c r="F134" s="8">
        <v>0.01</v>
      </c>
      <c r="G134" s="8">
        <v>0.01</v>
      </c>
      <c r="H134" s="8">
        <v>1.31</v>
      </c>
    </row>
    <row r="135" ht="15.75" customHeight="1">
      <c r="A135" s="7" t="s">
        <v>632</v>
      </c>
      <c r="B135" s="8" t="s">
        <v>28</v>
      </c>
      <c r="C135" s="9" t="s">
        <v>635</v>
      </c>
      <c r="D135" s="8">
        <v>13.0</v>
      </c>
      <c r="E135" s="8">
        <v>10.0</v>
      </c>
      <c r="F135" s="8">
        <v>0.01</v>
      </c>
      <c r="G135" s="8">
        <v>0.01</v>
      </c>
      <c r="H135" s="8">
        <v>1.46</v>
      </c>
      <c r="I135" s="8">
        <v>1.46</v>
      </c>
    </row>
    <row r="136" ht="15.75" customHeight="1">
      <c r="A136" s="7" t="s">
        <v>637</v>
      </c>
      <c r="B136" s="8" t="s">
        <v>48</v>
      </c>
      <c r="C136" s="9" t="s">
        <v>640</v>
      </c>
      <c r="D136" s="8">
        <v>13.0</v>
      </c>
      <c r="F136" s="8">
        <v>0.01</v>
      </c>
      <c r="G136" s="8">
        <v>0.01</v>
      </c>
      <c r="H136" s="8">
        <v>0.0</v>
      </c>
    </row>
    <row r="137" ht="15.75" customHeight="1">
      <c r="A137" s="7" t="s">
        <v>642</v>
      </c>
      <c r="B137" s="8" t="s">
        <v>28</v>
      </c>
      <c r="C137" s="9" t="s">
        <v>644</v>
      </c>
      <c r="D137" s="8">
        <v>13.0</v>
      </c>
      <c r="E137" s="8">
        <v>8.0</v>
      </c>
      <c r="F137" s="8">
        <v>0.01</v>
      </c>
      <c r="G137" s="8">
        <v>0.01</v>
      </c>
      <c r="H137" s="8">
        <v>1.0</v>
      </c>
      <c r="I137" s="8">
        <v>0.8</v>
      </c>
    </row>
    <row r="138" ht="15.75" customHeight="1">
      <c r="A138" s="8" t="s">
        <v>645</v>
      </c>
      <c r="B138" s="8" t="s">
        <v>191</v>
      </c>
      <c r="C138" s="9" t="s">
        <v>646</v>
      </c>
      <c r="D138" s="8">
        <v>13.0</v>
      </c>
      <c r="F138" s="8">
        <v>0.01</v>
      </c>
      <c r="G138" s="8">
        <v>0.01</v>
      </c>
      <c r="H138" s="8">
        <v>0.23</v>
      </c>
    </row>
    <row r="139" ht="15.75" customHeight="1">
      <c r="A139" s="7" t="s">
        <v>648</v>
      </c>
      <c r="B139" s="8" t="s">
        <v>28</v>
      </c>
      <c r="C139" s="9" t="s">
        <v>650</v>
      </c>
      <c r="D139" s="8">
        <v>13.0</v>
      </c>
      <c r="E139" s="8">
        <v>10.0</v>
      </c>
      <c r="F139" s="8">
        <v>0.01</v>
      </c>
      <c r="G139" s="8">
        <v>0.01</v>
      </c>
      <c r="H139" s="8">
        <v>1.08</v>
      </c>
      <c r="I139" s="8">
        <v>1.08</v>
      </c>
    </row>
    <row r="140" ht="15.75" customHeight="1">
      <c r="A140" s="7" t="s">
        <v>652</v>
      </c>
      <c r="B140" s="8" t="s">
        <v>28</v>
      </c>
      <c r="C140" s="9" t="s">
        <v>654</v>
      </c>
      <c r="D140" s="8">
        <v>13.0</v>
      </c>
      <c r="F140" s="8">
        <v>0.01</v>
      </c>
      <c r="G140" s="8">
        <v>0.01</v>
      </c>
      <c r="H140" s="8">
        <v>0.0</v>
      </c>
    </row>
    <row r="141" ht="15.75" customHeight="1">
      <c r="A141" s="7" t="s">
        <v>656</v>
      </c>
      <c r="B141" s="8" t="s">
        <v>191</v>
      </c>
      <c r="C141" s="9" t="s">
        <v>659</v>
      </c>
      <c r="D141" s="8">
        <v>13.0</v>
      </c>
      <c r="F141" s="8">
        <v>0.01</v>
      </c>
      <c r="G141" s="8">
        <v>0.01</v>
      </c>
      <c r="H141" s="8">
        <v>1.08</v>
      </c>
    </row>
    <row r="142" ht="15.75" customHeight="1">
      <c r="A142" s="7" t="s">
        <v>661</v>
      </c>
      <c r="B142" s="8" t="s">
        <v>28</v>
      </c>
      <c r="C142" s="9" t="s">
        <v>663</v>
      </c>
      <c r="D142" s="8">
        <v>13.0</v>
      </c>
      <c r="E142" s="8">
        <v>12.0</v>
      </c>
      <c r="F142" s="8">
        <v>0.01</v>
      </c>
      <c r="G142" s="8">
        <v>0.01</v>
      </c>
      <c r="H142" s="8">
        <v>0.85</v>
      </c>
      <c r="I142" s="8">
        <v>-0.15</v>
      </c>
    </row>
    <row r="143" ht="15.75" customHeight="1">
      <c r="A143" s="8" t="s">
        <v>664</v>
      </c>
      <c r="B143" s="8" t="s">
        <v>28</v>
      </c>
      <c r="C143" s="9" t="s">
        <v>665</v>
      </c>
      <c r="D143" s="8">
        <v>13.0</v>
      </c>
      <c r="F143" s="8">
        <v>0.01</v>
      </c>
      <c r="G143" s="8">
        <v>0.01</v>
      </c>
      <c r="H143" s="8">
        <v>1.08</v>
      </c>
    </row>
    <row r="144" ht="15.75" customHeight="1">
      <c r="A144" s="7" t="s">
        <v>668</v>
      </c>
      <c r="B144" s="8" t="s">
        <v>28</v>
      </c>
      <c r="C144" s="9" t="s">
        <v>670</v>
      </c>
      <c r="D144" s="8">
        <v>13.0</v>
      </c>
      <c r="E144" s="8">
        <v>10.0</v>
      </c>
      <c r="F144" s="8">
        <v>0.01</v>
      </c>
      <c r="G144" s="8">
        <v>0.01</v>
      </c>
      <c r="H144" s="8">
        <v>0.0</v>
      </c>
      <c r="I144" s="8">
        <v>0.0</v>
      </c>
    </row>
    <row r="145" ht="15.75" customHeight="1">
      <c r="A145" s="7" t="s">
        <v>673</v>
      </c>
      <c r="B145" s="8" t="s">
        <v>28</v>
      </c>
      <c r="C145" s="9" t="s">
        <v>675</v>
      </c>
      <c r="D145" s="8">
        <v>13.0</v>
      </c>
      <c r="F145" s="8">
        <v>0.01</v>
      </c>
      <c r="G145" s="8">
        <v>0.01</v>
      </c>
      <c r="H145" s="8">
        <v>1.15</v>
      </c>
    </row>
    <row r="146" ht="15.75" customHeight="1">
      <c r="A146" s="7" t="s">
        <v>678</v>
      </c>
      <c r="B146" s="8" t="s">
        <v>48</v>
      </c>
      <c r="C146" s="9" t="s">
        <v>679</v>
      </c>
      <c r="D146" s="8">
        <v>13.0</v>
      </c>
      <c r="F146" s="8">
        <v>0.01</v>
      </c>
      <c r="G146" s="8">
        <v>0.01</v>
      </c>
      <c r="H146" s="8">
        <v>0.0</v>
      </c>
    </row>
    <row r="147" ht="15.75" customHeight="1">
      <c r="A147" s="7" t="s">
        <v>681</v>
      </c>
      <c r="B147" s="8" t="s">
        <v>28</v>
      </c>
      <c r="C147" s="9" t="s">
        <v>684</v>
      </c>
      <c r="D147" s="8">
        <v>12.0</v>
      </c>
      <c r="F147" s="8">
        <v>0.01</v>
      </c>
      <c r="G147" s="8">
        <v>0.01</v>
      </c>
      <c r="H147" s="8">
        <v>1.58</v>
      </c>
    </row>
    <row r="148" ht="15.75" customHeight="1">
      <c r="A148" s="7" t="s">
        <v>685</v>
      </c>
      <c r="B148" s="8" t="s">
        <v>17</v>
      </c>
      <c r="C148" s="9" t="s">
        <v>687</v>
      </c>
      <c r="D148" s="8">
        <v>12.0</v>
      </c>
      <c r="E148" s="8">
        <v>-6.0</v>
      </c>
      <c r="F148" s="8">
        <v>0.01</v>
      </c>
      <c r="G148" s="8">
        <v>0.01</v>
      </c>
      <c r="H148" s="8">
        <v>1.5</v>
      </c>
      <c r="I148" s="8">
        <v>1.22</v>
      </c>
    </row>
    <row r="149" ht="15.75" customHeight="1">
      <c r="A149" s="7" t="s">
        <v>689</v>
      </c>
      <c r="B149" s="8" t="s">
        <v>28</v>
      </c>
      <c r="C149" s="9" t="s">
        <v>691</v>
      </c>
      <c r="D149" s="8">
        <v>12.0</v>
      </c>
      <c r="F149" s="8">
        <v>0.01</v>
      </c>
      <c r="G149" s="8">
        <v>0.02</v>
      </c>
      <c r="H149" s="8">
        <v>1.5</v>
      </c>
    </row>
    <row r="150" ht="15.75" customHeight="1">
      <c r="A150" s="7" t="s">
        <v>692</v>
      </c>
      <c r="B150" s="8" t="s">
        <v>28</v>
      </c>
      <c r="C150" s="9" t="s">
        <v>698</v>
      </c>
      <c r="D150" s="8">
        <v>12.0</v>
      </c>
      <c r="F150" s="8">
        <v>0.01</v>
      </c>
      <c r="G150" s="8">
        <v>0.02</v>
      </c>
      <c r="H150" s="8">
        <v>2.25</v>
      </c>
    </row>
    <row r="151" ht="15.75" customHeight="1">
      <c r="A151" s="7" t="s">
        <v>700</v>
      </c>
      <c r="B151" s="8" t="s">
        <v>28</v>
      </c>
      <c r="C151" s="9" t="s">
        <v>702</v>
      </c>
      <c r="D151" s="8">
        <v>12.0</v>
      </c>
      <c r="E151" s="8">
        <v>10.0</v>
      </c>
      <c r="F151" s="8">
        <v>0.01</v>
      </c>
      <c r="G151" s="8">
        <v>0.01</v>
      </c>
      <c r="H151" s="8">
        <v>2.25</v>
      </c>
      <c r="I151" s="8">
        <v>0.25</v>
      </c>
    </row>
    <row r="152" ht="15.75" customHeight="1">
      <c r="A152" s="7" t="s">
        <v>704</v>
      </c>
      <c r="B152" s="8" t="s">
        <v>48</v>
      </c>
      <c r="C152" s="9" t="s">
        <v>705</v>
      </c>
      <c r="D152" s="8">
        <v>12.0</v>
      </c>
      <c r="E152" s="8">
        <v>5.0</v>
      </c>
      <c r="F152" s="8">
        <v>0.01</v>
      </c>
      <c r="G152" s="8">
        <v>0.01</v>
      </c>
      <c r="H152" s="8">
        <v>0.33</v>
      </c>
      <c r="I152" s="8">
        <v>-0.67</v>
      </c>
    </row>
    <row r="153" ht="15.75" customHeight="1">
      <c r="A153" s="7" t="s">
        <v>707</v>
      </c>
      <c r="B153" s="8" t="s">
        <v>28</v>
      </c>
      <c r="C153" s="9" t="s">
        <v>709</v>
      </c>
      <c r="D153" s="8">
        <v>12.0</v>
      </c>
      <c r="E153" s="8">
        <v>4.0</v>
      </c>
      <c r="F153" s="8">
        <v>0.01</v>
      </c>
      <c r="G153" s="8">
        <v>0.01</v>
      </c>
      <c r="H153" s="8">
        <v>0.75</v>
      </c>
      <c r="I153" s="8">
        <v>0.0</v>
      </c>
    </row>
    <row r="154" ht="15.75" customHeight="1">
      <c r="A154" s="7" t="s">
        <v>711</v>
      </c>
      <c r="B154" s="8" t="s">
        <v>28</v>
      </c>
      <c r="C154" s="9" t="s">
        <v>713</v>
      </c>
      <c r="D154" s="8">
        <v>12.0</v>
      </c>
      <c r="F154" s="8">
        <v>0.01</v>
      </c>
      <c r="G154" s="8">
        <v>0.01</v>
      </c>
      <c r="H154" s="8">
        <v>0.92</v>
      </c>
    </row>
    <row r="155" ht="15.75" customHeight="1">
      <c r="A155" s="7" t="s">
        <v>714</v>
      </c>
      <c r="B155" s="8" t="s">
        <v>17</v>
      </c>
      <c r="C155" s="9" t="s">
        <v>716</v>
      </c>
      <c r="D155" s="8">
        <v>12.0</v>
      </c>
      <c r="E155" s="8">
        <v>8.0</v>
      </c>
      <c r="F155" s="8">
        <v>0.01</v>
      </c>
      <c r="G155" s="8">
        <v>0.01</v>
      </c>
      <c r="H155" s="8">
        <v>1.25</v>
      </c>
      <c r="I155" s="8">
        <v>0.25</v>
      </c>
    </row>
    <row r="156" ht="15.75" customHeight="1">
      <c r="A156" s="7" t="s">
        <v>717</v>
      </c>
      <c r="B156" s="8" t="s">
        <v>405</v>
      </c>
      <c r="C156" s="9" t="s">
        <v>720</v>
      </c>
      <c r="D156" s="8">
        <v>12.0</v>
      </c>
      <c r="E156" s="8">
        <v>5.0</v>
      </c>
      <c r="F156" s="8">
        <v>0.01</v>
      </c>
      <c r="G156" s="8">
        <v>0.01</v>
      </c>
      <c r="H156" s="8">
        <v>2.25</v>
      </c>
      <c r="I156" s="8">
        <v>-0.04</v>
      </c>
    </row>
    <row r="157" ht="15.75" customHeight="1">
      <c r="A157" s="7" t="s">
        <v>722</v>
      </c>
      <c r="B157" s="8" t="s">
        <v>28</v>
      </c>
      <c r="C157" s="9" t="s">
        <v>724</v>
      </c>
      <c r="D157" s="8">
        <v>12.0</v>
      </c>
      <c r="E157" s="8">
        <v>10.0</v>
      </c>
      <c r="F157" s="8">
        <v>0.01</v>
      </c>
      <c r="G157" s="8">
        <v>0.01</v>
      </c>
      <c r="H157" s="8">
        <v>0.0</v>
      </c>
      <c r="I157" s="8">
        <v>-2.0</v>
      </c>
    </row>
    <row r="158" ht="15.75" customHeight="1">
      <c r="A158" s="7" t="s">
        <v>725</v>
      </c>
      <c r="B158" s="8" t="s">
        <v>28</v>
      </c>
      <c r="C158" s="9"/>
      <c r="D158" s="8">
        <v>12.0</v>
      </c>
      <c r="F158" s="8">
        <v>0.01</v>
      </c>
      <c r="G158" s="8">
        <v>0.01</v>
      </c>
      <c r="H158" s="8">
        <v>1.5</v>
      </c>
    </row>
    <row r="159" ht="15.75" customHeight="1">
      <c r="A159" s="7" t="s">
        <v>728</v>
      </c>
      <c r="B159" s="8" t="s">
        <v>28</v>
      </c>
      <c r="C159" s="9" t="s">
        <v>731</v>
      </c>
      <c r="D159" s="8">
        <v>12.0</v>
      </c>
      <c r="E159" s="8">
        <v>0.0</v>
      </c>
      <c r="F159" s="8">
        <v>0.01</v>
      </c>
      <c r="G159" s="8">
        <v>0.01</v>
      </c>
      <c r="H159" s="8">
        <v>1.83</v>
      </c>
      <c r="I159" s="8">
        <v>0.83</v>
      </c>
    </row>
    <row r="160" ht="15.75" customHeight="1">
      <c r="A160" s="7" t="s">
        <v>733</v>
      </c>
      <c r="B160" s="8" t="s">
        <v>28</v>
      </c>
      <c r="C160" s="9" t="s">
        <v>724</v>
      </c>
      <c r="D160" s="8">
        <v>12.0</v>
      </c>
      <c r="E160" s="8">
        <v>10.0</v>
      </c>
      <c r="F160" s="8">
        <v>0.01</v>
      </c>
      <c r="G160" s="8">
        <v>0.01</v>
      </c>
      <c r="H160" s="8">
        <v>0.17</v>
      </c>
      <c r="I160" s="8">
        <v>0.17</v>
      </c>
    </row>
    <row r="161" ht="15.75" customHeight="1">
      <c r="A161" s="7" t="s">
        <v>735</v>
      </c>
      <c r="B161" s="8" t="s">
        <v>28</v>
      </c>
      <c r="C161" s="9" t="s">
        <v>738</v>
      </c>
      <c r="D161" s="8">
        <v>12.0</v>
      </c>
      <c r="F161" s="8">
        <v>0.01</v>
      </c>
      <c r="G161" s="8">
        <v>0.01</v>
      </c>
      <c r="H161" s="8">
        <v>0.0</v>
      </c>
    </row>
    <row r="162" ht="15.75" customHeight="1">
      <c r="A162" s="7" t="s">
        <v>740</v>
      </c>
      <c r="B162" s="8" t="s">
        <v>28</v>
      </c>
      <c r="C162" s="9" t="s">
        <v>743</v>
      </c>
      <c r="D162" s="8">
        <v>12.0</v>
      </c>
      <c r="E162" s="8">
        <v>9.0</v>
      </c>
      <c r="F162" s="8">
        <v>0.01</v>
      </c>
      <c r="G162" s="8">
        <v>0.01</v>
      </c>
      <c r="H162" s="8">
        <v>0.67</v>
      </c>
      <c r="I162" s="8">
        <v>0.67</v>
      </c>
    </row>
    <row r="163" ht="15.75" customHeight="1">
      <c r="A163" s="7" t="s">
        <v>744</v>
      </c>
      <c r="B163" s="8" t="s">
        <v>28</v>
      </c>
      <c r="C163" s="9" t="s">
        <v>746</v>
      </c>
      <c r="D163" s="8">
        <v>12.0</v>
      </c>
      <c r="F163" s="8">
        <v>0.01</v>
      </c>
      <c r="G163" s="8">
        <v>0.01</v>
      </c>
      <c r="H163" s="8">
        <v>0.42</v>
      </c>
    </row>
    <row r="164" ht="15.75" customHeight="1">
      <c r="A164" s="7" t="s">
        <v>747</v>
      </c>
      <c r="B164" s="8" t="s">
        <v>405</v>
      </c>
      <c r="C164" s="9" t="s">
        <v>750</v>
      </c>
      <c r="D164" s="8">
        <v>12.0</v>
      </c>
      <c r="E164" s="8">
        <v>11.0</v>
      </c>
      <c r="F164" s="8">
        <v>0.01</v>
      </c>
      <c r="G164" s="8">
        <v>0.01</v>
      </c>
      <c r="H164" s="8">
        <v>2.08</v>
      </c>
      <c r="I164" s="8">
        <v>-0.92</v>
      </c>
    </row>
    <row r="165" ht="15.75" customHeight="1">
      <c r="A165" s="7" t="s">
        <v>752</v>
      </c>
      <c r="B165" s="8" t="s">
        <v>28</v>
      </c>
      <c r="C165" s="9" t="s">
        <v>754</v>
      </c>
      <c r="D165" s="8">
        <v>12.0</v>
      </c>
      <c r="E165" s="8">
        <v>6.0</v>
      </c>
      <c r="F165" s="8">
        <v>0.01</v>
      </c>
      <c r="G165" s="8">
        <v>0.01</v>
      </c>
      <c r="H165" s="8">
        <v>1.0</v>
      </c>
      <c r="I165" s="8">
        <v>-0.17</v>
      </c>
    </row>
    <row r="166" ht="15.75" customHeight="1">
      <c r="A166" s="7" t="s">
        <v>757</v>
      </c>
      <c r="B166" s="8" t="s">
        <v>405</v>
      </c>
      <c r="C166" s="9" t="s">
        <v>760</v>
      </c>
      <c r="D166" s="8">
        <v>11.0</v>
      </c>
      <c r="F166" s="8">
        <v>0.01</v>
      </c>
      <c r="G166" s="8">
        <v>0.02</v>
      </c>
      <c r="H166" s="8">
        <v>0.64</v>
      </c>
    </row>
    <row r="167" ht="15.75" customHeight="1">
      <c r="A167" s="7" t="s">
        <v>762</v>
      </c>
      <c r="B167" s="8" t="s">
        <v>28</v>
      </c>
      <c r="C167" s="9" t="s">
        <v>764</v>
      </c>
      <c r="D167" s="8">
        <v>11.0</v>
      </c>
      <c r="F167" s="8">
        <v>0.01</v>
      </c>
      <c r="G167" s="8">
        <v>0.02</v>
      </c>
      <c r="H167" s="8">
        <v>0.36</v>
      </c>
    </row>
    <row r="168" ht="15.75" customHeight="1">
      <c r="A168" s="7" t="s">
        <v>765</v>
      </c>
      <c r="B168" s="8" t="s">
        <v>28</v>
      </c>
      <c r="C168" s="9" t="s">
        <v>498</v>
      </c>
      <c r="D168" s="8">
        <v>11.0</v>
      </c>
      <c r="F168" s="8">
        <v>0.01</v>
      </c>
      <c r="G168" s="8">
        <v>0.01</v>
      </c>
      <c r="H168" s="8">
        <v>0.0</v>
      </c>
    </row>
    <row r="169" ht="15.75" customHeight="1">
      <c r="A169" s="7" t="s">
        <v>770</v>
      </c>
      <c r="B169" s="8" t="s">
        <v>28</v>
      </c>
      <c r="C169" s="9" t="s">
        <v>773</v>
      </c>
      <c r="D169" s="8">
        <v>11.0</v>
      </c>
      <c r="F169" s="8">
        <v>0.01</v>
      </c>
      <c r="G169" s="8">
        <v>0.01</v>
      </c>
      <c r="H169" s="8">
        <v>0.18</v>
      </c>
    </row>
    <row r="170" ht="15.75" customHeight="1">
      <c r="A170" s="7" t="s">
        <v>774</v>
      </c>
      <c r="B170" s="8" t="s">
        <v>28</v>
      </c>
      <c r="C170" s="9" t="s">
        <v>777</v>
      </c>
      <c r="D170" s="8">
        <v>11.0</v>
      </c>
      <c r="F170" s="8">
        <v>0.01</v>
      </c>
      <c r="G170" s="8">
        <v>0.01</v>
      </c>
      <c r="H170" s="8">
        <v>0.0</v>
      </c>
    </row>
    <row r="171" ht="15.75" customHeight="1">
      <c r="A171" s="7" t="s">
        <v>779</v>
      </c>
      <c r="B171" s="8" t="s">
        <v>28</v>
      </c>
      <c r="C171" s="9" t="s">
        <v>781</v>
      </c>
      <c r="D171" s="8">
        <v>11.0</v>
      </c>
      <c r="E171" s="8">
        <v>9.0</v>
      </c>
      <c r="F171" s="8">
        <v>0.01</v>
      </c>
      <c r="G171" s="8">
        <v>0.01</v>
      </c>
      <c r="H171" s="8">
        <v>1.09</v>
      </c>
      <c r="I171" s="8">
        <v>-1.91</v>
      </c>
    </row>
    <row r="172" ht="15.75" customHeight="1">
      <c r="A172" s="8" t="s">
        <v>784</v>
      </c>
      <c r="B172" s="8" t="s">
        <v>28</v>
      </c>
      <c r="C172" s="9" t="s">
        <v>785</v>
      </c>
      <c r="D172" s="8">
        <v>11.0</v>
      </c>
      <c r="F172" s="8">
        <v>0.01</v>
      </c>
      <c r="G172" s="8">
        <v>0.01</v>
      </c>
      <c r="H172" s="8">
        <v>0.0</v>
      </c>
    </row>
    <row r="173" ht="15.75" customHeight="1">
      <c r="A173" s="7" t="s">
        <v>786</v>
      </c>
      <c r="B173" s="8" t="s">
        <v>28</v>
      </c>
      <c r="C173" s="9" t="s">
        <v>788</v>
      </c>
      <c r="D173" s="8">
        <v>11.0</v>
      </c>
      <c r="F173" s="8">
        <v>0.01</v>
      </c>
      <c r="G173" s="8">
        <v>0.01</v>
      </c>
      <c r="H173" s="8">
        <v>0.27</v>
      </c>
    </row>
    <row r="174" ht="15.75" customHeight="1">
      <c r="A174" s="7" t="s">
        <v>790</v>
      </c>
      <c r="B174" s="8" t="s">
        <v>28</v>
      </c>
      <c r="C174" s="9" t="s">
        <v>792</v>
      </c>
      <c r="D174" s="8">
        <v>11.0</v>
      </c>
      <c r="F174" s="8">
        <v>0.01</v>
      </c>
      <c r="G174" s="8">
        <v>0.01</v>
      </c>
      <c r="H174" s="8">
        <v>0.09</v>
      </c>
    </row>
    <row r="175" ht="15.75" customHeight="1">
      <c r="A175" s="7" t="s">
        <v>793</v>
      </c>
      <c r="B175" s="8" t="s">
        <v>28</v>
      </c>
      <c r="C175" s="9" t="s">
        <v>795</v>
      </c>
      <c r="D175" s="8">
        <v>11.0</v>
      </c>
      <c r="E175" s="8">
        <v>7.0</v>
      </c>
      <c r="F175" s="8">
        <v>0.01</v>
      </c>
      <c r="G175" s="8">
        <v>0.01</v>
      </c>
      <c r="H175" s="8">
        <v>0.0</v>
      </c>
      <c r="I175" s="8">
        <v>0.0</v>
      </c>
    </row>
    <row r="176" ht="15.75" customHeight="1">
      <c r="A176" s="7" t="s">
        <v>798</v>
      </c>
      <c r="B176" s="8" t="s">
        <v>28</v>
      </c>
      <c r="C176" s="9" t="s">
        <v>799</v>
      </c>
      <c r="D176" s="8">
        <v>11.0</v>
      </c>
      <c r="F176" s="8">
        <v>0.01</v>
      </c>
      <c r="G176" s="8">
        <v>0.01</v>
      </c>
      <c r="H176" s="8">
        <v>2.0</v>
      </c>
    </row>
    <row r="177" ht="15.75" customHeight="1">
      <c r="A177" s="7" t="s">
        <v>801</v>
      </c>
      <c r="B177" s="8" t="s">
        <v>28</v>
      </c>
      <c r="C177" s="9" t="s">
        <v>803</v>
      </c>
      <c r="D177" s="8">
        <v>11.0</v>
      </c>
      <c r="F177" s="8">
        <v>0.01</v>
      </c>
      <c r="G177" s="8">
        <v>0.01</v>
      </c>
      <c r="H177" s="8">
        <v>0.73</v>
      </c>
    </row>
    <row r="178" ht="15.75" customHeight="1">
      <c r="A178" s="7" t="s">
        <v>805</v>
      </c>
      <c r="B178" s="8" t="s">
        <v>28</v>
      </c>
      <c r="C178" s="9" t="s">
        <v>807</v>
      </c>
      <c r="D178" s="8">
        <v>11.0</v>
      </c>
      <c r="F178" s="8">
        <v>0.01</v>
      </c>
      <c r="G178" s="8">
        <v>0.01</v>
      </c>
      <c r="H178" s="8">
        <v>0.18</v>
      </c>
    </row>
    <row r="179" ht="15.75" customHeight="1">
      <c r="A179" s="7" t="s">
        <v>809</v>
      </c>
      <c r="B179" s="8" t="s">
        <v>28</v>
      </c>
      <c r="C179" s="9"/>
      <c r="D179" s="8">
        <v>10.0</v>
      </c>
      <c r="E179" s="8">
        <v>7.0</v>
      </c>
      <c r="F179" s="8">
        <v>0.01</v>
      </c>
      <c r="G179" s="8">
        <v>0.01</v>
      </c>
      <c r="H179" s="8">
        <v>0.0</v>
      </c>
      <c r="I179" s="8">
        <v>0.0</v>
      </c>
    </row>
    <row r="180" ht="15.75" customHeight="1">
      <c r="A180" s="7" t="s">
        <v>811</v>
      </c>
      <c r="B180" s="8" t="s">
        <v>28</v>
      </c>
      <c r="C180" s="9" t="s">
        <v>813</v>
      </c>
      <c r="D180" s="8">
        <v>10.0</v>
      </c>
      <c r="E180" s="8">
        <v>8.0</v>
      </c>
      <c r="F180" s="8">
        <v>0.01</v>
      </c>
      <c r="G180" s="8">
        <v>0.01</v>
      </c>
      <c r="H180" s="8">
        <v>0.0</v>
      </c>
      <c r="I180" s="8">
        <v>0.0</v>
      </c>
    </row>
    <row r="181" ht="15.75" customHeight="1">
      <c r="A181" s="7" t="s">
        <v>815</v>
      </c>
      <c r="B181" s="8" t="s">
        <v>48</v>
      </c>
      <c r="C181" s="9" t="s">
        <v>817</v>
      </c>
      <c r="D181" s="8">
        <v>10.0</v>
      </c>
      <c r="E181" s="8">
        <v>5.0</v>
      </c>
      <c r="F181" s="8">
        <v>0.01</v>
      </c>
      <c r="G181" s="8">
        <v>0.01</v>
      </c>
      <c r="H181" s="8">
        <v>0.2</v>
      </c>
      <c r="I181" s="8">
        <v>-1.4</v>
      </c>
    </row>
    <row r="182" ht="15.75" customHeight="1">
      <c r="A182" s="7" t="s">
        <v>818</v>
      </c>
      <c r="B182" s="8" t="s">
        <v>28</v>
      </c>
      <c r="C182" s="9" t="s">
        <v>820</v>
      </c>
      <c r="D182" s="8">
        <v>10.0</v>
      </c>
      <c r="F182" s="8">
        <v>0.01</v>
      </c>
      <c r="G182" s="8">
        <v>0.01</v>
      </c>
      <c r="H182" s="8">
        <v>0.1</v>
      </c>
    </row>
    <row r="183" ht="15.75" customHeight="1">
      <c r="A183" s="8" t="s">
        <v>821</v>
      </c>
      <c r="B183" s="8" t="s">
        <v>191</v>
      </c>
      <c r="C183" s="9" t="s">
        <v>822</v>
      </c>
      <c r="D183" s="8">
        <v>10.0</v>
      </c>
      <c r="E183" s="8">
        <v>1.0</v>
      </c>
      <c r="F183" s="8">
        <v>0.01</v>
      </c>
      <c r="G183" s="8">
        <v>0.01</v>
      </c>
      <c r="H183" s="8">
        <v>0.1</v>
      </c>
      <c r="I183" s="8">
        <v>0.1</v>
      </c>
    </row>
    <row r="184" ht="15.75" customHeight="1">
      <c r="A184" s="7" t="s">
        <v>825</v>
      </c>
      <c r="B184" s="8" t="s">
        <v>28</v>
      </c>
      <c r="C184" s="9" t="s">
        <v>828</v>
      </c>
      <c r="D184" s="8">
        <v>10.0</v>
      </c>
      <c r="F184" s="8">
        <v>0.01</v>
      </c>
      <c r="G184" s="8">
        <v>0.01</v>
      </c>
      <c r="H184" s="8">
        <v>1.2</v>
      </c>
    </row>
    <row r="185" ht="15.75" customHeight="1">
      <c r="A185" s="7" t="s">
        <v>829</v>
      </c>
      <c r="B185" s="8" t="s">
        <v>28</v>
      </c>
      <c r="C185" s="9" t="s">
        <v>832</v>
      </c>
      <c r="D185" s="8">
        <v>10.0</v>
      </c>
      <c r="F185" s="8">
        <v>0.01</v>
      </c>
      <c r="G185" s="8">
        <v>0.01</v>
      </c>
      <c r="H185" s="8">
        <v>1.0</v>
      </c>
    </row>
    <row r="186" ht="15.75" customHeight="1">
      <c r="A186" s="7" t="s">
        <v>833</v>
      </c>
      <c r="B186" s="8" t="s">
        <v>28</v>
      </c>
      <c r="C186" s="9" t="s">
        <v>835</v>
      </c>
      <c r="D186" s="8">
        <v>10.0</v>
      </c>
      <c r="F186" s="8">
        <v>0.01</v>
      </c>
      <c r="G186" s="8">
        <v>0.01</v>
      </c>
      <c r="H186" s="8">
        <v>0.1</v>
      </c>
    </row>
    <row r="187" ht="15.75" customHeight="1">
      <c r="A187" s="7" t="s">
        <v>837</v>
      </c>
      <c r="B187" s="8" t="s">
        <v>28</v>
      </c>
      <c r="C187" s="9" t="s">
        <v>839</v>
      </c>
      <c r="D187" s="8">
        <v>10.0</v>
      </c>
      <c r="F187" s="8">
        <v>0.01</v>
      </c>
      <c r="G187" s="8">
        <v>0.01</v>
      </c>
      <c r="H187" s="8">
        <v>0.3</v>
      </c>
    </row>
    <row r="188" ht="15.75" customHeight="1">
      <c r="A188" s="7" t="s">
        <v>841</v>
      </c>
      <c r="B188" s="8" t="s">
        <v>191</v>
      </c>
      <c r="C188" s="9" t="s">
        <v>843</v>
      </c>
      <c r="D188" s="8">
        <v>10.0</v>
      </c>
      <c r="E188" s="8">
        <v>9.0</v>
      </c>
      <c r="F188" s="8">
        <v>0.01</v>
      </c>
      <c r="G188" s="8">
        <v>0.01</v>
      </c>
      <c r="H188" s="8">
        <v>0.1</v>
      </c>
      <c r="I188" s="8">
        <v>-0.9</v>
      </c>
    </row>
    <row r="189" ht="15.75" customHeight="1">
      <c r="A189" s="7" t="s">
        <v>845</v>
      </c>
      <c r="B189" s="8" t="s">
        <v>28</v>
      </c>
      <c r="C189" s="9" t="s">
        <v>848</v>
      </c>
      <c r="D189" s="8">
        <v>9.0</v>
      </c>
      <c r="F189" s="8">
        <v>0.01</v>
      </c>
      <c r="G189" s="8">
        <v>0.01</v>
      </c>
      <c r="H189" s="8">
        <v>2.33</v>
      </c>
    </row>
    <row r="190" ht="15.75" customHeight="1">
      <c r="A190" s="7" t="s">
        <v>850</v>
      </c>
      <c r="B190" s="8" t="s">
        <v>28</v>
      </c>
      <c r="C190" s="9" t="s">
        <v>852</v>
      </c>
      <c r="D190" s="8">
        <v>9.0</v>
      </c>
      <c r="F190" s="8">
        <v>0.01</v>
      </c>
      <c r="G190" s="8">
        <v>0.01</v>
      </c>
      <c r="H190" s="8">
        <v>2.0</v>
      </c>
    </row>
    <row r="191" ht="15.75" customHeight="1">
      <c r="A191" s="7" t="s">
        <v>853</v>
      </c>
      <c r="B191" s="8" t="s">
        <v>28</v>
      </c>
      <c r="C191" s="9" t="s">
        <v>498</v>
      </c>
      <c r="D191" s="8">
        <v>9.0</v>
      </c>
      <c r="F191" s="8">
        <v>0.01</v>
      </c>
      <c r="G191" s="8">
        <v>0.01</v>
      </c>
      <c r="H191" s="8">
        <v>1.89</v>
      </c>
    </row>
    <row r="192" ht="15.75" customHeight="1">
      <c r="A192" s="7" t="s">
        <v>855</v>
      </c>
      <c r="B192" s="8" t="s">
        <v>28</v>
      </c>
      <c r="C192" s="9"/>
      <c r="D192" s="8">
        <v>9.0</v>
      </c>
      <c r="F192" s="8">
        <v>0.01</v>
      </c>
      <c r="G192" s="8">
        <v>0.01</v>
      </c>
      <c r="H192" s="8">
        <v>1.33</v>
      </c>
    </row>
    <row r="193" ht="15.75" customHeight="1">
      <c r="A193" s="7" t="s">
        <v>859</v>
      </c>
      <c r="B193" s="8" t="s">
        <v>48</v>
      </c>
      <c r="C193" s="9"/>
      <c r="D193" s="8">
        <v>9.0</v>
      </c>
      <c r="F193" s="8">
        <v>0.01</v>
      </c>
      <c r="G193" s="8">
        <v>0.01</v>
      </c>
      <c r="H193" s="8">
        <v>0.0</v>
      </c>
    </row>
    <row r="194" ht="15.75" customHeight="1">
      <c r="A194" s="7" t="s">
        <v>861</v>
      </c>
      <c r="B194" s="8" t="s">
        <v>28</v>
      </c>
      <c r="C194" s="9"/>
      <c r="D194" s="8">
        <v>9.0</v>
      </c>
      <c r="F194" s="8">
        <v>0.01</v>
      </c>
      <c r="G194" s="8">
        <v>0.01</v>
      </c>
      <c r="H194" s="8">
        <v>0.0</v>
      </c>
    </row>
    <row r="195" ht="15.75" customHeight="1">
      <c r="A195" s="7" t="s">
        <v>864</v>
      </c>
      <c r="B195" s="8" t="s">
        <v>28</v>
      </c>
      <c r="C195" s="9" t="s">
        <v>867</v>
      </c>
      <c r="D195" s="8">
        <v>9.0</v>
      </c>
      <c r="F195" s="8">
        <v>0.01</v>
      </c>
      <c r="G195" s="8">
        <v>0.01</v>
      </c>
      <c r="H195" s="8">
        <v>0.89</v>
      </c>
    </row>
    <row r="196" ht="15.75" customHeight="1">
      <c r="A196" s="7" t="s">
        <v>869</v>
      </c>
      <c r="B196" s="8" t="s">
        <v>28</v>
      </c>
      <c r="C196" s="9"/>
      <c r="D196" s="8">
        <v>9.0</v>
      </c>
      <c r="E196" s="8">
        <v>8.0</v>
      </c>
      <c r="F196" s="8">
        <v>0.01</v>
      </c>
      <c r="G196" s="8">
        <v>0.01</v>
      </c>
      <c r="H196" s="8">
        <v>0.0</v>
      </c>
      <c r="I196" s="8">
        <v>0.0</v>
      </c>
    </row>
    <row r="197" ht="15.75" customHeight="1">
      <c r="A197" s="8" t="s">
        <v>872</v>
      </c>
      <c r="B197" s="8" t="s">
        <v>28</v>
      </c>
      <c r="C197" s="9" t="s">
        <v>873</v>
      </c>
      <c r="D197" s="8">
        <v>9.0</v>
      </c>
      <c r="F197" s="8">
        <v>0.01</v>
      </c>
      <c r="G197" s="8">
        <v>0.01</v>
      </c>
      <c r="H197" s="8">
        <v>0.11</v>
      </c>
    </row>
    <row r="198" ht="15.75" customHeight="1">
      <c r="A198" s="7" t="s">
        <v>876</v>
      </c>
      <c r="B198" s="8" t="s">
        <v>28</v>
      </c>
      <c r="C198" s="9" t="s">
        <v>878</v>
      </c>
      <c r="D198" s="8">
        <v>9.0</v>
      </c>
      <c r="E198" s="8">
        <v>8.0</v>
      </c>
      <c r="F198" s="8">
        <v>0.01</v>
      </c>
      <c r="G198" s="8">
        <v>0.01</v>
      </c>
      <c r="H198" s="8">
        <v>0.11</v>
      </c>
      <c r="I198" s="8">
        <v>-0.89</v>
      </c>
    </row>
    <row r="199" ht="15.75" customHeight="1">
      <c r="A199" s="7" t="s">
        <v>880</v>
      </c>
      <c r="B199" s="8" t="s">
        <v>76</v>
      </c>
      <c r="C199" s="9" t="s">
        <v>724</v>
      </c>
      <c r="D199" s="8">
        <v>9.0</v>
      </c>
      <c r="F199" s="8">
        <v>0.01</v>
      </c>
      <c r="G199" s="8">
        <v>0.01</v>
      </c>
      <c r="H199" s="8">
        <v>0.0</v>
      </c>
    </row>
    <row r="200" ht="15.75" customHeight="1">
      <c r="A200" s="7" t="s">
        <v>884</v>
      </c>
      <c r="B200" s="8" t="s">
        <v>28</v>
      </c>
      <c r="C200" s="9" t="s">
        <v>885</v>
      </c>
      <c r="D200" s="8">
        <v>9.0</v>
      </c>
      <c r="F200" s="8">
        <v>0.01</v>
      </c>
      <c r="G200" s="8">
        <v>0.01</v>
      </c>
      <c r="H200" s="8">
        <v>0.44</v>
      </c>
    </row>
    <row r="201" ht="15.75" customHeight="1">
      <c r="A201" s="7" t="s">
        <v>888</v>
      </c>
      <c r="B201" s="8" t="s">
        <v>48</v>
      </c>
      <c r="C201" s="9"/>
      <c r="D201" s="8">
        <v>9.0</v>
      </c>
      <c r="F201" s="8">
        <v>0.01</v>
      </c>
      <c r="G201" s="8">
        <v>0.01</v>
      </c>
      <c r="H201" s="8">
        <v>0.0</v>
      </c>
    </row>
    <row r="202" ht="15.75" customHeight="1">
      <c r="A202" s="7" t="s">
        <v>891</v>
      </c>
      <c r="B202" s="8" t="s">
        <v>76</v>
      </c>
      <c r="C202" s="9" t="s">
        <v>893</v>
      </c>
      <c r="D202" s="8">
        <v>9.0</v>
      </c>
      <c r="F202" s="8">
        <v>0.01</v>
      </c>
      <c r="G202" s="8">
        <v>0.01</v>
      </c>
      <c r="H202" s="8">
        <v>0.11</v>
      </c>
    </row>
    <row r="203" ht="15.75" customHeight="1">
      <c r="A203" s="7" t="s">
        <v>895</v>
      </c>
      <c r="B203" s="8" t="s">
        <v>28</v>
      </c>
      <c r="C203" s="9" t="s">
        <v>896</v>
      </c>
      <c r="D203" s="8">
        <v>9.0</v>
      </c>
      <c r="E203" s="8">
        <v>5.0</v>
      </c>
      <c r="F203" s="8">
        <v>0.01</v>
      </c>
      <c r="G203" s="8">
        <v>0.01</v>
      </c>
      <c r="H203" s="8">
        <v>0.44</v>
      </c>
      <c r="I203" s="8">
        <v>-0.81</v>
      </c>
    </row>
    <row r="204" ht="15.75" customHeight="1">
      <c r="A204" s="7" t="s">
        <v>898</v>
      </c>
      <c r="B204" s="8" t="s">
        <v>48</v>
      </c>
      <c r="C204" s="9" t="s">
        <v>900</v>
      </c>
      <c r="D204" s="8">
        <v>9.0</v>
      </c>
      <c r="F204" s="8">
        <v>0.01</v>
      </c>
      <c r="G204" s="8">
        <v>0.01</v>
      </c>
      <c r="H204" s="8">
        <v>0.22</v>
      </c>
    </row>
    <row r="205" ht="15.75" customHeight="1">
      <c r="A205" s="7" t="s">
        <v>901</v>
      </c>
      <c r="B205" s="8" t="s">
        <v>28</v>
      </c>
      <c r="C205" s="9" t="s">
        <v>904</v>
      </c>
      <c r="D205" s="8">
        <v>9.0</v>
      </c>
      <c r="E205" s="8">
        <v>1.0</v>
      </c>
      <c r="F205" s="8">
        <v>0.01</v>
      </c>
      <c r="G205" s="8">
        <v>0.01</v>
      </c>
      <c r="H205" s="8">
        <v>0.67</v>
      </c>
      <c r="I205" s="8">
        <v>0.42</v>
      </c>
    </row>
    <row r="206" ht="15.75" customHeight="1">
      <c r="A206" s="7" t="s">
        <v>906</v>
      </c>
      <c r="B206" s="8" t="s">
        <v>28</v>
      </c>
      <c r="C206" s="9" t="s">
        <v>908</v>
      </c>
      <c r="D206" s="8">
        <v>9.0</v>
      </c>
      <c r="F206" s="8">
        <v>0.01</v>
      </c>
      <c r="G206" s="8">
        <v>0.01</v>
      </c>
      <c r="H206" s="8">
        <v>0.11</v>
      </c>
    </row>
    <row r="207" ht="15.75" customHeight="1">
      <c r="A207" s="7" t="s">
        <v>909</v>
      </c>
      <c r="B207" s="8" t="s">
        <v>28</v>
      </c>
      <c r="C207" s="9" t="s">
        <v>912</v>
      </c>
      <c r="D207" s="8">
        <v>9.0</v>
      </c>
      <c r="E207" s="8">
        <v>7.0</v>
      </c>
      <c r="F207" s="8">
        <v>0.01</v>
      </c>
      <c r="G207" s="8">
        <v>0.01</v>
      </c>
      <c r="H207" s="8">
        <v>0.33</v>
      </c>
      <c r="I207" s="8">
        <v>0.33</v>
      </c>
    </row>
    <row r="208" ht="15.75" customHeight="1">
      <c r="A208" s="7" t="s">
        <v>914</v>
      </c>
      <c r="B208" s="8" t="s">
        <v>48</v>
      </c>
      <c r="C208" s="9" t="s">
        <v>917</v>
      </c>
      <c r="D208" s="8">
        <v>9.0</v>
      </c>
      <c r="E208" s="8">
        <v>8.0</v>
      </c>
      <c r="F208" s="8">
        <v>0.01</v>
      </c>
      <c r="G208" s="8">
        <v>0.01</v>
      </c>
      <c r="H208" s="8">
        <v>0.78</v>
      </c>
      <c r="I208" s="8">
        <v>-0.22</v>
      </c>
    </row>
    <row r="209" ht="15.75" customHeight="1">
      <c r="A209" s="7" t="s">
        <v>919</v>
      </c>
      <c r="B209" s="8" t="s">
        <v>28</v>
      </c>
      <c r="C209" s="9" t="s">
        <v>921</v>
      </c>
      <c r="D209" s="8">
        <v>8.0</v>
      </c>
      <c r="F209" s="8">
        <v>0.01</v>
      </c>
      <c r="G209" s="8">
        <v>0.02</v>
      </c>
      <c r="H209" s="8">
        <v>2.13</v>
      </c>
    </row>
    <row r="210" ht="15.75" customHeight="1">
      <c r="A210" s="7" t="s">
        <v>924</v>
      </c>
      <c r="B210" s="8" t="s">
        <v>17</v>
      </c>
      <c r="C210" s="9" t="s">
        <v>925</v>
      </c>
      <c r="D210" s="8">
        <v>8.0</v>
      </c>
      <c r="E210" s="8">
        <v>7.0</v>
      </c>
      <c r="F210" s="8">
        <v>0.01</v>
      </c>
      <c r="G210" s="8">
        <v>0.01</v>
      </c>
      <c r="H210" s="8">
        <v>1.63</v>
      </c>
      <c r="I210" s="8">
        <v>-0.37</v>
      </c>
    </row>
    <row r="211" ht="15.75" customHeight="1">
      <c r="A211" s="7" t="s">
        <v>926</v>
      </c>
      <c r="B211" s="8" t="s">
        <v>28</v>
      </c>
      <c r="C211" s="9" t="s">
        <v>928</v>
      </c>
      <c r="D211" s="8">
        <v>8.0</v>
      </c>
      <c r="F211" s="8">
        <v>0.01</v>
      </c>
      <c r="G211" s="8">
        <v>0.01</v>
      </c>
      <c r="H211" s="8">
        <v>1.38</v>
      </c>
    </row>
    <row r="212" ht="15.75" customHeight="1">
      <c r="A212" s="7" t="s">
        <v>929</v>
      </c>
      <c r="B212" s="8" t="s">
        <v>28</v>
      </c>
      <c r="C212" s="9" t="s">
        <v>931</v>
      </c>
      <c r="D212" s="8">
        <v>8.0</v>
      </c>
      <c r="F212" s="8">
        <v>0.01</v>
      </c>
      <c r="G212" s="8">
        <v>0.01</v>
      </c>
      <c r="H212" s="8">
        <v>1.0</v>
      </c>
    </row>
    <row r="213" ht="15.75" customHeight="1">
      <c r="A213" s="7" t="s">
        <v>932</v>
      </c>
      <c r="B213" s="8" t="s">
        <v>17</v>
      </c>
      <c r="C213" s="9" t="s">
        <v>935</v>
      </c>
      <c r="D213" s="8">
        <v>8.0</v>
      </c>
      <c r="E213" s="8">
        <v>7.0</v>
      </c>
      <c r="F213" s="8">
        <v>0.01</v>
      </c>
      <c r="G213" s="8">
        <v>0.01</v>
      </c>
      <c r="H213" s="8">
        <v>0.88</v>
      </c>
      <c r="I213" s="8">
        <v>0.88</v>
      </c>
    </row>
    <row r="214" ht="15.75" customHeight="1">
      <c r="A214" s="7" t="s">
        <v>937</v>
      </c>
      <c r="B214" s="8" t="s">
        <v>28</v>
      </c>
      <c r="C214" s="9" t="s">
        <v>940</v>
      </c>
      <c r="D214" s="8">
        <v>8.0</v>
      </c>
      <c r="E214" s="8">
        <v>7.0</v>
      </c>
      <c r="F214" s="8">
        <v>0.01</v>
      </c>
      <c r="G214" s="8">
        <v>0.01</v>
      </c>
      <c r="H214" s="8">
        <v>1.13</v>
      </c>
      <c r="I214" s="8">
        <v>0.13</v>
      </c>
    </row>
    <row r="215" ht="15.75" customHeight="1">
      <c r="A215" s="7" t="s">
        <v>942</v>
      </c>
      <c r="B215" s="8" t="s">
        <v>191</v>
      </c>
      <c r="C215" s="9" t="s">
        <v>944</v>
      </c>
      <c r="D215" s="8">
        <v>8.0</v>
      </c>
      <c r="E215" s="8">
        <v>3.0</v>
      </c>
      <c r="F215" s="8">
        <v>0.01</v>
      </c>
      <c r="G215" s="8">
        <v>0.01</v>
      </c>
      <c r="H215" s="8">
        <v>0.5</v>
      </c>
      <c r="I215" s="8">
        <v>0.5</v>
      </c>
    </row>
    <row r="216" ht="15.75" customHeight="1">
      <c r="A216" s="7" t="s">
        <v>946</v>
      </c>
      <c r="B216" s="8" t="s">
        <v>405</v>
      </c>
      <c r="C216" s="9"/>
      <c r="D216" s="8">
        <v>8.0</v>
      </c>
      <c r="E216" s="8">
        <v>6.0</v>
      </c>
      <c r="F216" s="8">
        <v>0.01</v>
      </c>
      <c r="G216" s="8">
        <v>0.01</v>
      </c>
      <c r="H216" s="8">
        <v>2.0</v>
      </c>
      <c r="I216" s="8">
        <v>0.0</v>
      </c>
    </row>
    <row r="217" ht="15.75" customHeight="1">
      <c r="A217" s="7" t="s">
        <v>948</v>
      </c>
      <c r="B217" s="8" t="s">
        <v>28</v>
      </c>
      <c r="C217" s="9" t="s">
        <v>951</v>
      </c>
      <c r="D217" s="8">
        <v>8.0</v>
      </c>
      <c r="E217" s="8">
        <v>4.0</v>
      </c>
      <c r="F217" s="8">
        <v>0.01</v>
      </c>
      <c r="G217" s="8">
        <v>0.01</v>
      </c>
      <c r="H217" s="8">
        <v>0.0</v>
      </c>
      <c r="I217" s="8">
        <v>-0.25</v>
      </c>
    </row>
    <row r="218" ht="15.75" customHeight="1">
      <c r="A218" s="7" t="s">
        <v>952</v>
      </c>
      <c r="B218" s="8" t="s">
        <v>191</v>
      </c>
      <c r="C218" s="9" t="s">
        <v>954</v>
      </c>
      <c r="D218" s="8">
        <v>8.0</v>
      </c>
      <c r="E218" s="8">
        <v>5.0</v>
      </c>
      <c r="F218" s="8">
        <v>0.01</v>
      </c>
      <c r="G218" s="8">
        <v>0.01</v>
      </c>
      <c r="H218" s="8">
        <v>0.25</v>
      </c>
      <c r="I218" s="8">
        <v>0.25</v>
      </c>
    </row>
    <row r="219" ht="15.75" customHeight="1">
      <c r="A219" s="7" t="s">
        <v>956</v>
      </c>
      <c r="B219" s="8" t="s">
        <v>191</v>
      </c>
      <c r="C219" s="9" t="s">
        <v>958</v>
      </c>
      <c r="D219" s="8">
        <v>8.0</v>
      </c>
      <c r="E219" s="8">
        <v>5.0</v>
      </c>
      <c r="F219" s="8">
        <v>0.01</v>
      </c>
      <c r="G219" s="8">
        <v>0.01</v>
      </c>
      <c r="H219" s="8">
        <v>2.38</v>
      </c>
      <c r="I219" s="8">
        <v>1.38</v>
      </c>
    </row>
    <row r="220" ht="15.75" customHeight="1">
      <c r="A220" s="7" t="s">
        <v>961</v>
      </c>
      <c r="B220" s="8" t="s">
        <v>28</v>
      </c>
      <c r="D220" s="8">
        <v>8.0</v>
      </c>
      <c r="F220" s="8">
        <v>0.01</v>
      </c>
      <c r="G220" s="8">
        <v>0.01</v>
      </c>
      <c r="H220" s="8">
        <v>0.5</v>
      </c>
    </row>
    <row r="221" ht="15.75" customHeight="1">
      <c r="A221" s="7" t="s">
        <v>963</v>
      </c>
      <c r="B221" s="8" t="s">
        <v>28</v>
      </c>
      <c r="C221" s="8" t="s">
        <v>965</v>
      </c>
      <c r="D221" s="8">
        <v>8.0</v>
      </c>
      <c r="F221" s="8">
        <v>0.01</v>
      </c>
      <c r="G221" s="8">
        <v>0.01</v>
      </c>
      <c r="H221" s="8">
        <v>0.0</v>
      </c>
    </row>
    <row r="222" ht="15.75" customHeight="1">
      <c r="A222" s="7" t="s">
        <v>967</v>
      </c>
      <c r="B222" s="8" t="s">
        <v>28</v>
      </c>
      <c r="C222" s="8" t="s">
        <v>969</v>
      </c>
      <c r="D222" s="8">
        <v>8.0</v>
      </c>
      <c r="F222" s="8">
        <v>0.01</v>
      </c>
      <c r="G222" s="8">
        <v>0.01</v>
      </c>
      <c r="H222" s="8">
        <v>0.25</v>
      </c>
    </row>
    <row r="223" ht="15.75" customHeight="1">
      <c r="A223" s="7" t="s">
        <v>971</v>
      </c>
      <c r="B223" s="8" t="s">
        <v>28</v>
      </c>
      <c r="C223" s="8" t="s">
        <v>973</v>
      </c>
      <c r="D223" s="8">
        <v>8.0</v>
      </c>
      <c r="E223" s="8">
        <v>2.0</v>
      </c>
      <c r="F223" s="8">
        <v>0.01</v>
      </c>
      <c r="G223" s="8">
        <v>0.01</v>
      </c>
      <c r="H223" s="8">
        <v>0.38</v>
      </c>
      <c r="I223" s="8">
        <v>-0.29</v>
      </c>
    </row>
    <row r="224" ht="15.75" customHeight="1">
      <c r="A224" s="7" t="s">
        <v>975</v>
      </c>
      <c r="B224" s="8" t="s">
        <v>28</v>
      </c>
      <c r="C224" s="8" t="s">
        <v>978</v>
      </c>
      <c r="D224" s="8">
        <v>8.0</v>
      </c>
      <c r="F224" s="8">
        <v>0.01</v>
      </c>
      <c r="G224" s="8">
        <v>0.01</v>
      </c>
      <c r="H224" s="8">
        <v>1.25</v>
      </c>
    </row>
    <row r="225" ht="15.75" customHeight="1">
      <c r="A225" s="7" t="s">
        <v>979</v>
      </c>
      <c r="B225" s="8" t="s">
        <v>28</v>
      </c>
      <c r="C225" s="8" t="s">
        <v>981</v>
      </c>
      <c r="D225" s="8">
        <v>8.0</v>
      </c>
      <c r="E225" s="8">
        <v>6.0</v>
      </c>
      <c r="F225" s="8">
        <v>0.01</v>
      </c>
      <c r="G225" s="8">
        <v>0.01</v>
      </c>
      <c r="H225" s="8">
        <v>2.0</v>
      </c>
      <c r="I225" s="8">
        <v>-0.5</v>
      </c>
    </row>
    <row r="226" ht="15.75" customHeight="1">
      <c r="A226" s="7" t="s">
        <v>982</v>
      </c>
      <c r="B226" s="8" t="s">
        <v>405</v>
      </c>
      <c r="C226" s="8" t="s">
        <v>792</v>
      </c>
      <c r="D226" s="8">
        <v>8.0</v>
      </c>
      <c r="F226" s="8">
        <v>0.01</v>
      </c>
      <c r="G226" s="8">
        <v>0.01</v>
      </c>
      <c r="H226" s="8">
        <v>0.75</v>
      </c>
    </row>
    <row r="227" ht="15.75" customHeight="1">
      <c r="A227" s="7" t="s">
        <v>985</v>
      </c>
      <c r="B227" s="8" t="s">
        <v>48</v>
      </c>
      <c r="C227" s="8" t="s">
        <v>987</v>
      </c>
      <c r="D227" s="8">
        <v>8.0</v>
      </c>
      <c r="E227" s="8">
        <v>1.0</v>
      </c>
      <c r="F227" s="8">
        <v>0.01</v>
      </c>
      <c r="G227" s="8">
        <v>0.01</v>
      </c>
      <c r="H227" s="8">
        <v>0.25</v>
      </c>
      <c r="I227" s="8">
        <v>-0.32</v>
      </c>
    </row>
    <row r="228" ht="15.75" customHeight="1">
      <c r="A228" s="7" t="s">
        <v>989</v>
      </c>
      <c r="B228" s="8" t="s">
        <v>191</v>
      </c>
      <c r="C228" s="8" t="s">
        <v>990</v>
      </c>
      <c r="D228" s="8">
        <v>7.0</v>
      </c>
      <c r="E228" s="8">
        <v>3.0</v>
      </c>
      <c r="F228" s="8">
        <v>0.01</v>
      </c>
      <c r="G228" s="8">
        <v>0.01</v>
      </c>
      <c r="H228" s="8">
        <v>2.0</v>
      </c>
      <c r="I228" s="8">
        <v>2.0</v>
      </c>
    </row>
    <row r="229" ht="15.75" customHeight="1">
      <c r="A229" s="7" t="s">
        <v>993</v>
      </c>
      <c r="B229" s="8" t="s">
        <v>28</v>
      </c>
      <c r="C229" s="8" t="s">
        <v>996</v>
      </c>
      <c r="D229" s="8">
        <v>7.0</v>
      </c>
      <c r="F229" s="8">
        <v>0.01</v>
      </c>
      <c r="G229" s="8">
        <v>0.01</v>
      </c>
      <c r="H229" s="8">
        <v>2.14</v>
      </c>
    </row>
    <row r="230" ht="15.75" customHeight="1">
      <c r="A230" s="7" t="s">
        <v>998</v>
      </c>
      <c r="B230" s="8" t="s">
        <v>28</v>
      </c>
      <c r="C230" s="8" t="s">
        <v>1000</v>
      </c>
      <c r="D230" s="8">
        <v>7.0</v>
      </c>
      <c r="F230" s="8">
        <v>0.01</v>
      </c>
      <c r="G230" s="8">
        <v>0.01</v>
      </c>
      <c r="H230" s="8">
        <v>0.0</v>
      </c>
    </row>
    <row r="231" ht="15.75" customHeight="1">
      <c r="A231" s="7" t="s">
        <v>1003</v>
      </c>
      <c r="B231" s="8" t="s">
        <v>28</v>
      </c>
      <c r="C231" s="8" t="s">
        <v>1005</v>
      </c>
      <c r="D231" s="8">
        <v>7.0</v>
      </c>
      <c r="E231" s="8">
        <v>6.0</v>
      </c>
      <c r="F231" s="8">
        <v>0.01</v>
      </c>
      <c r="G231" s="8">
        <v>0.01</v>
      </c>
      <c r="H231" s="8">
        <v>1.14</v>
      </c>
      <c r="I231" s="8">
        <v>0.14</v>
      </c>
    </row>
    <row r="232" ht="15.75" customHeight="1">
      <c r="A232" s="7" t="s">
        <v>1008</v>
      </c>
      <c r="B232" s="8" t="s">
        <v>405</v>
      </c>
      <c r="C232" s="8" t="s">
        <v>1010</v>
      </c>
      <c r="D232" s="8">
        <v>7.0</v>
      </c>
      <c r="F232" s="8">
        <v>0.01</v>
      </c>
      <c r="G232" s="8">
        <v>0.01</v>
      </c>
      <c r="H232" s="8">
        <v>0.86</v>
      </c>
    </row>
    <row r="233" ht="15.75" customHeight="1">
      <c r="A233" s="7" t="s">
        <v>1013</v>
      </c>
      <c r="B233" s="8" t="s">
        <v>405</v>
      </c>
      <c r="C233" s="8" t="s">
        <v>1015</v>
      </c>
      <c r="D233" s="8">
        <v>7.0</v>
      </c>
      <c r="F233" s="8">
        <v>0.01</v>
      </c>
      <c r="G233" s="8">
        <v>0.01</v>
      </c>
      <c r="H233" s="8">
        <v>0.0</v>
      </c>
    </row>
    <row r="234" ht="15.75" customHeight="1">
      <c r="A234" s="7" t="s">
        <v>1017</v>
      </c>
      <c r="B234" s="8" t="s">
        <v>28</v>
      </c>
      <c r="C234" s="8" t="s">
        <v>1020</v>
      </c>
      <c r="D234" s="8">
        <v>7.0</v>
      </c>
      <c r="F234" s="8">
        <v>0.01</v>
      </c>
      <c r="G234" s="8">
        <v>0.01</v>
      </c>
      <c r="H234" s="8">
        <v>0.0</v>
      </c>
    </row>
    <row r="235" ht="15.75" customHeight="1">
      <c r="A235" s="7" t="s">
        <v>1021</v>
      </c>
      <c r="B235" s="8" t="s">
        <v>28</v>
      </c>
      <c r="C235" s="8" t="s">
        <v>1023</v>
      </c>
      <c r="D235" s="8">
        <v>7.0</v>
      </c>
      <c r="F235" s="8">
        <v>0.01</v>
      </c>
      <c r="G235" s="8">
        <v>0.01</v>
      </c>
      <c r="H235" s="8">
        <v>0.43</v>
      </c>
    </row>
    <row r="236" ht="15.75" customHeight="1">
      <c r="A236" s="7" t="s">
        <v>1024</v>
      </c>
      <c r="B236" s="8" t="s">
        <v>48</v>
      </c>
      <c r="C236" s="8" t="s">
        <v>1027</v>
      </c>
      <c r="D236" s="8">
        <v>7.0</v>
      </c>
      <c r="F236" s="8">
        <v>0.01</v>
      </c>
      <c r="G236" s="8">
        <v>0.01</v>
      </c>
      <c r="H236" s="8">
        <v>0.0</v>
      </c>
    </row>
    <row r="237" ht="15.75" customHeight="1">
      <c r="A237" s="7" t="s">
        <v>1029</v>
      </c>
      <c r="B237" s="8" t="s">
        <v>28</v>
      </c>
      <c r="C237" s="8" t="s">
        <v>594</v>
      </c>
      <c r="D237" s="8">
        <v>7.0</v>
      </c>
      <c r="E237" s="8">
        <v>6.0</v>
      </c>
      <c r="F237" s="8">
        <v>0.01</v>
      </c>
      <c r="G237" s="8">
        <v>0.01</v>
      </c>
      <c r="H237" s="8">
        <v>1.0</v>
      </c>
      <c r="I237" s="8">
        <v>1.0</v>
      </c>
    </row>
    <row r="238" ht="15.75" customHeight="1">
      <c r="A238" s="8" t="s">
        <v>1033</v>
      </c>
      <c r="B238" s="8" t="s">
        <v>28</v>
      </c>
      <c r="C238" s="8" t="s">
        <v>1034</v>
      </c>
      <c r="D238" s="8">
        <v>7.0</v>
      </c>
      <c r="F238" s="8">
        <v>0.01</v>
      </c>
      <c r="G238" s="8">
        <v>0.01</v>
      </c>
      <c r="H238" s="8">
        <v>0.71</v>
      </c>
    </row>
    <row r="239" ht="15.75" customHeight="1">
      <c r="A239" s="7" t="s">
        <v>1035</v>
      </c>
      <c r="B239" s="8" t="s">
        <v>28</v>
      </c>
      <c r="C239" s="8" t="s">
        <v>1038</v>
      </c>
      <c r="D239" s="8">
        <v>7.0</v>
      </c>
      <c r="E239" s="8">
        <v>3.0</v>
      </c>
      <c r="F239" s="8">
        <v>0.01</v>
      </c>
      <c r="G239" s="8">
        <v>0.01</v>
      </c>
      <c r="H239" s="8">
        <v>0.71</v>
      </c>
      <c r="I239" s="8">
        <v>-0.04</v>
      </c>
    </row>
    <row r="240" ht="15.75" customHeight="1">
      <c r="A240" s="7" t="s">
        <v>1040</v>
      </c>
      <c r="B240" s="8" t="s">
        <v>28</v>
      </c>
      <c r="C240" s="8" t="s">
        <v>1044</v>
      </c>
      <c r="D240" s="8">
        <v>7.0</v>
      </c>
      <c r="E240" s="8">
        <v>3.0</v>
      </c>
      <c r="F240" s="8">
        <v>0.01</v>
      </c>
      <c r="G240" s="8">
        <v>0.01</v>
      </c>
      <c r="H240" s="8">
        <v>0.0</v>
      </c>
      <c r="I240" s="8">
        <v>0.0</v>
      </c>
    </row>
    <row r="241" ht="15.75" customHeight="1">
      <c r="A241" s="7" t="s">
        <v>1047</v>
      </c>
      <c r="B241" s="8" t="s">
        <v>28</v>
      </c>
      <c r="D241" s="8">
        <v>7.0</v>
      </c>
      <c r="F241" s="8">
        <v>0.01</v>
      </c>
      <c r="G241" s="8">
        <v>0.01</v>
      </c>
      <c r="H241" s="8">
        <v>0.86</v>
      </c>
    </row>
    <row r="242" ht="15.75" customHeight="1">
      <c r="A242" s="7" t="s">
        <v>1049</v>
      </c>
      <c r="B242" s="8" t="s">
        <v>28</v>
      </c>
      <c r="C242" s="8" t="s">
        <v>1051</v>
      </c>
      <c r="D242" s="8">
        <v>6.0</v>
      </c>
      <c r="F242" s="8">
        <v>0.01</v>
      </c>
      <c r="G242" s="8">
        <v>0.01</v>
      </c>
      <c r="H242" s="8">
        <v>0.67</v>
      </c>
    </row>
    <row r="243" ht="15.75" customHeight="1">
      <c r="A243" s="7" t="s">
        <v>1052</v>
      </c>
      <c r="B243" s="8" t="s">
        <v>28</v>
      </c>
      <c r="C243" s="8" t="s">
        <v>1054</v>
      </c>
      <c r="D243" s="8">
        <v>6.0</v>
      </c>
      <c r="F243" s="8">
        <v>0.01</v>
      </c>
      <c r="G243" s="8">
        <v>0.01</v>
      </c>
      <c r="H243" s="8">
        <v>0.83</v>
      </c>
    </row>
    <row r="244" ht="15.75" customHeight="1">
      <c r="A244" s="7" t="s">
        <v>1055</v>
      </c>
      <c r="B244" s="8" t="s">
        <v>28</v>
      </c>
      <c r="C244" s="8" t="s">
        <v>1058</v>
      </c>
      <c r="D244" s="8">
        <v>6.0</v>
      </c>
      <c r="F244" s="8">
        <v>0.01</v>
      </c>
      <c r="G244" s="8">
        <v>0.01</v>
      </c>
      <c r="H244" s="8">
        <v>0.0</v>
      </c>
    </row>
    <row r="245" ht="15.75" customHeight="1">
      <c r="A245" s="7" t="s">
        <v>1059</v>
      </c>
      <c r="B245" s="8" t="s">
        <v>28</v>
      </c>
      <c r="D245" s="8">
        <v>6.0</v>
      </c>
      <c r="F245" s="8">
        <v>0.01</v>
      </c>
      <c r="G245" s="8">
        <v>0.01</v>
      </c>
      <c r="H245" s="8">
        <v>2.83</v>
      </c>
    </row>
    <row r="246" ht="15.75" customHeight="1">
      <c r="A246" s="7" t="s">
        <v>1063</v>
      </c>
      <c r="B246" s="8" t="s">
        <v>28</v>
      </c>
      <c r="D246" s="8">
        <v>6.0</v>
      </c>
      <c r="F246" s="8">
        <v>0.01</v>
      </c>
      <c r="G246" s="8">
        <v>0.01</v>
      </c>
      <c r="H246" s="8">
        <v>1.0</v>
      </c>
    </row>
    <row r="247" ht="15.75" customHeight="1">
      <c r="A247" s="7" t="s">
        <v>1065</v>
      </c>
      <c r="B247" s="8" t="s">
        <v>28</v>
      </c>
      <c r="C247" s="8" t="s">
        <v>1068</v>
      </c>
      <c r="D247" s="8">
        <v>6.0</v>
      </c>
      <c r="F247" s="8">
        <v>0.01</v>
      </c>
      <c r="G247" s="8">
        <v>0.01</v>
      </c>
      <c r="H247" s="8">
        <v>0.67</v>
      </c>
    </row>
    <row r="248" ht="15.75" customHeight="1">
      <c r="A248" s="7" t="s">
        <v>1069</v>
      </c>
      <c r="B248" s="8" t="s">
        <v>17</v>
      </c>
      <c r="C248" s="8" t="s">
        <v>1071</v>
      </c>
      <c r="D248" s="8">
        <v>6.0</v>
      </c>
      <c r="E248" s="8">
        <v>4.0</v>
      </c>
      <c r="F248" s="8">
        <v>0.01</v>
      </c>
      <c r="G248" s="8">
        <v>0.01</v>
      </c>
      <c r="H248" s="8">
        <v>1.0</v>
      </c>
      <c r="I248" s="8">
        <v>1.0</v>
      </c>
    </row>
    <row r="249" ht="15.75" customHeight="1">
      <c r="A249" s="7" t="s">
        <v>1074</v>
      </c>
      <c r="B249" s="8" t="s">
        <v>28</v>
      </c>
      <c r="C249" s="8" t="s">
        <v>1077</v>
      </c>
      <c r="D249" s="8">
        <v>6.0</v>
      </c>
      <c r="E249" s="8">
        <v>3.0</v>
      </c>
      <c r="F249" s="8">
        <v>0.01</v>
      </c>
      <c r="G249" s="8">
        <v>0.01</v>
      </c>
      <c r="H249" s="8">
        <v>1.83</v>
      </c>
      <c r="I249" s="8">
        <v>1.17</v>
      </c>
    </row>
    <row r="250" ht="15.75" customHeight="1">
      <c r="A250" s="7" t="s">
        <v>1080</v>
      </c>
      <c r="B250" s="8" t="s">
        <v>405</v>
      </c>
      <c r="C250" s="8" t="s">
        <v>1082</v>
      </c>
      <c r="D250" s="8">
        <v>6.0</v>
      </c>
      <c r="E250" s="8">
        <v>0.0</v>
      </c>
      <c r="F250" s="8">
        <v>0.01</v>
      </c>
      <c r="G250" s="8">
        <v>0.01</v>
      </c>
      <c r="H250" s="8">
        <v>1.17</v>
      </c>
      <c r="I250" s="8">
        <v>1.17</v>
      </c>
    </row>
    <row r="251" ht="15.75" customHeight="1">
      <c r="A251" s="7" t="s">
        <v>1085</v>
      </c>
      <c r="B251" s="8" t="s">
        <v>28</v>
      </c>
      <c r="C251" s="8" t="s">
        <v>1087</v>
      </c>
      <c r="D251" s="8">
        <v>6.0</v>
      </c>
      <c r="E251" s="8">
        <v>5.0</v>
      </c>
      <c r="F251" s="8">
        <v>0.01</v>
      </c>
      <c r="G251" s="8">
        <v>0.01</v>
      </c>
      <c r="H251" s="8">
        <v>0.0</v>
      </c>
      <c r="I251" s="8">
        <v>0.0</v>
      </c>
    </row>
    <row r="252" ht="15.75" customHeight="1">
      <c r="A252" s="7" t="s">
        <v>1090</v>
      </c>
      <c r="B252" s="8" t="s">
        <v>405</v>
      </c>
      <c r="D252" s="8">
        <v>6.0</v>
      </c>
      <c r="F252" s="8">
        <v>0.01</v>
      </c>
      <c r="G252" s="8">
        <v>0.01</v>
      </c>
      <c r="H252" s="8">
        <v>0.0</v>
      </c>
    </row>
    <row r="253" ht="15.75" customHeight="1">
      <c r="A253" s="7" t="s">
        <v>1093</v>
      </c>
      <c r="B253" s="8" t="s">
        <v>28</v>
      </c>
      <c r="C253" s="8" t="s">
        <v>1096</v>
      </c>
      <c r="D253" s="8">
        <v>6.0</v>
      </c>
      <c r="F253" s="8">
        <v>0.01</v>
      </c>
      <c r="G253" s="8">
        <v>0.01</v>
      </c>
      <c r="H253" s="8">
        <v>0.0</v>
      </c>
    </row>
    <row r="254" ht="15.75" customHeight="1">
      <c r="A254" s="7" t="s">
        <v>1098</v>
      </c>
      <c r="B254" s="8" t="s">
        <v>28</v>
      </c>
      <c r="C254" s="8" t="s">
        <v>1101</v>
      </c>
      <c r="D254" s="8">
        <v>6.0</v>
      </c>
      <c r="F254" s="8">
        <v>0.01</v>
      </c>
      <c r="G254" s="8">
        <v>0.01</v>
      </c>
      <c r="H254" s="8">
        <v>1.83</v>
      </c>
    </row>
    <row r="255" ht="15.75" customHeight="1">
      <c r="A255" s="7" t="s">
        <v>1103</v>
      </c>
      <c r="B255" s="8" t="s">
        <v>28</v>
      </c>
      <c r="C255" s="8" t="s">
        <v>1104</v>
      </c>
      <c r="D255" s="8">
        <v>6.0</v>
      </c>
      <c r="F255" s="8">
        <v>0.01</v>
      </c>
      <c r="G255" s="8">
        <v>0.01</v>
      </c>
      <c r="H255" s="8">
        <v>0.0</v>
      </c>
    </row>
    <row r="256" ht="15.75" customHeight="1">
      <c r="A256" s="8" t="s">
        <v>1107</v>
      </c>
      <c r="B256" s="8" t="s">
        <v>28</v>
      </c>
      <c r="C256" s="8" t="s">
        <v>1108</v>
      </c>
      <c r="D256" s="8">
        <v>6.0</v>
      </c>
      <c r="E256" s="8">
        <v>2.0</v>
      </c>
      <c r="F256" s="8">
        <v>0.01</v>
      </c>
      <c r="G256" s="8">
        <v>0.01</v>
      </c>
      <c r="H256" s="8">
        <v>0.0</v>
      </c>
      <c r="I256" s="8">
        <v>0.0</v>
      </c>
    </row>
    <row r="257" ht="15.75" customHeight="1">
      <c r="A257" s="7" t="s">
        <v>1110</v>
      </c>
      <c r="B257" s="8" t="s">
        <v>28</v>
      </c>
      <c r="C257" s="8" t="s">
        <v>1112</v>
      </c>
      <c r="D257" s="8">
        <v>6.0</v>
      </c>
      <c r="F257" s="8">
        <v>0.01</v>
      </c>
      <c r="G257" s="8">
        <v>0.01</v>
      </c>
      <c r="H257" s="8">
        <v>0.33</v>
      </c>
    </row>
    <row r="258" ht="15.75" customHeight="1">
      <c r="A258" s="7" t="s">
        <v>1113</v>
      </c>
      <c r="B258" s="8" t="s">
        <v>76</v>
      </c>
      <c r="C258" s="8" t="s">
        <v>1115</v>
      </c>
      <c r="D258" s="8">
        <v>6.0</v>
      </c>
      <c r="E258" s="8">
        <v>4.0</v>
      </c>
      <c r="F258" s="8">
        <v>0.01</v>
      </c>
      <c r="G258" s="8">
        <v>0.01</v>
      </c>
      <c r="H258" s="8">
        <v>1.17</v>
      </c>
      <c r="I258" s="8">
        <v>0.17</v>
      </c>
    </row>
    <row r="259" ht="15.75" customHeight="1">
      <c r="A259" s="7" t="s">
        <v>1116</v>
      </c>
      <c r="B259" s="8" t="s">
        <v>405</v>
      </c>
      <c r="C259" s="8" t="s">
        <v>1119</v>
      </c>
      <c r="D259" s="8">
        <v>6.0</v>
      </c>
      <c r="E259" s="8">
        <v>4.0</v>
      </c>
      <c r="F259" s="8">
        <v>0.01</v>
      </c>
      <c r="G259" s="8">
        <v>0.01</v>
      </c>
      <c r="H259" s="8">
        <v>2.0</v>
      </c>
      <c r="I259" s="8">
        <v>0.0</v>
      </c>
    </row>
    <row r="260" ht="15.75" customHeight="1">
      <c r="A260" s="7" t="s">
        <v>1121</v>
      </c>
      <c r="B260" s="8" t="s">
        <v>28</v>
      </c>
      <c r="C260" s="8" t="s">
        <v>1122</v>
      </c>
      <c r="D260" s="8">
        <v>6.0</v>
      </c>
      <c r="E260" s="8">
        <v>5.0</v>
      </c>
      <c r="F260" s="8">
        <v>0.01</v>
      </c>
      <c r="G260" s="8">
        <v>0.01</v>
      </c>
      <c r="H260" s="8">
        <v>0.5</v>
      </c>
      <c r="I260" s="8">
        <v>0.5</v>
      </c>
    </row>
    <row r="261" ht="15.75" customHeight="1">
      <c r="A261" s="7" t="s">
        <v>1123</v>
      </c>
      <c r="B261" s="8" t="s">
        <v>28</v>
      </c>
      <c r="D261" s="8">
        <v>6.0</v>
      </c>
      <c r="F261" s="8">
        <v>0.01</v>
      </c>
      <c r="G261" s="8">
        <v>0.01</v>
      </c>
      <c r="H261" s="8">
        <v>0.67</v>
      </c>
    </row>
    <row r="262" ht="15.75" customHeight="1">
      <c r="A262" s="7" t="s">
        <v>1126</v>
      </c>
      <c r="B262" s="8" t="s">
        <v>17</v>
      </c>
      <c r="C262" s="8" t="s">
        <v>1129</v>
      </c>
      <c r="D262" s="8">
        <v>5.0</v>
      </c>
      <c r="F262" s="8">
        <v>0.0</v>
      </c>
      <c r="G262" s="8">
        <v>0.01</v>
      </c>
      <c r="H262" s="8">
        <v>2.8</v>
      </c>
    </row>
    <row r="263" ht="15.75" customHeight="1">
      <c r="A263" s="7" t="s">
        <v>1130</v>
      </c>
      <c r="B263" s="8" t="s">
        <v>492</v>
      </c>
      <c r="D263" s="8">
        <v>5.0</v>
      </c>
      <c r="F263" s="8">
        <v>0.0</v>
      </c>
      <c r="G263" s="8">
        <v>0.0</v>
      </c>
      <c r="H263" s="8">
        <v>1.6</v>
      </c>
    </row>
    <row r="264" ht="15.75" customHeight="1">
      <c r="A264" s="7" t="s">
        <v>1133</v>
      </c>
      <c r="B264" s="8" t="s">
        <v>17</v>
      </c>
      <c r="C264" s="8" t="s">
        <v>1134</v>
      </c>
      <c r="D264" s="8">
        <v>5.0</v>
      </c>
      <c r="F264" s="8">
        <v>0.0</v>
      </c>
      <c r="G264" s="8">
        <v>0.01</v>
      </c>
      <c r="H264" s="8">
        <v>2.0</v>
      </c>
    </row>
    <row r="265" ht="15.75" customHeight="1">
      <c r="A265" s="7" t="s">
        <v>1137</v>
      </c>
      <c r="B265" s="8" t="s">
        <v>28</v>
      </c>
      <c r="C265" s="8" t="s">
        <v>1139</v>
      </c>
      <c r="D265" s="8">
        <v>5.0</v>
      </c>
      <c r="E265" s="8">
        <v>1.0</v>
      </c>
      <c r="F265" s="8">
        <v>0.0</v>
      </c>
      <c r="G265" s="8">
        <v>0.0</v>
      </c>
      <c r="H265" s="8">
        <v>1.4</v>
      </c>
      <c r="I265" s="8">
        <v>0.4</v>
      </c>
    </row>
    <row r="266" ht="15.75" customHeight="1">
      <c r="A266" s="7" t="s">
        <v>1143</v>
      </c>
      <c r="B266" s="8" t="s">
        <v>28</v>
      </c>
      <c r="C266" s="8" t="s">
        <v>1147</v>
      </c>
      <c r="D266" s="8">
        <v>5.0</v>
      </c>
      <c r="F266" s="8">
        <v>0.0</v>
      </c>
      <c r="G266" s="8">
        <v>0.0</v>
      </c>
      <c r="H266" s="8">
        <v>1.2</v>
      </c>
    </row>
    <row r="267" ht="15.75" customHeight="1">
      <c r="A267" s="7" t="s">
        <v>1148</v>
      </c>
      <c r="B267" s="8" t="s">
        <v>405</v>
      </c>
      <c r="C267" s="8" t="s">
        <v>1150</v>
      </c>
      <c r="D267" s="8">
        <v>5.0</v>
      </c>
      <c r="F267" s="8">
        <v>0.0</v>
      </c>
      <c r="G267" s="8">
        <v>0.0</v>
      </c>
      <c r="H267" s="8">
        <v>0.0</v>
      </c>
    </row>
    <row r="268" ht="15.75" customHeight="1">
      <c r="A268" s="8" t="s">
        <v>1151</v>
      </c>
      <c r="B268" s="8" t="s">
        <v>48</v>
      </c>
      <c r="C268" s="8" t="s">
        <v>1153</v>
      </c>
      <c r="D268" s="8">
        <v>5.0</v>
      </c>
      <c r="F268" s="8">
        <v>0.0</v>
      </c>
      <c r="G268" s="8">
        <v>0.0</v>
      </c>
      <c r="H268" s="8">
        <v>0.0</v>
      </c>
    </row>
    <row r="269" ht="15.75" customHeight="1">
      <c r="A269" s="7" t="s">
        <v>1154</v>
      </c>
      <c r="B269" s="8" t="s">
        <v>28</v>
      </c>
      <c r="D269" s="8">
        <v>5.0</v>
      </c>
      <c r="F269" s="8">
        <v>0.0</v>
      </c>
      <c r="G269" s="8">
        <v>0.0</v>
      </c>
      <c r="H269" s="8">
        <v>0.0</v>
      </c>
    </row>
    <row r="270" ht="15.75" customHeight="1">
      <c r="A270" s="7" t="s">
        <v>1158</v>
      </c>
      <c r="B270" s="8" t="s">
        <v>28</v>
      </c>
      <c r="C270" s="8" t="s">
        <v>1162</v>
      </c>
      <c r="D270" s="8">
        <v>5.0</v>
      </c>
      <c r="F270" s="8">
        <v>0.0</v>
      </c>
      <c r="G270" s="8">
        <v>0.0</v>
      </c>
      <c r="H270" s="8">
        <v>0.0</v>
      </c>
    </row>
    <row r="271" ht="15.75" customHeight="1">
      <c r="A271" s="7" t="s">
        <v>1163</v>
      </c>
      <c r="B271" s="8" t="s">
        <v>28</v>
      </c>
      <c r="C271" s="8" t="s">
        <v>1165</v>
      </c>
      <c r="D271" s="8">
        <v>5.0</v>
      </c>
      <c r="E271" s="8">
        <v>-10.0</v>
      </c>
      <c r="F271" s="8">
        <v>0.0</v>
      </c>
      <c r="G271" s="8">
        <v>0.0</v>
      </c>
      <c r="H271" s="8">
        <v>0.8</v>
      </c>
      <c r="I271" s="8">
        <v>0.4</v>
      </c>
    </row>
    <row r="272" ht="15.75" customHeight="1">
      <c r="A272" s="7" t="s">
        <v>1167</v>
      </c>
      <c r="B272" s="8" t="s">
        <v>405</v>
      </c>
      <c r="C272" s="8" t="s">
        <v>1169</v>
      </c>
      <c r="D272" s="8">
        <v>5.0</v>
      </c>
      <c r="E272" s="8">
        <v>4.0</v>
      </c>
      <c r="F272" s="8">
        <v>0.0</v>
      </c>
      <c r="G272" s="8">
        <v>0.0</v>
      </c>
      <c r="H272" s="8">
        <v>0.2</v>
      </c>
      <c r="I272" s="8">
        <v>0.2</v>
      </c>
    </row>
    <row r="273" ht="15.75" customHeight="1">
      <c r="A273" s="7" t="s">
        <v>1171</v>
      </c>
      <c r="B273" s="8" t="s">
        <v>28</v>
      </c>
      <c r="D273" s="8">
        <v>5.0</v>
      </c>
      <c r="F273" s="8">
        <v>0.0</v>
      </c>
      <c r="G273" s="8">
        <v>0.0</v>
      </c>
      <c r="H273" s="8">
        <v>0.0</v>
      </c>
    </row>
    <row r="274" ht="15.75" customHeight="1">
      <c r="A274" s="7" t="s">
        <v>1174</v>
      </c>
      <c r="B274" s="8" t="s">
        <v>28</v>
      </c>
      <c r="D274" s="8">
        <v>5.0</v>
      </c>
      <c r="F274" s="8">
        <v>0.0</v>
      </c>
      <c r="G274" s="8">
        <v>0.0</v>
      </c>
      <c r="H274" s="8">
        <v>1.8</v>
      </c>
    </row>
    <row r="275" ht="15.75" customHeight="1">
      <c r="A275" s="7" t="s">
        <v>1177</v>
      </c>
      <c r="B275" s="8" t="s">
        <v>191</v>
      </c>
      <c r="D275" s="8">
        <v>5.0</v>
      </c>
      <c r="E275" s="8">
        <v>2.0</v>
      </c>
      <c r="F275" s="8">
        <v>0.0</v>
      </c>
      <c r="G275" s="8">
        <v>0.0</v>
      </c>
      <c r="H275" s="8">
        <v>0.8</v>
      </c>
      <c r="I275" s="8">
        <v>0.47</v>
      </c>
    </row>
    <row r="276" ht="15.75" customHeight="1">
      <c r="A276" s="7" t="s">
        <v>1181</v>
      </c>
      <c r="B276" s="8" t="s">
        <v>405</v>
      </c>
      <c r="C276" s="8" t="s">
        <v>1184</v>
      </c>
      <c r="D276" s="8">
        <v>5.0</v>
      </c>
      <c r="E276" s="8">
        <v>4.0</v>
      </c>
      <c r="F276" s="8">
        <v>0.0</v>
      </c>
      <c r="G276" s="8">
        <v>0.0</v>
      </c>
      <c r="H276" s="8">
        <v>0.0</v>
      </c>
      <c r="I276" s="8">
        <v>0.0</v>
      </c>
    </row>
    <row r="277" ht="15.75" customHeight="1">
      <c r="A277" s="7" t="s">
        <v>1185</v>
      </c>
      <c r="B277" s="8" t="s">
        <v>28</v>
      </c>
      <c r="C277" s="8" t="s">
        <v>498</v>
      </c>
      <c r="D277" s="8">
        <v>5.0</v>
      </c>
      <c r="F277" s="8">
        <v>0.0</v>
      </c>
      <c r="G277" s="8">
        <v>0.0</v>
      </c>
      <c r="H277" s="8">
        <v>1.0</v>
      </c>
    </row>
    <row r="278" ht="15.75" customHeight="1">
      <c r="A278" s="7" t="s">
        <v>1188</v>
      </c>
      <c r="B278" s="8" t="s">
        <v>28</v>
      </c>
      <c r="C278" s="8" t="s">
        <v>1190</v>
      </c>
      <c r="D278" s="8">
        <v>5.0</v>
      </c>
      <c r="F278" s="8">
        <v>0.0</v>
      </c>
      <c r="G278" s="8">
        <v>0.0</v>
      </c>
      <c r="H278" s="8">
        <v>0.0</v>
      </c>
    </row>
    <row r="279" ht="15.75" customHeight="1">
      <c r="A279" s="7" t="s">
        <v>1191</v>
      </c>
      <c r="B279" s="8" t="s">
        <v>28</v>
      </c>
      <c r="C279" s="8" t="s">
        <v>1194</v>
      </c>
      <c r="D279" s="8">
        <v>5.0</v>
      </c>
      <c r="F279" s="8">
        <v>0.0</v>
      </c>
      <c r="G279" s="8">
        <v>0.0</v>
      </c>
      <c r="H279" s="8">
        <v>0.8</v>
      </c>
    </row>
    <row r="280" ht="15.75" customHeight="1">
      <c r="A280" s="7" t="s">
        <v>1196</v>
      </c>
      <c r="B280" s="8" t="s">
        <v>28</v>
      </c>
      <c r="D280" s="8">
        <v>5.0</v>
      </c>
      <c r="E280" s="8">
        <v>-4.0</v>
      </c>
      <c r="F280" s="8">
        <v>0.0</v>
      </c>
      <c r="G280" s="8">
        <v>0.0</v>
      </c>
      <c r="H280" s="8">
        <v>0.0</v>
      </c>
      <c r="I280" s="8">
        <v>0.0</v>
      </c>
    </row>
    <row r="281" ht="15.75" customHeight="1">
      <c r="A281" s="7" t="s">
        <v>1200</v>
      </c>
      <c r="B281" s="8" t="s">
        <v>28</v>
      </c>
      <c r="C281" s="8" t="s">
        <v>1202</v>
      </c>
      <c r="D281" s="8">
        <v>5.0</v>
      </c>
      <c r="F281" s="8">
        <v>0.0</v>
      </c>
      <c r="G281" s="8">
        <v>0.0</v>
      </c>
      <c r="H281" s="8">
        <v>0.0</v>
      </c>
    </row>
    <row r="282" ht="15.75" customHeight="1">
      <c r="A282" s="7" t="s">
        <v>1204</v>
      </c>
      <c r="B282" s="8" t="s">
        <v>48</v>
      </c>
      <c r="C282" s="8" t="s">
        <v>1206</v>
      </c>
      <c r="D282" s="8">
        <v>5.0</v>
      </c>
      <c r="E282" s="8">
        <v>0.0</v>
      </c>
      <c r="F282" s="8">
        <v>0.0</v>
      </c>
      <c r="G282" s="8">
        <v>0.0</v>
      </c>
      <c r="H282" s="8">
        <v>0.6</v>
      </c>
      <c r="I282" s="8">
        <v>-0.2</v>
      </c>
    </row>
    <row r="283" ht="15.75" customHeight="1">
      <c r="A283" s="7" t="s">
        <v>1208</v>
      </c>
      <c r="B283" s="8" t="s">
        <v>191</v>
      </c>
      <c r="C283" s="8" t="s">
        <v>1210</v>
      </c>
      <c r="D283" s="8">
        <v>5.0</v>
      </c>
      <c r="F283" s="8">
        <v>0.0</v>
      </c>
      <c r="G283" s="8">
        <v>0.0</v>
      </c>
      <c r="H283" s="8">
        <v>0.4</v>
      </c>
    </row>
    <row r="284" ht="15.75" customHeight="1">
      <c r="A284" s="8" t="s">
        <v>1211</v>
      </c>
      <c r="B284" s="8" t="s">
        <v>28</v>
      </c>
      <c r="C284" s="8" t="s">
        <v>1212</v>
      </c>
      <c r="D284" s="8">
        <v>4.0</v>
      </c>
      <c r="F284" s="8">
        <v>0.0</v>
      </c>
      <c r="G284" s="8">
        <v>0.0</v>
      </c>
      <c r="H284" s="8">
        <v>2.5</v>
      </c>
    </row>
    <row r="285" ht="15.75" customHeight="1">
      <c r="A285" s="7" t="s">
        <v>1215</v>
      </c>
      <c r="B285" s="8" t="s">
        <v>48</v>
      </c>
      <c r="C285" s="8" t="s">
        <v>1217</v>
      </c>
      <c r="D285" s="8">
        <v>4.0</v>
      </c>
      <c r="F285" s="8">
        <v>0.0</v>
      </c>
      <c r="G285" s="8">
        <v>0.01</v>
      </c>
      <c r="H285" s="8">
        <v>2.0</v>
      </c>
    </row>
    <row r="286" ht="15.75" customHeight="1">
      <c r="A286" s="7" t="s">
        <v>1220</v>
      </c>
      <c r="B286" s="8" t="s">
        <v>492</v>
      </c>
      <c r="C286" s="8" t="s">
        <v>1221</v>
      </c>
      <c r="D286" s="8">
        <v>4.0</v>
      </c>
      <c r="F286" s="8">
        <v>0.0</v>
      </c>
      <c r="G286" s="8">
        <v>0.0</v>
      </c>
      <c r="H286" s="8">
        <v>1.25</v>
      </c>
    </row>
    <row r="287" ht="15.75" customHeight="1">
      <c r="A287" s="8" t="s">
        <v>1223</v>
      </c>
      <c r="B287" s="8" t="s">
        <v>28</v>
      </c>
      <c r="C287" s="8" t="s">
        <v>1224</v>
      </c>
      <c r="D287" s="8">
        <v>4.0</v>
      </c>
      <c r="F287" s="8">
        <v>0.0</v>
      </c>
      <c r="G287" s="8">
        <v>0.01</v>
      </c>
      <c r="H287" s="8">
        <v>0.0</v>
      </c>
    </row>
    <row r="288" ht="15.75" customHeight="1">
      <c r="A288" s="7" t="s">
        <v>1226</v>
      </c>
      <c r="B288" s="8" t="s">
        <v>17</v>
      </c>
      <c r="C288" s="8" t="s">
        <v>1228</v>
      </c>
      <c r="D288" s="8">
        <v>4.0</v>
      </c>
      <c r="E288" s="8">
        <v>0.0</v>
      </c>
      <c r="F288" s="8">
        <v>0.0</v>
      </c>
      <c r="G288" s="8">
        <v>0.0</v>
      </c>
      <c r="H288" s="8">
        <v>1.25</v>
      </c>
      <c r="I288" s="8">
        <v>0.25</v>
      </c>
    </row>
    <row r="289" ht="15.75" customHeight="1">
      <c r="A289" s="7" t="s">
        <v>1230</v>
      </c>
      <c r="B289" s="8" t="s">
        <v>492</v>
      </c>
      <c r="C289" s="8" t="s">
        <v>1233</v>
      </c>
      <c r="D289" s="8">
        <v>4.0</v>
      </c>
      <c r="F289" s="8">
        <v>0.0</v>
      </c>
      <c r="G289" s="8">
        <v>0.0</v>
      </c>
      <c r="H289" s="8">
        <v>0.5</v>
      </c>
    </row>
    <row r="290" ht="15.75" customHeight="1">
      <c r="A290" s="7" t="s">
        <v>1234</v>
      </c>
      <c r="B290" s="8" t="s">
        <v>28</v>
      </c>
      <c r="C290" s="8" t="s">
        <v>1237</v>
      </c>
      <c r="D290" s="8">
        <v>4.0</v>
      </c>
      <c r="E290" s="8">
        <v>1.0</v>
      </c>
      <c r="F290" s="8">
        <v>0.0</v>
      </c>
      <c r="G290" s="8">
        <v>0.0</v>
      </c>
      <c r="H290" s="8">
        <v>2.0</v>
      </c>
      <c r="I290" s="8">
        <v>2.0</v>
      </c>
    </row>
    <row r="291" ht="15.75" customHeight="1">
      <c r="A291" s="7" t="s">
        <v>1239</v>
      </c>
      <c r="B291" s="8" t="s">
        <v>28</v>
      </c>
      <c r="D291" s="8">
        <v>4.0</v>
      </c>
      <c r="E291" s="8">
        <v>1.0</v>
      </c>
      <c r="F291" s="8">
        <v>0.0</v>
      </c>
      <c r="G291" s="8">
        <v>0.0</v>
      </c>
      <c r="H291" s="8">
        <v>0.5</v>
      </c>
      <c r="I291" s="8">
        <v>0.5</v>
      </c>
    </row>
    <row r="292" ht="15.75" customHeight="1">
      <c r="A292" s="7" t="s">
        <v>1240</v>
      </c>
      <c r="B292" s="8" t="s">
        <v>17</v>
      </c>
      <c r="C292" s="8" t="s">
        <v>1241</v>
      </c>
      <c r="D292" s="8">
        <v>4.0</v>
      </c>
      <c r="F292" s="8">
        <v>0.0</v>
      </c>
      <c r="G292" s="8">
        <v>0.0</v>
      </c>
      <c r="H292" s="8">
        <v>1.0</v>
      </c>
    </row>
    <row r="293" ht="15.75" customHeight="1">
      <c r="A293" s="7" t="s">
        <v>1242</v>
      </c>
      <c r="B293" s="8" t="s">
        <v>28</v>
      </c>
      <c r="C293" s="8" t="s">
        <v>1243</v>
      </c>
      <c r="D293" s="8">
        <v>4.0</v>
      </c>
      <c r="E293" s="8">
        <v>3.0</v>
      </c>
      <c r="F293" s="8">
        <v>0.0</v>
      </c>
      <c r="G293" s="8">
        <v>0.0</v>
      </c>
      <c r="H293" s="8">
        <v>1.0</v>
      </c>
      <c r="I293" s="8">
        <v>-1.0</v>
      </c>
    </row>
    <row r="294" ht="15.75" customHeight="1">
      <c r="A294" s="7" t="s">
        <v>1244</v>
      </c>
      <c r="B294" s="8" t="s">
        <v>28</v>
      </c>
      <c r="D294" s="8">
        <v>4.0</v>
      </c>
      <c r="F294" s="8">
        <v>0.0</v>
      </c>
      <c r="G294" s="8">
        <v>0.0</v>
      </c>
      <c r="H294" s="8">
        <v>1.0</v>
      </c>
    </row>
    <row r="295" ht="15.75" customHeight="1">
      <c r="A295" s="7" t="s">
        <v>1245</v>
      </c>
      <c r="B295" s="8" t="s">
        <v>28</v>
      </c>
      <c r="D295" s="8">
        <v>4.0</v>
      </c>
      <c r="E295" s="8">
        <v>1.0</v>
      </c>
      <c r="F295" s="8">
        <v>0.0</v>
      </c>
      <c r="G295" s="8">
        <v>0.0</v>
      </c>
      <c r="H295" s="8">
        <v>0.5</v>
      </c>
      <c r="I295" s="8">
        <v>0.5</v>
      </c>
    </row>
    <row r="296" ht="15.75" customHeight="1">
      <c r="A296" s="7" t="s">
        <v>1248</v>
      </c>
      <c r="B296" s="8" t="s">
        <v>28</v>
      </c>
      <c r="D296" s="8">
        <v>4.0</v>
      </c>
      <c r="F296" s="8">
        <v>0.0</v>
      </c>
      <c r="G296" s="8">
        <v>0.0</v>
      </c>
      <c r="H296" s="8">
        <v>1.5</v>
      </c>
    </row>
    <row r="297" ht="15.75" customHeight="1">
      <c r="A297" s="7" t="s">
        <v>1250</v>
      </c>
      <c r="B297" s="8" t="s">
        <v>492</v>
      </c>
      <c r="C297" s="8" t="s">
        <v>1252</v>
      </c>
      <c r="D297" s="8">
        <v>4.0</v>
      </c>
      <c r="F297" s="8">
        <v>0.0</v>
      </c>
      <c r="G297" s="8">
        <v>0.0</v>
      </c>
      <c r="H297" s="8">
        <v>0.0</v>
      </c>
    </row>
    <row r="298" ht="15.75" customHeight="1">
      <c r="A298" s="7" t="s">
        <v>1254</v>
      </c>
      <c r="B298" s="8" t="s">
        <v>405</v>
      </c>
      <c r="C298" s="8" t="s">
        <v>1256</v>
      </c>
      <c r="D298" s="8">
        <v>4.0</v>
      </c>
      <c r="F298" s="8">
        <v>0.0</v>
      </c>
      <c r="G298" s="8">
        <v>0.0</v>
      </c>
      <c r="H298" s="8">
        <v>0.0</v>
      </c>
    </row>
    <row r="299" ht="15.75" customHeight="1">
      <c r="A299" s="7" t="s">
        <v>1257</v>
      </c>
      <c r="B299" s="8" t="s">
        <v>76</v>
      </c>
      <c r="C299" s="8" t="s">
        <v>1260</v>
      </c>
      <c r="D299" s="8">
        <v>4.0</v>
      </c>
      <c r="F299" s="8">
        <v>0.0</v>
      </c>
      <c r="G299" s="8">
        <v>0.0</v>
      </c>
      <c r="H299" s="8">
        <v>0.75</v>
      </c>
    </row>
    <row r="300" ht="15.75" customHeight="1">
      <c r="A300" s="7" t="s">
        <v>1261</v>
      </c>
      <c r="B300" s="8" t="s">
        <v>28</v>
      </c>
      <c r="C300" s="8" t="s">
        <v>1263</v>
      </c>
      <c r="D300" s="8">
        <v>4.0</v>
      </c>
      <c r="F300" s="8">
        <v>0.0</v>
      </c>
      <c r="G300" s="8">
        <v>0.0</v>
      </c>
      <c r="H300" s="8">
        <v>0.5</v>
      </c>
    </row>
    <row r="301" ht="15.75" customHeight="1">
      <c r="A301" s="7" t="s">
        <v>1265</v>
      </c>
      <c r="B301" s="8" t="s">
        <v>28</v>
      </c>
      <c r="C301" s="8" t="s">
        <v>1267</v>
      </c>
      <c r="D301" s="8">
        <v>4.0</v>
      </c>
      <c r="E301" s="8">
        <v>3.0</v>
      </c>
      <c r="F301" s="8">
        <v>0.0</v>
      </c>
      <c r="G301" s="8">
        <v>0.0</v>
      </c>
      <c r="H301" s="8">
        <v>0.5</v>
      </c>
      <c r="I301" s="8">
        <v>-0.5</v>
      </c>
    </row>
    <row r="302" ht="15.75" customHeight="1">
      <c r="A302" s="7" t="s">
        <v>1269</v>
      </c>
      <c r="B302" s="8" t="s">
        <v>28</v>
      </c>
      <c r="C302" s="8" t="s">
        <v>1271</v>
      </c>
      <c r="D302" s="8">
        <v>4.0</v>
      </c>
      <c r="F302" s="8">
        <v>0.0</v>
      </c>
      <c r="G302" s="8">
        <v>0.0</v>
      </c>
      <c r="H302" s="8">
        <v>0.0</v>
      </c>
    </row>
    <row r="303" ht="15.75" customHeight="1">
      <c r="A303" s="7" t="s">
        <v>1272</v>
      </c>
      <c r="B303" s="8" t="s">
        <v>405</v>
      </c>
      <c r="C303" s="8" t="s">
        <v>1276</v>
      </c>
      <c r="D303" s="8">
        <v>4.0</v>
      </c>
      <c r="F303" s="8">
        <v>0.0</v>
      </c>
      <c r="G303" s="8">
        <v>0.0</v>
      </c>
      <c r="H303" s="8">
        <v>1.5</v>
      </c>
    </row>
    <row r="304" ht="15.75" customHeight="1">
      <c r="A304" s="7" t="s">
        <v>1277</v>
      </c>
      <c r="B304" s="8" t="s">
        <v>28</v>
      </c>
      <c r="C304" s="8" t="s">
        <v>1278</v>
      </c>
      <c r="D304" s="8">
        <v>4.0</v>
      </c>
      <c r="E304" s="8">
        <v>2.0</v>
      </c>
      <c r="F304" s="8">
        <v>0.0</v>
      </c>
      <c r="G304" s="8">
        <v>0.0</v>
      </c>
      <c r="H304" s="8">
        <v>1.0</v>
      </c>
      <c r="I304" s="8">
        <v>1.0</v>
      </c>
    </row>
    <row r="305" ht="15.75" customHeight="1">
      <c r="A305" s="7" t="s">
        <v>1280</v>
      </c>
      <c r="B305" s="8" t="s">
        <v>28</v>
      </c>
      <c r="C305" s="8" t="s">
        <v>1282</v>
      </c>
      <c r="D305" s="8">
        <v>4.0</v>
      </c>
      <c r="E305" s="8">
        <v>2.0</v>
      </c>
      <c r="F305" s="8">
        <v>0.0</v>
      </c>
      <c r="G305" s="8">
        <v>0.0</v>
      </c>
      <c r="H305" s="8">
        <v>0.0</v>
      </c>
      <c r="I305" s="8">
        <v>-1.0</v>
      </c>
    </row>
    <row r="306" ht="15.75" customHeight="1">
      <c r="A306" s="7" t="s">
        <v>1284</v>
      </c>
      <c r="B306" s="8" t="s">
        <v>28</v>
      </c>
      <c r="C306" s="8" t="s">
        <v>1286</v>
      </c>
      <c r="D306" s="8">
        <v>4.0</v>
      </c>
      <c r="F306" s="8">
        <v>0.0</v>
      </c>
      <c r="G306" s="8">
        <v>0.0</v>
      </c>
      <c r="H306" s="8">
        <v>2.5</v>
      </c>
    </row>
    <row r="307" ht="15.75" customHeight="1">
      <c r="A307" s="7" t="s">
        <v>1287</v>
      </c>
      <c r="B307" s="8" t="s">
        <v>28</v>
      </c>
      <c r="C307" s="8" t="s">
        <v>1289</v>
      </c>
      <c r="D307" s="8">
        <v>4.0</v>
      </c>
      <c r="E307" s="8">
        <v>2.0</v>
      </c>
      <c r="F307" s="8">
        <v>0.0</v>
      </c>
      <c r="G307" s="8">
        <v>0.0</v>
      </c>
      <c r="H307" s="8">
        <v>0.5</v>
      </c>
      <c r="I307" s="8">
        <v>0.5</v>
      </c>
    </row>
    <row r="308" ht="15.75" customHeight="1">
      <c r="A308" s="7" t="s">
        <v>1290</v>
      </c>
      <c r="B308" s="8" t="s">
        <v>28</v>
      </c>
      <c r="D308" s="8">
        <v>4.0</v>
      </c>
      <c r="F308" s="8">
        <v>0.0</v>
      </c>
      <c r="G308" s="8">
        <v>0.0</v>
      </c>
      <c r="H308" s="8">
        <v>0.75</v>
      </c>
    </row>
    <row r="309" ht="15.75" customHeight="1">
      <c r="A309" s="7" t="s">
        <v>1293</v>
      </c>
      <c r="B309" s="8" t="s">
        <v>28</v>
      </c>
      <c r="C309" s="8" t="s">
        <v>1295</v>
      </c>
      <c r="D309" s="8">
        <v>4.0</v>
      </c>
      <c r="E309" s="8">
        <v>3.0</v>
      </c>
      <c r="F309" s="8">
        <v>0.0</v>
      </c>
      <c r="G309" s="8">
        <v>0.0</v>
      </c>
      <c r="H309" s="8">
        <v>0.0</v>
      </c>
      <c r="I309" s="8">
        <v>0.0</v>
      </c>
    </row>
    <row r="310" ht="15.75" customHeight="1">
      <c r="A310" s="7" t="s">
        <v>1297</v>
      </c>
      <c r="B310" s="8" t="s">
        <v>405</v>
      </c>
      <c r="D310" s="8">
        <v>4.0</v>
      </c>
      <c r="F310" s="8">
        <v>0.0</v>
      </c>
      <c r="G310" s="8">
        <v>0.0</v>
      </c>
      <c r="H310" s="8">
        <v>1.25</v>
      </c>
    </row>
    <row r="311" ht="15.75" customHeight="1">
      <c r="A311" s="7" t="s">
        <v>1300</v>
      </c>
      <c r="B311" s="8" t="s">
        <v>28</v>
      </c>
      <c r="D311" s="8">
        <v>4.0</v>
      </c>
      <c r="F311" s="8">
        <v>0.0</v>
      </c>
      <c r="G311" s="8">
        <v>0.0</v>
      </c>
      <c r="H311" s="8">
        <v>0.5</v>
      </c>
    </row>
    <row r="312" ht="15.75" customHeight="1">
      <c r="A312" s="7" t="s">
        <v>1302</v>
      </c>
      <c r="B312" s="8" t="s">
        <v>28</v>
      </c>
      <c r="C312" s="8" t="s">
        <v>1305</v>
      </c>
      <c r="D312" s="8">
        <v>4.0</v>
      </c>
      <c r="F312" s="8">
        <v>0.0</v>
      </c>
      <c r="G312" s="8">
        <v>0.0</v>
      </c>
      <c r="H312" s="8">
        <v>0.25</v>
      </c>
    </row>
    <row r="313" ht="15.75" customHeight="1">
      <c r="A313" s="7" t="s">
        <v>1307</v>
      </c>
      <c r="B313" s="8" t="s">
        <v>28</v>
      </c>
      <c r="C313" s="8" t="s">
        <v>1310</v>
      </c>
      <c r="D313" s="8">
        <v>4.0</v>
      </c>
      <c r="F313" s="8">
        <v>0.0</v>
      </c>
      <c r="G313" s="8">
        <v>0.0</v>
      </c>
      <c r="H313" s="8">
        <v>0.0</v>
      </c>
    </row>
    <row r="314" ht="15.75" customHeight="1">
      <c r="A314" s="7" t="s">
        <v>1311</v>
      </c>
      <c r="B314" s="8" t="s">
        <v>28</v>
      </c>
      <c r="C314" s="8" t="s">
        <v>1315</v>
      </c>
      <c r="D314" s="8">
        <v>4.0</v>
      </c>
      <c r="E314" s="8">
        <v>0.0</v>
      </c>
      <c r="F314" s="8">
        <v>0.0</v>
      </c>
      <c r="G314" s="8">
        <v>0.0</v>
      </c>
      <c r="H314" s="8">
        <v>0.25</v>
      </c>
      <c r="I314" s="8">
        <v>-0.75</v>
      </c>
    </row>
    <row r="315" ht="15.75" customHeight="1">
      <c r="A315" s="7" t="s">
        <v>1317</v>
      </c>
      <c r="B315" s="8" t="s">
        <v>17</v>
      </c>
      <c r="C315" s="8" t="s">
        <v>1320</v>
      </c>
      <c r="D315" s="8">
        <v>4.0</v>
      </c>
      <c r="F315" s="8">
        <v>0.0</v>
      </c>
      <c r="G315" s="8">
        <v>0.0</v>
      </c>
      <c r="H315" s="8">
        <v>0.5</v>
      </c>
    </row>
    <row r="316" ht="15.75" customHeight="1">
      <c r="A316" s="7" t="s">
        <v>1321</v>
      </c>
      <c r="B316" s="8" t="s">
        <v>28</v>
      </c>
      <c r="C316" s="8" t="s">
        <v>1324</v>
      </c>
      <c r="D316" s="8">
        <v>4.0</v>
      </c>
      <c r="F316" s="8">
        <v>0.0</v>
      </c>
      <c r="G316" s="8">
        <v>0.0</v>
      </c>
      <c r="H316" s="8">
        <v>0.0</v>
      </c>
    </row>
    <row r="317" ht="15.75" customHeight="1">
      <c r="A317" s="7" t="s">
        <v>1326</v>
      </c>
      <c r="B317" s="8" t="s">
        <v>17</v>
      </c>
      <c r="C317" s="8" t="s">
        <v>1328</v>
      </c>
      <c r="D317" s="8">
        <v>4.0</v>
      </c>
      <c r="E317" s="8">
        <v>3.0</v>
      </c>
      <c r="F317" s="8">
        <v>0.0</v>
      </c>
      <c r="G317" s="8">
        <v>0.0</v>
      </c>
      <c r="H317" s="8">
        <v>1.25</v>
      </c>
      <c r="I317" s="8">
        <v>1.25</v>
      </c>
    </row>
    <row r="318" ht="15.75" customHeight="1">
      <c r="A318" s="7" t="s">
        <v>1330</v>
      </c>
      <c r="B318" s="8" t="s">
        <v>191</v>
      </c>
      <c r="C318" s="8" t="s">
        <v>1332</v>
      </c>
      <c r="D318" s="8">
        <v>4.0</v>
      </c>
      <c r="E318" s="8">
        <v>2.0</v>
      </c>
      <c r="F318" s="8">
        <v>0.0</v>
      </c>
      <c r="G318" s="8">
        <v>0.0</v>
      </c>
      <c r="H318" s="8">
        <v>0.75</v>
      </c>
      <c r="I318" s="8">
        <v>0.75</v>
      </c>
    </row>
    <row r="319" ht="15.75" customHeight="1">
      <c r="A319" s="7" t="s">
        <v>1334</v>
      </c>
      <c r="B319" s="8" t="s">
        <v>405</v>
      </c>
      <c r="C319" s="8" t="s">
        <v>1336</v>
      </c>
      <c r="D319" s="8">
        <v>4.0</v>
      </c>
      <c r="F319" s="8">
        <v>0.0</v>
      </c>
      <c r="G319" s="8">
        <v>0.0</v>
      </c>
      <c r="H319" s="8">
        <v>0.5</v>
      </c>
    </row>
    <row r="320" ht="15.75" customHeight="1">
      <c r="A320" s="7" t="s">
        <v>1338</v>
      </c>
      <c r="B320" s="8" t="s">
        <v>28</v>
      </c>
      <c r="D320" s="8">
        <v>4.0</v>
      </c>
      <c r="F320" s="8">
        <v>0.0</v>
      </c>
      <c r="G320" s="8">
        <v>0.0</v>
      </c>
      <c r="H320" s="8">
        <v>0.0</v>
      </c>
    </row>
    <row r="321" ht="15.75" customHeight="1">
      <c r="A321" s="8" t="s">
        <v>1340</v>
      </c>
      <c r="B321" s="8" t="s">
        <v>28</v>
      </c>
      <c r="C321" s="8" t="s">
        <v>498</v>
      </c>
      <c r="D321" s="8">
        <v>4.0</v>
      </c>
      <c r="F321" s="8">
        <v>0.0</v>
      </c>
      <c r="G321" s="8">
        <v>0.0</v>
      </c>
      <c r="H321" s="8">
        <v>1.25</v>
      </c>
    </row>
    <row r="322" ht="15.75" customHeight="1">
      <c r="A322" s="7" t="s">
        <v>1342</v>
      </c>
      <c r="B322" s="8" t="s">
        <v>405</v>
      </c>
      <c r="C322" s="8" t="s">
        <v>1344</v>
      </c>
      <c r="D322" s="8">
        <v>4.0</v>
      </c>
      <c r="F322" s="8">
        <v>0.0</v>
      </c>
      <c r="G322" s="8">
        <v>0.0</v>
      </c>
      <c r="H322" s="8">
        <v>0.0</v>
      </c>
    </row>
    <row r="323" ht="15.75" customHeight="1">
      <c r="A323" s="7" t="s">
        <v>1345</v>
      </c>
      <c r="B323" s="8" t="s">
        <v>17</v>
      </c>
      <c r="C323" s="8" t="s">
        <v>1348</v>
      </c>
      <c r="D323" s="8">
        <v>3.0</v>
      </c>
      <c r="F323" s="8">
        <v>0.0</v>
      </c>
      <c r="G323" s="8">
        <v>0.01</v>
      </c>
      <c r="H323" s="8">
        <v>2.33</v>
      </c>
    </row>
    <row r="324" ht="15.75" customHeight="1">
      <c r="A324" s="7" t="s">
        <v>1350</v>
      </c>
      <c r="B324" s="8" t="s">
        <v>17</v>
      </c>
      <c r="C324" s="8" t="s">
        <v>1351</v>
      </c>
      <c r="D324" s="8">
        <v>3.0</v>
      </c>
      <c r="E324" s="8">
        <v>-16.0</v>
      </c>
      <c r="F324" s="8">
        <v>0.0</v>
      </c>
      <c r="G324" s="8">
        <v>0.0</v>
      </c>
      <c r="H324" s="8">
        <v>2.0</v>
      </c>
      <c r="I324" s="8">
        <v>1.63</v>
      </c>
    </row>
    <row r="325" ht="15.75" customHeight="1">
      <c r="A325" s="7" t="s">
        <v>1354</v>
      </c>
      <c r="B325" s="8" t="s">
        <v>405</v>
      </c>
      <c r="C325" s="8" t="s">
        <v>1356</v>
      </c>
      <c r="D325" s="8">
        <v>3.0</v>
      </c>
      <c r="F325" s="8">
        <v>0.0</v>
      </c>
      <c r="G325" s="8">
        <v>0.0</v>
      </c>
      <c r="H325" s="8">
        <v>1.0</v>
      </c>
    </row>
    <row r="326" ht="15.75" customHeight="1">
      <c r="A326" s="7" t="s">
        <v>1357</v>
      </c>
      <c r="B326" s="8" t="s">
        <v>28</v>
      </c>
      <c r="C326" s="8" t="s">
        <v>1358</v>
      </c>
      <c r="D326" s="8">
        <v>3.0</v>
      </c>
      <c r="F326" s="8">
        <v>0.0</v>
      </c>
      <c r="G326" s="8">
        <v>0.0</v>
      </c>
      <c r="H326" s="8">
        <v>1.0</v>
      </c>
    </row>
    <row r="327" ht="15.75" customHeight="1">
      <c r="A327" s="8" t="s">
        <v>1359</v>
      </c>
      <c r="B327" s="8" t="s">
        <v>28</v>
      </c>
      <c r="C327" s="8" t="s">
        <v>1361</v>
      </c>
      <c r="D327" s="8">
        <v>3.0</v>
      </c>
      <c r="F327" s="8">
        <v>0.0</v>
      </c>
      <c r="G327" s="8">
        <v>0.0</v>
      </c>
      <c r="H327" s="8">
        <v>1.33</v>
      </c>
    </row>
    <row r="328" ht="15.75" customHeight="1">
      <c r="A328" s="8" t="s">
        <v>1363</v>
      </c>
      <c r="B328" s="8" t="s">
        <v>191</v>
      </c>
      <c r="C328" s="8" t="s">
        <v>1364</v>
      </c>
      <c r="D328" s="8">
        <v>3.0</v>
      </c>
      <c r="F328" s="8">
        <v>0.0</v>
      </c>
      <c r="G328" s="8">
        <v>0.0</v>
      </c>
      <c r="H328" s="8">
        <v>1.33</v>
      </c>
    </row>
    <row r="329" ht="15.75" customHeight="1">
      <c r="A329" s="7" t="s">
        <v>1365</v>
      </c>
      <c r="B329" s="8" t="s">
        <v>28</v>
      </c>
      <c r="C329" s="8" t="s">
        <v>1369</v>
      </c>
      <c r="D329" s="8">
        <v>3.0</v>
      </c>
      <c r="E329" s="8">
        <v>2.0</v>
      </c>
      <c r="F329" s="8">
        <v>0.0</v>
      </c>
      <c r="G329" s="8">
        <v>0.0</v>
      </c>
      <c r="H329" s="8">
        <v>0.0</v>
      </c>
      <c r="I329" s="8">
        <v>-2.0</v>
      </c>
    </row>
    <row r="330" ht="15.75" customHeight="1">
      <c r="A330" s="7" t="s">
        <v>1370</v>
      </c>
      <c r="B330" s="8" t="s">
        <v>28</v>
      </c>
      <c r="C330" s="8" t="s">
        <v>1372</v>
      </c>
      <c r="D330" s="8">
        <v>3.0</v>
      </c>
      <c r="E330" s="8">
        <v>1.0</v>
      </c>
      <c r="F330" s="8">
        <v>0.0</v>
      </c>
      <c r="G330" s="8">
        <v>0.0</v>
      </c>
      <c r="H330" s="8">
        <v>1.33</v>
      </c>
      <c r="I330" s="8">
        <v>1.33</v>
      </c>
    </row>
    <row r="331" ht="15.75" customHeight="1">
      <c r="A331" s="7" t="s">
        <v>1375</v>
      </c>
      <c r="B331" s="8" t="s">
        <v>28</v>
      </c>
      <c r="C331" s="8" t="s">
        <v>1377</v>
      </c>
      <c r="D331" s="8">
        <v>3.0</v>
      </c>
      <c r="F331" s="8">
        <v>0.0</v>
      </c>
      <c r="G331" s="8">
        <v>0.0</v>
      </c>
      <c r="H331" s="8">
        <v>0.67</v>
      </c>
    </row>
    <row r="332" ht="15.75" customHeight="1">
      <c r="A332" s="7" t="s">
        <v>1378</v>
      </c>
      <c r="B332" s="8" t="s">
        <v>405</v>
      </c>
      <c r="C332" s="8" t="s">
        <v>792</v>
      </c>
      <c r="D332" s="8">
        <v>3.0</v>
      </c>
      <c r="F332" s="8">
        <v>0.0</v>
      </c>
      <c r="G332" s="8">
        <v>0.0</v>
      </c>
      <c r="H332" s="8">
        <v>0.0</v>
      </c>
    </row>
    <row r="333" ht="15.75" customHeight="1">
      <c r="A333" s="7" t="s">
        <v>1381</v>
      </c>
      <c r="B333" s="8" t="s">
        <v>28</v>
      </c>
      <c r="C333" s="8" t="s">
        <v>1383</v>
      </c>
      <c r="D333" s="8">
        <v>3.0</v>
      </c>
      <c r="F333" s="8">
        <v>0.0</v>
      </c>
      <c r="G333" s="8">
        <v>0.0</v>
      </c>
      <c r="H333" s="8">
        <v>0.0</v>
      </c>
    </row>
    <row r="334" ht="15.75" customHeight="1">
      <c r="A334" s="7" t="s">
        <v>1385</v>
      </c>
      <c r="B334" s="8" t="s">
        <v>28</v>
      </c>
      <c r="C334" s="8" t="s">
        <v>1388</v>
      </c>
      <c r="D334" s="8">
        <v>3.0</v>
      </c>
      <c r="E334" s="8">
        <v>-1.0</v>
      </c>
      <c r="F334" s="8">
        <v>0.0</v>
      </c>
      <c r="G334" s="8">
        <v>0.0</v>
      </c>
      <c r="H334" s="8">
        <v>1.0</v>
      </c>
      <c r="I334" s="8">
        <v>0.0</v>
      </c>
    </row>
    <row r="335" ht="15.75" customHeight="1">
      <c r="A335" s="7" t="s">
        <v>1389</v>
      </c>
      <c r="B335" s="8" t="s">
        <v>28</v>
      </c>
      <c r="D335" s="8">
        <v>3.0</v>
      </c>
      <c r="F335" s="8">
        <v>0.0</v>
      </c>
      <c r="G335" s="8">
        <v>0.0</v>
      </c>
      <c r="H335" s="8">
        <v>0.0</v>
      </c>
    </row>
    <row r="336" ht="15.75" customHeight="1">
      <c r="A336" s="7" t="s">
        <v>1392</v>
      </c>
      <c r="B336" s="8" t="s">
        <v>76</v>
      </c>
      <c r="D336" s="8">
        <v>3.0</v>
      </c>
      <c r="F336" s="8">
        <v>0.0</v>
      </c>
      <c r="G336" s="8">
        <v>0.0</v>
      </c>
      <c r="H336" s="8">
        <v>0.0</v>
      </c>
    </row>
    <row r="337" ht="15.75" customHeight="1">
      <c r="A337" s="7" t="s">
        <v>1395</v>
      </c>
      <c r="B337" s="8" t="s">
        <v>28</v>
      </c>
      <c r="C337" s="8" t="s">
        <v>1397</v>
      </c>
      <c r="D337" s="8">
        <v>3.0</v>
      </c>
      <c r="F337" s="8">
        <v>0.0</v>
      </c>
      <c r="G337" s="8">
        <v>0.0</v>
      </c>
      <c r="H337" s="8">
        <v>1.0</v>
      </c>
    </row>
    <row r="338" ht="15.75" customHeight="1">
      <c r="A338" s="7" t="s">
        <v>1399</v>
      </c>
      <c r="B338" s="8" t="s">
        <v>405</v>
      </c>
      <c r="C338" s="8" t="s">
        <v>1401</v>
      </c>
      <c r="D338" s="8">
        <v>3.0</v>
      </c>
      <c r="F338" s="8">
        <v>0.0</v>
      </c>
      <c r="G338" s="8">
        <v>0.0</v>
      </c>
      <c r="H338" s="8">
        <v>0.67</v>
      </c>
    </row>
    <row r="339" ht="15.75" customHeight="1">
      <c r="A339" s="7" t="s">
        <v>1403</v>
      </c>
      <c r="B339" s="8" t="s">
        <v>28</v>
      </c>
      <c r="C339" s="8" t="s">
        <v>1406</v>
      </c>
      <c r="D339" s="8">
        <v>3.0</v>
      </c>
      <c r="F339" s="8">
        <v>0.0</v>
      </c>
      <c r="G339" s="8">
        <v>0.0</v>
      </c>
      <c r="H339" s="8">
        <v>3.33</v>
      </c>
    </row>
    <row r="340" ht="15.75" customHeight="1">
      <c r="A340" s="7" t="s">
        <v>1408</v>
      </c>
      <c r="B340" s="8" t="s">
        <v>28</v>
      </c>
      <c r="C340" s="8" t="s">
        <v>1409</v>
      </c>
      <c r="D340" s="8">
        <v>3.0</v>
      </c>
      <c r="E340" s="8">
        <v>-3.0</v>
      </c>
      <c r="F340" s="8">
        <v>0.0</v>
      </c>
      <c r="G340" s="8">
        <v>0.0</v>
      </c>
      <c r="H340" s="8">
        <v>1.0</v>
      </c>
      <c r="I340" s="8">
        <v>-1.0</v>
      </c>
    </row>
    <row r="341" ht="15.75" customHeight="1">
      <c r="A341" s="7" t="s">
        <v>1411</v>
      </c>
      <c r="B341" s="8" t="s">
        <v>28</v>
      </c>
      <c r="C341" s="8" t="s">
        <v>1413</v>
      </c>
      <c r="D341" s="8">
        <v>3.0</v>
      </c>
      <c r="F341" s="8">
        <v>0.0</v>
      </c>
      <c r="G341" s="8">
        <v>0.0</v>
      </c>
      <c r="H341" s="8">
        <v>0.67</v>
      </c>
    </row>
    <row r="342" ht="15.75" customHeight="1">
      <c r="A342" s="7" t="s">
        <v>1414</v>
      </c>
      <c r="B342" s="8" t="s">
        <v>28</v>
      </c>
      <c r="C342" s="8" t="s">
        <v>1416</v>
      </c>
      <c r="D342" s="8">
        <v>3.0</v>
      </c>
      <c r="F342" s="8">
        <v>0.0</v>
      </c>
      <c r="G342" s="8">
        <v>0.0</v>
      </c>
      <c r="H342" s="8">
        <v>1.33</v>
      </c>
    </row>
    <row r="343" ht="15.75" customHeight="1">
      <c r="A343" s="7" t="s">
        <v>1418</v>
      </c>
      <c r="B343" s="8" t="s">
        <v>28</v>
      </c>
      <c r="C343" s="8" t="s">
        <v>1421</v>
      </c>
      <c r="D343" s="8">
        <v>3.0</v>
      </c>
      <c r="F343" s="8">
        <v>0.0</v>
      </c>
      <c r="G343" s="8">
        <v>0.0</v>
      </c>
      <c r="H343" s="8">
        <v>1.0</v>
      </c>
    </row>
    <row r="344" ht="15.75" customHeight="1">
      <c r="A344" s="7" t="s">
        <v>1422</v>
      </c>
      <c r="B344" s="8" t="s">
        <v>76</v>
      </c>
      <c r="C344" s="8" t="s">
        <v>1424</v>
      </c>
      <c r="D344" s="8">
        <v>3.0</v>
      </c>
      <c r="E344" s="8">
        <v>1.0</v>
      </c>
      <c r="F344" s="8">
        <v>0.0</v>
      </c>
      <c r="G344" s="8">
        <v>0.0</v>
      </c>
      <c r="H344" s="8">
        <v>0.67</v>
      </c>
      <c r="I344" s="8">
        <v>0.17</v>
      </c>
    </row>
    <row r="345" ht="15.75" customHeight="1">
      <c r="A345" s="7" t="s">
        <v>1429</v>
      </c>
      <c r="B345" s="8" t="s">
        <v>28</v>
      </c>
      <c r="C345" s="8" t="s">
        <v>1431</v>
      </c>
      <c r="D345" s="8">
        <v>3.0</v>
      </c>
      <c r="E345" s="8">
        <v>1.0</v>
      </c>
      <c r="F345" s="8">
        <v>0.0</v>
      </c>
      <c r="G345" s="8">
        <v>0.0</v>
      </c>
      <c r="H345" s="8">
        <v>1.0</v>
      </c>
      <c r="I345" s="8">
        <v>0.0</v>
      </c>
    </row>
    <row r="346" ht="15.75" customHeight="1">
      <c r="A346" s="7" t="s">
        <v>1434</v>
      </c>
      <c r="B346" s="8" t="s">
        <v>17</v>
      </c>
      <c r="C346" s="8" t="s">
        <v>1436</v>
      </c>
      <c r="D346" s="8">
        <v>3.0</v>
      </c>
      <c r="F346" s="8">
        <v>0.0</v>
      </c>
      <c r="G346" s="8">
        <v>0.0</v>
      </c>
      <c r="H346" s="8">
        <v>0.67</v>
      </c>
    </row>
    <row r="347" ht="15.75" customHeight="1">
      <c r="A347" s="8" t="s">
        <v>1438</v>
      </c>
      <c r="B347" s="8" t="s">
        <v>405</v>
      </c>
      <c r="C347" s="8" t="s">
        <v>1440</v>
      </c>
      <c r="D347" s="8">
        <v>3.0</v>
      </c>
      <c r="F347" s="8">
        <v>0.0</v>
      </c>
      <c r="G347" s="8">
        <v>0.0</v>
      </c>
      <c r="H347" s="8">
        <v>1.0</v>
      </c>
    </row>
    <row r="348" ht="15.75" customHeight="1">
      <c r="A348" s="7" t="s">
        <v>1441</v>
      </c>
      <c r="B348" s="8" t="s">
        <v>28</v>
      </c>
      <c r="D348" s="8">
        <v>3.0</v>
      </c>
      <c r="E348" s="8">
        <v>2.0</v>
      </c>
      <c r="F348" s="8">
        <v>0.0</v>
      </c>
      <c r="G348" s="8">
        <v>0.0</v>
      </c>
      <c r="H348" s="8">
        <v>0.0</v>
      </c>
      <c r="I348" s="8">
        <v>0.0</v>
      </c>
    </row>
    <row r="349" ht="15.75" customHeight="1">
      <c r="A349" s="7" t="s">
        <v>1444</v>
      </c>
      <c r="B349" s="8" t="s">
        <v>28</v>
      </c>
      <c r="C349" s="8" t="s">
        <v>1447</v>
      </c>
      <c r="D349" s="8">
        <v>3.0</v>
      </c>
      <c r="E349" s="8">
        <v>0.0</v>
      </c>
      <c r="F349" s="8">
        <v>0.0</v>
      </c>
      <c r="G349" s="8">
        <v>0.0</v>
      </c>
      <c r="H349" s="8">
        <v>0.67</v>
      </c>
      <c r="I349" s="8">
        <v>-0.33</v>
      </c>
    </row>
    <row r="350" ht="15.75" customHeight="1">
      <c r="A350" s="7" t="s">
        <v>1449</v>
      </c>
      <c r="B350" s="8" t="s">
        <v>405</v>
      </c>
      <c r="D350" s="8">
        <v>3.0</v>
      </c>
      <c r="F350" s="8">
        <v>0.0</v>
      </c>
      <c r="G350" s="8">
        <v>0.0</v>
      </c>
      <c r="H350" s="8">
        <v>2.33</v>
      </c>
    </row>
    <row r="351" ht="15.75" customHeight="1">
      <c r="A351" s="8" t="s">
        <v>1452</v>
      </c>
      <c r="B351" s="8" t="s">
        <v>191</v>
      </c>
      <c r="C351" s="8" t="s">
        <v>1453</v>
      </c>
      <c r="D351" s="8">
        <v>3.0</v>
      </c>
      <c r="F351" s="8">
        <v>0.0</v>
      </c>
      <c r="G351" s="8">
        <v>0.0</v>
      </c>
      <c r="H351" s="8">
        <v>0.0</v>
      </c>
    </row>
    <row r="352" ht="15.75" customHeight="1">
      <c r="A352" s="7" t="s">
        <v>1454</v>
      </c>
      <c r="B352" s="8" t="s">
        <v>191</v>
      </c>
      <c r="C352" s="8" t="s">
        <v>1457</v>
      </c>
      <c r="D352" s="8">
        <v>3.0</v>
      </c>
      <c r="E352" s="8">
        <v>0.0</v>
      </c>
      <c r="F352" s="8">
        <v>0.0</v>
      </c>
      <c r="G352" s="8">
        <v>0.0</v>
      </c>
      <c r="H352" s="8">
        <v>0.67</v>
      </c>
      <c r="I352" s="8">
        <v>0.0</v>
      </c>
    </row>
    <row r="353" ht="15.75" customHeight="1">
      <c r="A353" s="7" t="s">
        <v>1458</v>
      </c>
      <c r="B353" s="8" t="s">
        <v>28</v>
      </c>
      <c r="D353" s="8">
        <v>3.0</v>
      </c>
      <c r="F353" s="8">
        <v>0.0</v>
      </c>
      <c r="G353" s="8">
        <v>0.0</v>
      </c>
      <c r="H353" s="8">
        <v>1.0</v>
      </c>
    </row>
    <row r="354" ht="15.75" customHeight="1">
      <c r="A354" s="7" t="s">
        <v>1462</v>
      </c>
      <c r="B354" s="8" t="s">
        <v>17</v>
      </c>
      <c r="C354" s="8" t="s">
        <v>1464</v>
      </c>
      <c r="D354" s="8">
        <v>3.0</v>
      </c>
      <c r="E354" s="8">
        <v>1.0</v>
      </c>
      <c r="F354" s="8">
        <v>0.0</v>
      </c>
      <c r="G354" s="8">
        <v>0.0</v>
      </c>
      <c r="H354" s="8">
        <v>0.67</v>
      </c>
      <c r="I354" s="8">
        <v>-0.33</v>
      </c>
    </row>
    <row r="355" ht="15.75" customHeight="1">
      <c r="A355" s="7" t="s">
        <v>1465</v>
      </c>
      <c r="B355" s="8" t="s">
        <v>28</v>
      </c>
      <c r="C355" s="8" t="s">
        <v>1467</v>
      </c>
      <c r="D355" s="8">
        <v>3.0</v>
      </c>
      <c r="E355" s="8">
        <v>2.0</v>
      </c>
      <c r="F355" s="8">
        <v>0.0</v>
      </c>
      <c r="G355" s="8">
        <v>0.0</v>
      </c>
      <c r="H355" s="8">
        <v>3.67</v>
      </c>
      <c r="I355" s="8">
        <v>0.67</v>
      </c>
    </row>
    <row r="356" ht="15.75" customHeight="1">
      <c r="A356" s="7" t="s">
        <v>1469</v>
      </c>
      <c r="B356" s="8" t="s">
        <v>28</v>
      </c>
      <c r="D356" s="8">
        <v>3.0</v>
      </c>
      <c r="E356" s="8">
        <v>1.0</v>
      </c>
      <c r="F356" s="8">
        <v>0.0</v>
      </c>
      <c r="G356" s="8">
        <v>0.0</v>
      </c>
      <c r="H356" s="8">
        <v>0.0</v>
      </c>
      <c r="I356" s="8">
        <v>-1.0</v>
      </c>
    </row>
    <row r="357" ht="15.75" customHeight="1">
      <c r="A357" s="7" t="s">
        <v>1473</v>
      </c>
      <c r="B357" s="8" t="s">
        <v>28</v>
      </c>
      <c r="C357" s="8" t="s">
        <v>1474</v>
      </c>
      <c r="D357" s="8">
        <v>3.0</v>
      </c>
      <c r="E357" s="8">
        <v>-3.0</v>
      </c>
      <c r="F357" s="8">
        <v>0.0</v>
      </c>
      <c r="G357" s="8">
        <v>0.0</v>
      </c>
      <c r="H357" s="8">
        <v>1.0</v>
      </c>
      <c r="I357" s="8">
        <v>-0.17</v>
      </c>
    </row>
    <row r="358" ht="15.75" customHeight="1">
      <c r="A358" s="7" t="s">
        <v>1476</v>
      </c>
      <c r="B358" s="8" t="s">
        <v>28</v>
      </c>
      <c r="C358" s="8" t="s">
        <v>1478</v>
      </c>
      <c r="D358" s="8">
        <v>3.0</v>
      </c>
      <c r="F358" s="8">
        <v>0.0</v>
      </c>
      <c r="G358" s="8">
        <v>0.0</v>
      </c>
      <c r="H358" s="8">
        <v>0.0</v>
      </c>
    </row>
    <row r="359" ht="15.75" customHeight="1">
      <c r="A359" s="7" t="s">
        <v>1479</v>
      </c>
      <c r="B359" s="8" t="s">
        <v>191</v>
      </c>
      <c r="C359" s="8" t="s">
        <v>1481</v>
      </c>
      <c r="D359" s="8">
        <v>3.0</v>
      </c>
      <c r="E359" s="8">
        <v>2.0</v>
      </c>
      <c r="F359" s="8">
        <v>0.0</v>
      </c>
      <c r="G359" s="8">
        <v>0.0</v>
      </c>
      <c r="H359" s="8">
        <v>1.0</v>
      </c>
      <c r="I359" s="8">
        <v>-1.0</v>
      </c>
    </row>
    <row r="360" ht="15.75" customHeight="1">
      <c r="A360" s="7" t="s">
        <v>1483</v>
      </c>
      <c r="B360" s="8" t="s">
        <v>28</v>
      </c>
      <c r="C360" s="8" t="s">
        <v>1486</v>
      </c>
      <c r="D360" s="8">
        <v>3.0</v>
      </c>
      <c r="E360" s="8">
        <v>-11.0</v>
      </c>
      <c r="F360" s="8">
        <v>0.0</v>
      </c>
      <c r="G360" s="8">
        <v>0.0</v>
      </c>
      <c r="H360" s="8">
        <v>0.0</v>
      </c>
      <c r="I360" s="8">
        <v>-0.64</v>
      </c>
    </row>
    <row r="361" ht="15.75" customHeight="1">
      <c r="A361" s="7" t="s">
        <v>1489</v>
      </c>
      <c r="B361" s="8" t="s">
        <v>28</v>
      </c>
      <c r="C361" s="8" t="s">
        <v>1491</v>
      </c>
      <c r="D361" s="8">
        <v>3.0</v>
      </c>
      <c r="E361" s="8">
        <v>0.0</v>
      </c>
      <c r="F361" s="8">
        <v>0.0</v>
      </c>
      <c r="G361" s="8">
        <v>0.0</v>
      </c>
      <c r="H361" s="8">
        <v>0.33</v>
      </c>
      <c r="I361" s="8">
        <v>-0.33</v>
      </c>
    </row>
    <row r="362" ht="15.75" customHeight="1">
      <c r="A362" s="7" t="s">
        <v>1493</v>
      </c>
      <c r="B362" s="8" t="s">
        <v>28</v>
      </c>
      <c r="C362" s="8" t="s">
        <v>1495</v>
      </c>
      <c r="D362" s="8">
        <v>3.0</v>
      </c>
      <c r="E362" s="8">
        <v>2.0</v>
      </c>
      <c r="F362" s="8">
        <v>0.0</v>
      </c>
      <c r="G362" s="8">
        <v>0.0</v>
      </c>
      <c r="H362" s="8">
        <v>0.0</v>
      </c>
      <c r="I362" s="8">
        <v>-2.0</v>
      </c>
    </row>
    <row r="363" ht="15.75" customHeight="1">
      <c r="A363" s="7" t="s">
        <v>1497</v>
      </c>
      <c r="B363" s="8" t="s">
        <v>28</v>
      </c>
      <c r="C363" s="8" t="s">
        <v>1499</v>
      </c>
      <c r="D363" s="8">
        <v>3.0</v>
      </c>
      <c r="E363" s="8">
        <v>2.0</v>
      </c>
      <c r="F363" s="8">
        <v>0.0</v>
      </c>
      <c r="G363" s="8">
        <v>0.0</v>
      </c>
      <c r="H363" s="8">
        <v>0.0</v>
      </c>
      <c r="I363" s="8">
        <v>-2.0</v>
      </c>
    </row>
    <row r="364" ht="15.75" customHeight="1">
      <c r="A364" s="7" t="s">
        <v>1500</v>
      </c>
      <c r="B364" s="8" t="s">
        <v>191</v>
      </c>
      <c r="C364" s="8" t="s">
        <v>1503</v>
      </c>
      <c r="D364" s="8">
        <v>3.0</v>
      </c>
      <c r="E364" s="8">
        <v>-1.0</v>
      </c>
      <c r="F364" s="8">
        <v>0.0</v>
      </c>
      <c r="G364" s="8">
        <v>0.0</v>
      </c>
      <c r="H364" s="8">
        <v>2.0</v>
      </c>
      <c r="I364" s="8">
        <v>1.5</v>
      </c>
    </row>
    <row r="365" ht="15.75" customHeight="1">
      <c r="A365" s="7" t="s">
        <v>1504</v>
      </c>
      <c r="B365" s="8" t="s">
        <v>28</v>
      </c>
      <c r="C365" s="8" t="s">
        <v>1506</v>
      </c>
      <c r="D365" s="8">
        <v>3.0</v>
      </c>
      <c r="F365" s="8">
        <v>0.0</v>
      </c>
      <c r="G365" s="8">
        <v>0.0</v>
      </c>
      <c r="H365" s="8">
        <v>0.0</v>
      </c>
    </row>
    <row r="366" ht="15.75" customHeight="1">
      <c r="A366" s="7" t="s">
        <v>1508</v>
      </c>
      <c r="B366" s="8" t="s">
        <v>191</v>
      </c>
      <c r="C366" s="8" t="s">
        <v>1510</v>
      </c>
      <c r="D366" s="8">
        <v>3.0</v>
      </c>
      <c r="F366" s="8">
        <v>0.0</v>
      </c>
      <c r="G366" s="8">
        <v>0.0</v>
      </c>
      <c r="H366" s="8">
        <v>1.0</v>
      </c>
    </row>
    <row r="367" ht="15.75" customHeight="1">
      <c r="A367" s="7" t="s">
        <v>1511</v>
      </c>
      <c r="B367" s="8" t="s">
        <v>28</v>
      </c>
      <c r="C367" s="8" t="s">
        <v>186</v>
      </c>
      <c r="D367" s="8">
        <v>3.0</v>
      </c>
      <c r="E367" s="8">
        <v>2.0</v>
      </c>
      <c r="F367" s="8">
        <v>0.0</v>
      </c>
      <c r="G367" s="8">
        <v>0.0</v>
      </c>
      <c r="H367" s="8">
        <v>0.67</v>
      </c>
      <c r="I367" s="8">
        <v>-0.33</v>
      </c>
    </row>
    <row r="368" ht="15.75" customHeight="1">
      <c r="A368" s="7" t="s">
        <v>1514</v>
      </c>
      <c r="B368" s="8" t="s">
        <v>191</v>
      </c>
      <c r="C368" s="8" t="s">
        <v>1516</v>
      </c>
      <c r="D368" s="8">
        <v>3.0</v>
      </c>
      <c r="E368" s="8">
        <v>-4.0</v>
      </c>
      <c r="F368" s="8">
        <v>0.0</v>
      </c>
      <c r="G368" s="8">
        <v>0.0</v>
      </c>
      <c r="H368" s="8">
        <v>0.33</v>
      </c>
      <c r="I368" s="8">
        <v>0.33</v>
      </c>
    </row>
    <row r="369" ht="15.75" customHeight="1">
      <c r="A369" s="7" t="s">
        <v>1518</v>
      </c>
      <c r="B369" s="8" t="s">
        <v>28</v>
      </c>
      <c r="C369" s="8" t="s">
        <v>1521</v>
      </c>
      <c r="D369" s="8">
        <v>3.0</v>
      </c>
      <c r="F369" s="8">
        <v>0.0</v>
      </c>
      <c r="G369" s="8">
        <v>0.0</v>
      </c>
      <c r="H369" s="8">
        <v>0.33</v>
      </c>
    </row>
    <row r="370" ht="15.75" customHeight="1">
      <c r="A370" s="7" t="s">
        <v>1522</v>
      </c>
      <c r="B370" s="8" t="s">
        <v>17</v>
      </c>
      <c r="C370" s="8" t="s">
        <v>1524</v>
      </c>
      <c r="D370" s="8">
        <v>3.0</v>
      </c>
      <c r="F370" s="8">
        <v>0.0</v>
      </c>
      <c r="G370" s="8">
        <v>0.0</v>
      </c>
      <c r="H370" s="8">
        <v>1.0</v>
      </c>
    </row>
    <row r="371" ht="15.75" customHeight="1">
      <c r="A371" s="7" t="s">
        <v>1525</v>
      </c>
      <c r="B371" s="8" t="s">
        <v>28</v>
      </c>
      <c r="C371" s="8" t="s">
        <v>252</v>
      </c>
      <c r="D371" s="8">
        <v>3.0</v>
      </c>
      <c r="E371" s="8">
        <v>-1.0</v>
      </c>
      <c r="F371" s="8">
        <v>0.0</v>
      </c>
      <c r="G371" s="8">
        <v>0.0</v>
      </c>
      <c r="H371" s="8">
        <v>0.67</v>
      </c>
      <c r="I371" s="8">
        <v>0.42</v>
      </c>
    </row>
    <row r="372" ht="15.75" customHeight="1">
      <c r="A372" s="7" t="s">
        <v>1529</v>
      </c>
      <c r="B372" s="8" t="s">
        <v>28</v>
      </c>
      <c r="C372" s="8" t="s">
        <v>1531</v>
      </c>
      <c r="D372" s="8">
        <v>3.0</v>
      </c>
      <c r="E372" s="8">
        <v>0.0</v>
      </c>
      <c r="F372" s="8">
        <v>0.0</v>
      </c>
      <c r="G372" s="8">
        <v>0.0</v>
      </c>
      <c r="H372" s="8">
        <v>1.0</v>
      </c>
      <c r="I372" s="8">
        <v>0.0</v>
      </c>
    </row>
    <row r="373" ht="15.75" customHeight="1">
      <c r="A373" s="7" t="s">
        <v>1532</v>
      </c>
      <c r="B373" s="8" t="s">
        <v>28</v>
      </c>
      <c r="C373" s="8" t="s">
        <v>1534</v>
      </c>
      <c r="D373" s="8">
        <v>3.0</v>
      </c>
      <c r="F373" s="8">
        <v>0.0</v>
      </c>
      <c r="G373" s="8">
        <v>0.0</v>
      </c>
      <c r="H373" s="8">
        <v>1.33</v>
      </c>
    </row>
    <row r="374" ht="15.75" customHeight="1">
      <c r="A374" s="7" t="s">
        <v>1535</v>
      </c>
      <c r="B374" s="8" t="s">
        <v>28</v>
      </c>
      <c r="C374" s="8" t="s">
        <v>1537</v>
      </c>
      <c r="D374" s="8">
        <v>3.0</v>
      </c>
      <c r="E374" s="8">
        <v>-13.0</v>
      </c>
      <c r="F374" s="8">
        <v>0.0</v>
      </c>
      <c r="G374" s="8">
        <v>0.0</v>
      </c>
      <c r="H374" s="8">
        <v>0.67</v>
      </c>
      <c r="I374" s="8">
        <v>-0.33</v>
      </c>
    </row>
    <row r="375" ht="15.75" customHeight="1">
      <c r="A375" s="7" t="s">
        <v>1540</v>
      </c>
      <c r="B375" s="8" t="s">
        <v>28</v>
      </c>
      <c r="C375" s="8" t="s">
        <v>1541</v>
      </c>
      <c r="D375" s="8">
        <v>3.0</v>
      </c>
      <c r="E375" s="8">
        <v>2.0</v>
      </c>
      <c r="F375" s="8">
        <v>0.0</v>
      </c>
      <c r="G375" s="8">
        <v>0.0</v>
      </c>
      <c r="H375" s="8">
        <v>3.0</v>
      </c>
      <c r="I375" s="8">
        <v>2.0</v>
      </c>
    </row>
    <row r="376" ht="15.75" customHeight="1">
      <c r="A376" s="7" t="s">
        <v>1544</v>
      </c>
      <c r="B376" s="8" t="s">
        <v>17</v>
      </c>
      <c r="C376" s="8" t="s">
        <v>1546</v>
      </c>
      <c r="D376" s="8">
        <v>3.0</v>
      </c>
      <c r="E376" s="8">
        <v>2.0</v>
      </c>
      <c r="F376" s="8">
        <v>0.0</v>
      </c>
      <c r="G376" s="8">
        <v>0.0</v>
      </c>
      <c r="H376" s="8">
        <v>0.67</v>
      </c>
      <c r="I376" s="8">
        <v>-1.33</v>
      </c>
    </row>
    <row r="377" ht="15.75" customHeight="1">
      <c r="A377" s="7" t="s">
        <v>1548</v>
      </c>
      <c r="B377" s="8" t="s">
        <v>28</v>
      </c>
      <c r="C377" s="8" t="s">
        <v>1549</v>
      </c>
      <c r="D377" s="8">
        <v>3.0</v>
      </c>
      <c r="E377" s="8">
        <v>-3.0</v>
      </c>
      <c r="F377" s="8">
        <v>0.0</v>
      </c>
      <c r="G377" s="8">
        <v>0.0</v>
      </c>
      <c r="H377" s="8">
        <v>1.0</v>
      </c>
      <c r="I377" s="8">
        <v>0.83</v>
      </c>
    </row>
    <row r="378" ht="15.75" customHeight="1">
      <c r="A378" s="7" t="s">
        <v>1552</v>
      </c>
      <c r="B378" s="8" t="s">
        <v>28</v>
      </c>
      <c r="C378" s="8" t="s">
        <v>1554</v>
      </c>
      <c r="D378" s="8">
        <v>2.0</v>
      </c>
      <c r="F378" s="8">
        <v>0.0</v>
      </c>
      <c r="G378" s="8">
        <v>0.0</v>
      </c>
      <c r="H378" s="8">
        <v>1.0</v>
      </c>
    </row>
    <row r="379" ht="15.75" customHeight="1">
      <c r="A379" s="7" t="s">
        <v>1555</v>
      </c>
      <c r="B379" s="8" t="s">
        <v>17</v>
      </c>
      <c r="C379" s="8" t="s">
        <v>1558</v>
      </c>
      <c r="D379" s="8">
        <v>2.0</v>
      </c>
      <c r="F379" s="8">
        <v>0.0</v>
      </c>
      <c r="G379" s="8">
        <v>0.0</v>
      </c>
      <c r="H379" s="8">
        <v>3.5</v>
      </c>
    </row>
    <row r="380" ht="15.75" customHeight="1">
      <c r="A380" s="7" t="s">
        <v>1559</v>
      </c>
      <c r="B380" s="8" t="s">
        <v>28</v>
      </c>
      <c r="C380" s="8" t="s">
        <v>1563</v>
      </c>
      <c r="D380" s="8">
        <v>2.0</v>
      </c>
      <c r="F380" s="8">
        <v>0.0</v>
      </c>
      <c r="G380" s="8">
        <v>0.0</v>
      </c>
      <c r="H380" s="8">
        <v>2.0</v>
      </c>
    </row>
    <row r="381" ht="15.75" customHeight="1">
      <c r="A381" s="7" t="s">
        <v>1564</v>
      </c>
      <c r="B381" s="8" t="s">
        <v>28</v>
      </c>
      <c r="C381" s="8" t="s">
        <v>1567</v>
      </c>
      <c r="D381" s="8">
        <v>2.0</v>
      </c>
      <c r="F381" s="8">
        <v>0.0</v>
      </c>
      <c r="G381" s="8">
        <v>0.0</v>
      </c>
      <c r="H381" s="8">
        <v>1.0</v>
      </c>
    </row>
    <row r="382" ht="15.75" customHeight="1">
      <c r="A382" s="7" t="s">
        <v>1569</v>
      </c>
      <c r="B382" s="8" t="s">
        <v>17</v>
      </c>
      <c r="C382" s="8" t="s">
        <v>1571</v>
      </c>
      <c r="D382" s="8">
        <v>2.0</v>
      </c>
      <c r="E382" s="8">
        <v>1.0</v>
      </c>
      <c r="F382" s="8">
        <v>0.0</v>
      </c>
      <c r="G382" s="8">
        <v>0.0</v>
      </c>
      <c r="H382" s="8">
        <v>5.5</v>
      </c>
      <c r="I382" s="8">
        <v>3.5</v>
      </c>
    </row>
    <row r="383" ht="15.75" customHeight="1">
      <c r="A383" s="7" t="s">
        <v>1572</v>
      </c>
      <c r="B383" s="8" t="s">
        <v>28</v>
      </c>
      <c r="C383" s="8" t="s">
        <v>1575</v>
      </c>
      <c r="D383" s="8">
        <v>2.0</v>
      </c>
      <c r="F383" s="8">
        <v>0.0</v>
      </c>
      <c r="G383" s="8">
        <v>0.0</v>
      </c>
      <c r="H383" s="8">
        <v>1.5</v>
      </c>
    </row>
    <row r="384" ht="15.75" customHeight="1">
      <c r="A384" s="7" t="s">
        <v>1576</v>
      </c>
      <c r="B384" s="8" t="s">
        <v>28</v>
      </c>
      <c r="D384" s="8">
        <v>2.0</v>
      </c>
      <c r="F384" s="8">
        <v>0.0</v>
      </c>
      <c r="G384" s="8">
        <v>0.0</v>
      </c>
      <c r="H384" s="8">
        <v>1.5</v>
      </c>
    </row>
    <row r="385" ht="15.75" customHeight="1">
      <c r="A385" s="7" t="s">
        <v>1580</v>
      </c>
      <c r="B385" s="8" t="s">
        <v>48</v>
      </c>
      <c r="C385" s="8" t="s">
        <v>803</v>
      </c>
      <c r="D385" s="8">
        <v>2.0</v>
      </c>
      <c r="E385" s="8">
        <v>1.0</v>
      </c>
      <c r="F385" s="8">
        <v>0.0</v>
      </c>
      <c r="G385" s="8">
        <v>0.0</v>
      </c>
      <c r="H385" s="8">
        <v>0.0</v>
      </c>
      <c r="I385" s="8">
        <v>-2.0</v>
      </c>
    </row>
    <row r="386" ht="15.75" customHeight="1">
      <c r="A386" s="7" t="s">
        <v>1584</v>
      </c>
      <c r="B386" s="8" t="s">
        <v>28</v>
      </c>
      <c r="C386" s="8" t="s">
        <v>1587</v>
      </c>
      <c r="D386" s="8">
        <v>2.0</v>
      </c>
      <c r="E386" s="8">
        <v>0.0</v>
      </c>
      <c r="F386" s="8">
        <v>0.0</v>
      </c>
      <c r="G386" s="8">
        <v>0.0</v>
      </c>
      <c r="H386" s="8">
        <v>1.0</v>
      </c>
      <c r="I386" s="8">
        <v>1.0</v>
      </c>
    </row>
    <row r="387" ht="15.75" customHeight="1">
      <c r="A387" s="7" t="s">
        <v>1589</v>
      </c>
      <c r="B387" s="8" t="s">
        <v>28</v>
      </c>
      <c r="C387" s="8" t="s">
        <v>1591</v>
      </c>
      <c r="D387" s="8">
        <v>2.0</v>
      </c>
      <c r="E387" s="8">
        <v>1.0</v>
      </c>
      <c r="F387" s="8">
        <v>0.0</v>
      </c>
      <c r="G387" s="8">
        <v>0.0</v>
      </c>
      <c r="H387" s="8">
        <v>0.0</v>
      </c>
      <c r="I387" s="8">
        <v>0.0</v>
      </c>
    </row>
    <row r="388" ht="15.75" customHeight="1">
      <c r="A388" s="7" t="s">
        <v>1594</v>
      </c>
      <c r="B388" s="8" t="s">
        <v>17</v>
      </c>
      <c r="C388" s="8" t="s">
        <v>1595</v>
      </c>
      <c r="D388" s="8">
        <v>2.0</v>
      </c>
      <c r="F388" s="8">
        <v>0.0</v>
      </c>
      <c r="G388" s="8">
        <v>0.0</v>
      </c>
      <c r="H388" s="8">
        <v>2.0</v>
      </c>
    </row>
    <row r="389" ht="15.75" customHeight="1">
      <c r="A389" s="7" t="s">
        <v>1597</v>
      </c>
      <c r="B389" s="8" t="s">
        <v>28</v>
      </c>
      <c r="D389" s="8">
        <v>2.0</v>
      </c>
      <c r="F389" s="8">
        <v>0.0</v>
      </c>
      <c r="G389" s="8">
        <v>0.0</v>
      </c>
      <c r="H389" s="8">
        <v>1.5</v>
      </c>
    </row>
    <row r="390" ht="15.75" customHeight="1">
      <c r="A390" s="7" t="s">
        <v>1600</v>
      </c>
      <c r="B390" s="8" t="s">
        <v>28</v>
      </c>
      <c r="C390" s="8" t="s">
        <v>1603</v>
      </c>
      <c r="D390" s="8">
        <v>2.0</v>
      </c>
      <c r="F390" s="8">
        <v>0.0</v>
      </c>
      <c r="G390" s="8">
        <v>0.0</v>
      </c>
      <c r="H390" s="8">
        <v>2.0</v>
      </c>
    </row>
    <row r="391" ht="15.75" customHeight="1">
      <c r="A391" s="7" t="s">
        <v>1605</v>
      </c>
      <c r="B391" s="8" t="s">
        <v>17</v>
      </c>
      <c r="C391" s="8" t="s">
        <v>1607</v>
      </c>
      <c r="D391" s="8">
        <v>2.0</v>
      </c>
      <c r="F391" s="8">
        <v>0.0</v>
      </c>
      <c r="G391" s="8">
        <v>0.0</v>
      </c>
      <c r="H391" s="8">
        <v>1.5</v>
      </c>
    </row>
    <row r="392" ht="15.75" customHeight="1">
      <c r="A392" s="7" t="s">
        <v>1608</v>
      </c>
      <c r="B392" s="8" t="s">
        <v>28</v>
      </c>
      <c r="C392" s="8" t="s">
        <v>1611</v>
      </c>
      <c r="D392" s="8">
        <v>2.0</v>
      </c>
      <c r="F392" s="8">
        <v>0.0</v>
      </c>
      <c r="G392" s="8">
        <v>0.0</v>
      </c>
      <c r="H392" s="8">
        <v>1.5</v>
      </c>
    </row>
    <row r="393" ht="15.75" customHeight="1">
      <c r="A393" s="7" t="s">
        <v>1613</v>
      </c>
      <c r="B393" s="8" t="s">
        <v>28</v>
      </c>
      <c r="C393" s="8" t="s">
        <v>1615</v>
      </c>
      <c r="D393" s="8">
        <v>2.0</v>
      </c>
      <c r="E393" s="8">
        <v>-4.0</v>
      </c>
      <c r="F393" s="8">
        <v>0.0</v>
      </c>
      <c r="G393" s="8">
        <v>0.0</v>
      </c>
      <c r="H393" s="8">
        <v>2.0</v>
      </c>
      <c r="I393" s="8">
        <v>-0.33</v>
      </c>
    </row>
    <row r="394" ht="15.75" customHeight="1">
      <c r="A394" s="7" t="s">
        <v>1616</v>
      </c>
      <c r="B394" s="8" t="s">
        <v>28</v>
      </c>
      <c r="C394" s="8" t="s">
        <v>1618</v>
      </c>
      <c r="D394" s="8">
        <v>2.0</v>
      </c>
      <c r="E394" s="8">
        <v>-1.0</v>
      </c>
      <c r="F394" s="8">
        <v>0.0</v>
      </c>
      <c r="G394" s="8">
        <v>0.0</v>
      </c>
      <c r="H394" s="8">
        <v>1.0</v>
      </c>
      <c r="I394" s="8">
        <v>1.0</v>
      </c>
    </row>
    <row r="395" ht="15.75" customHeight="1">
      <c r="A395" s="7" t="s">
        <v>1620</v>
      </c>
      <c r="B395" s="8" t="s">
        <v>28</v>
      </c>
      <c r="C395" s="8" t="s">
        <v>1622</v>
      </c>
      <c r="D395" s="8">
        <v>2.0</v>
      </c>
      <c r="E395" s="8">
        <v>1.0</v>
      </c>
      <c r="F395" s="8">
        <v>0.0</v>
      </c>
      <c r="G395" s="8">
        <v>0.0</v>
      </c>
      <c r="H395" s="8">
        <v>2.0</v>
      </c>
      <c r="I395" s="8">
        <v>1.0</v>
      </c>
    </row>
    <row r="396" ht="15.75" customHeight="1">
      <c r="A396" s="7" t="s">
        <v>1624</v>
      </c>
      <c r="B396" s="8" t="s">
        <v>28</v>
      </c>
      <c r="C396" s="8" t="s">
        <v>1626</v>
      </c>
      <c r="D396" s="8">
        <v>2.0</v>
      </c>
      <c r="E396" s="8">
        <v>1.0</v>
      </c>
      <c r="F396" s="8">
        <v>0.0</v>
      </c>
      <c r="G396" s="8">
        <v>0.0</v>
      </c>
      <c r="H396" s="8">
        <v>1.0</v>
      </c>
      <c r="I396" s="8">
        <v>0.0</v>
      </c>
    </row>
    <row r="397" ht="15.75" customHeight="1">
      <c r="A397" s="7" t="s">
        <v>1627</v>
      </c>
      <c r="B397" s="8" t="s">
        <v>28</v>
      </c>
      <c r="C397" s="8" t="s">
        <v>1629</v>
      </c>
      <c r="D397" s="8">
        <v>2.0</v>
      </c>
      <c r="E397" s="8">
        <v>1.0</v>
      </c>
      <c r="F397" s="8">
        <v>0.0</v>
      </c>
      <c r="G397" s="8">
        <v>0.0</v>
      </c>
      <c r="H397" s="8">
        <v>1.5</v>
      </c>
      <c r="I397" s="8">
        <v>0.5</v>
      </c>
    </row>
    <row r="398" ht="15.75" customHeight="1">
      <c r="A398" s="7" t="s">
        <v>1631</v>
      </c>
      <c r="B398" s="8" t="s">
        <v>28</v>
      </c>
      <c r="D398" s="8">
        <v>2.0</v>
      </c>
      <c r="E398" s="8">
        <v>0.0</v>
      </c>
      <c r="F398" s="8">
        <v>0.0</v>
      </c>
      <c r="G398" s="8">
        <v>0.0</v>
      </c>
      <c r="H398" s="8">
        <v>1.5</v>
      </c>
      <c r="I398" s="8">
        <v>1.0</v>
      </c>
    </row>
    <row r="399" ht="15.75" customHeight="1">
      <c r="A399" s="7" t="s">
        <v>1634</v>
      </c>
      <c r="B399" s="8" t="s">
        <v>28</v>
      </c>
      <c r="C399" s="8" t="s">
        <v>1635</v>
      </c>
      <c r="D399" s="8">
        <v>2.0</v>
      </c>
      <c r="F399" s="8">
        <v>0.0</v>
      </c>
      <c r="G399" s="8">
        <v>0.0</v>
      </c>
      <c r="H399" s="8">
        <v>0.0</v>
      </c>
    </row>
    <row r="400" ht="15.75" customHeight="1">
      <c r="A400" s="7" t="s">
        <v>1637</v>
      </c>
      <c r="B400" s="8" t="s">
        <v>28</v>
      </c>
      <c r="C400" s="8" t="s">
        <v>1639</v>
      </c>
      <c r="D400" s="8">
        <v>2.0</v>
      </c>
      <c r="E400" s="8">
        <v>-3.0</v>
      </c>
      <c r="F400" s="8">
        <v>0.0</v>
      </c>
      <c r="G400" s="8">
        <v>0.0</v>
      </c>
      <c r="H400" s="8">
        <v>0.5</v>
      </c>
      <c r="I400" s="8">
        <v>0.5</v>
      </c>
    </row>
    <row r="401" ht="15.75" customHeight="1">
      <c r="A401" s="7" t="s">
        <v>1641</v>
      </c>
      <c r="B401" s="8" t="s">
        <v>17</v>
      </c>
      <c r="C401" s="8" t="s">
        <v>1643</v>
      </c>
      <c r="D401" s="8">
        <v>2.0</v>
      </c>
      <c r="F401" s="8">
        <v>0.0</v>
      </c>
      <c r="G401" s="8">
        <v>0.0</v>
      </c>
      <c r="H401" s="8">
        <v>1.0</v>
      </c>
    </row>
    <row r="402" ht="15.75" customHeight="1">
      <c r="A402" s="7" t="s">
        <v>1645</v>
      </c>
      <c r="B402" s="8" t="s">
        <v>28</v>
      </c>
      <c r="C402" s="8" t="s">
        <v>1647</v>
      </c>
      <c r="D402" s="8">
        <v>2.0</v>
      </c>
      <c r="F402" s="8">
        <v>0.0</v>
      </c>
      <c r="G402" s="8">
        <v>0.0</v>
      </c>
      <c r="H402" s="8">
        <v>0.0</v>
      </c>
    </row>
    <row r="403" ht="15.75" customHeight="1">
      <c r="A403" s="7" t="s">
        <v>1648</v>
      </c>
      <c r="B403" s="8" t="s">
        <v>28</v>
      </c>
      <c r="C403" s="8" t="s">
        <v>1649</v>
      </c>
      <c r="D403" s="8">
        <v>2.0</v>
      </c>
      <c r="E403" s="8">
        <v>-3.0</v>
      </c>
      <c r="F403" s="8">
        <v>0.0</v>
      </c>
      <c r="G403" s="8">
        <v>0.0</v>
      </c>
      <c r="H403" s="8">
        <v>0.0</v>
      </c>
      <c r="I403" s="8">
        <v>-0.8</v>
      </c>
    </row>
    <row r="404" ht="15.75" customHeight="1">
      <c r="A404" s="7" t="s">
        <v>1650</v>
      </c>
      <c r="B404" s="8" t="s">
        <v>28</v>
      </c>
      <c r="C404" s="8" t="s">
        <v>1652</v>
      </c>
      <c r="D404" s="8">
        <v>2.0</v>
      </c>
      <c r="F404" s="8">
        <v>0.0</v>
      </c>
      <c r="G404" s="8">
        <v>0.0</v>
      </c>
      <c r="H404" s="8">
        <v>1.5</v>
      </c>
    </row>
    <row r="405" ht="15.75" customHeight="1">
      <c r="A405" s="8" t="s">
        <v>1654</v>
      </c>
      <c r="B405" s="8" t="s">
        <v>405</v>
      </c>
      <c r="D405" s="8">
        <v>2.0</v>
      </c>
      <c r="F405" s="8">
        <v>0.0</v>
      </c>
      <c r="G405" s="8">
        <v>0.0</v>
      </c>
      <c r="H405" s="8">
        <v>0.0</v>
      </c>
    </row>
    <row r="406" ht="15.75" customHeight="1">
      <c r="A406" s="7" t="s">
        <v>1656</v>
      </c>
      <c r="B406" s="8" t="s">
        <v>28</v>
      </c>
      <c r="C406" s="8" t="s">
        <v>1658</v>
      </c>
      <c r="D406" s="8">
        <v>2.0</v>
      </c>
      <c r="F406" s="8">
        <v>0.0</v>
      </c>
      <c r="G406" s="8">
        <v>0.0</v>
      </c>
      <c r="H406" s="8">
        <v>1.0</v>
      </c>
    </row>
    <row r="407" ht="15.75" customHeight="1">
      <c r="A407" s="7" t="s">
        <v>1660</v>
      </c>
      <c r="B407" s="8" t="s">
        <v>405</v>
      </c>
      <c r="C407" s="8" t="s">
        <v>1663</v>
      </c>
      <c r="D407" s="8">
        <v>2.0</v>
      </c>
      <c r="E407" s="8">
        <v>1.0</v>
      </c>
      <c r="F407" s="8">
        <v>0.0</v>
      </c>
      <c r="G407" s="8">
        <v>0.0</v>
      </c>
      <c r="H407" s="8">
        <v>0.0</v>
      </c>
      <c r="I407" s="8">
        <v>-3.0</v>
      </c>
    </row>
    <row r="408" ht="15.75" customHeight="1">
      <c r="A408" s="7" t="s">
        <v>1665</v>
      </c>
      <c r="B408" s="8" t="s">
        <v>405</v>
      </c>
      <c r="D408" s="8">
        <v>2.0</v>
      </c>
      <c r="F408" s="8">
        <v>0.0</v>
      </c>
      <c r="G408" s="8">
        <v>0.0</v>
      </c>
      <c r="H408" s="8">
        <v>0.0</v>
      </c>
    </row>
    <row r="409" ht="15.75" customHeight="1">
      <c r="A409" s="7" t="s">
        <v>1671</v>
      </c>
      <c r="B409" s="8" t="s">
        <v>28</v>
      </c>
      <c r="C409" s="8" t="s">
        <v>1673</v>
      </c>
      <c r="D409" s="8">
        <v>2.0</v>
      </c>
      <c r="F409" s="8">
        <v>0.0</v>
      </c>
      <c r="G409" s="8">
        <v>0.0</v>
      </c>
      <c r="H409" s="8">
        <v>0.0</v>
      </c>
    </row>
    <row r="410" ht="15.75" customHeight="1">
      <c r="A410" s="7" t="s">
        <v>1676</v>
      </c>
      <c r="B410" s="8" t="s">
        <v>76</v>
      </c>
      <c r="C410" s="8" t="s">
        <v>1677</v>
      </c>
      <c r="D410" s="8">
        <v>2.0</v>
      </c>
      <c r="F410" s="8">
        <v>0.0</v>
      </c>
      <c r="G410" s="8">
        <v>0.0</v>
      </c>
      <c r="H410" s="8">
        <v>1.0</v>
      </c>
    </row>
    <row r="411" ht="15.75" customHeight="1">
      <c r="A411" s="7" t="s">
        <v>1679</v>
      </c>
      <c r="B411" s="8" t="s">
        <v>405</v>
      </c>
      <c r="C411" s="8" t="s">
        <v>1680</v>
      </c>
      <c r="D411" s="8">
        <v>2.0</v>
      </c>
      <c r="E411" s="8">
        <v>1.0</v>
      </c>
      <c r="F411" s="8">
        <v>0.0</v>
      </c>
      <c r="G411" s="8">
        <v>0.0</v>
      </c>
      <c r="H411" s="8">
        <v>1.0</v>
      </c>
      <c r="I411" s="8">
        <v>1.0</v>
      </c>
    </row>
    <row r="412" ht="15.75" customHeight="1">
      <c r="A412" s="7" t="s">
        <v>1682</v>
      </c>
      <c r="B412" s="8" t="s">
        <v>17</v>
      </c>
      <c r="C412" s="8" t="s">
        <v>1684</v>
      </c>
      <c r="D412" s="8">
        <v>2.0</v>
      </c>
      <c r="E412" s="8">
        <v>1.0</v>
      </c>
      <c r="F412" s="8">
        <v>0.0</v>
      </c>
      <c r="G412" s="8">
        <v>0.0</v>
      </c>
      <c r="H412" s="8">
        <v>1.0</v>
      </c>
      <c r="I412" s="8">
        <v>0.0</v>
      </c>
    </row>
    <row r="413" ht="15.75" customHeight="1">
      <c r="A413" s="7" t="s">
        <v>1687</v>
      </c>
      <c r="B413" s="8" t="s">
        <v>28</v>
      </c>
      <c r="C413" s="8" t="s">
        <v>1689</v>
      </c>
      <c r="D413" s="8">
        <v>2.0</v>
      </c>
      <c r="F413" s="8">
        <v>0.0</v>
      </c>
      <c r="G413" s="8">
        <v>0.0</v>
      </c>
      <c r="H413" s="8">
        <v>0.0</v>
      </c>
    </row>
    <row r="414" ht="15.75" customHeight="1">
      <c r="A414" s="7" t="s">
        <v>1692</v>
      </c>
      <c r="B414" s="8" t="s">
        <v>28</v>
      </c>
      <c r="C414" s="8" t="s">
        <v>1694</v>
      </c>
      <c r="D414" s="8">
        <v>2.0</v>
      </c>
      <c r="F414" s="8">
        <v>0.0</v>
      </c>
      <c r="G414" s="8">
        <v>0.0</v>
      </c>
      <c r="H414" s="8">
        <v>1.0</v>
      </c>
    </row>
    <row r="415" ht="15.75" customHeight="1">
      <c r="A415" s="7" t="s">
        <v>1696</v>
      </c>
      <c r="B415" s="8" t="s">
        <v>28</v>
      </c>
      <c r="D415" s="8">
        <v>2.0</v>
      </c>
      <c r="F415" s="8">
        <v>0.0</v>
      </c>
      <c r="G415" s="8">
        <v>0.0</v>
      </c>
      <c r="H415" s="8">
        <v>0.0</v>
      </c>
    </row>
    <row r="416" ht="15.75" customHeight="1">
      <c r="A416" s="7" t="s">
        <v>1699</v>
      </c>
      <c r="B416" s="8" t="s">
        <v>28</v>
      </c>
      <c r="C416" s="8" t="s">
        <v>724</v>
      </c>
      <c r="D416" s="8">
        <v>2.0</v>
      </c>
      <c r="F416" s="8">
        <v>0.0</v>
      </c>
      <c r="G416" s="8">
        <v>0.0</v>
      </c>
      <c r="H416" s="8">
        <v>0.0</v>
      </c>
    </row>
    <row r="417" ht="15.75" customHeight="1">
      <c r="A417" s="7" t="s">
        <v>1701</v>
      </c>
      <c r="B417" s="8" t="s">
        <v>17</v>
      </c>
      <c r="C417" s="8" t="s">
        <v>1703</v>
      </c>
      <c r="D417" s="8">
        <v>2.0</v>
      </c>
      <c r="E417" s="8">
        <v>0.0</v>
      </c>
      <c r="F417" s="8">
        <v>0.0</v>
      </c>
      <c r="G417" s="8">
        <v>0.0</v>
      </c>
      <c r="H417" s="8">
        <v>1.5</v>
      </c>
      <c r="I417" s="8">
        <v>0.5</v>
      </c>
    </row>
    <row r="418" ht="15.75" customHeight="1">
      <c r="A418" s="7" t="s">
        <v>1704</v>
      </c>
      <c r="B418" s="8" t="s">
        <v>492</v>
      </c>
      <c r="C418" s="8" t="s">
        <v>1707</v>
      </c>
      <c r="D418" s="8">
        <v>2.0</v>
      </c>
      <c r="F418" s="8">
        <v>0.0</v>
      </c>
      <c r="G418" s="8">
        <v>0.0</v>
      </c>
      <c r="H418" s="8">
        <v>1.0</v>
      </c>
    </row>
    <row r="419" ht="15.75" customHeight="1">
      <c r="A419" s="7" t="s">
        <v>1709</v>
      </c>
      <c r="B419" s="8" t="s">
        <v>28</v>
      </c>
      <c r="C419" s="8" t="s">
        <v>1711</v>
      </c>
      <c r="D419" s="8">
        <v>2.0</v>
      </c>
      <c r="F419" s="8">
        <v>0.0</v>
      </c>
      <c r="G419" s="8">
        <v>0.0</v>
      </c>
      <c r="H419" s="8">
        <v>1.0</v>
      </c>
    </row>
    <row r="420" ht="15.75" customHeight="1">
      <c r="A420" s="7" t="s">
        <v>1713</v>
      </c>
      <c r="B420" s="8" t="s">
        <v>48</v>
      </c>
      <c r="C420" s="8" t="s">
        <v>1715</v>
      </c>
      <c r="D420" s="8">
        <v>2.0</v>
      </c>
      <c r="F420" s="8">
        <v>0.0</v>
      </c>
      <c r="G420" s="8">
        <v>0.0</v>
      </c>
      <c r="H420" s="8">
        <v>2.5</v>
      </c>
    </row>
    <row r="421" ht="15.75" customHeight="1">
      <c r="A421" s="7" t="s">
        <v>1716</v>
      </c>
      <c r="B421" s="8" t="s">
        <v>28</v>
      </c>
      <c r="D421" s="8">
        <v>2.0</v>
      </c>
      <c r="F421" s="8">
        <v>0.0</v>
      </c>
      <c r="G421" s="8">
        <v>0.0</v>
      </c>
      <c r="H421" s="8">
        <v>1.0</v>
      </c>
    </row>
    <row r="422" ht="15.75" customHeight="1">
      <c r="A422" s="7" t="s">
        <v>1719</v>
      </c>
      <c r="B422" s="8" t="s">
        <v>405</v>
      </c>
      <c r="C422" s="8" t="s">
        <v>1721</v>
      </c>
      <c r="D422" s="8">
        <v>2.0</v>
      </c>
      <c r="F422" s="8">
        <v>0.0</v>
      </c>
      <c r="G422" s="8">
        <v>0.0</v>
      </c>
      <c r="H422" s="8">
        <v>2.0</v>
      </c>
    </row>
    <row r="423" ht="15.75" customHeight="1">
      <c r="A423" s="7" t="s">
        <v>1723</v>
      </c>
      <c r="B423" s="8" t="s">
        <v>28</v>
      </c>
      <c r="C423" s="8" t="s">
        <v>1724</v>
      </c>
      <c r="D423" s="8">
        <v>2.0</v>
      </c>
      <c r="F423" s="8">
        <v>0.0</v>
      </c>
      <c r="G423" s="8">
        <v>0.0</v>
      </c>
      <c r="H423" s="8">
        <v>0.0</v>
      </c>
    </row>
    <row r="424" ht="15.75" customHeight="1">
      <c r="A424" s="7" t="s">
        <v>1726</v>
      </c>
      <c r="B424" s="8" t="s">
        <v>28</v>
      </c>
      <c r="D424" s="8">
        <v>2.0</v>
      </c>
      <c r="E424" s="8">
        <v>-10.0</v>
      </c>
      <c r="F424" s="8">
        <v>0.0</v>
      </c>
      <c r="G424" s="8">
        <v>0.0</v>
      </c>
      <c r="H424" s="8">
        <v>0.5</v>
      </c>
      <c r="I424" s="8">
        <v>-0.25</v>
      </c>
    </row>
    <row r="425" ht="15.75" customHeight="1">
      <c r="A425" s="7" t="s">
        <v>1728</v>
      </c>
      <c r="B425" s="8" t="s">
        <v>28</v>
      </c>
      <c r="D425" s="8">
        <v>2.0</v>
      </c>
      <c r="F425" s="8">
        <v>0.0</v>
      </c>
      <c r="G425" s="8">
        <v>0.0</v>
      </c>
      <c r="H425" s="8">
        <v>0.5</v>
      </c>
    </row>
    <row r="426" ht="15.75" customHeight="1">
      <c r="A426" s="7" t="s">
        <v>1731</v>
      </c>
      <c r="B426" s="8" t="s">
        <v>76</v>
      </c>
      <c r="C426" s="8" t="s">
        <v>1464</v>
      </c>
      <c r="D426" s="8">
        <v>2.0</v>
      </c>
      <c r="F426" s="8">
        <v>0.0</v>
      </c>
      <c r="G426" s="8">
        <v>0.0</v>
      </c>
      <c r="H426" s="8">
        <v>1.0</v>
      </c>
    </row>
    <row r="427" ht="15.75" customHeight="1">
      <c r="A427" s="8" t="s">
        <v>1733</v>
      </c>
      <c r="B427" s="8" t="s">
        <v>28</v>
      </c>
      <c r="C427" s="8" t="s">
        <v>1734</v>
      </c>
      <c r="D427" s="8">
        <v>2.0</v>
      </c>
      <c r="F427" s="8">
        <v>0.0</v>
      </c>
      <c r="G427" s="8">
        <v>0.0</v>
      </c>
      <c r="H427" s="8">
        <v>1.0</v>
      </c>
    </row>
    <row r="428" ht="15.75" customHeight="1">
      <c r="A428" s="7" t="s">
        <v>1737</v>
      </c>
      <c r="B428" s="8" t="s">
        <v>28</v>
      </c>
      <c r="C428" s="8" t="s">
        <v>1739</v>
      </c>
      <c r="D428" s="8">
        <v>2.0</v>
      </c>
      <c r="E428" s="8">
        <v>-7.0</v>
      </c>
      <c r="F428" s="8">
        <v>0.0</v>
      </c>
      <c r="G428" s="8">
        <v>0.0</v>
      </c>
      <c r="H428" s="8">
        <v>0.5</v>
      </c>
      <c r="I428" s="8">
        <v>0.5</v>
      </c>
    </row>
    <row r="429" ht="15.75" customHeight="1">
      <c r="A429" s="7" t="s">
        <v>1740</v>
      </c>
      <c r="B429" s="8" t="s">
        <v>28</v>
      </c>
      <c r="D429" s="8">
        <v>2.0</v>
      </c>
      <c r="F429" s="8">
        <v>0.0</v>
      </c>
      <c r="G429" s="8">
        <v>0.0</v>
      </c>
      <c r="H429" s="8">
        <v>1.0</v>
      </c>
    </row>
    <row r="430" ht="15.75" customHeight="1">
      <c r="A430" s="7" t="s">
        <v>1743</v>
      </c>
      <c r="B430" s="8" t="s">
        <v>48</v>
      </c>
      <c r="C430" s="8" t="s">
        <v>1745</v>
      </c>
      <c r="D430" s="8">
        <v>2.0</v>
      </c>
      <c r="E430" s="8">
        <v>-4.0</v>
      </c>
      <c r="F430" s="8">
        <v>0.0</v>
      </c>
      <c r="G430" s="8">
        <v>0.0</v>
      </c>
      <c r="H430" s="8">
        <v>0.0</v>
      </c>
      <c r="I430" s="8">
        <v>-1.0</v>
      </c>
    </row>
    <row r="431" ht="15.75" customHeight="1">
      <c r="A431" s="7" t="s">
        <v>1747</v>
      </c>
      <c r="B431" s="8" t="s">
        <v>28</v>
      </c>
      <c r="C431" s="8" t="s">
        <v>1749</v>
      </c>
      <c r="D431" s="8">
        <v>2.0</v>
      </c>
      <c r="F431" s="8">
        <v>0.0</v>
      </c>
      <c r="G431" s="8">
        <v>0.0</v>
      </c>
      <c r="H431" s="8">
        <v>1.5</v>
      </c>
    </row>
    <row r="432" ht="15.75" customHeight="1">
      <c r="A432" s="7" t="s">
        <v>1750</v>
      </c>
      <c r="B432" s="8" t="s">
        <v>28</v>
      </c>
      <c r="C432" s="8" t="s">
        <v>1753</v>
      </c>
      <c r="D432" s="8">
        <v>2.0</v>
      </c>
      <c r="F432" s="8">
        <v>0.0</v>
      </c>
      <c r="G432" s="8">
        <v>0.0</v>
      </c>
      <c r="H432" s="8">
        <v>1.0</v>
      </c>
    </row>
    <row r="433" ht="15.75" customHeight="1">
      <c r="A433" s="7" t="s">
        <v>1754</v>
      </c>
      <c r="B433" s="8" t="s">
        <v>191</v>
      </c>
      <c r="C433" s="8" t="s">
        <v>1757</v>
      </c>
      <c r="D433" s="8">
        <v>2.0</v>
      </c>
      <c r="F433" s="8">
        <v>0.0</v>
      </c>
      <c r="G433" s="8">
        <v>0.0</v>
      </c>
      <c r="H433" s="8">
        <v>1.0</v>
      </c>
    </row>
    <row r="434" ht="15.75" customHeight="1">
      <c r="A434" s="7" t="s">
        <v>1759</v>
      </c>
      <c r="B434" s="8" t="s">
        <v>28</v>
      </c>
      <c r="C434" s="8" t="s">
        <v>1761</v>
      </c>
      <c r="D434" s="8">
        <v>2.0</v>
      </c>
      <c r="E434" s="8">
        <v>0.0</v>
      </c>
      <c r="F434" s="8">
        <v>0.0</v>
      </c>
      <c r="G434" s="8">
        <v>0.0</v>
      </c>
      <c r="H434" s="8">
        <v>1.0</v>
      </c>
      <c r="I434" s="8">
        <v>0.0</v>
      </c>
    </row>
    <row r="435" ht="15.75" customHeight="1">
      <c r="A435" s="7" t="s">
        <v>1764</v>
      </c>
      <c r="B435" s="8" t="s">
        <v>28</v>
      </c>
      <c r="C435" s="8" t="s">
        <v>1765</v>
      </c>
      <c r="D435" s="8">
        <v>2.0</v>
      </c>
      <c r="F435" s="8">
        <v>0.0</v>
      </c>
      <c r="G435" s="8">
        <v>0.0</v>
      </c>
      <c r="H435" s="8">
        <v>0.5</v>
      </c>
    </row>
    <row r="436" ht="15.75" customHeight="1">
      <c r="A436" s="7" t="s">
        <v>1767</v>
      </c>
      <c r="B436" s="8" t="s">
        <v>28</v>
      </c>
      <c r="C436" s="8" t="s">
        <v>1464</v>
      </c>
      <c r="D436" s="8">
        <v>2.0</v>
      </c>
      <c r="E436" s="8">
        <v>0.0</v>
      </c>
      <c r="F436" s="8">
        <v>0.0</v>
      </c>
      <c r="G436" s="8">
        <v>0.0</v>
      </c>
      <c r="H436" s="8">
        <v>0.0</v>
      </c>
      <c r="I436" s="8">
        <v>0.0</v>
      </c>
    </row>
    <row r="437" ht="15.75" customHeight="1">
      <c r="A437" s="7" t="s">
        <v>1770</v>
      </c>
      <c r="B437" s="8" t="s">
        <v>492</v>
      </c>
      <c r="D437" s="8">
        <v>2.0</v>
      </c>
      <c r="F437" s="8">
        <v>0.0</v>
      </c>
      <c r="G437" s="8">
        <v>0.0</v>
      </c>
      <c r="H437" s="8">
        <v>2.5</v>
      </c>
    </row>
    <row r="438" ht="15.75" customHeight="1">
      <c r="A438" s="7" t="s">
        <v>1771</v>
      </c>
      <c r="B438" s="8" t="s">
        <v>28</v>
      </c>
      <c r="C438" s="8" t="s">
        <v>1773</v>
      </c>
      <c r="D438" s="8">
        <v>2.0</v>
      </c>
      <c r="F438" s="8">
        <v>0.0</v>
      </c>
      <c r="G438" s="8">
        <v>0.0</v>
      </c>
      <c r="H438" s="8">
        <v>1.0</v>
      </c>
    </row>
    <row r="439" ht="15.75" customHeight="1">
      <c r="A439" s="7" t="s">
        <v>1774</v>
      </c>
      <c r="B439" s="8" t="s">
        <v>28</v>
      </c>
      <c r="C439" s="8" t="s">
        <v>1776</v>
      </c>
      <c r="D439" s="8">
        <v>2.0</v>
      </c>
      <c r="F439" s="8">
        <v>0.0</v>
      </c>
      <c r="G439" s="8">
        <v>0.0</v>
      </c>
      <c r="H439" s="8">
        <v>0.0</v>
      </c>
    </row>
    <row r="440" ht="15.75" customHeight="1">
      <c r="A440" s="7" t="s">
        <v>1778</v>
      </c>
      <c r="B440" s="8" t="s">
        <v>28</v>
      </c>
      <c r="C440" s="8" t="s">
        <v>1779</v>
      </c>
      <c r="D440" s="8">
        <v>2.0</v>
      </c>
      <c r="F440" s="8">
        <v>0.0</v>
      </c>
      <c r="G440" s="8">
        <v>0.0</v>
      </c>
      <c r="H440" s="8">
        <v>0.0</v>
      </c>
    </row>
    <row r="441" ht="15.75" customHeight="1">
      <c r="A441" s="7" t="s">
        <v>1782</v>
      </c>
      <c r="B441" s="8" t="s">
        <v>28</v>
      </c>
      <c r="C441" s="8" t="s">
        <v>1783</v>
      </c>
      <c r="D441" s="8">
        <v>2.0</v>
      </c>
      <c r="F441" s="8">
        <v>0.0</v>
      </c>
      <c r="G441" s="8">
        <v>0.0</v>
      </c>
      <c r="H441" s="8">
        <v>0.0</v>
      </c>
    </row>
    <row r="442" ht="15.75" customHeight="1">
      <c r="A442" s="7" t="s">
        <v>1785</v>
      </c>
      <c r="B442" s="8" t="s">
        <v>28</v>
      </c>
      <c r="C442" s="8" t="s">
        <v>1788</v>
      </c>
      <c r="D442" s="8">
        <v>2.0</v>
      </c>
      <c r="F442" s="8">
        <v>0.0</v>
      </c>
      <c r="G442" s="8">
        <v>0.0</v>
      </c>
      <c r="H442" s="8">
        <v>0.0</v>
      </c>
    </row>
    <row r="443" ht="15.75" customHeight="1">
      <c r="A443" s="7" t="s">
        <v>1789</v>
      </c>
      <c r="B443" s="8" t="s">
        <v>405</v>
      </c>
      <c r="C443" s="8" t="s">
        <v>1792</v>
      </c>
      <c r="D443" s="8">
        <v>2.0</v>
      </c>
      <c r="F443" s="8">
        <v>0.0</v>
      </c>
      <c r="G443" s="8">
        <v>0.0</v>
      </c>
      <c r="H443" s="8">
        <v>0.0</v>
      </c>
    </row>
    <row r="444" ht="15.75" customHeight="1">
      <c r="A444" s="7" t="s">
        <v>1793</v>
      </c>
      <c r="B444" s="8" t="s">
        <v>191</v>
      </c>
      <c r="C444" s="8" t="s">
        <v>1796</v>
      </c>
      <c r="D444" s="8">
        <v>2.0</v>
      </c>
      <c r="E444" s="8">
        <v>-5.0</v>
      </c>
      <c r="F444" s="8">
        <v>0.0</v>
      </c>
      <c r="G444" s="8">
        <v>0.0</v>
      </c>
      <c r="H444" s="8">
        <v>0.5</v>
      </c>
      <c r="I444" s="8">
        <v>0.5</v>
      </c>
    </row>
    <row r="445" ht="15.75" customHeight="1">
      <c r="A445" s="7" t="s">
        <v>1798</v>
      </c>
      <c r="B445" s="8" t="s">
        <v>76</v>
      </c>
      <c r="C445" s="8" t="s">
        <v>1801</v>
      </c>
      <c r="D445" s="8">
        <v>2.0</v>
      </c>
      <c r="F445" s="8">
        <v>0.0</v>
      </c>
      <c r="G445" s="8">
        <v>0.0</v>
      </c>
      <c r="H445" s="8">
        <v>0.5</v>
      </c>
    </row>
    <row r="446" ht="15.75" customHeight="1">
      <c r="A446" s="7" t="s">
        <v>1803</v>
      </c>
      <c r="B446" s="8" t="s">
        <v>28</v>
      </c>
      <c r="C446" s="8" t="s">
        <v>1804</v>
      </c>
      <c r="D446" s="8">
        <v>2.0</v>
      </c>
      <c r="F446" s="8">
        <v>0.0</v>
      </c>
      <c r="G446" s="8">
        <v>0.0</v>
      </c>
      <c r="H446" s="8">
        <v>0.5</v>
      </c>
    </row>
    <row r="447" ht="15.75" customHeight="1">
      <c r="A447" s="7" t="s">
        <v>1807</v>
      </c>
      <c r="B447" s="8" t="s">
        <v>492</v>
      </c>
      <c r="D447" s="8">
        <v>2.0</v>
      </c>
      <c r="F447" s="8">
        <v>0.0</v>
      </c>
      <c r="G447" s="8">
        <v>0.0</v>
      </c>
      <c r="H447" s="8">
        <v>3.0</v>
      </c>
    </row>
    <row r="448" ht="15.75" customHeight="1">
      <c r="A448" s="7" t="s">
        <v>1810</v>
      </c>
      <c r="B448" s="8" t="s">
        <v>28</v>
      </c>
      <c r="C448" s="8" t="s">
        <v>1813</v>
      </c>
      <c r="D448" s="8">
        <v>2.0</v>
      </c>
      <c r="F448" s="8">
        <v>0.0</v>
      </c>
      <c r="G448" s="8">
        <v>0.0</v>
      </c>
      <c r="H448" s="8">
        <v>0.0</v>
      </c>
    </row>
    <row r="449" ht="15.75" customHeight="1">
      <c r="A449" s="7" t="s">
        <v>1814</v>
      </c>
      <c r="B449" s="8" t="s">
        <v>28</v>
      </c>
      <c r="C449" s="8" t="s">
        <v>186</v>
      </c>
      <c r="D449" s="8">
        <v>2.0</v>
      </c>
      <c r="F449" s="8">
        <v>0.0</v>
      </c>
      <c r="G449" s="8">
        <v>0.0</v>
      </c>
      <c r="H449" s="8">
        <v>0.5</v>
      </c>
    </row>
    <row r="450" ht="15.75" customHeight="1">
      <c r="A450" s="7" t="s">
        <v>1817</v>
      </c>
      <c r="B450" s="8" t="s">
        <v>405</v>
      </c>
      <c r="C450" s="8" t="s">
        <v>1819</v>
      </c>
      <c r="D450" s="8">
        <v>2.0</v>
      </c>
      <c r="F450" s="8">
        <v>0.0</v>
      </c>
      <c r="G450" s="8">
        <v>0.0</v>
      </c>
      <c r="H450" s="8">
        <v>0.0</v>
      </c>
    </row>
    <row r="451" ht="15.75" customHeight="1">
      <c r="A451" s="7" t="s">
        <v>1821</v>
      </c>
      <c r="B451" s="8" t="s">
        <v>17</v>
      </c>
      <c r="C451" s="8" t="s">
        <v>1824</v>
      </c>
      <c r="D451" s="8">
        <v>2.0</v>
      </c>
      <c r="E451" s="8">
        <v>0.0</v>
      </c>
      <c r="F451" s="8">
        <v>0.0</v>
      </c>
      <c r="G451" s="8">
        <v>0.0</v>
      </c>
      <c r="H451" s="8">
        <v>1.0</v>
      </c>
      <c r="I451" s="8">
        <v>0.0</v>
      </c>
    </row>
    <row r="452" ht="15.75" customHeight="1">
      <c r="A452" s="7" t="s">
        <v>1825</v>
      </c>
      <c r="B452" s="8" t="s">
        <v>28</v>
      </c>
      <c r="C452" s="8" t="s">
        <v>1828</v>
      </c>
      <c r="D452" s="8">
        <v>2.0</v>
      </c>
      <c r="F452" s="8">
        <v>0.0</v>
      </c>
      <c r="G452" s="8">
        <v>0.0</v>
      </c>
      <c r="H452" s="8">
        <v>1.0</v>
      </c>
    </row>
    <row r="453" ht="15.75" customHeight="1">
      <c r="A453" s="7" t="s">
        <v>1829</v>
      </c>
      <c r="B453" s="8" t="s">
        <v>492</v>
      </c>
      <c r="D453" s="8">
        <v>2.0</v>
      </c>
      <c r="F453" s="8">
        <v>0.0</v>
      </c>
      <c r="G453" s="8">
        <v>0.0</v>
      </c>
      <c r="H453" s="8">
        <v>1.5</v>
      </c>
    </row>
    <row r="454" ht="15.75" customHeight="1">
      <c r="A454" s="7" t="s">
        <v>1833</v>
      </c>
      <c r="B454" s="8" t="s">
        <v>17</v>
      </c>
      <c r="C454" s="8" t="s">
        <v>1835</v>
      </c>
      <c r="D454" s="8">
        <v>2.0</v>
      </c>
      <c r="F454" s="8">
        <v>0.0</v>
      </c>
      <c r="G454" s="8">
        <v>0.0</v>
      </c>
      <c r="H454" s="8">
        <v>0.5</v>
      </c>
    </row>
    <row r="455" ht="15.75" customHeight="1">
      <c r="A455" s="7" t="s">
        <v>1836</v>
      </c>
      <c r="B455" s="8" t="s">
        <v>17</v>
      </c>
      <c r="C455" s="8" t="s">
        <v>1838</v>
      </c>
      <c r="D455" s="8">
        <v>2.0</v>
      </c>
      <c r="E455" s="8">
        <v>1.0</v>
      </c>
      <c r="F455" s="8">
        <v>0.0</v>
      </c>
      <c r="G455" s="8">
        <v>0.0</v>
      </c>
      <c r="H455" s="8">
        <v>1.0</v>
      </c>
      <c r="I455" s="8">
        <v>0.0</v>
      </c>
    </row>
    <row r="456" ht="15.75" customHeight="1">
      <c r="A456" s="7" t="s">
        <v>1840</v>
      </c>
      <c r="B456" s="8" t="s">
        <v>28</v>
      </c>
      <c r="C456" s="8" t="s">
        <v>1843</v>
      </c>
      <c r="D456" s="8">
        <v>2.0</v>
      </c>
      <c r="E456" s="8">
        <v>-2.0</v>
      </c>
      <c r="F456" s="8">
        <v>0.0</v>
      </c>
      <c r="G456" s="8">
        <v>0.0</v>
      </c>
      <c r="H456" s="8">
        <v>1.0</v>
      </c>
      <c r="I456" s="8">
        <v>-0.5</v>
      </c>
    </row>
    <row r="457" ht="15.75" customHeight="1">
      <c r="A457" s="7" t="s">
        <v>1844</v>
      </c>
      <c r="B457" s="8" t="s">
        <v>28</v>
      </c>
      <c r="C457" s="8" t="s">
        <v>1846</v>
      </c>
      <c r="D457" s="8">
        <v>2.0</v>
      </c>
      <c r="E457" s="8">
        <v>-2.0</v>
      </c>
      <c r="F457" s="8">
        <v>0.0</v>
      </c>
      <c r="G457" s="8">
        <v>0.0</v>
      </c>
      <c r="H457" s="8">
        <v>0.0</v>
      </c>
      <c r="I457" s="8">
        <v>0.0</v>
      </c>
    </row>
    <row r="458" ht="15.75" customHeight="1">
      <c r="A458" s="7" t="s">
        <v>1848</v>
      </c>
      <c r="B458" s="8" t="s">
        <v>191</v>
      </c>
      <c r="C458" s="8" t="s">
        <v>1851</v>
      </c>
      <c r="D458" s="8">
        <v>2.0</v>
      </c>
      <c r="E458" s="8">
        <v>1.0</v>
      </c>
      <c r="F458" s="8">
        <v>0.0</v>
      </c>
      <c r="G458" s="8">
        <v>0.0</v>
      </c>
      <c r="H458" s="8">
        <v>0.5</v>
      </c>
      <c r="I458" s="8">
        <v>-0.5</v>
      </c>
    </row>
    <row r="459" ht="15.75" customHeight="1">
      <c r="A459" s="7" t="s">
        <v>1853</v>
      </c>
      <c r="B459" s="8" t="s">
        <v>28</v>
      </c>
      <c r="C459" s="8" t="s">
        <v>1855</v>
      </c>
      <c r="D459" s="8">
        <v>2.0</v>
      </c>
      <c r="F459" s="8">
        <v>0.0</v>
      </c>
      <c r="G459" s="8">
        <v>0.0</v>
      </c>
      <c r="H459" s="8">
        <v>1.0</v>
      </c>
    </row>
    <row r="460" ht="15.75" customHeight="1">
      <c r="A460" s="7" t="s">
        <v>1856</v>
      </c>
      <c r="B460" s="8" t="s">
        <v>28</v>
      </c>
      <c r="C460" s="8" t="s">
        <v>1859</v>
      </c>
      <c r="D460" s="8">
        <v>2.0</v>
      </c>
      <c r="F460" s="8">
        <v>0.0</v>
      </c>
      <c r="G460" s="8">
        <v>0.0</v>
      </c>
      <c r="H460" s="8">
        <v>2.0</v>
      </c>
    </row>
    <row r="461" ht="15.75" customHeight="1">
      <c r="A461" s="7" t="s">
        <v>1861</v>
      </c>
      <c r="B461" s="8" t="s">
        <v>28</v>
      </c>
      <c r="C461" s="8" t="s">
        <v>1862</v>
      </c>
      <c r="D461" s="8">
        <v>2.0</v>
      </c>
      <c r="E461" s="8">
        <v>-9.0</v>
      </c>
      <c r="F461" s="8">
        <v>0.0</v>
      </c>
      <c r="G461" s="8">
        <v>0.0</v>
      </c>
      <c r="H461" s="8">
        <v>0.5</v>
      </c>
      <c r="I461" s="8">
        <v>-0.5</v>
      </c>
    </row>
    <row r="462" ht="15.75" customHeight="1">
      <c r="A462" s="7" t="s">
        <v>1865</v>
      </c>
      <c r="B462" s="8" t="s">
        <v>191</v>
      </c>
      <c r="C462" s="8" t="s">
        <v>1867</v>
      </c>
      <c r="D462" s="8">
        <v>2.0</v>
      </c>
      <c r="F462" s="8">
        <v>0.0</v>
      </c>
      <c r="G462" s="8">
        <v>0.0</v>
      </c>
      <c r="H462" s="8">
        <v>1.5</v>
      </c>
    </row>
    <row r="463" ht="15.75" customHeight="1">
      <c r="A463" s="7" t="s">
        <v>1868</v>
      </c>
      <c r="B463" s="8" t="s">
        <v>76</v>
      </c>
      <c r="C463" s="8" t="s">
        <v>1871</v>
      </c>
      <c r="D463" s="8">
        <v>2.0</v>
      </c>
      <c r="F463" s="8">
        <v>0.0</v>
      </c>
      <c r="G463" s="8">
        <v>0.0</v>
      </c>
      <c r="H463" s="8">
        <v>4.0</v>
      </c>
    </row>
    <row r="464" ht="15.75" customHeight="1">
      <c r="A464" s="7" t="s">
        <v>1873</v>
      </c>
      <c r="B464" s="8" t="s">
        <v>48</v>
      </c>
      <c r="C464" s="8" t="s">
        <v>1876</v>
      </c>
      <c r="D464" s="8">
        <v>2.0</v>
      </c>
      <c r="E464" s="8">
        <v>1.0</v>
      </c>
      <c r="F464" s="8">
        <v>0.0</v>
      </c>
      <c r="G464" s="8">
        <v>0.0</v>
      </c>
      <c r="H464" s="8">
        <v>1.0</v>
      </c>
      <c r="I464" s="8">
        <v>1.0</v>
      </c>
    </row>
    <row r="465" ht="15.75" customHeight="1">
      <c r="A465" s="7" t="s">
        <v>1878</v>
      </c>
      <c r="B465" s="8" t="s">
        <v>28</v>
      </c>
      <c r="C465" s="8" t="s">
        <v>1880</v>
      </c>
      <c r="D465" s="8">
        <v>2.0</v>
      </c>
      <c r="F465" s="8">
        <v>0.0</v>
      </c>
      <c r="G465" s="8">
        <v>0.0</v>
      </c>
      <c r="H465" s="8">
        <v>0.0</v>
      </c>
    </row>
    <row r="466" ht="15.75" customHeight="1">
      <c r="A466" s="7" t="s">
        <v>1882</v>
      </c>
      <c r="B466" s="8" t="s">
        <v>28</v>
      </c>
      <c r="C466" s="8" t="s">
        <v>1884</v>
      </c>
      <c r="D466" s="8">
        <v>2.0</v>
      </c>
      <c r="F466" s="8">
        <v>0.0</v>
      </c>
      <c r="G466" s="8">
        <v>0.0</v>
      </c>
      <c r="H466" s="8">
        <v>1.0</v>
      </c>
    </row>
    <row r="467" ht="15.75" customHeight="1">
      <c r="A467" s="7" t="s">
        <v>1885</v>
      </c>
      <c r="B467" s="8" t="s">
        <v>28</v>
      </c>
      <c r="C467" s="8" t="s">
        <v>1887</v>
      </c>
      <c r="D467" s="8">
        <v>2.0</v>
      </c>
      <c r="F467" s="8">
        <v>0.0</v>
      </c>
      <c r="G467" s="8">
        <v>0.0</v>
      </c>
      <c r="H467" s="8">
        <v>0.5</v>
      </c>
    </row>
    <row r="468" ht="15.75" customHeight="1">
      <c r="A468" s="7" t="s">
        <v>1889</v>
      </c>
      <c r="B468" s="8" t="s">
        <v>28</v>
      </c>
      <c r="D468" s="8">
        <v>2.0</v>
      </c>
      <c r="E468" s="8">
        <v>1.0</v>
      </c>
      <c r="F468" s="8">
        <v>0.0</v>
      </c>
      <c r="G468" s="8">
        <v>0.0</v>
      </c>
      <c r="H468" s="8">
        <v>1.0</v>
      </c>
      <c r="I468" s="8">
        <v>1.0</v>
      </c>
    </row>
    <row r="469" ht="15.75" customHeight="1">
      <c r="A469" s="7" t="s">
        <v>1892</v>
      </c>
      <c r="B469" s="8" t="s">
        <v>28</v>
      </c>
      <c r="C469" s="8" t="s">
        <v>1894</v>
      </c>
      <c r="D469" s="8">
        <v>2.0</v>
      </c>
      <c r="F469" s="8">
        <v>0.0</v>
      </c>
      <c r="G469" s="8">
        <v>0.0</v>
      </c>
      <c r="H469" s="8">
        <v>0.0</v>
      </c>
    </row>
    <row r="470" ht="15.75" customHeight="1">
      <c r="A470" s="7" t="s">
        <v>1895</v>
      </c>
      <c r="B470" s="8" t="s">
        <v>28</v>
      </c>
      <c r="C470" s="8" t="s">
        <v>1897</v>
      </c>
      <c r="D470" s="8">
        <v>2.0</v>
      </c>
      <c r="E470" s="8">
        <v>-1.0</v>
      </c>
      <c r="F470" s="8">
        <v>0.0</v>
      </c>
      <c r="G470" s="8">
        <v>0.0</v>
      </c>
      <c r="H470" s="8">
        <v>0.0</v>
      </c>
      <c r="I470" s="8">
        <v>-0.67</v>
      </c>
    </row>
    <row r="471" ht="15.75" customHeight="1">
      <c r="A471" s="7" t="s">
        <v>1898</v>
      </c>
      <c r="B471" s="8" t="s">
        <v>28</v>
      </c>
      <c r="D471" s="8">
        <v>2.0</v>
      </c>
      <c r="E471" s="8">
        <v>0.0</v>
      </c>
      <c r="F471" s="8">
        <v>0.0</v>
      </c>
      <c r="G471" s="8">
        <v>0.0</v>
      </c>
      <c r="H471" s="8">
        <v>1.0</v>
      </c>
      <c r="I471" s="8">
        <v>1.0</v>
      </c>
    </row>
    <row r="472" ht="15.75" customHeight="1">
      <c r="A472" s="7" t="s">
        <v>1902</v>
      </c>
      <c r="B472" s="8" t="s">
        <v>28</v>
      </c>
      <c r="C472" s="8" t="s">
        <v>186</v>
      </c>
      <c r="D472" s="8">
        <v>2.0</v>
      </c>
      <c r="E472" s="8">
        <v>-16.0</v>
      </c>
      <c r="F472" s="8">
        <v>0.0</v>
      </c>
      <c r="G472" s="8">
        <v>0.0</v>
      </c>
      <c r="H472" s="8">
        <v>2.0</v>
      </c>
      <c r="I472" s="8">
        <v>1.83</v>
      </c>
    </row>
    <row r="473" ht="15.75" customHeight="1">
      <c r="A473" s="7" t="s">
        <v>1905</v>
      </c>
      <c r="B473" s="8" t="s">
        <v>405</v>
      </c>
      <c r="C473" s="8" t="s">
        <v>1907</v>
      </c>
      <c r="D473" s="8">
        <v>2.0</v>
      </c>
      <c r="F473" s="8">
        <v>0.0</v>
      </c>
      <c r="G473" s="8">
        <v>0.0</v>
      </c>
      <c r="H473" s="8">
        <v>0.0</v>
      </c>
    </row>
    <row r="474" ht="15.75" customHeight="1">
      <c r="A474" s="7" t="s">
        <v>1908</v>
      </c>
      <c r="B474" s="8" t="s">
        <v>28</v>
      </c>
      <c r="C474" s="8" t="s">
        <v>1911</v>
      </c>
      <c r="D474" s="8">
        <v>2.0</v>
      </c>
      <c r="F474" s="8">
        <v>0.0</v>
      </c>
      <c r="G474" s="8">
        <v>0.0</v>
      </c>
      <c r="H474" s="8">
        <v>0.5</v>
      </c>
    </row>
    <row r="475" ht="15.75" customHeight="1">
      <c r="A475" s="7" t="s">
        <v>1912</v>
      </c>
      <c r="B475" s="8" t="s">
        <v>48</v>
      </c>
      <c r="C475" s="8" t="s">
        <v>1916</v>
      </c>
      <c r="D475" s="8">
        <v>2.0</v>
      </c>
      <c r="E475" s="8">
        <v>0.0</v>
      </c>
      <c r="F475" s="8">
        <v>0.0</v>
      </c>
      <c r="G475" s="8">
        <v>0.0</v>
      </c>
      <c r="H475" s="8">
        <v>1.0</v>
      </c>
      <c r="I475" s="8">
        <v>0.5</v>
      </c>
    </row>
    <row r="476" ht="15.75" customHeight="1">
      <c r="A476" s="7" t="s">
        <v>1917</v>
      </c>
      <c r="B476" s="8" t="s">
        <v>28</v>
      </c>
      <c r="D476" s="8">
        <v>2.0</v>
      </c>
      <c r="F476" s="8">
        <v>0.0</v>
      </c>
      <c r="G476" s="8">
        <v>0.0</v>
      </c>
      <c r="H476" s="8">
        <v>0.0</v>
      </c>
    </row>
    <row r="477" ht="15.75" customHeight="1">
      <c r="A477" s="7" t="s">
        <v>1921</v>
      </c>
      <c r="B477" s="8" t="s">
        <v>28</v>
      </c>
      <c r="C477" s="8" t="s">
        <v>1923</v>
      </c>
      <c r="D477" s="8">
        <v>2.0</v>
      </c>
      <c r="F477" s="8">
        <v>0.0</v>
      </c>
      <c r="G477" s="8">
        <v>0.0</v>
      </c>
      <c r="H477" s="8">
        <v>3.0</v>
      </c>
    </row>
    <row r="478" ht="15.75" customHeight="1">
      <c r="A478" s="7" t="s">
        <v>1924</v>
      </c>
      <c r="B478" s="8" t="s">
        <v>28</v>
      </c>
      <c r="C478" s="8" t="s">
        <v>1421</v>
      </c>
      <c r="D478" s="8">
        <v>2.0</v>
      </c>
      <c r="F478" s="8">
        <v>0.0</v>
      </c>
      <c r="G478" s="8">
        <v>0.0</v>
      </c>
      <c r="H478" s="8">
        <v>1.0</v>
      </c>
    </row>
    <row r="479" ht="15.75" customHeight="1">
      <c r="A479" s="7" t="s">
        <v>1926</v>
      </c>
      <c r="B479" s="8" t="s">
        <v>28</v>
      </c>
      <c r="D479" s="8">
        <v>2.0</v>
      </c>
      <c r="F479" s="8">
        <v>0.0</v>
      </c>
      <c r="G479" s="8">
        <v>0.0</v>
      </c>
      <c r="H479" s="8">
        <v>0.0</v>
      </c>
    </row>
    <row r="480" ht="15.75" customHeight="1">
      <c r="A480" s="7" t="s">
        <v>1930</v>
      </c>
      <c r="B480" s="8" t="s">
        <v>48</v>
      </c>
      <c r="C480" s="8" t="s">
        <v>1932</v>
      </c>
      <c r="D480" s="8">
        <v>2.0</v>
      </c>
      <c r="F480" s="8">
        <v>0.0</v>
      </c>
      <c r="G480" s="8">
        <v>0.0</v>
      </c>
      <c r="H480" s="8">
        <v>0.0</v>
      </c>
    </row>
    <row r="481" ht="15.75" customHeight="1">
      <c r="A481" s="7" t="s">
        <v>1934</v>
      </c>
      <c r="B481" s="8" t="s">
        <v>76</v>
      </c>
      <c r="D481" s="8">
        <v>2.0</v>
      </c>
      <c r="E481" s="8">
        <v>1.0</v>
      </c>
      <c r="F481" s="8">
        <v>0.0</v>
      </c>
      <c r="G481" s="8">
        <v>0.0</v>
      </c>
      <c r="H481" s="8">
        <v>0.0</v>
      </c>
      <c r="I481" s="8">
        <v>0.0</v>
      </c>
    </row>
    <row r="482" ht="15.75" customHeight="1">
      <c r="A482" s="7" t="s">
        <v>1936</v>
      </c>
      <c r="B482" s="8" t="s">
        <v>28</v>
      </c>
      <c r="C482" s="8" t="s">
        <v>1939</v>
      </c>
      <c r="D482" s="8">
        <v>2.0</v>
      </c>
      <c r="F482" s="8">
        <v>0.0</v>
      </c>
      <c r="G482" s="8">
        <v>0.0</v>
      </c>
      <c r="H482" s="8">
        <v>1.0</v>
      </c>
    </row>
    <row r="483" ht="15.75" customHeight="1">
      <c r="A483" s="7" t="s">
        <v>1940</v>
      </c>
      <c r="B483" s="8" t="s">
        <v>405</v>
      </c>
      <c r="C483" s="8" t="s">
        <v>1943</v>
      </c>
      <c r="D483" s="8">
        <v>2.0</v>
      </c>
      <c r="F483" s="8">
        <v>0.0</v>
      </c>
      <c r="G483" s="8">
        <v>0.0</v>
      </c>
      <c r="H483" s="8">
        <v>0.0</v>
      </c>
    </row>
    <row r="484" ht="15.75" customHeight="1">
      <c r="A484" s="7" t="s">
        <v>1944</v>
      </c>
      <c r="B484" s="8" t="s">
        <v>28</v>
      </c>
      <c r="C484" s="8" t="s">
        <v>1947</v>
      </c>
      <c r="D484" s="8">
        <v>2.0</v>
      </c>
      <c r="E484" s="8">
        <v>1.0</v>
      </c>
      <c r="F484" s="8">
        <v>0.0</v>
      </c>
      <c r="G484" s="8">
        <v>0.0</v>
      </c>
      <c r="H484" s="8">
        <v>1.0</v>
      </c>
      <c r="I484" s="8">
        <v>0.0</v>
      </c>
    </row>
    <row r="485" ht="15.75" customHeight="1">
      <c r="A485" s="7" t="s">
        <v>1949</v>
      </c>
      <c r="B485" s="8" t="s">
        <v>17</v>
      </c>
      <c r="C485" s="8" t="s">
        <v>1950</v>
      </c>
      <c r="D485" s="8">
        <v>2.0</v>
      </c>
      <c r="F485" s="8">
        <v>0.0</v>
      </c>
      <c r="G485" s="8">
        <v>0.0</v>
      </c>
      <c r="H485" s="8">
        <v>1.0</v>
      </c>
    </row>
    <row r="486" ht="15.75" customHeight="1">
      <c r="A486" s="8" t="s">
        <v>1952</v>
      </c>
      <c r="B486" s="8" t="s">
        <v>28</v>
      </c>
      <c r="C486" s="8" t="s">
        <v>1953</v>
      </c>
      <c r="D486" s="8">
        <v>2.0</v>
      </c>
      <c r="F486" s="8">
        <v>0.0</v>
      </c>
      <c r="G486" s="8">
        <v>0.0</v>
      </c>
      <c r="H486" s="8">
        <v>0.0</v>
      </c>
    </row>
    <row r="487" ht="15.75" customHeight="1">
      <c r="A487" s="7" t="s">
        <v>1954</v>
      </c>
      <c r="B487" s="8" t="s">
        <v>28</v>
      </c>
      <c r="C487" s="8" t="s">
        <v>679</v>
      </c>
      <c r="D487" s="8">
        <v>2.0</v>
      </c>
      <c r="F487" s="8">
        <v>0.0</v>
      </c>
      <c r="G487" s="8">
        <v>0.0</v>
      </c>
      <c r="H487" s="8">
        <v>1.0</v>
      </c>
    </row>
    <row r="488" ht="15.75" customHeight="1">
      <c r="A488" s="7" t="s">
        <v>1958</v>
      </c>
      <c r="B488" s="8" t="s">
        <v>28</v>
      </c>
      <c r="D488" s="8">
        <v>2.0</v>
      </c>
      <c r="F488" s="8">
        <v>0.0</v>
      </c>
      <c r="G488" s="8">
        <v>0.0</v>
      </c>
      <c r="H488" s="8">
        <v>1.0</v>
      </c>
    </row>
    <row r="489" ht="15.75" customHeight="1">
      <c r="A489" s="7" t="s">
        <v>1964</v>
      </c>
      <c r="B489" s="8" t="s">
        <v>28</v>
      </c>
      <c r="C489" s="8" t="s">
        <v>1968</v>
      </c>
      <c r="D489" s="8">
        <v>2.0</v>
      </c>
      <c r="F489" s="8">
        <v>0.0</v>
      </c>
      <c r="G489" s="8">
        <v>0.0</v>
      </c>
      <c r="H489" s="8">
        <v>0.0</v>
      </c>
    </row>
    <row r="490" ht="15.75" customHeight="1">
      <c r="A490" s="7" t="s">
        <v>1969</v>
      </c>
      <c r="B490" s="8" t="s">
        <v>17</v>
      </c>
      <c r="D490" s="8">
        <v>2.0</v>
      </c>
      <c r="F490" s="8">
        <v>0.0</v>
      </c>
      <c r="G490" s="8">
        <v>0.0</v>
      </c>
      <c r="H490" s="8">
        <v>0.5</v>
      </c>
    </row>
    <row r="491" ht="15.75" customHeight="1">
      <c r="A491" s="7" t="s">
        <v>1972</v>
      </c>
      <c r="B491" s="8" t="s">
        <v>28</v>
      </c>
      <c r="C491" s="8" t="s">
        <v>1974</v>
      </c>
      <c r="D491" s="8">
        <v>2.0</v>
      </c>
      <c r="E491" s="8">
        <v>0.0</v>
      </c>
      <c r="F491" s="8">
        <v>0.0</v>
      </c>
      <c r="G491" s="8">
        <v>0.0</v>
      </c>
      <c r="H491" s="8">
        <v>1.0</v>
      </c>
      <c r="I491" s="8">
        <v>0.0</v>
      </c>
    </row>
    <row r="492" ht="15.75" customHeight="1">
      <c r="A492" s="7" t="s">
        <v>1978</v>
      </c>
      <c r="B492" s="8" t="s">
        <v>28</v>
      </c>
      <c r="C492" s="8" t="s">
        <v>1980</v>
      </c>
      <c r="D492" s="8">
        <v>2.0</v>
      </c>
      <c r="E492" s="8">
        <v>1.0</v>
      </c>
      <c r="F492" s="8">
        <v>0.0</v>
      </c>
      <c r="G492" s="8">
        <v>0.0</v>
      </c>
      <c r="H492" s="8">
        <v>1.5</v>
      </c>
      <c r="I492" s="8">
        <v>0.5</v>
      </c>
    </row>
    <row r="493" ht="15.75" customHeight="1">
      <c r="A493" s="7" t="s">
        <v>1982</v>
      </c>
      <c r="B493" s="8" t="s">
        <v>28</v>
      </c>
      <c r="C493" s="8" t="s">
        <v>1985</v>
      </c>
      <c r="D493" s="8">
        <v>2.0</v>
      </c>
      <c r="E493" s="8">
        <v>1.0</v>
      </c>
      <c r="F493" s="8">
        <v>0.0</v>
      </c>
      <c r="G493" s="8">
        <v>0.0</v>
      </c>
      <c r="H493" s="8">
        <v>0.5</v>
      </c>
      <c r="I493" s="8">
        <v>-0.5</v>
      </c>
    </row>
    <row r="494" ht="15.75" customHeight="1">
      <c r="A494" s="7" t="s">
        <v>1986</v>
      </c>
      <c r="B494" s="8" t="s">
        <v>28</v>
      </c>
      <c r="C494" s="8" t="s">
        <v>1988</v>
      </c>
      <c r="D494" s="8">
        <v>2.0</v>
      </c>
      <c r="F494" s="8">
        <v>0.0</v>
      </c>
      <c r="G494" s="8">
        <v>0.0</v>
      </c>
      <c r="H494" s="8">
        <v>1.0</v>
      </c>
    </row>
    <row r="495" ht="15.75" customHeight="1">
      <c r="A495" s="7" t="s">
        <v>1991</v>
      </c>
      <c r="B495" s="8" t="s">
        <v>191</v>
      </c>
      <c r="C495" s="8" t="s">
        <v>1000</v>
      </c>
      <c r="D495" s="8">
        <v>1.0</v>
      </c>
      <c r="F495" s="8">
        <v>0.0</v>
      </c>
      <c r="G495" s="8">
        <v>0.0</v>
      </c>
      <c r="H495" s="8">
        <v>4.0</v>
      </c>
    </row>
    <row r="496" ht="15.75" customHeight="1">
      <c r="A496" s="7" t="s">
        <v>1995</v>
      </c>
      <c r="B496" s="8" t="s">
        <v>28</v>
      </c>
      <c r="C496" s="8" t="s">
        <v>1999</v>
      </c>
      <c r="D496" s="8">
        <v>1.0</v>
      </c>
      <c r="F496" s="8">
        <v>0.0</v>
      </c>
      <c r="G496" s="8">
        <v>0.0</v>
      </c>
      <c r="H496" s="8">
        <v>4.0</v>
      </c>
    </row>
    <row r="497" ht="15.75" customHeight="1">
      <c r="A497" s="7" t="s">
        <v>2001</v>
      </c>
      <c r="B497" s="8" t="s">
        <v>28</v>
      </c>
      <c r="C497" s="8" t="s">
        <v>498</v>
      </c>
      <c r="D497" s="8">
        <v>1.0</v>
      </c>
      <c r="F497" s="8">
        <v>0.0</v>
      </c>
      <c r="G497" s="8">
        <v>0.0</v>
      </c>
      <c r="H497" s="8">
        <v>3.0</v>
      </c>
    </row>
    <row r="498" ht="15.75" customHeight="1">
      <c r="A498" s="7" t="s">
        <v>2005</v>
      </c>
      <c r="B498" s="8" t="s">
        <v>76</v>
      </c>
      <c r="C498" s="8" t="s">
        <v>2008</v>
      </c>
      <c r="D498" s="8">
        <v>1.0</v>
      </c>
      <c r="F498" s="8">
        <v>0.0</v>
      </c>
      <c r="G498" s="8">
        <v>0.0</v>
      </c>
      <c r="H498" s="8">
        <v>3.0</v>
      </c>
    </row>
    <row r="499" ht="15.75" customHeight="1">
      <c r="A499" s="7" t="s">
        <v>2010</v>
      </c>
      <c r="B499" s="8" t="s">
        <v>28</v>
      </c>
      <c r="C499" s="8" t="s">
        <v>2013</v>
      </c>
      <c r="D499" s="8">
        <v>1.0</v>
      </c>
      <c r="F499" s="8">
        <v>0.0</v>
      </c>
      <c r="G499" s="8">
        <v>0.0</v>
      </c>
      <c r="H499" s="8">
        <v>3.0</v>
      </c>
    </row>
    <row r="500" ht="15.75" customHeight="1">
      <c r="A500" s="7" t="s">
        <v>2014</v>
      </c>
      <c r="B500" s="8" t="s">
        <v>17</v>
      </c>
      <c r="C500" s="8" t="s">
        <v>2018</v>
      </c>
      <c r="D500" s="8">
        <v>1.0</v>
      </c>
      <c r="F500" s="8">
        <v>0.0</v>
      </c>
      <c r="G500" s="8">
        <v>0.0</v>
      </c>
      <c r="H500" s="8">
        <v>3.0</v>
      </c>
    </row>
    <row r="501" ht="15.75" customHeight="1">
      <c r="A501" s="7" t="s">
        <v>2019</v>
      </c>
      <c r="B501" s="8" t="s">
        <v>492</v>
      </c>
      <c r="D501" s="8">
        <v>1.0</v>
      </c>
      <c r="F501" s="8">
        <v>0.0</v>
      </c>
      <c r="G501" s="8">
        <v>0.0</v>
      </c>
      <c r="H501" s="8">
        <v>2.0</v>
      </c>
    </row>
    <row r="502" ht="15.75" customHeight="1">
      <c r="A502" s="7" t="s">
        <v>2023</v>
      </c>
      <c r="B502" s="8" t="s">
        <v>28</v>
      </c>
      <c r="C502" s="8" t="s">
        <v>2027</v>
      </c>
      <c r="D502" s="8">
        <v>1.0</v>
      </c>
      <c r="F502" s="8">
        <v>0.0</v>
      </c>
      <c r="G502" s="8">
        <v>0.0</v>
      </c>
      <c r="H502" s="8">
        <v>2.0</v>
      </c>
    </row>
    <row r="503" ht="15.75" customHeight="1">
      <c r="A503" s="7" t="s">
        <v>2028</v>
      </c>
      <c r="B503" s="8" t="s">
        <v>28</v>
      </c>
      <c r="D503" s="8">
        <v>1.0</v>
      </c>
      <c r="E503" s="8">
        <v>-1.0</v>
      </c>
      <c r="F503" s="8">
        <v>0.0</v>
      </c>
      <c r="G503" s="8">
        <v>0.0</v>
      </c>
      <c r="H503" s="8">
        <v>2.0</v>
      </c>
      <c r="I503" s="8">
        <v>0.0</v>
      </c>
    </row>
    <row r="504" ht="15.75" customHeight="1">
      <c r="A504" s="7" t="s">
        <v>2032</v>
      </c>
      <c r="B504" s="8" t="s">
        <v>28</v>
      </c>
      <c r="C504" s="8" t="s">
        <v>2038</v>
      </c>
      <c r="D504" s="8">
        <v>1.0</v>
      </c>
      <c r="E504" s="8">
        <v>-5.0</v>
      </c>
      <c r="F504" s="8">
        <v>0.0</v>
      </c>
      <c r="G504" s="8">
        <v>0.0</v>
      </c>
      <c r="H504" s="8">
        <v>0.0</v>
      </c>
      <c r="I504" s="8">
        <v>-0.83</v>
      </c>
    </row>
    <row r="505" ht="15.75" customHeight="1">
      <c r="A505" s="7" t="s">
        <v>2040</v>
      </c>
      <c r="B505" s="8" t="s">
        <v>28</v>
      </c>
      <c r="D505" s="8">
        <v>1.0</v>
      </c>
      <c r="F505" s="8">
        <v>0.0</v>
      </c>
      <c r="G505" s="8">
        <v>0.0</v>
      </c>
      <c r="H505" s="8">
        <v>2.0</v>
      </c>
    </row>
    <row r="506" ht="15.75" customHeight="1">
      <c r="A506" s="7" t="s">
        <v>2043</v>
      </c>
      <c r="B506" s="8" t="s">
        <v>17</v>
      </c>
      <c r="C506" s="8" t="s">
        <v>2044</v>
      </c>
      <c r="D506" s="8">
        <v>1.0</v>
      </c>
      <c r="F506" s="8">
        <v>0.0</v>
      </c>
      <c r="G506" s="8">
        <v>0.0</v>
      </c>
      <c r="H506" s="8">
        <v>2.0</v>
      </c>
    </row>
    <row r="507" ht="15.75" customHeight="1">
      <c r="A507" s="7" t="s">
        <v>2046</v>
      </c>
      <c r="B507" s="8" t="s">
        <v>28</v>
      </c>
      <c r="C507" s="8" t="s">
        <v>2048</v>
      </c>
      <c r="D507" s="8">
        <v>1.0</v>
      </c>
      <c r="F507" s="8">
        <v>0.0</v>
      </c>
      <c r="G507" s="8">
        <v>0.0</v>
      </c>
      <c r="H507" s="8">
        <v>2.0</v>
      </c>
    </row>
    <row r="508" ht="15.75" customHeight="1">
      <c r="A508" s="7" t="s">
        <v>2049</v>
      </c>
      <c r="B508" s="8" t="s">
        <v>28</v>
      </c>
      <c r="D508" s="8">
        <v>1.0</v>
      </c>
      <c r="F508" s="8">
        <v>0.0</v>
      </c>
      <c r="G508" s="8">
        <v>0.0</v>
      </c>
      <c r="H508" s="8">
        <v>0.0</v>
      </c>
    </row>
    <row r="509" ht="15.75" customHeight="1">
      <c r="A509" s="7" t="s">
        <v>2053</v>
      </c>
      <c r="B509" s="8" t="s">
        <v>28</v>
      </c>
      <c r="C509" s="8" t="s">
        <v>2056</v>
      </c>
      <c r="D509" s="8">
        <v>1.0</v>
      </c>
      <c r="F509" s="8">
        <v>0.0</v>
      </c>
      <c r="G509" s="8">
        <v>0.0</v>
      </c>
      <c r="H509" s="8">
        <v>2.0</v>
      </c>
    </row>
    <row r="510" ht="15.75" customHeight="1">
      <c r="A510" s="7" t="s">
        <v>2057</v>
      </c>
      <c r="B510" s="8" t="s">
        <v>28</v>
      </c>
      <c r="C510" s="8" t="s">
        <v>2061</v>
      </c>
      <c r="D510" s="8">
        <v>1.0</v>
      </c>
      <c r="F510" s="8">
        <v>0.0</v>
      </c>
      <c r="G510" s="8">
        <v>0.0</v>
      </c>
      <c r="H510" s="8">
        <v>2.0</v>
      </c>
    </row>
    <row r="511" ht="15.75" customHeight="1">
      <c r="A511" s="7" t="s">
        <v>2062</v>
      </c>
      <c r="B511" s="8" t="s">
        <v>28</v>
      </c>
      <c r="C511" s="8" t="s">
        <v>2064</v>
      </c>
      <c r="D511" s="8">
        <v>1.0</v>
      </c>
      <c r="F511" s="8">
        <v>0.0</v>
      </c>
      <c r="G511" s="8">
        <v>0.0</v>
      </c>
      <c r="H511" s="8">
        <v>1.0</v>
      </c>
    </row>
    <row r="512" ht="15.75" customHeight="1">
      <c r="A512" s="7" t="s">
        <v>2066</v>
      </c>
      <c r="B512" s="8" t="s">
        <v>28</v>
      </c>
      <c r="D512" s="8">
        <v>1.0</v>
      </c>
      <c r="F512" s="8">
        <v>0.0</v>
      </c>
      <c r="G512" s="8">
        <v>0.0</v>
      </c>
      <c r="H512" s="8">
        <v>0.0</v>
      </c>
    </row>
    <row r="513" ht="15.75" customHeight="1">
      <c r="A513" s="7" t="s">
        <v>2069</v>
      </c>
      <c r="B513" s="8" t="s">
        <v>17</v>
      </c>
      <c r="C513" s="8" t="s">
        <v>2072</v>
      </c>
      <c r="D513" s="8">
        <v>1.0</v>
      </c>
      <c r="F513" s="8">
        <v>0.0</v>
      </c>
      <c r="G513" s="8">
        <v>0.0</v>
      </c>
      <c r="H513" s="8">
        <v>1.0</v>
      </c>
    </row>
    <row r="514" ht="15.75" customHeight="1">
      <c r="A514" s="7" t="s">
        <v>2074</v>
      </c>
      <c r="B514" s="8" t="s">
        <v>28</v>
      </c>
      <c r="C514" s="8" t="s">
        <v>654</v>
      </c>
      <c r="D514" s="8">
        <v>1.0</v>
      </c>
      <c r="F514" s="8">
        <v>0.0</v>
      </c>
      <c r="G514" s="8">
        <v>0.0</v>
      </c>
      <c r="H514" s="8">
        <v>0.0</v>
      </c>
    </row>
    <row r="515" ht="15.75" customHeight="1">
      <c r="A515" s="7" t="s">
        <v>2076</v>
      </c>
      <c r="B515" s="8" t="s">
        <v>28</v>
      </c>
      <c r="D515" s="8">
        <v>1.0</v>
      </c>
      <c r="F515" s="8">
        <v>0.0</v>
      </c>
      <c r="G515" s="8">
        <v>0.0</v>
      </c>
      <c r="H515" s="8">
        <v>2.0</v>
      </c>
    </row>
    <row r="516" ht="15.75" customHeight="1">
      <c r="A516" s="7" t="s">
        <v>2078</v>
      </c>
      <c r="B516" s="8" t="s">
        <v>492</v>
      </c>
      <c r="D516" s="8">
        <v>1.0</v>
      </c>
      <c r="F516" s="8">
        <v>0.0</v>
      </c>
      <c r="G516" s="8">
        <v>0.0</v>
      </c>
      <c r="H516" s="8">
        <v>0.0</v>
      </c>
    </row>
    <row r="517" ht="15.75" customHeight="1">
      <c r="A517" s="7" t="s">
        <v>2081</v>
      </c>
      <c r="B517" s="8" t="s">
        <v>28</v>
      </c>
      <c r="C517" s="8" t="s">
        <v>2083</v>
      </c>
      <c r="D517" s="8">
        <v>1.0</v>
      </c>
      <c r="F517" s="8">
        <v>0.0</v>
      </c>
      <c r="G517" s="8">
        <v>0.0</v>
      </c>
      <c r="H517" s="8">
        <v>0.0</v>
      </c>
    </row>
    <row r="518" ht="15.75" customHeight="1">
      <c r="A518" s="7" t="s">
        <v>2084</v>
      </c>
      <c r="B518" s="8" t="s">
        <v>28</v>
      </c>
      <c r="C518" s="8" t="s">
        <v>1241</v>
      </c>
      <c r="D518" s="8">
        <v>1.0</v>
      </c>
      <c r="F518" s="8">
        <v>0.0</v>
      </c>
      <c r="G518" s="8">
        <v>0.0</v>
      </c>
      <c r="H518" s="8">
        <v>1.0</v>
      </c>
    </row>
    <row r="519" ht="15.75" customHeight="1">
      <c r="A519" s="7" t="s">
        <v>2087</v>
      </c>
      <c r="B519" s="8" t="s">
        <v>28</v>
      </c>
      <c r="D519" s="8">
        <v>1.0</v>
      </c>
      <c r="F519" s="8">
        <v>0.0</v>
      </c>
      <c r="G519" s="8">
        <v>0.0</v>
      </c>
      <c r="H519" s="8">
        <v>1.0</v>
      </c>
    </row>
    <row r="520" ht="15.75" customHeight="1">
      <c r="A520" s="7" t="s">
        <v>2090</v>
      </c>
      <c r="B520" s="8" t="s">
        <v>28</v>
      </c>
      <c r="D520" s="8">
        <v>1.0</v>
      </c>
      <c r="F520" s="8">
        <v>0.0</v>
      </c>
      <c r="G520" s="8">
        <v>0.0</v>
      </c>
      <c r="H520" s="8">
        <v>1.0</v>
      </c>
    </row>
    <row r="521" ht="15.75" customHeight="1">
      <c r="A521" s="7" t="s">
        <v>2093</v>
      </c>
      <c r="B521" s="8" t="s">
        <v>28</v>
      </c>
      <c r="C521" s="8" t="s">
        <v>2096</v>
      </c>
      <c r="D521" s="8">
        <v>1.0</v>
      </c>
      <c r="F521" s="8">
        <v>0.0</v>
      </c>
      <c r="G521" s="8">
        <v>0.0</v>
      </c>
      <c r="H521" s="8">
        <v>0.0</v>
      </c>
    </row>
    <row r="522" ht="15.75" customHeight="1">
      <c r="A522" s="7" t="s">
        <v>2097</v>
      </c>
      <c r="B522" s="8" t="s">
        <v>28</v>
      </c>
      <c r="C522" s="8" t="s">
        <v>2101</v>
      </c>
      <c r="D522" s="8">
        <v>1.0</v>
      </c>
      <c r="E522" s="8">
        <v>0.0</v>
      </c>
      <c r="F522" s="8">
        <v>0.0</v>
      </c>
      <c r="G522" s="8">
        <v>0.0</v>
      </c>
      <c r="H522" s="8">
        <v>1.0</v>
      </c>
      <c r="I522" s="8">
        <v>0.0</v>
      </c>
    </row>
    <row r="523" ht="15.75" customHeight="1">
      <c r="A523" s="7" t="s">
        <v>2102</v>
      </c>
      <c r="B523" s="8" t="s">
        <v>28</v>
      </c>
      <c r="C523" s="8" t="s">
        <v>2105</v>
      </c>
      <c r="D523" s="8">
        <v>1.0</v>
      </c>
      <c r="E523" s="8">
        <v>-3.0</v>
      </c>
      <c r="F523" s="8">
        <v>0.0</v>
      </c>
      <c r="G523" s="8">
        <v>0.0</v>
      </c>
      <c r="H523" s="8">
        <v>1.0</v>
      </c>
      <c r="I523" s="8">
        <v>0.0</v>
      </c>
    </row>
    <row r="524" ht="15.75" customHeight="1">
      <c r="A524" s="8" t="s">
        <v>2107</v>
      </c>
      <c r="B524" s="8" t="s">
        <v>28</v>
      </c>
      <c r="C524" s="8" t="s">
        <v>2108</v>
      </c>
      <c r="D524" s="8">
        <v>1.0</v>
      </c>
      <c r="F524" s="8">
        <v>0.0</v>
      </c>
      <c r="G524" s="8">
        <v>0.0</v>
      </c>
      <c r="H524" s="8">
        <v>1.0</v>
      </c>
    </row>
    <row r="525" ht="15.75" customHeight="1">
      <c r="A525" s="7" t="s">
        <v>2109</v>
      </c>
      <c r="B525" s="8" t="s">
        <v>28</v>
      </c>
      <c r="C525" s="8" t="s">
        <v>2110</v>
      </c>
      <c r="D525" s="8">
        <v>1.0</v>
      </c>
      <c r="F525" s="8">
        <v>0.0</v>
      </c>
      <c r="G525" s="8">
        <v>0.0</v>
      </c>
      <c r="H525" s="8">
        <v>2.0</v>
      </c>
    </row>
    <row r="526" ht="15.75" customHeight="1">
      <c r="A526" s="7" t="s">
        <v>2112</v>
      </c>
      <c r="B526" s="8" t="s">
        <v>28</v>
      </c>
      <c r="C526" s="8" t="s">
        <v>2114</v>
      </c>
      <c r="D526" s="8">
        <v>1.0</v>
      </c>
      <c r="F526" s="8">
        <v>0.0</v>
      </c>
      <c r="G526" s="8">
        <v>0.0</v>
      </c>
      <c r="H526" s="8">
        <v>0.0</v>
      </c>
    </row>
    <row r="527" ht="15.75" customHeight="1">
      <c r="A527" s="7" t="s">
        <v>2116</v>
      </c>
      <c r="B527" s="8" t="s">
        <v>48</v>
      </c>
      <c r="D527" s="8">
        <v>1.0</v>
      </c>
      <c r="F527" s="8">
        <v>0.0</v>
      </c>
      <c r="G527" s="8">
        <v>0.0</v>
      </c>
      <c r="H527" s="8">
        <v>0.0</v>
      </c>
    </row>
    <row r="528" ht="15.75" customHeight="1">
      <c r="A528" s="7" t="s">
        <v>2119</v>
      </c>
      <c r="B528" s="8" t="s">
        <v>28</v>
      </c>
      <c r="D528" s="8">
        <v>1.0</v>
      </c>
      <c r="F528" s="8">
        <v>0.0</v>
      </c>
      <c r="G528" s="8">
        <v>0.0</v>
      </c>
      <c r="H528" s="8">
        <v>0.0</v>
      </c>
    </row>
    <row r="529" ht="15.75" customHeight="1">
      <c r="A529" s="7" t="s">
        <v>2121</v>
      </c>
      <c r="B529" s="8" t="s">
        <v>28</v>
      </c>
      <c r="D529" s="8">
        <v>1.0</v>
      </c>
      <c r="F529" s="8">
        <v>0.0</v>
      </c>
      <c r="G529" s="8">
        <v>0.0</v>
      </c>
      <c r="H529" s="8">
        <v>0.0</v>
      </c>
    </row>
    <row r="530" ht="15.75" customHeight="1">
      <c r="A530" s="7" t="s">
        <v>2124</v>
      </c>
      <c r="B530" s="8" t="s">
        <v>28</v>
      </c>
      <c r="D530" s="8">
        <v>1.0</v>
      </c>
      <c r="E530" s="8">
        <v>0.0</v>
      </c>
      <c r="F530" s="8">
        <v>0.0</v>
      </c>
      <c r="G530" s="8">
        <v>0.0</v>
      </c>
      <c r="H530" s="8">
        <v>0.0</v>
      </c>
      <c r="I530" s="8">
        <v>0.0</v>
      </c>
    </row>
    <row r="531" ht="15.75" customHeight="1">
      <c r="A531" s="7" t="s">
        <v>2128</v>
      </c>
      <c r="B531" s="8" t="s">
        <v>28</v>
      </c>
      <c r="C531" s="8" t="s">
        <v>2130</v>
      </c>
      <c r="D531" s="8">
        <v>1.0</v>
      </c>
      <c r="F531" s="8">
        <v>0.0</v>
      </c>
      <c r="G531" s="8">
        <v>0.0</v>
      </c>
      <c r="H531" s="8">
        <v>1.0</v>
      </c>
    </row>
    <row r="532" ht="15.75" customHeight="1">
      <c r="A532" s="7" t="s">
        <v>2132</v>
      </c>
      <c r="B532" s="8" t="s">
        <v>191</v>
      </c>
      <c r="D532" s="8">
        <v>1.0</v>
      </c>
      <c r="F532" s="8">
        <v>0.0</v>
      </c>
      <c r="G532" s="8">
        <v>0.0</v>
      </c>
      <c r="H532" s="8">
        <v>0.0</v>
      </c>
    </row>
    <row r="533" ht="15.75" customHeight="1">
      <c r="A533" s="7" t="s">
        <v>2136</v>
      </c>
      <c r="B533" s="8" t="s">
        <v>28</v>
      </c>
      <c r="C533" s="8" t="s">
        <v>2138</v>
      </c>
      <c r="D533" s="8">
        <v>1.0</v>
      </c>
      <c r="E533" s="8">
        <v>-4.0</v>
      </c>
      <c r="F533" s="8">
        <v>0.0</v>
      </c>
      <c r="G533" s="8">
        <v>0.0</v>
      </c>
      <c r="H533" s="8">
        <v>1.0</v>
      </c>
      <c r="I533" s="8">
        <v>0.0</v>
      </c>
    </row>
    <row r="534" ht="15.75" customHeight="1">
      <c r="A534" s="7" t="s">
        <v>2140</v>
      </c>
      <c r="B534" s="8" t="s">
        <v>28</v>
      </c>
      <c r="C534" s="8" t="s">
        <v>1421</v>
      </c>
      <c r="D534" s="8">
        <v>1.0</v>
      </c>
      <c r="F534" s="8">
        <v>0.0</v>
      </c>
      <c r="G534" s="8">
        <v>0.0</v>
      </c>
      <c r="H534" s="8">
        <v>1.0</v>
      </c>
    </row>
    <row r="535" ht="15.75" customHeight="1">
      <c r="A535" s="7" t="s">
        <v>2143</v>
      </c>
      <c r="B535" s="8" t="s">
        <v>28</v>
      </c>
      <c r="D535" s="8">
        <v>1.0</v>
      </c>
      <c r="F535" s="8">
        <v>0.0</v>
      </c>
      <c r="G535" s="8">
        <v>0.0</v>
      </c>
      <c r="H535" s="8">
        <v>0.0</v>
      </c>
    </row>
    <row r="536" ht="15.75" customHeight="1">
      <c r="A536" s="7" t="s">
        <v>2146</v>
      </c>
      <c r="B536" s="8" t="s">
        <v>76</v>
      </c>
      <c r="D536" s="8">
        <v>1.0</v>
      </c>
      <c r="F536" s="8">
        <v>0.0</v>
      </c>
      <c r="G536" s="8">
        <v>0.0</v>
      </c>
      <c r="H536" s="8">
        <v>1.0</v>
      </c>
    </row>
    <row r="537" ht="15.75" customHeight="1">
      <c r="A537" s="7" t="s">
        <v>2150</v>
      </c>
      <c r="B537" s="8" t="s">
        <v>28</v>
      </c>
      <c r="C537" s="8" t="s">
        <v>2153</v>
      </c>
      <c r="D537" s="8">
        <v>1.0</v>
      </c>
      <c r="F537" s="8">
        <v>0.0</v>
      </c>
      <c r="G537" s="8">
        <v>0.0</v>
      </c>
      <c r="H537" s="8">
        <v>1.0</v>
      </c>
    </row>
    <row r="538" ht="15.75" customHeight="1">
      <c r="A538" s="7" t="s">
        <v>2155</v>
      </c>
      <c r="B538" s="8" t="s">
        <v>28</v>
      </c>
      <c r="C538" s="8" t="s">
        <v>2158</v>
      </c>
      <c r="D538" s="8">
        <v>1.0</v>
      </c>
      <c r="F538" s="8">
        <v>0.0</v>
      </c>
      <c r="G538" s="8">
        <v>0.0</v>
      </c>
      <c r="H538" s="8">
        <v>1.0</v>
      </c>
    </row>
    <row r="539" ht="15.75" customHeight="1">
      <c r="A539" s="7" t="s">
        <v>2160</v>
      </c>
      <c r="B539" s="8" t="s">
        <v>28</v>
      </c>
      <c r="C539" s="8" t="s">
        <v>2162</v>
      </c>
      <c r="D539" s="8">
        <v>1.0</v>
      </c>
      <c r="E539" s="8">
        <v>-5.0</v>
      </c>
      <c r="F539" s="8">
        <v>0.0</v>
      </c>
      <c r="G539" s="8">
        <v>0.0</v>
      </c>
      <c r="H539" s="8">
        <v>0.0</v>
      </c>
      <c r="I539" s="8">
        <v>-1.83</v>
      </c>
    </row>
    <row r="540" ht="15.75" customHeight="1">
      <c r="A540" s="7" t="s">
        <v>2164</v>
      </c>
      <c r="B540" s="8" t="s">
        <v>28</v>
      </c>
      <c r="D540" s="8">
        <v>1.0</v>
      </c>
      <c r="F540" s="8">
        <v>0.0</v>
      </c>
      <c r="G540" s="8">
        <v>0.0</v>
      </c>
      <c r="H540" s="8">
        <v>1.0</v>
      </c>
    </row>
    <row r="541" ht="15.75" customHeight="1">
      <c r="A541" s="7" t="s">
        <v>2167</v>
      </c>
      <c r="B541" s="8" t="s">
        <v>492</v>
      </c>
      <c r="C541" s="8" t="s">
        <v>2169</v>
      </c>
      <c r="D541" s="8">
        <v>1.0</v>
      </c>
      <c r="F541" s="8">
        <v>0.0</v>
      </c>
      <c r="G541" s="8">
        <v>0.0</v>
      </c>
      <c r="H541" s="8">
        <v>0.0</v>
      </c>
    </row>
    <row r="542" ht="15.75" customHeight="1">
      <c r="A542" s="7" t="s">
        <v>2170</v>
      </c>
      <c r="B542" s="8" t="s">
        <v>28</v>
      </c>
      <c r="C542" s="8" t="s">
        <v>2173</v>
      </c>
      <c r="D542" s="8">
        <v>1.0</v>
      </c>
      <c r="E542" s="8">
        <v>-1.0</v>
      </c>
      <c r="F542" s="8">
        <v>0.0</v>
      </c>
      <c r="G542" s="8">
        <v>0.0</v>
      </c>
      <c r="H542" s="8">
        <v>1.0</v>
      </c>
      <c r="I542" s="8">
        <v>0.0</v>
      </c>
    </row>
    <row r="543" ht="15.75" customHeight="1">
      <c r="A543" s="7" t="s">
        <v>2174</v>
      </c>
      <c r="B543" s="8" t="s">
        <v>405</v>
      </c>
      <c r="C543" s="8" t="s">
        <v>2177</v>
      </c>
      <c r="D543" s="8">
        <v>1.0</v>
      </c>
      <c r="F543" s="8">
        <v>0.0</v>
      </c>
      <c r="G543" s="8">
        <v>0.0</v>
      </c>
      <c r="H543" s="8">
        <v>0.0</v>
      </c>
    </row>
    <row r="544" ht="15.75" customHeight="1">
      <c r="A544" s="7" t="s">
        <v>2179</v>
      </c>
      <c r="B544" s="8" t="s">
        <v>28</v>
      </c>
      <c r="D544" s="8">
        <v>1.0</v>
      </c>
      <c r="F544" s="8">
        <v>0.0</v>
      </c>
      <c r="G544" s="8">
        <v>0.0</v>
      </c>
      <c r="H544" s="8">
        <v>1.0</v>
      </c>
    </row>
    <row r="545" ht="15.75" customHeight="1">
      <c r="A545" s="7" t="s">
        <v>2182</v>
      </c>
      <c r="B545" s="8" t="s">
        <v>28</v>
      </c>
      <c r="C545" s="8" t="s">
        <v>2185</v>
      </c>
      <c r="D545" s="8">
        <v>1.0</v>
      </c>
      <c r="F545" s="8">
        <v>0.0</v>
      </c>
      <c r="G545" s="8">
        <v>0.0</v>
      </c>
      <c r="H545" s="8">
        <v>1.0</v>
      </c>
    </row>
    <row r="546" ht="15.75" customHeight="1">
      <c r="A546" s="7" t="s">
        <v>2187</v>
      </c>
      <c r="B546" s="8" t="s">
        <v>28</v>
      </c>
      <c r="C546" s="8" t="s">
        <v>2189</v>
      </c>
      <c r="D546" s="8">
        <v>1.0</v>
      </c>
      <c r="E546" s="8">
        <v>-2.0</v>
      </c>
      <c r="F546" s="8">
        <v>0.0</v>
      </c>
      <c r="G546" s="8">
        <v>0.0</v>
      </c>
      <c r="H546" s="8">
        <v>1.0</v>
      </c>
      <c r="I546" s="8">
        <v>-0.33</v>
      </c>
    </row>
    <row r="547" ht="15.75" customHeight="1">
      <c r="A547" s="7" t="s">
        <v>2192</v>
      </c>
      <c r="B547" s="8" t="s">
        <v>28</v>
      </c>
      <c r="D547" s="8">
        <v>1.0</v>
      </c>
      <c r="E547" s="8">
        <v>-6.0</v>
      </c>
      <c r="F547" s="8">
        <v>0.0</v>
      </c>
      <c r="G547" s="8">
        <v>0.0</v>
      </c>
      <c r="H547" s="8">
        <v>0.0</v>
      </c>
      <c r="I547" s="8">
        <v>-1.29</v>
      </c>
    </row>
    <row r="548" ht="15.75" customHeight="1">
      <c r="A548" s="7" t="s">
        <v>2194</v>
      </c>
      <c r="B548" s="8" t="s">
        <v>28</v>
      </c>
      <c r="D548" s="8">
        <v>1.0</v>
      </c>
      <c r="F548" s="8">
        <v>0.0</v>
      </c>
      <c r="G548" s="8">
        <v>0.0</v>
      </c>
      <c r="H548" s="8">
        <v>1.0</v>
      </c>
    </row>
    <row r="549" ht="15.75" customHeight="1">
      <c r="A549" s="7" t="s">
        <v>2198</v>
      </c>
      <c r="B549" s="8" t="s">
        <v>28</v>
      </c>
      <c r="D549" s="8">
        <v>1.0</v>
      </c>
      <c r="E549" s="8">
        <v>-4.0</v>
      </c>
      <c r="F549" s="8">
        <v>0.0</v>
      </c>
      <c r="G549" s="8">
        <v>0.0</v>
      </c>
      <c r="H549" s="8">
        <v>2.0</v>
      </c>
      <c r="I549" s="8">
        <v>0.4</v>
      </c>
    </row>
    <row r="550" ht="15.75" customHeight="1">
      <c r="A550" s="7" t="s">
        <v>2201</v>
      </c>
      <c r="B550" s="8" t="s">
        <v>28</v>
      </c>
      <c r="D550" s="8">
        <v>1.0</v>
      </c>
      <c r="F550" s="8">
        <v>0.0</v>
      </c>
      <c r="G550" s="8">
        <v>0.0</v>
      </c>
      <c r="H550" s="8">
        <v>1.0</v>
      </c>
    </row>
    <row r="551" ht="15.75" customHeight="1">
      <c r="A551" s="7" t="s">
        <v>2205</v>
      </c>
      <c r="B551" s="8" t="s">
        <v>28</v>
      </c>
      <c r="D551" s="8">
        <v>1.0</v>
      </c>
      <c r="E551" s="8">
        <v>-4.0</v>
      </c>
      <c r="F551" s="8">
        <v>0.0</v>
      </c>
      <c r="G551" s="8">
        <v>0.0</v>
      </c>
      <c r="H551" s="8">
        <v>0.0</v>
      </c>
      <c r="I551" s="8">
        <v>0.0</v>
      </c>
    </row>
    <row r="552" ht="15.75" customHeight="1">
      <c r="A552" s="7" t="s">
        <v>2207</v>
      </c>
      <c r="B552" s="8" t="s">
        <v>28</v>
      </c>
      <c r="C552" s="8" t="s">
        <v>2211</v>
      </c>
      <c r="D552" s="8">
        <v>1.0</v>
      </c>
      <c r="F552" s="8">
        <v>0.0</v>
      </c>
      <c r="G552" s="8">
        <v>0.0</v>
      </c>
      <c r="H552" s="8">
        <v>0.0</v>
      </c>
    </row>
    <row r="553" ht="15.75" customHeight="1">
      <c r="A553" s="7" t="s">
        <v>2212</v>
      </c>
      <c r="B553" s="8" t="s">
        <v>28</v>
      </c>
      <c r="C553" s="8" t="s">
        <v>2216</v>
      </c>
      <c r="D553" s="8">
        <v>1.0</v>
      </c>
      <c r="E553" s="8">
        <v>-5.0</v>
      </c>
      <c r="F553" s="8">
        <v>0.0</v>
      </c>
      <c r="G553" s="8">
        <v>0.0</v>
      </c>
      <c r="H553" s="8">
        <v>1.0</v>
      </c>
      <c r="I553" s="8">
        <v>-0.5</v>
      </c>
    </row>
    <row r="554" ht="15.75" customHeight="1">
      <c r="A554" s="7" t="s">
        <v>2217</v>
      </c>
      <c r="B554" s="8" t="s">
        <v>28</v>
      </c>
      <c r="D554" s="8">
        <v>1.0</v>
      </c>
      <c r="F554" s="8">
        <v>0.0</v>
      </c>
      <c r="G554" s="8">
        <v>0.0</v>
      </c>
      <c r="H554" s="8">
        <v>0.0</v>
      </c>
    </row>
    <row r="555" ht="15.75" customHeight="1">
      <c r="A555" s="7" t="s">
        <v>2221</v>
      </c>
      <c r="B555" s="8" t="s">
        <v>28</v>
      </c>
      <c r="C555" s="8" t="s">
        <v>724</v>
      </c>
      <c r="D555" s="8">
        <v>1.0</v>
      </c>
      <c r="F555" s="8">
        <v>0.0</v>
      </c>
      <c r="G555" s="8">
        <v>0.0</v>
      </c>
      <c r="H555" s="8">
        <v>0.0</v>
      </c>
    </row>
    <row r="556" ht="15.75" customHeight="1">
      <c r="A556" s="7" t="s">
        <v>2224</v>
      </c>
      <c r="B556" s="8" t="s">
        <v>28</v>
      </c>
      <c r="D556" s="8">
        <v>1.0</v>
      </c>
      <c r="E556" s="8">
        <v>-4.0</v>
      </c>
      <c r="F556" s="8">
        <v>0.0</v>
      </c>
      <c r="G556" s="8">
        <v>0.0</v>
      </c>
      <c r="H556" s="8">
        <v>0.0</v>
      </c>
      <c r="I556" s="8">
        <v>0.0</v>
      </c>
    </row>
    <row r="557" ht="15.75" customHeight="1">
      <c r="A557" s="7" t="s">
        <v>2227</v>
      </c>
      <c r="B557" s="8" t="s">
        <v>28</v>
      </c>
      <c r="C557" s="8" t="s">
        <v>2228</v>
      </c>
      <c r="D557" s="8">
        <v>1.0</v>
      </c>
      <c r="E557" s="8">
        <v>-4.0</v>
      </c>
      <c r="F557" s="8">
        <v>0.0</v>
      </c>
      <c r="G557" s="8">
        <v>0.0</v>
      </c>
      <c r="H557" s="8">
        <v>1.0</v>
      </c>
      <c r="I557" s="8">
        <v>0.0</v>
      </c>
    </row>
    <row r="558" ht="15.75" customHeight="1">
      <c r="A558" s="7" t="s">
        <v>2231</v>
      </c>
      <c r="B558" s="8" t="s">
        <v>405</v>
      </c>
      <c r="C558" s="8" t="s">
        <v>2233</v>
      </c>
      <c r="D558" s="8">
        <v>1.0</v>
      </c>
      <c r="F558" s="8">
        <v>0.0</v>
      </c>
      <c r="G558" s="8">
        <v>0.0</v>
      </c>
      <c r="H558" s="8">
        <v>1.0</v>
      </c>
    </row>
    <row r="559" ht="15.75" customHeight="1">
      <c r="A559" s="7" t="s">
        <v>2235</v>
      </c>
      <c r="B559" s="8" t="s">
        <v>28</v>
      </c>
      <c r="D559" s="8">
        <v>1.0</v>
      </c>
      <c r="E559" s="8">
        <v>-4.0</v>
      </c>
      <c r="F559" s="8">
        <v>0.0</v>
      </c>
      <c r="G559" s="8">
        <v>0.0</v>
      </c>
      <c r="H559" s="8">
        <v>3.0</v>
      </c>
      <c r="I559" s="8">
        <v>1.4</v>
      </c>
    </row>
    <row r="560" ht="15.75" customHeight="1">
      <c r="A560" s="7" t="s">
        <v>2239</v>
      </c>
      <c r="B560" s="8" t="s">
        <v>28</v>
      </c>
      <c r="D560" s="8">
        <v>1.0</v>
      </c>
      <c r="F560" s="8">
        <v>0.0</v>
      </c>
      <c r="G560" s="8">
        <v>0.0</v>
      </c>
      <c r="H560" s="8">
        <v>2.0</v>
      </c>
    </row>
    <row r="561" ht="15.75" customHeight="1">
      <c r="A561" s="7" t="s">
        <v>2242</v>
      </c>
      <c r="B561" s="8" t="s">
        <v>17</v>
      </c>
      <c r="C561" s="8" t="s">
        <v>2245</v>
      </c>
      <c r="D561" s="8">
        <v>1.0</v>
      </c>
      <c r="F561" s="8">
        <v>0.0</v>
      </c>
      <c r="G561" s="8">
        <v>0.0</v>
      </c>
      <c r="H561" s="8">
        <v>0.0</v>
      </c>
    </row>
    <row r="562" ht="15.75" customHeight="1">
      <c r="A562" s="7" t="s">
        <v>2246</v>
      </c>
      <c r="B562" s="8" t="s">
        <v>48</v>
      </c>
      <c r="C562" s="8" t="s">
        <v>2248</v>
      </c>
      <c r="D562" s="8">
        <v>1.0</v>
      </c>
      <c r="F562" s="8">
        <v>0.0</v>
      </c>
      <c r="G562" s="8">
        <v>0.0</v>
      </c>
      <c r="H562" s="8">
        <v>1.0</v>
      </c>
    </row>
    <row r="563" ht="15.75" customHeight="1">
      <c r="A563" s="7" t="s">
        <v>2250</v>
      </c>
      <c r="B563" s="8" t="s">
        <v>405</v>
      </c>
      <c r="C563" s="8" t="s">
        <v>2252</v>
      </c>
      <c r="D563" s="8">
        <v>1.0</v>
      </c>
      <c r="F563" s="8">
        <v>0.0</v>
      </c>
      <c r="G563" s="8">
        <v>0.0</v>
      </c>
      <c r="H563" s="8">
        <v>0.0</v>
      </c>
    </row>
    <row r="564" ht="15.75" customHeight="1">
      <c r="A564" s="7" t="s">
        <v>2253</v>
      </c>
      <c r="B564" s="8" t="s">
        <v>28</v>
      </c>
      <c r="C564" s="8" t="s">
        <v>2255</v>
      </c>
      <c r="D564" s="8">
        <v>1.0</v>
      </c>
      <c r="F564" s="8">
        <v>0.0</v>
      </c>
      <c r="G564" s="8">
        <v>0.0</v>
      </c>
      <c r="H564" s="8">
        <v>1.0</v>
      </c>
    </row>
    <row r="565" ht="15.75" customHeight="1">
      <c r="A565" s="7" t="s">
        <v>2257</v>
      </c>
      <c r="B565" s="8" t="s">
        <v>28</v>
      </c>
      <c r="D565" s="8">
        <v>1.0</v>
      </c>
      <c r="E565" s="8">
        <v>-1.0</v>
      </c>
      <c r="F565" s="8">
        <v>0.0</v>
      </c>
      <c r="G565" s="8">
        <v>0.0</v>
      </c>
      <c r="H565" s="8">
        <v>0.0</v>
      </c>
      <c r="I565" s="8">
        <v>0.0</v>
      </c>
    </row>
    <row r="566" ht="15.75" customHeight="1">
      <c r="A566" s="7" t="s">
        <v>2259</v>
      </c>
      <c r="B566" s="8" t="s">
        <v>28</v>
      </c>
      <c r="C566" s="8" t="s">
        <v>2262</v>
      </c>
      <c r="D566" s="8">
        <v>1.0</v>
      </c>
      <c r="F566" s="8">
        <v>0.0</v>
      </c>
      <c r="G566" s="8">
        <v>0.0</v>
      </c>
      <c r="H566" s="8">
        <v>1.0</v>
      </c>
    </row>
    <row r="567" ht="15.75" customHeight="1">
      <c r="A567" s="7" t="s">
        <v>2264</v>
      </c>
      <c r="B567" s="8" t="s">
        <v>28</v>
      </c>
      <c r="D567" s="8">
        <v>1.0</v>
      </c>
      <c r="F567" s="8">
        <v>0.0</v>
      </c>
      <c r="G567" s="8">
        <v>0.0</v>
      </c>
      <c r="H567" s="8">
        <v>0.0</v>
      </c>
    </row>
    <row r="568" ht="15.75" customHeight="1">
      <c r="A568" s="7" t="s">
        <v>2267</v>
      </c>
      <c r="B568" s="8" t="s">
        <v>28</v>
      </c>
      <c r="C568" s="8" t="s">
        <v>2269</v>
      </c>
      <c r="D568" s="8">
        <v>1.0</v>
      </c>
      <c r="F568" s="8">
        <v>0.0</v>
      </c>
      <c r="G568" s="8">
        <v>0.0</v>
      </c>
      <c r="H568" s="8">
        <v>0.0</v>
      </c>
    </row>
    <row r="569" ht="15.75" customHeight="1">
      <c r="A569" s="7" t="s">
        <v>2272</v>
      </c>
      <c r="B569" s="8" t="s">
        <v>28</v>
      </c>
      <c r="C569" s="8" t="s">
        <v>2273</v>
      </c>
      <c r="D569" s="8">
        <v>1.0</v>
      </c>
      <c r="F569" s="8">
        <v>0.0</v>
      </c>
      <c r="G569" s="8">
        <v>0.0</v>
      </c>
      <c r="H569" s="8">
        <v>0.0</v>
      </c>
    </row>
    <row r="570" ht="15.75" customHeight="1">
      <c r="A570" s="7" t="s">
        <v>2275</v>
      </c>
      <c r="B570" s="8" t="s">
        <v>405</v>
      </c>
      <c r="C570" s="8" t="s">
        <v>2278</v>
      </c>
      <c r="D570" s="8">
        <v>1.0</v>
      </c>
      <c r="F570" s="8">
        <v>0.0</v>
      </c>
      <c r="G570" s="8">
        <v>0.0</v>
      </c>
      <c r="H570" s="8">
        <v>1.0</v>
      </c>
    </row>
    <row r="571" ht="15.75" customHeight="1">
      <c r="A571" s="7" t="s">
        <v>2279</v>
      </c>
      <c r="B571" s="8" t="s">
        <v>28</v>
      </c>
      <c r="D571" s="8">
        <v>1.0</v>
      </c>
      <c r="E571" s="8">
        <v>-6.0</v>
      </c>
      <c r="F571" s="8">
        <v>0.0</v>
      </c>
      <c r="G571" s="8">
        <v>0.0</v>
      </c>
      <c r="H571" s="8">
        <v>0.0</v>
      </c>
      <c r="I571" s="8">
        <v>-0.43</v>
      </c>
    </row>
    <row r="572" ht="15.75" customHeight="1">
      <c r="A572" s="7" t="s">
        <v>2283</v>
      </c>
      <c r="B572" s="8" t="s">
        <v>28</v>
      </c>
      <c r="C572" s="8" t="s">
        <v>2287</v>
      </c>
      <c r="D572" s="8">
        <v>1.0</v>
      </c>
      <c r="F572" s="8">
        <v>0.0</v>
      </c>
      <c r="G572" s="8">
        <v>0.0</v>
      </c>
      <c r="H572" s="8">
        <v>0.0</v>
      </c>
    </row>
    <row r="573" ht="15.75" customHeight="1">
      <c r="A573" s="7" t="s">
        <v>2288</v>
      </c>
      <c r="B573" s="8" t="s">
        <v>28</v>
      </c>
      <c r="C573" s="8" t="s">
        <v>2290</v>
      </c>
      <c r="D573" s="8">
        <v>1.0</v>
      </c>
      <c r="F573" s="8">
        <v>0.0</v>
      </c>
      <c r="G573" s="8">
        <v>0.0</v>
      </c>
      <c r="H573" s="8">
        <v>0.0</v>
      </c>
    </row>
    <row r="574" ht="15.75" customHeight="1">
      <c r="A574" s="7" t="s">
        <v>2293</v>
      </c>
      <c r="B574" s="8" t="s">
        <v>28</v>
      </c>
      <c r="C574" s="8" t="s">
        <v>2295</v>
      </c>
      <c r="D574" s="8">
        <v>1.0</v>
      </c>
      <c r="E574" s="8">
        <v>-2.0</v>
      </c>
      <c r="F574" s="8">
        <v>0.0</v>
      </c>
      <c r="G574" s="8">
        <v>0.0</v>
      </c>
      <c r="H574" s="8">
        <v>1.0</v>
      </c>
      <c r="I574" s="8">
        <v>0.33</v>
      </c>
    </row>
    <row r="575" ht="15.75" customHeight="1">
      <c r="A575" s="7" t="s">
        <v>2297</v>
      </c>
      <c r="B575" s="8" t="s">
        <v>28</v>
      </c>
      <c r="C575" s="8" t="s">
        <v>2299</v>
      </c>
      <c r="D575" s="8">
        <v>1.0</v>
      </c>
      <c r="F575" s="8">
        <v>0.0</v>
      </c>
      <c r="G575" s="8">
        <v>0.0</v>
      </c>
      <c r="H575" s="8">
        <v>0.0</v>
      </c>
    </row>
    <row r="576" ht="15.75" customHeight="1">
      <c r="A576" s="7" t="s">
        <v>2300</v>
      </c>
      <c r="B576" s="8" t="s">
        <v>28</v>
      </c>
      <c r="D576" s="8">
        <v>1.0</v>
      </c>
      <c r="E576" s="8">
        <v>0.0</v>
      </c>
      <c r="F576" s="8">
        <v>0.0</v>
      </c>
      <c r="G576" s="8">
        <v>0.0</v>
      </c>
      <c r="H576" s="8">
        <v>0.0</v>
      </c>
      <c r="I576" s="8">
        <v>0.0</v>
      </c>
    </row>
    <row r="577" ht="15.75" customHeight="1">
      <c r="A577" s="7" t="s">
        <v>2304</v>
      </c>
      <c r="B577" s="8" t="s">
        <v>405</v>
      </c>
      <c r="C577" s="8" t="s">
        <v>1241</v>
      </c>
      <c r="D577" s="8">
        <v>1.0</v>
      </c>
      <c r="F577" s="8">
        <v>0.0</v>
      </c>
      <c r="G577" s="8">
        <v>0.0</v>
      </c>
      <c r="H577" s="8">
        <v>1.0</v>
      </c>
    </row>
    <row r="578" ht="15.75" customHeight="1">
      <c r="A578" s="7" t="s">
        <v>2307</v>
      </c>
      <c r="B578" s="8" t="s">
        <v>28</v>
      </c>
      <c r="D578" s="8">
        <v>1.0</v>
      </c>
      <c r="E578" s="8">
        <v>0.0</v>
      </c>
      <c r="F578" s="8">
        <v>0.0</v>
      </c>
      <c r="G578" s="8">
        <v>0.0</v>
      </c>
      <c r="H578" s="8">
        <v>0.0</v>
      </c>
      <c r="I578" s="8">
        <v>-3.0</v>
      </c>
    </row>
    <row r="579" ht="15.75" customHeight="1">
      <c r="A579" s="7" t="s">
        <v>2310</v>
      </c>
      <c r="B579" s="8" t="s">
        <v>28</v>
      </c>
      <c r="D579" s="8">
        <v>1.0</v>
      </c>
      <c r="F579" s="8">
        <v>0.0</v>
      </c>
      <c r="G579" s="8">
        <v>0.0</v>
      </c>
      <c r="H579" s="8">
        <v>1.0</v>
      </c>
    </row>
    <row r="580" ht="15.75" customHeight="1">
      <c r="A580" s="7" t="s">
        <v>2312</v>
      </c>
      <c r="B580" s="8" t="s">
        <v>28</v>
      </c>
      <c r="C580" s="8" t="s">
        <v>2314</v>
      </c>
      <c r="D580" s="8">
        <v>1.0</v>
      </c>
      <c r="F580" s="8">
        <v>0.0</v>
      </c>
      <c r="G580" s="8">
        <v>0.0</v>
      </c>
      <c r="H580" s="8">
        <v>0.0</v>
      </c>
    </row>
    <row r="581" ht="15.75" customHeight="1">
      <c r="A581" s="7" t="s">
        <v>2316</v>
      </c>
      <c r="B581" s="8" t="s">
        <v>28</v>
      </c>
      <c r="D581" s="8">
        <v>1.0</v>
      </c>
      <c r="F581" s="8">
        <v>0.0</v>
      </c>
      <c r="G581" s="8">
        <v>0.0</v>
      </c>
      <c r="H581" s="8">
        <v>0.0</v>
      </c>
    </row>
    <row r="582" ht="15.75" customHeight="1">
      <c r="A582" s="7" t="s">
        <v>2318</v>
      </c>
      <c r="B582" s="8" t="s">
        <v>28</v>
      </c>
      <c r="C582" s="8" t="s">
        <v>2320</v>
      </c>
      <c r="D582" s="8">
        <v>1.0</v>
      </c>
      <c r="E582" s="8">
        <v>0.0</v>
      </c>
      <c r="F582" s="8">
        <v>0.0</v>
      </c>
      <c r="G582" s="8">
        <v>0.0</v>
      </c>
      <c r="H582" s="8">
        <v>1.0</v>
      </c>
      <c r="I582" s="8">
        <v>0.0</v>
      </c>
    </row>
    <row r="583" ht="15.75" customHeight="1">
      <c r="A583" s="7" t="s">
        <v>2323</v>
      </c>
      <c r="B583" s="8" t="s">
        <v>28</v>
      </c>
      <c r="D583" s="8">
        <v>1.0</v>
      </c>
      <c r="F583" s="8">
        <v>0.0</v>
      </c>
      <c r="G583" s="8">
        <v>0.0</v>
      </c>
      <c r="H583" s="8">
        <v>1.0</v>
      </c>
    </row>
    <row r="584" ht="15.75" customHeight="1">
      <c r="A584" s="7" t="s">
        <v>2325</v>
      </c>
      <c r="B584" s="8" t="s">
        <v>76</v>
      </c>
      <c r="D584" s="8">
        <v>1.0</v>
      </c>
      <c r="F584" s="8">
        <v>0.0</v>
      </c>
      <c r="G584" s="8">
        <v>0.0</v>
      </c>
      <c r="H584" s="8">
        <v>1.0</v>
      </c>
    </row>
    <row r="585" ht="15.75" customHeight="1">
      <c r="A585" s="7" t="s">
        <v>2327</v>
      </c>
      <c r="B585" s="8" t="s">
        <v>76</v>
      </c>
      <c r="D585" s="8">
        <v>1.0</v>
      </c>
      <c r="E585" s="8">
        <v>-6.0</v>
      </c>
      <c r="F585" s="8">
        <v>0.0</v>
      </c>
      <c r="G585" s="8">
        <v>0.0</v>
      </c>
      <c r="H585" s="8">
        <v>1.0</v>
      </c>
      <c r="I585" s="8">
        <v>0.43</v>
      </c>
    </row>
    <row r="586" ht="15.75" customHeight="1">
      <c r="A586" s="7" t="s">
        <v>2329</v>
      </c>
      <c r="B586" s="8" t="s">
        <v>28</v>
      </c>
      <c r="C586" s="8" t="s">
        <v>2331</v>
      </c>
      <c r="D586" s="8">
        <v>1.0</v>
      </c>
      <c r="E586" s="8">
        <v>0.0</v>
      </c>
      <c r="F586" s="8">
        <v>0.0</v>
      </c>
      <c r="G586" s="8">
        <v>0.0</v>
      </c>
      <c r="H586" s="8">
        <v>0.0</v>
      </c>
      <c r="I586" s="8">
        <v>0.0</v>
      </c>
    </row>
    <row r="587" ht="15.75" customHeight="1">
      <c r="A587" s="7" t="s">
        <v>2332</v>
      </c>
      <c r="B587" s="8" t="s">
        <v>28</v>
      </c>
      <c r="D587" s="8">
        <v>1.0</v>
      </c>
      <c r="F587" s="8">
        <v>0.0</v>
      </c>
      <c r="G587" s="8">
        <v>0.0</v>
      </c>
      <c r="H587" s="8">
        <v>1.0</v>
      </c>
    </row>
    <row r="588" ht="15.75" customHeight="1">
      <c r="A588" s="7" t="s">
        <v>2336</v>
      </c>
      <c r="B588" s="8" t="s">
        <v>28</v>
      </c>
      <c r="D588" s="8">
        <v>1.0</v>
      </c>
      <c r="F588" s="8">
        <v>0.0</v>
      </c>
      <c r="G588" s="8">
        <v>0.0</v>
      </c>
      <c r="H588" s="8">
        <v>0.0</v>
      </c>
    </row>
    <row r="589" ht="15.75" customHeight="1">
      <c r="A589" s="7" t="s">
        <v>2340</v>
      </c>
      <c r="B589" s="8" t="s">
        <v>28</v>
      </c>
      <c r="D589" s="8">
        <v>1.0</v>
      </c>
      <c r="F589" s="8">
        <v>0.0</v>
      </c>
      <c r="G589" s="8">
        <v>0.0</v>
      </c>
      <c r="H589" s="8">
        <v>0.0</v>
      </c>
    </row>
    <row r="590" ht="15.75" customHeight="1">
      <c r="A590" s="7" t="s">
        <v>2343</v>
      </c>
      <c r="B590" s="8" t="s">
        <v>28</v>
      </c>
      <c r="C590" s="8" t="s">
        <v>2346</v>
      </c>
      <c r="D590" s="8">
        <v>1.0</v>
      </c>
      <c r="F590" s="8">
        <v>0.0</v>
      </c>
      <c r="G590" s="8">
        <v>0.0</v>
      </c>
      <c r="H590" s="8">
        <v>1.0</v>
      </c>
    </row>
    <row r="591" ht="15.75" customHeight="1">
      <c r="A591" s="7" t="s">
        <v>2348</v>
      </c>
      <c r="B591" s="8" t="s">
        <v>28</v>
      </c>
      <c r="C591" s="8" t="s">
        <v>2350</v>
      </c>
      <c r="D591" s="8">
        <v>1.0</v>
      </c>
      <c r="F591" s="8">
        <v>0.0</v>
      </c>
      <c r="G591" s="8">
        <v>0.0</v>
      </c>
      <c r="H591" s="8">
        <v>1.0</v>
      </c>
    </row>
    <row r="592" ht="15.75" customHeight="1">
      <c r="A592" s="7" t="s">
        <v>2352</v>
      </c>
      <c r="B592" s="8" t="s">
        <v>28</v>
      </c>
      <c r="C592" s="8" t="s">
        <v>186</v>
      </c>
      <c r="D592" s="8">
        <v>1.0</v>
      </c>
      <c r="E592" s="8">
        <v>-1.0</v>
      </c>
      <c r="F592" s="8">
        <v>0.0</v>
      </c>
      <c r="G592" s="8">
        <v>0.0</v>
      </c>
      <c r="H592" s="8">
        <v>0.0</v>
      </c>
      <c r="I592" s="8">
        <v>0.0</v>
      </c>
    </row>
    <row r="593" ht="15.75" customHeight="1">
      <c r="A593" s="7" t="s">
        <v>2355</v>
      </c>
      <c r="B593" s="8" t="s">
        <v>492</v>
      </c>
      <c r="D593" s="8">
        <v>1.0</v>
      </c>
      <c r="F593" s="8">
        <v>0.0</v>
      </c>
      <c r="G593" s="8">
        <v>0.0</v>
      </c>
      <c r="H593" s="8">
        <v>0.0</v>
      </c>
    </row>
    <row r="594" ht="15.75" customHeight="1">
      <c r="A594" s="7" t="s">
        <v>2358</v>
      </c>
      <c r="B594" s="8" t="s">
        <v>405</v>
      </c>
      <c r="C594" s="8" t="s">
        <v>2361</v>
      </c>
      <c r="D594" s="8">
        <v>1.0</v>
      </c>
      <c r="F594" s="8">
        <v>0.0</v>
      </c>
      <c r="G594" s="8">
        <v>0.0</v>
      </c>
      <c r="H594" s="8">
        <v>1.0</v>
      </c>
    </row>
    <row r="595" ht="15.75" customHeight="1">
      <c r="A595" s="7" t="s">
        <v>2363</v>
      </c>
      <c r="B595" s="8" t="s">
        <v>28</v>
      </c>
      <c r="C595" s="8" t="s">
        <v>186</v>
      </c>
      <c r="D595" s="8">
        <v>1.0</v>
      </c>
      <c r="F595" s="8">
        <v>0.0</v>
      </c>
      <c r="G595" s="8">
        <v>0.0</v>
      </c>
      <c r="H595" s="8">
        <v>0.0</v>
      </c>
    </row>
    <row r="596" ht="15.75" customHeight="1">
      <c r="A596" s="7" t="s">
        <v>2365</v>
      </c>
      <c r="B596" s="8" t="s">
        <v>28</v>
      </c>
      <c r="C596" s="8" t="s">
        <v>2368</v>
      </c>
      <c r="D596" s="8">
        <v>1.0</v>
      </c>
      <c r="F596" s="8">
        <v>0.0</v>
      </c>
      <c r="G596" s="8">
        <v>0.0</v>
      </c>
      <c r="H596" s="8">
        <v>2.0</v>
      </c>
    </row>
    <row r="597" ht="15.75" customHeight="1">
      <c r="A597" s="7" t="s">
        <v>2369</v>
      </c>
      <c r="B597" s="8" t="s">
        <v>28</v>
      </c>
      <c r="C597" s="8" t="s">
        <v>186</v>
      </c>
      <c r="D597" s="8">
        <v>1.0</v>
      </c>
      <c r="F597" s="8">
        <v>0.0</v>
      </c>
      <c r="G597" s="8">
        <v>0.0</v>
      </c>
      <c r="H597" s="8">
        <v>0.0</v>
      </c>
    </row>
    <row r="598" ht="15.75" customHeight="1">
      <c r="A598" s="8" t="s">
        <v>2373</v>
      </c>
      <c r="B598" s="8" t="s">
        <v>28</v>
      </c>
      <c r="D598" s="8">
        <v>1.0</v>
      </c>
      <c r="F598" s="8">
        <v>0.0</v>
      </c>
      <c r="G598" s="8">
        <v>0.0</v>
      </c>
      <c r="H598" s="8">
        <v>0.0</v>
      </c>
    </row>
    <row r="599" ht="15.75" customHeight="1">
      <c r="A599" s="8" t="s">
        <v>2374</v>
      </c>
      <c r="B599" s="8" t="s">
        <v>28</v>
      </c>
      <c r="C599" s="8" t="s">
        <v>2375</v>
      </c>
      <c r="D599" s="8">
        <v>1.0</v>
      </c>
      <c r="F599" s="8">
        <v>0.0</v>
      </c>
      <c r="G599" s="8">
        <v>0.0</v>
      </c>
      <c r="H599" s="8">
        <v>0.0</v>
      </c>
    </row>
    <row r="600" ht="15.75" customHeight="1">
      <c r="A600" s="7" t="s">
        <v>2377</v>
      </c>
      <c r="B600" s="8" t="s">
        <v>28</v>
      </c>
      <c r="C600" s="8" t="s">
        <v>498</v>
      </c>
      <c r="D600" s="8">
        <v>1.0</v>
      </c>
      <c r="F600" s="8">
        <v>0.0</v>
      </c>
      <c r="G600" s="8">
        <v>0.0</v>
      </c>
      <c r="H600" s="8">
        <v>0.0</v>
      </c>
    </row>
    <row r="601" ht="15.75" customHeight="1">
      <c r="A601" s="7" t="s">
        <v>2381</v>
      </c>
      <c r="B601" s="8" t="s">
        <v>28</v>
      </c>
      <c r="C601" s="8" t="s">
        <v>2384</v>
      </c>
      <c r="D601" s="8">
        <v>1.0</v>
      </c>
      <c r="F601" s="8">
        <v>0.0</v>
      </c>
      <c r="G601" s="8">
        <v>0.0</v>
      </c>
      <c r="H601" s="8">
        <v>1.0</v>
      </c>
    </row>
    <row r="602" ht="15.75" customHeight="1">
      <c r="A602" s="7" t="s">
        <v>2386</v>
      </c>
      <c r="B602" s="8" t="s">
        <v>28</v>
      </c>
      <c r="C602" s="8" t="s">
        <v>2389</v>
      </c>
      <c r="D602" s="8">
        <v>1.0</v>
      </c>
      <c r="E602" s="8">
        <v>-4.0</v>
      </c>
      <c r="F602" s="8">
        <v>0.0</v>
      </c>
      <c r="G602" s="8">
        <v>0.0</v>
      </c>
      <c r="H602" s="8">
        <v>0.0</v>
      </c>
      <c r="I602" s="8">
        <v>-1.2</v>
      </c>
    </row>
    <row r="603" ht="15.75" customHeight="1">
      <c r="A603" s="7" t="s">
        <v>2390</v>
      </c>
      <c r="B603" s="8" t="s">
        <v>28</v>
      </c>
      <c r="D603" s="8">
        <v>1.0</v>
      </c>
      <c r="F603" s="8">
        <v>0.0</v>
      </c>
      <c r="G603" s="8">
        <v>0.0</v>
      </c>
      <c r="H603" s="8">
        <v>1.0</v>
      </c>
    </row>
    <row r="604" ht="15.75" customHeight="1">
      <c r="A604" s="7" t="s">
        <v>2392</v>
      </c>
      <c r="B604" s="8" t="s">
        <v>48</v>
      </c>
      <c r="C604" s="8" t="s">
        <v>2395</v>
      </c>
      <c r="D604" s="8">
        <v>1.0</v>
      </c>
      <c r="F604" s="8">
        <v>0.0</v>
      </c>
      <c r="G604" s="8">
        <v>0.0</v>
      </c>
      <c r="H604" s="8">
        <v>1.0</v>
      </c>
    </row>
    <row r="605" ht="15.75" customHeight="1">
      <c r="A605" s="7" t="s">
        <v>2397</v>
      </c>
      <c r="B605" s="8" t="s">
        <v>48</v>
      </c>
      <c r="C605" s="8" t="s">
        <v>2399</v>
      </c>
      <c r="D605" s="8">
        <v>1.0</v>
      </c>
      <c r="F605" s="8">
        <v>0.0</v>
      </c>
      <c r="G605" s="8">
        <v>0.0</v>
      </c>
      <c r="H605" s="8">
        <v>0.0</v>
      </c>
    </row>
    <row r="606" ht="15.75" customHeight="1">
      <c r="A606" s="7" t="s">
        <v>2400</v>
      </c>
      <c r="B606" s="8" t="s">
        <v>191</v>
      </c>
      <c r="C606" s="8" t="s">
        <v>2403</v>
      </c>
      <c r="D606" s="8">
        <v>1.0</v>
      </c>
      <c r="F606" s="8">
        <v>0.0</v>
      </c>
      <c r="G606" s="8">
        <v>0.0</v>
      </c>
      <c r="H606" s="8">
        <v>1.0</v>
      </c>
    </row>
    <row r="607" ht="15.75" customHeight="1">
      <c r="A607" s="7" t="s">
        <v>2404</v>
      </c>
      <c r="B607" s="8" t="s">
        <v>28</v>
      </c>
      <c r="C607" s="8" t="s">
        <v>186</v>
      </c>
      <c r="D607" s="8">
        <v>1.0</v>
      </c>
      <c r="F607" s="8">
        <v>0.0</v>
      </c>
      <c r="G607" s="8">
        <v>0.0</v>
      </c>
      <c r="H607" s="8">
        <v>1.0</v>
      </c>
    </row>
    <row r="608" ht="15.75" customHeight="1">
      <c r="A608" s="7" t="s">
        <v>2408</v>
      </c>
      <c r="B608" s="8" t="s">
        <v>28</v>
      </c>
      <c r="C608" s="8" t="s">
        <v>1658</v>
      </c>
      <c r="D608" s="8">
        <v>1.0</v>
      </c>
      <c r="F608" s="8">
        <v>0.0</v>
      </c>
      <c r="G608" s="8">
        <v>0.0</v>
      </c>
      <c r="H608" s="8">
        <v>1.0</v>
      </c>
    </row>
    <row r="609" ht="15.75" customHeight="1">
      <c r="A609" s="7" t="s">
        <v>2410</v>
      </c>
      <c r="B609" s="8" t="s">
        <v>28</v>
      </c>
      <c r="C609" s="8" t="s">
        <v>2412</v>
      </c>
      <c r="D609" s="8">
        <v>1.0</v>
      </c>
      <c r="E609" s="8">
        <v>-5.0</v>
      </c>
      <c r="F609" s="8">
        <v>0.0</v>
      </c>
      <c r="G609" s="8">
        <v>0.0</v>
      </c>
      <c r="H609" s="8">
        <v>0.0</v>
      </c>
      <c r="I609" s="8">
        <v>-0.33</v>
      </c>
    </row>
    <row r="610" ht="15.75" customHeight="1">
      <c r="A610" s="7" t="s">
        <v>2413</v>
      </c>
      <c r="B610" s="8" t="s">
        <v>28</v>
      </c>
      <c r="C610" s="8" t="s">
        <v>2417</v>
      </c>
      <c r="D610" s="8">
        <v>1.0</v>
      </c>
      <c r="F610" s="8">
        <v>0.0</v>
      </c>
      <c r="G610" s="8">
        <v>0.0</v>
      </c>
      <c r="H610" s="8">
        <v>1.0</v>
      </c>
    </row>
    <row r="611" ht="15.75" customHeight="1">
      <c r="A611" s="7" t="s">
        <v>2418</v>
      </c>
      <c r="B611" s="8" t="s">
        <v>28</v>
      </c>
      <c r="C611" s="8" t="s">
        <v>2420</v>
      </c>
      <c r="D611" s="8">
        <v>1.0</v>
      </c>
      <c r="F611" s="8">
        <v>0.0</v>
      </c>
      <c r="G611" s="8">
        <v>0.0</v>
      </c>
      <c r="H611" s="8">
        <v>1.0</v>
      </c>
    </row>
    <row r="612" ht="15.75" customHeight="1">
      <c r="A612" s="7" t="s">
        <v>2421</v>
      </c>
      <c r="B612" s="8" t="s">
        <v>28</v>
      </c>
      <c r="C612" s="8" t="s">
        <v>2424</v>
      </c>
      <c r="D612" s="8">
        <v>1.0</v>
      </c>
      <c r="F612" s="8">
        <v>0.0</v>
      </c>
      <c r="G612" s="8">
        <v>0.0</v>
      </c>
      <c r="H612" s="8">
        <v>1.0</v>
      </c>
    </row>
    <row r="613" ht="15.75" customHeight="1">
      <c r="A613" s="7" t="s">
        <v>2425</v>
      </c>
      <c r="B613" s="8" t="s">
        <v>28</v>
      </c>
      <c r="C613" s="8" t="s">
        <v>2427</v>
      </c>
      <c r="D613" s="8">
        <v>1.0</v>
      </c>
      <c r="F613" s="8">
        <v>0.0</v>
      </c>
      <c r="G613" s="8">
        <v>0.0</v>
      </c>
      <c r="H613" s="8">
        <v>1.0</v>
      </c>
    </row>
    <row r="614" ht="15.75" customHeight="1">
      <c r="A614" s="7" t="s">
        <v>2429</v>
      </c>
      <c r="B614" s="8" t="s">
        <v>28</v>
      </c>
      <c r="D614" s="8">
        <v>1.0</v>
      </c>
      <c r="E614" s="8">
        <v>-1.0</v>
      </c>
      <c r="F614" s="8">
        <v>0.0</v>
      </c>
      <c r="G614" s="8">
        <v>0.0</v>
      </c>
      <c r="H614" s="8">
        <v>0.0</v>
      </c>
      <c r="I614" s="8">
        <v>0.0</v>
      </c>
    </row>
    <row r="615" ht="15.75" customHeight="1">
      <c r="A615" s="8" t="s">
        <v>2431</v>
      </c>
      <c r="B615" s="8" t="s">
        <v>28</v>
      </c>
      <c r="C615" s="8" t="s">
        <v>2432</v>
      </c>
      <c r="D615" s="8">
        <v>1.0</v>
      </c>
      <c r="F615" s="8">
        <v>0.0</v>
      </c>
      <c r="G615" s="8">
        <v>0.0</v>
      </c>
      <c r="H615" s="8">
        <v>0.0</v>
      </c>
    </row>
    <row r="616" ht="15.75" customHeight="1">
      <c r="A616" s="7" t="s">
        <v>2433</v>
      </c>
      <c r="B616" s="8" t="s">
        <v>28</v>
      </c>
      <c r="C616" s="8" t="s">
        <v>2434</v>
      </c>
      <c r="D616" s="8">
        <v>1.0</v>
      </c>
      <c r="F616" s="8">
        <v>0.0</v>
      </c>
      <c r="G616" s="8">
        <v>0.0</v>
      </c>
      <c r="H616" s="8">
        <v>0.0</v>
      </c>
    </row>
    <row r="617" ht="15.75" customHeight="1">
      <c r="A617" s="7" t="s">
        <v>2435</v>
      </c>
      <c r="B617" s="8" t="s">
        <v>48</v>
      </c>
      <c r="C617" s="8" t="s">
        <v>803</v>
      </c>
      <c r="D617" s="8">
        <v>1.0</v>
      </c>
      <c r="F617" s="8">
        <v>0.0</v>
      </c>
      <c r="G617" s="8">
        <v>0.0</v>
      </c>
      <c r="H617" s="8">
        <v>1.0</v>
      </c>
    </row>
    <row r="618" ht="15.75" customHeight="1">
      <c r="A618" s="7" t="s">
        <v>2438</v>
      </c>
      <c r="B618" s="8" t="s">
        <v>28</v>
      </c>
      <c r="C618" s="8" t="s">
        <v>2441</v>
      </c>
      <c r="D618" s="8">
        <v>1.0</v>
      </c>
      <c r="F618" s="8">
        <v>0.0</v>
      </c>
      <c r="G618" s="8">
        <v>0.0</v>
      </c>
      <c r="H618" s="8">
        <v>1.0</v>
      </c>
    </row>
    <row r="619" ht="15.75" customHeight="1">
      <c r="A619" s="7" t="s">
        <v>2443</v>
      </c>
      <c r="B619" s="8" t="s">
        <v>28</v>
      </c>
      <c r="D619" s="8">
        <v>1.0</v>
      </c>
      <c r="F619" s="8">
        <v>0.0</v>
      </c>
      <c r="G619" s="8">
        <v>0.0</v>
      </c>
      <c r="H619" s="8">
        <v>1.0</v>
      </c>
    </row>
    <row r="620" ht="15.75" customHeight="1">
      <c r="A620" s="7" t="s">
        <v>2445</v>
      </c>
      <c r="B620" s="8" t="s">
        <v>48</v>
      </c>
      <c r="C620" s="8" t="s">
        <v>186</v>
      </c>
      <c r="D620" s="8">
        <v>1.0</v>
      </c>
      <c r="F620" s="8">
        <v>0.0</v>
      </c>
      <c r="G620" s="8">
        <v>0.0</v>
      </c>
      <c r="H620" s="8">
        <v>1.0</v>
      </c>
    </row>
    <row r="621" ht="15.75" customHeight="1">
      <c r="A621" s="7" t="s">
        <v>2449</v>
      </c>
      <c r="B621" s="8" t="s">
        <v>28</v>
      </c>
      <c r="C621" s="8" t="s">
        <v>2451</v>
      </c>
      <c r="D621" s="8">
        <v>1.0</v>
      </c>
      <c r="F621" s="8">
        <v>0.0</v>
      </c>
      <c r="G621" s="8">
        <v>0.0</v>
      </c>
      <c r="H621" s="8">
        <v>1.0</v>
      </c>
    </row>
    <row r="622" ht="15.75" customHeight="1">
      <c r="A622" s="7" t="s">
        <v>2452</v>
      </c>
      <c r="B622" s="8" t="s">
        <v>28</v>
      </c>
      <c r="D622" s="8">
        <v>1.0</v>
      </c>
      <c r="F622" s="8">
        <v>0.0</v>
      </c>
      <c r="G622" s="8">
        <v>0.0</v>
      </c>
      <c r="H622" s="8">
        <v>0.0</v>
      </c>
    </row>
    <row r="623" ht="15.75" customHeight="1">
      <c r="A623" s="7" t="s">
        <v>2455</v>
      </c>
      <c r="B623" s="8" t="s">
        <v>28</v>
      </c>
      <c r="C623" s="8" t="s">
        <v>2458</v>
      </c>
      <c r="D623" s="8">
        <v>1.0</v>
      </c>
      <c r="E623" s="8">
        <v>-2.0</v>
      </c>
      <c r="F623" s="8">
        <v>0.0</v>
      </c>
      <c r="G623" s="8">
        <v>0.0</v>
      </c>
      <c r="H623" s="8">
        <v>0.0</v>
      </c>
      <c r="I623" s="8">
        <v>0.0</v>
      </c>
    </row>
    <row r="624" ht="15.75" customHeight="1">
      <c r="A624" s="7" t="s">
        <v>2462</v>
      </c>
      <c r="B624" s="8" t="s">
        <v>28</v>
      </c>
      <c r="D624" s="8">
        <v>1.0</v>
      </c>
      <c r="F624" s="8">
        <v>0.0</v>
      </c>
      <c r="G624" s="8">
        <v>0.0</v>
      </c>
      <c r="H624" s="8">
        <v>1.0</v>
      </c>
    </row>
    <row r="625" ht="15.75" customHeight="1">
      <c r="A625" s="7" t="s">
        <v>2464</v>
      </c>
      <c r="B625" s="8" t="s">
        <v>28</v>
      </c>
      <c r="C625" s="8" t="s">
        <v>498</v>
      </c>
      <c r="D625" s="8">
        <v>1.0</v>
      </c>
      <c r="F625" s="8">
        <v>0.0</v>
      </c>
      <c r="G625" s="8">
        <v>0.0</v>
      </c>
      <c r="H625" s="8">
        <v>0.0</v>
      </c>
    </row>
    <row r="626" ht="15.75" customHeight="1">
      <c r="A626" s="7" t="s">
        <v>2467</v>
      </c>
      <c r="B626" s="8" t="s">
        <v>28</v>
      </c>
      <c r="D626" s="8">
        <v>1.0</v>
      </c>
      <c r="E626" s="8">
        <v>-2.0</v>
      </c>
      <c r="F626" s="8">
        <v>0.0</v>
      </c>
      <c r="G626" s="8">
        <v>0.0</v>
      </c>
      <c r="H626" s="8">
        <v>0.0</v>
      </c>
      <c r="I626" s="8">
        <v>0.0</v>
      </c>
    </row>
    <row r="627" ht="15.75" customHeight="1">
      <c r="A627" s="7" t="s">
        <v>2470</v>
      </c>
      <c r="B627" s="8" t="s">
        <v>405</v>
      </c>
      <c r="C627" s="8" t="s">
        <v>2472</v>
      </c>
      <c r="D627" s="8">
        <v>1.0</v>
      </c>
      <c r="F627" s="8">
        <v>0.0</v>
      </c>
      <c r="G627" s="8">
        <v>0.0</v>
      </c>
      <c r="H627" s="8">
        <v>1.0</v>
      </c>
    </row>
    <row r="628" ht="15.75" customHeight="1">
      <c r="A628" s="7" t="s">
        <v>2474</v>
      </c>
      <c r="B628" s="8" t="s">
        <v>28</v>
      </c>
      <c r="D628" s="8">
        <v>1.0</v>
      </c>
      <c r="F628" s="8">
        <v>0.0</v>
      </c>
      <c r="G628" s="8">
        <v>0.0</v>
      </c>
      <c r="H628" s="8">
        <v>1.0</v>
      </c>
    </row>
    <row r="629" ht="15.75" customHeight="1">
      <c r="A629" s="7" t="s">
        <v>2478</v>
      </c>
      <c r="B629" s="8" t="s">
        <v>28</v>
      </c>
      <c r="C629" s="8" t="s">
        <v>2481</v>
      </c>
      <c r="D629" s="8">
        <v>1.0</v>
      </c>
      <c r="F629" s="8">
        <v>0.0</v>
      </c>
      <c r="G629" s="8">
        <v>0.0</v>
      </c>
      <c r="H629" s="8">
        <v>1.0</v>
      </c>
    </row>
    <row r="630" ht="15.75" customHeight="1">
      <c r="A630" s="7" t="s">
        <v>2482</v>
      </c>
      <c r="B630" s="8" t="s">
        <v>28</v>
      </c>
      <c r="D630" s="8">
        <v>1.0</v>
      </c>
      <c r="F630" s="8">
        <v>0.0</v>
      </c>
      <c r="G630" s="8">
        <v>0.0</v>
      </c>
      <c r="H630" s="8">
        <v>1.0</v>
      </c>
    </row>
    <row r="631" ht="15.75" customHeight="1">
      <c r="A631" s="7" t="s">
        <v>2485</v>
      </c>
      <c r="B631" s="8" t="s">
        <v>28</v>
      </c>
      <c r="D631" s="8">
        <v>1.0</v>
      </c>
      <c r="F631" s="8">
        <v>0.0</v>
      </c>
      <c r="G631" s="8">
        <v>0.0</v>
      </c>
      <c r="H631" s="8">
        <v>1.0</v>
      </c>
    </row>
    <row r="632" ht="15.75" customHeight="1">
      <c r="A632" s="7" t="s">
        <v>2488</v>
      </c>
      <c r="B632" s="8" t="s">
        <v>28</v>
      </c>
      <c r="C632" s="8" t="s">
        <v>2489</v>
      </c>
      <c r="D632" s="8">
        <v>1.0</v>
      </c>
      <c r="F632" s="8">
        <v>0.0</v>
      </c>
      <c r="G632" s="8">
        <v>0.0</v>
      </c>
      <c r="H632" s="8">
        <v>1.0</v>
      </c>
    </row>
    <row r="633" ht="15.75" customHeight="1">
      <c r="A633" s="7" t="s">
        <v>2491</v>
      </c>
      <c r="B633" s="8" t="s">
        <v>28</v>
      </c>
      <c r="D633" s="8">
        <v>1.0</v>
      </c>
      <c r="F633" s="8">
        <v>0.0</v>
      </c>
      <c r="G633" s="8">
        <v>0.0</v>
      </c>
      <c r="H633" s="8">
        <v>1.0</v>
      </c>
    </row>
    <row r="634" ht="15.75" customHeight="1">
      <c r="A634" s="7" t="s">
        <v>2495</v>
      </c>
      <c r="B634" s="8" t="s">
        <v>28</v>
      </c>
      <c r="C634" s="8" t="s">
        <v>186</v>
      </c>
      <c r="D634" s="8">
        <v>1.0</v>
      </c>
      <c r="F634" s="8">
        <v>0.0</v>
      </c>
      <c r="G634" s="8">
        <v>0.0</v>
      </c>
      <c r="H634" s="8">
        <v>1.0</v>
      </c>
    </row>
    <row r="635" ht="15.75" customHeight="1">
      <c r="A635" s="7" t="s">
        <v>2498</v>
      </c>
      <c r="B635" s="8" t="s">
        <v>191</v>
      </c>
      <c r="D635" s="8">
        <v>1.0</v>
      </c>
      <c r="F635" s="8">
        <v>0.0</v>
      </c>
      <c r="G635" s="8">
        <v>0.0</v>
      </c>
      <c r="H635" s="8">
        <v>1.0</v>
      </c>
    </row>
    <row r="636" ht="15.75" customHeight="1">
      <c r="A636" s="7" t="s">
        <v>2501</v>
      </c>
      <c r="B636" s="8" t="s">
        <v>191</v>
      </c>
      <c r="C636" s="8" t="s">
        <v>2504</v>
      </c>
      <c r="D636" s="8">
        <v>1.0</v>
      </c>
      <c r="F636" s="8">
        <v>0.0</v>
      </c>
      <c r="G636" s="8">
        <v>0.0</v>
      </c>
      <c r="H636" s="8">
        <v>0.0</v>
      </c>
    </row>
    <row r="637" ht="15.75" customHeight="1">
      <c r="A637" s="7" t="s">
        <v>2505</v>
      </c>
      <c r="B637" s="8" t="s">
        <v>28</v>
      </c>
      <c r="D637" s="8">
        <v>1.0</v>
      </c>
      <c r="E637" s="8">
        <v>-5.0</v>
      </c>
      <c r="F637" s="8">
        <v>0.0</v>
      </c>
      <c r="G637" s="8">
        <v>0.0</v>
      </c>
      <c r="H637" s="8">
        <v>0.0</v>
      </c>
      <c r="I637" s="8">
        <v>0.0</v>
      </c>
    </row>
    <row r="638" ht="15.75" customHeight="1">
      <c r="A638" s="7" t="s">
        <v>2509</v>
      </c>
      <c r="B638" s="8" t="s">
        <v>28</v>
      </c>
      <c r="C638" s="8" t="s">
        <v>2513</v>
      </c>
      <c r="D638" s="8">
        <v>1.0</v>
      </c>
      <c r="F638" s="8">
        <v>0.0</v>
      </c>
      <c r="G638" s="8">
        <v>0.0</v>
      </c>
      <c r="H638" s="8">
        <v>1.0</v>
      </c>
    </row>
    <row r="639" ht="15.75" customHeight="1">
      <c r="A639" s="7" t="s">
        <v>2514</v>
      </c>
      <c r="B639" s="8" t="s">
        <v>28</v>
      </c>
      <c r="C639" s="8" t="s">
        <v>2517</v>
      </c>
      <c r="D639" s="8">
        <v>1.0</v>
      </c>
      <c r="F639" s="8">
        <v>0.0</v>
      </c>
      <c r="G639" s="8">
        <v>0.0</v>
      </c>
      <c r="H639" s="8">
        <v>1.0</v>
      </c>
    </row>
    <row r="640" ht="15.75" customHeight="1">
      <c r="A640" s="7" t="s">
        <v>2519</v>
      </c>
      <c r="B640" s="8" t="s">
        <v>191</v>
      </c>
      <c r="C640" s="8" t="s">
        <v>2173</v>
      </c>
      <c r="D640" s="8">
        <v>1.0</v>
      </c>
      <c r="F640" s="8">
        <v>0.0</v>
      </c>
      <c r="G640" s="8">
        <v>0.0</v>
      </c>
      <c r="H640" s="8">
        <v>1.0</v>
      </c>
    </row>
    <row r="641" ht="15.75" customHeight="1">
      <c r="A641" s="7" t="s">
        <v>2521</v>
      </c>
      <c r="B641" s="8" t="s">
        <v>28</v>
      </c>
      <c r="D641" s="8">
        <v>1.0</v>
      </c>
      <c r="F641" s="8">
        <v>0.0</v>
      </c>
      <c r="G641" s="8">
        <v>0.0</v>
      </c>
      <c r="H641" s="8">
        <v>1.0</v>
      </c>
    </row>
    <row r="642" ht="15.75" customHeight="1">
      <c r="A642" s="7" t="s">
        <v>2524</v>
      </c>
      <c r="B642" s="8" t="s">
        <v>28</v>
      </c>
      <c r="D642" s="8">
        <v>1.0</v>
      </c>
      <c r="F642" s="8">
        <v>0.0</v>
      </c>
      <c r="G642" s="8">
        <v>0.0</v>
      </c>
      <c r="H642" s="8">
        <v>1.0</v>
      </c>
    </row>
    <row r="643" ht="15.75" customHeight="1">
      <c r="A643" s="7" t="s">
        <v>2527</v>
      </c>
      <c r="B643" s="8" t="s">
        <v>28</v>
      </c>
      <c r="D643" s="8">
        <v>1.0</v>
      </c>
      <c r="F643" s="8">
        <v>0.0</v>
      </c>
      <c r="G643" s="8">
        <v>0.0</v>
      </c>
      <c r="H643" s="8">
        <v>0.0</v>
      </c>
    </row>
    <row r="644" ht="15.75" customHeight="1">
      <c r="A644" s="7" t="s">
        <v>2530</v>
      </c>
      <c r="B644" s="8" t="s">
        <v>28</v>
      </c>
      <c r="C644" s="8" t="s">
        <v>2532</v>
      </c>
      <c r="D644" s="8">
        <v>1.0</v>
      </c>
      <c r="E644" s="8">
        <v>-1.0</v>
      </c>
      <c r="F644" s="8">
        <v>0.0</v>
      </c>
      <c r="G644" s="8">
        <v>0.0</v>
      </c>
      <c r="H644" s="8">
        <v>2.0</v>
      </c>
      <c r="I644" s="8">
        <v>-0.5</v>
      </c>
    </row>
    <row r="645" ht="15.75" customHeight="1">
      <c r="A645" s="7" t="s">
        <v>2534</v>
      </c>
      <c r="B645" s="8" t="s">
        <v>28</v>
      </c>
      <c r="C645" s="8" t="s">
        <v>2536</v>
      </c>
      <c r="D645" s="8">
        <v>1.0</v>
      </c>
      <c r="F645" s="8">
        <v>0.0</v>
      </c>
      <c r="G645" s="8">
        <v>0.0</v>
      </c>
      <c r="H645" s="8">
        <v>1.0</v>
      </c>
    </row>
    <row r="646" ht="15.75" customHeight="1">
      <c r="A646" s="7" t="s">
        <v>2537</v>
      </c>
      <c r="B646" s="8" t="s">
        <v>191</v>
      </c>
      <c r="D646" s="8">
        <v>1.0</v>
      </c>
      <c r="F646" s="8">
        <v>0.0</v>
      </c>
      <c r="G646" s="8">
        <v>0.0</v>
      </c>
      <c r="H646" s="8">
        <v>0.0</v>
      </c>
    </row>
    <row r="647" ht="15.75" customHeight="1">
      <c r="A647" s="7" t="s">
        <v>2540</v>
      </c>
      <c r="B647" s="8" t="s">
        <v>28</v>
      </c>
      <c r="D647" s="8">
        <v>1.0</v>
      </c>
      <c r="E647" s="8">
        <v>-4.0</v>
      </c>
      <c r="F647" s="8">
        <v>0.0</v>
      </c>
      <c r="G647" s="8">
        <v>0.0</v>
      </c>
      <c r="H647" s="8">
        <v>0.0</v>
      </c>
      <c r="I647" s="8">
        <v>0.0</v>
      </c>
    </row>
    <row r="648" ht="15.75" customHeight="1">
      <c r="A648" s="7" t="s">
        <v>2544</v>
      </c>
      <c r="B648" s="8" t="s">
        <v>28</v>
      </c>
      <c r="C648" s="8" t="s">
        <v>186</v>
      </c>
      <c r="D648" s="8">
        <v>1.0</v>
      </c>
      <c r="F648" s="8">
        <v>0.0</v>
      </c>
      <c r="G648" s="8">
        <v>0.0</v>
      </c>
      <c r="H648" s="8">
        <v>1.0</v>
      </c>
    </row>
    <row r="649" ht="15.75" customHeight="1">
      <c r="A649" s="7" t="s">
        <v>2546</v>
      </c>
      <c r="B649" s="8" t="s">
        <v>191</v>
      </c>
      <c r="D649" s="8">
        <v>1.0</v>
      </c>
      <c r="F649" s="8">
        <v>0.0</v>
      </c>
      <c r="G649" s="8">
        <v>0.0</v>
      </c>
      <c r="H649" s="8">
        <v>1.0</v>
      </c>
    </row>
    <row r="650" ht="15.75" customHeight="1">
      <c r="A650" s="8" t="s">
        <v>2548</v>
      </c>
      <c r="B650" s="8" t="s">
        <v>28</v>
      </c>
      <c r="C650" s="8" t="s">
        <v>2549</v>
      </c>
      <c r="D650" s="8">
        <v>1.0</v>
      </c>
      <c r="F650" s="8">
        <v>0.0</v>
      </c>
      <c r="G650" s="8">
        <v>0.0</v>
      </c>
      <c r="H650" s="8">
        <v>4.0</v>
      </c>
    </row>
    <row r="651" ht="15.75" customHeight="1">
      <c r="A651" s="7" t="s">
        <v>2551</v>
      </c>
      <c r="B651" s="8" t="s">
        <v>28</v>
      </c>
      <c r="C651" s="8" t="s">
        <v>2553</v>
      </c>
      <c r="D651" s="8">
        <v>1.0</v>
      </c>
      <c r="F651" s="8">
        <v>0.0</v>
      </c>
      <c r="G651" s="8">
        <v>0.0</v>
      </c>
      <c r="H651" s="8">
        <v>1.0</v>
      </c>
    </row>
    <row r="652" ht="15.75" customHeight="1">
      <c r="A652" s="7" t="s">
        <v>2555</v>
      </c>
      <c r="B652" s="8" t="s">
        <v>28</v>
      </c>
      <c r="D652" s="8">
        <v>1.0</v>
      </c>
      <c r="F652" s="8">
        <v>0.0</v>
      </c>
      <c r="G652" s="8">
        <v>0.0</v>
      </c>
      <c r="H652" s="8">
        <v>0.0</v>
      </c>
    </row>
    <row r="653" ht="15.75" customHeight="1">
      <c r="A653" s="7" t="s">
        <v>2557</v>
      </c>
      <c r="B653" s="8" t="s">
        <v>76</v>
      </c>
      <c r="D653" s="8">
        <v>1.0</v>
      </c>
      <c r="E653" s="8">
        <v>-4.0</v>
      </c>
      <c r="F653" s="8">
        <v>0.0</v>
      </c>
      <c r="G653" s="8">
        <v>0.0</v>
      </c>
      <c r="H653" s="8">
        <v>0.0</v>
      </c>
      <c r="I653" s="8">
        <v>0.0</v>
      </c>
    </row>
    <row r="654" ht="15.75" customHeight="1">
      <c r="A654" s="7" t="s">
        <v>2561</v>
      </c>
      <c r="B654" s="8" t="s">
        <v>28</v>
      </c>
      <c r="C654" s="8" t="s">
        <v>2562</v>
      </c>
      <c r="D654" s="8">
        <v>1.0</v>
      </c>
      <c r="F654" s="8">
        <v>0.0</v>
      </c>
      <c r="G654" s="8">
        <v>0.0</v>
      </c>
      <c r="H654" s="8">
        <v>0.0</v>
      </c>
    </row>
    <row r="655" ht="15.75" customHeight="1">
      <c r="A655" s="7" t="s">
        <v>2564</v>
      </c>
      <c r="B655" s="8" t="s">
        <v>28</v>
      </c>
      <c r="D655" s="8">
        <v>1.0</v>
      </c>
      <c r="E655" s="8">
        <v>-1.0</v>
      </c>
      <c r="F655" s="8">
        <v>0.0</v>
      </c>
      <c r="G655" s="8">
        <v>0.0</v>
      </c>
      <c r="H655" s="8">
        <v>2.0</v>
      </c>
      <c r="I655" s="8">
        <v>2.0</v>
      </c>
    </row>
    <row r="656" ht="15.75" customHeight="1">
      <c r="A656" s="7" t="s">
        <v>2566</v>
      </c>
      <c r="B656" s="8" t="s">
        <v>28</v>
      </c>
      <c r="D656" s="8">
        <v>1.0</v>
      </c>
      <c r="F656" s="8">
        <v>0.0</v>
      </c>
      <c r="G656" s="8">
        <v>0.0</v>
      </c>
      <c r="H656" s="8">
        <v>1.0</v>
      </c>
    </row>
    <row r="657" ht="15.75" customHeight="1">
      <c r="A657" s="7" t="s">
        <v>2569</v>
      </c>
      <c r="B657" s="8" t="s">
        <v>28</v>
      </c>
      <c r="D657" s="8">
        <v>1.0</v>
      </c>
      <c r="F657" s="8">
        <v>0.0</v>
      </c>
      <c r="G657" s="8">
        <v>0.0</v>
      </c>
      <c r="H657" s="8">
        <v>0.0</v>
      </c>
    </row>
    <row r="658" ht="15.75" customHeight="1">
      <c r="A658" s="7" t="s">
        <v>2571</v>
      </c>
      <c r="B658" s="8" t="s">
        <v>28</v>
      </c>
      <c r="D658" s="8">
        <v>1.0</v>
      </c>
      <c r="F658" s="8">
        <v>0.0</v>
      </c>
      <c r="G658" s="8">
        <v>0.0</v>
      </c>
      <c r="H658" s="8">
        <v>1.0</v>
      </c>
    </row>
    <row r="659" ht="15.75" customHeight="1">
      <c r="A659" s="7" t="s">
        <v>2573</v>
      </c>
      <c r="B659" s="8" t="s">
        <v>28</v>
      </c>
      <c r="C659" s="8" t="s">
        <v>2575</v>
      </c>
      <c r="D659" s="8">
        <v>1.0</v>
      </c>
      <c r="F659" s="8">
        <v>0.0</v>
      </c>
      <c r="G659" s="8">
        <v>0.0</v>
      </c>
      <c r="H659" s="8">
        <v>0.0</v>
      </c>
    </row>
    <row r="660" ht="15.75" customHeight="1">
      <c r="A660" s="7" t="s">
        <v>2576</v>
      </c>
      <c r="B660" s="8" t="s">
        <v>28</v>
      </c>
      <c r="C660" s="8" t="s">
        <v>2578</v>
      </c>
      <c r="D660" s="8">
        <v>1.0</v>
      </c>
      <c r="F660" s="8">
        <v>0.0</v>
      </c>
      <c r="G660" s="8">
        <v>0.0</v>
      </c>
      <c r="H660" s="8">
        <v>1.0</v>
      </c>
    </row>
    <row r="661" ht="15.75" customHeight="1">
      <c r="A661" s="7" t="s">
        <v>2580</v>
      </c>
      <c r="B661" s="8" t="s">
        <v>28</v>
      </c>
      <c r="C661" s="8" t="s">
        <v>2582</v>
      </c>
      <c r="D661" s="8">
        <v>1.0</v>
      </c>
      <c r="E661" s="8">
        <v>-4.0</v>
      </c>
      <c r="F661" s="8">
        <v>0.0</v>
      </c>
      <c r="G661" s="8">
        <v>0.0</v>
      </c>
      <c r="H661" s="8">
        <v>0.0</v>
      </c>
      <c r="I661" s="8">
        <v>0.0</v>
      </c>
    </row>
    <row r="662" ht="15.75" customHeight="1">
      <c r="A662" s="7" t="s">
        <v>2584</v>
      </c>
      <c r="B662" s="8" t="s">
        <v>28</v>
      </c>
      <c r="C662" s="8" t="s">
        <v>186</v>
      </c>
      <c r="D662" s="8">
        <v>1.0</v>
      </c>
      <c r="E662" s="8">
        <v>-3.0</v>
      </c>
      <c r="F662" s="8">
        <v>0.0</v>
      </c>
      <c r="G662" s="8">
        <v>0.0</v>
      </c>
      <c r="H662" s="8">
        <v>0.0</v>
      </c>
      <c r="I662" s="8">
        <v>0.0</v>
      </c>
    </row>
    <row r="663" ht="15.75" customHeight="1">
      <c r="A663" s="7" t="s">
        <v>2587</v>
      </c>
      <c r="B663" s="8" t="s">
        <v>28</v>
      </c>
      <c r="D663" s="8">
        <v>1.0</v>
      </c>
      <c r="F663" s="8">
        <v>0.0</v>
      </c>
      <c r="G663" s="8">
        <v>0.0</v>
      </c>
      <c r="H663" s="8">
        <v>1.0</v>
      </c>
    </row>
    <row r="664" ht="15.75" customHeight="1">
      <c r="A664" s="7" t="s">
        <v>2589</v>
      </c>
      <c r="B664" s="8" t="s">
        <v>28</v>
      </c>
      <c r="D664" s="8">
        <v>1.0</v>
      </c>
      <c r="E664" s="8">
        <v>-4.0</v>
      </c>
      <c r="F664" s="8">
        <v>0.0</v>
      </c>
      <c r="G664" s="8">
        <v>0.0</v>
      </c>
      <c r="H664" s="8">
        <v>0.0</v>
      </c>
      <c r="I664" s="8">
        <v>-0.6</v>
      </c>
    </row>
    <row r="665" ht="15.75" customHeight="1">
      <c r="A665" s="7" t="s">
        <v>2592</v>
      </c>
      <c r="B665" s="8" t="s">
        <v>28</v>
      </c>
      <c r="C665" s="8" t="s">
        <v>724</v>
      </c>
      <c r="D665" s="8">
        <v>1.0</v>
      </c>
      <c r="E665" s="8">
        <v>0.0</v>
      </c>
      <c r="F665" s="8">
        <v>0.0</v>
      </c>
      <c r="G665" s="8">
        <v>0.0</v>
      </c>
      <c r="H665" s="8">
        <v>0.0</v>
      </c>
      <c r="I665" s="8">
        <v>0.0</v>
      </c>
    </row>
    <row r="666" ht="15.75" customHeight="1">
      <c r="A666" s="7" t="s">
        <v>2595</v>
      </c>
      <c r="B666" s="8" t="s">
        <v>28</v>
      </c>
      <c r="D666" s="8">
        <v>1.0</v>
      </c>
      <c r="E666" s="8">
        <v>-1.0</v>
      </c>
      <c r="F666" s="8">
        <v>0.0</v>
      </c>
      <c r="G666" s="8">
        <v>0.0</v>
      </c>
      <c r="H666" s="8">
        <v>0.0</v>
      </c>
      <c r="I666" s="8">
        <v>0.0</v>
      </c>
    </row>
    <row r="667" ht="15.75" customHeight="1">
      <c r="A667" s="7" t="s">
        <v>2599</v>
      </c>
      <c r="B667" s="8" t="s">
        <v>28</v>
      </c>
      <c r="C667" s="8" t="s">
        <v>2602</v>
      </c>
      <c r="D667" s="8">
        <v>1.0</v>
      </c>
      <c r="E667" s="8">
        <v>-2.0</v>
      </c>
      <c r="F667" s="8">
        <v>0.0</v>
      </c>
      <c r="G667" s="8">
        <v>0.0</v>
      </c>
      <c r="H667" s="8">
        <v>0.0</v>
      </c>
      <c r="I667" s="8">
        <v>0.0</v>
      </c>
    </row>
    <row r="668" ht="15.75" customHeight="1">
      <c r="A668" s="7" t="s">
        <v>2603</v>
      </c>
      <c r="B668" s="8" t="s">
        <v>28</v>
      </c>
      <c r="C668" s="8" t="s">
        <v>724</v>
      </c>
      <c r="D668" s="8">
        <v>1.0</v>
      </c>
      <c r="E668" s="8">
        <v>-7.0</v>
      </c>
      <c r="F668" s="8">
        <v>0.0</v>
      </c>
      <c r="G668" s="8">
        <v>0.0</v>
      </c>
      <c r="H668" s="8">
        <v>0.0</v>
      </c>
      <c r="I668" s="8">
        <v>-1.12</v>
      </c>
    </row>
    <row r="669" ht="15.75" customHeight="1">
      <c r="A669" s="7" t="s">
        <v>2606</v>
      </c>
      <c r="B669" s="8" t="s">
        <v>405</v>
      </c>
      <c r="C669" s="8" t="s">
        <v>1241</v>
      </c>
      <c r="D669" s="8">
        <v>1.0</v>
      </c>
      <c r="F669" s="8">
        <v>0.0</v>
      </c>
      <c r="G669" s="8">
        <v>0.0</v>
      </c>
      <c r="H669" s="8">
        <v>1.0</v>
      </c>
    </row>
    <row r="670" ht="15.75" customHeight="1">
      <c r="A670" s="7" t="s">
        <v>2608</v>
      </c>
      <c r="B670" s="8" t="s">
        <v>28</v>
      </c>
      <c r="C670" s="8" t="s">
        <v>2611</v>
      </c>
      <c r="D670" s="8">
        <v>1.0</v>
      </c>
      <c r="E670" s="8">
        <v>0.0</v>
      </c>
      <c r="F670" s="8">
        <v>0.0</v>
      </c>
      <c r="G670" s="8">
        <v>0.0</v>
      </c>
      <c r="H670" s="8">
        <v>1.0</v>
      </c>
      <c r="I670" s="8">
        <v>1.0</v>
      </c>
    </row>
    <row r="671" ht="15.75" customHeight="1">
      <c r="A671" s="7" t="s">
        <v>2614</v>
      </c>
      <c r="B671" s="8" t="s">
        <v>28</v>
      </c>
      <c r="C671" s="8" t="s">
        <v>2616</v>
      </c>
      <c r="D671" s="8">
        <v>1.0</v>
      </c>
      <c r="F671" s="8">
        <v>0.0</v>
      </c>
      <c r="G671" s="8">
        <v>0.0</v>
      </c>
      <c r="H671" s="8">
        <v>0.0</v>
      </c>
    </row>
    <row r="672" ht="15.75" customHeight="1">
      <c r="A672" s="7" t="s">
        <v>2618</v>
      </c>
      <c r="B672" s="8" t="s">
        <v>28</v>
      </c>
      <c r="D672" s="8">
        <v>1.0</v>
      </c>
      <c r="E672" s="8">
        <v>-4.0</v>
      </c>
      <c r="F672" s="8">
        <v>0.0</v>
      </c>
      <c r="G672" s="8">
        <v>0.0</v>
      </c>
      <c r="H672" s="8">
        <v>0.0</v>
      </c>
      <c r="I672" s="8">
        <v>-0.4</v>
      </c>
    </row>
    <row r="673" ht="15.75" customHeight="1">
      <c r="A673" s="7" t="s">
        <v>2621</v>
      </c>
      <c r="B673" s="8" t="s">
        <v>28</v>
      </c>
      <c r="D673" s="8">
        <v>1.0</v>
      </c>
      <c r="E673" s="8">
        <v>-2.0</v>
      </c>
      <c r="F673" s="8">
        <v>0.0</v>
      </c>
      <c r="G673" s="8">
        <v>0.0</v>
      </c>
      <c r="H673" s="8">
        <v>1.0</v>
      </c>
      <c r="I673" s="8">
        <v>0.0</v>
      </c>
    </row>
    <row r="674" ht="15.75" customHeight="1">
      <c r="A674" s="7" t="s">
        <v>2624</v>
      </c>
      <c r="B674" s="8" t="s">
        <v>28</v>
      </c>
      <c r="C674" s="8" t="s">
        <v>2625</v>
      </c>
      <c r="D674" s="8">
        <v>1.0</v>
      </c>
      <c r="F674" s="8">
        <v>0.0</v>
      </c>
      <c r="G674" s="8">
        <v>0.0</v>
      </c>
      <c r="H674" s="8">
        <v>1.0</v>
      </c>
    </row>
    <row r="675" ht="15.75" customHeight="1">
      <c r="A675" s="7" t="s">
        <v>2626</v>
      </c>
      <c r="B675" s="8" t="s">
        <v>191</v>
      </c>
      <c r="D675" s="8">
        <v>1.0</v>
      </c>
      <c r="F675" s="8">
        <v>0.0</v>
      </c>
      <c r="G675" s="8">
        <v>0.0</v>
      </c>
      <c r="H675" s="8">
        <v>1.0</v>
      </c>
    </row>
    <row r="676" ht="15.75" customHeight="1">
      <c r="A676" s="7" t="s">
        <v>2628</v>
      </c>
      <c r="B676" s="8" t="s">
        <v>28</v>
      </c>
      <c r="D676" s="8">
        <v>1.0</v>
      </c>
      <c r="E676" s="8">
        <v>-7.0</v>
      </c>
      <c r="F676" s="8">
        <v>0.0</v>
      </c>
      <c r="G676" s="8">
        <v>0.0</v>
      </c>
      <c r="H676" s="8">
        <v>0.0</v>
      </c>
      <c r="I676" s="8">
        <v>-0.37</v>
      </c>
    </row>
    <row r="677" ht="15.75" customHeight="1">
      <c r="A677" s="7" t="s">
        <v>2631</v>
      </c>
      <c r="B677" s="8" t="s">
        <v>28</v>
      </c>
      <c r="C677" s="8" t="s">
        <v>2633</v>
      </c>
      <c r="D677" s="8">
        <v>1.0</v>
      </c>
      <c r="F677" s="8">
        <v>0.0</v>
      </c>
      <c r="G677" s="8">
        <v>0.0</v>
      </c>
      <c r="H677" s="8">
        <v>1.0</v>
      </c>
    </row>
    <row r="678" ht="15.75" customHeight="1">
      <c r="A678" s="7" t="s">
        <v>2634</v>
      </c>
      <c r="B678" s="8" t="s">
        <v>17</v>
      </c>
      <c r="C678" s="8" t="s">
        <v>2637</v>
      </c>
      <c r="D678" s="8">
        <v>1.0</v>
      </c>
      <c r="E678" s="8">
        <v>-6.0</v>
      </c>
      <c r="F678" s="8">
        <v>0.0</v>
      </c>
      <c r="G678" s="8">
        <v>0.0</v>
      </c>
      <c r="H678" s="8">
        <v>1.0</v>
      </c>
      <c r="I678" s="8">
        <v>-0.14</v>
      </c>
    </row>
    <row r="679" ht="15.75" customHeight="1">
      <c r="A679" s="7" t="s">
        <v>2639</v>
      </c>
      <c r="B679" s="8" t="s">
        <v>28</v>
      </c>
      <c r="C679" s="8" t="s">
        <v>1000</v>
      </c>
      <c r="D679" s="8">
        <v>1.0</v>
      </c>
      <c r="E679" s="8">
        <v>-6.0</v>
      </c>
      <c r="F679" s="8">
        <v>0.0</v>
      </c>
      <c r="G679" s="8">
        <v>0.0</v>
      </c>
      <c r="H679" s="8">
        <v>3.0</v>
      </c>
      <c r="I679" s="8">
        <v>0.86</v>
      </c>
    </row>
    <row r="680" ht="15.75" customHeight="1">
      <c r="A680" s="7" t="s">
        <v>2642</v>
      </c>
      <c r="B680" s="8" t="s">
        <v>28</v>
      </c>
      <c r="D680" s="8">
        <v>1.0</v>
      </c>
      <c r="F680" s="8">
        <v>0.0</v>
      </c>
      <c r="G680" s="8">
        <v>0.0</v>
      </c>
      <c r="H680" s="8">
        <v>0.0</v>
      </c>
    </row>
    <row r="681" ht="15.75" customHeight="1">
      <c r="A681" s="7" t="s">
        <v>2645</v>
      </c>
      <c r="B681" s="8" t="s">
        <v>28</v>
      </c>
      <c r="D681" s="8">
        <v>1.0</v>
      </c>
      <c r="F681" s="8">
        <v>0.0</v>
      </c>
      <c r="G681" s="8">
        <v>0.0</v>
      </c>
      <c r="H681" s="8">
        <v>1.0</v>
      </c>
    </row>
    <row r="682" ht="15.75" customHeight="1">
      <c r="A682" s="7" t="s">
        <v>2648</v>
      </c>
      <c r="B682" s="8" t="s">
        <v>48</v>
      </c>
      <c r="D682" s="8">
        <v>1.0</v>
      </c>
      <c r="E682" s="8">
        <v>0.0</v>
      </c>
      <c r="F682" s="8">
        <v>0.0</v>
      </c>
      <c r="G682" s="8">
        <v>0.0</v>
      </c>
      <c r="H682" s="8">
        <v>0.0</v>
      </c>
      <c r="I682" s="8">
        <v>0.0</v>
      </c>
    </row>
    <row r="683" ht="15.75" customHeight="1">
      <c r="A683" s="7" t="s">
        <v>2652</v>
      </c>
      <c r="B683" s="8" t="s">
        <v>28</v>
      </c>
      <c r="C683" s="8" t="s">
        <v>2654</v>
      </c>
      <c r="D683" s="8">
        <v>1.0</v>
      </c>
      <c r="F683" s="8">
        <v>0.0</v>
      </c>
      <c r="G683" s="8">
        <v>0.0</v>
      </c>
      <c r="H683" s="8">
        <v>2.0</v>
      </c>
    </row>
    <row r="684" ht="15.75" customHeight="1">
      <c r="A684" s="7" t="s">
        <v>2656</v>
      </c>
      <c r="B684" s="8" t="s">
        <v>28</v>
      </c>
      <c r="C684" s="8" t="s">
        <v>2657</v>
      </c>
      <c r="D684" s="8">
        <v>1.0</v>
      </c>
      <c r="F684" s="8">
        <v>0.0</v>
      </c>
      <c r="G684" s="8">
        <v>0.0</v>
      </c>
      <c r="H684" s="8">
        <v>1.0</v>
      </c>
    </row>
    <row r="685" ht="15.75" customHeight="1">
      <c r="A685" s="7" t="s">
        <v>2659</v>
      </c>
      <c r="B685" s="8" t="s">
        <v>28</v>
      </c>
      <c r="C685" s="8" t="s">
        <v>1044</v>
      </c>
      <c r="D685" s="8">
        <v>1.0</v>
      </c>
      <c r="E685" s="8">
        <v>-4.0</v>
      </c>
      <c r="F685" s="8">
        <v>0.0</v>
      </c>
      <c r="G685" s="8">
        <v>0.0</v>
      </c>
      <c r="H685" s="8">
        <v>0.0</v>
      </c>
      <c r="I685" s="8">
        <v>0.0</v>
      </c>
    </row>
    <row r="686" ht="15.75" customHeight="1">
      <c r="A686" s="7" t="s">
        <v>2663</v>
      </c>
      <c r="B686" s="8" t="s">
        <v>28</v>
      </c>
      <c r="C686" s="8" t="s">
        <v>2664</v>
      </c>
      <c r="D686" s="8">
        <v>1.0</v>
      </c>
      <c r="E686" s="8">
        <v>-6.0</v>
      </c>
      <c r="F686" s="8">
        <v>0.0</v>
      </c>
      <c r="G686" s="8">
        <v>0.0</v>
      </c>
      <c r="H686" s="8">
        <v>0.0</v>
      </c>
      <c r="I686" s="8">
        <v>-0.57</v>
      </c>
    </row>
    <row r="687" ht="15.75" customHeight="1">
      <c r="A687" s="8" t="s">
        <v>2666</v>
      </c>
      <c r="B687" s="8" t="s">
        <v>28</v>
      </c>
      <c r="C687" s="8" t="s">
        <v>2667</v>
      </c>
      <c r="D687" s="8">
        <v>1.0</v>
      </c>
      <c r="E687" s="8">
        <v>0.0</v>
      </c>
      <c r="F687" s="8">
        <v>0.0</v>
      </c>
      <c r="G687" s="8">
        <v>0.0</v>
      </c>
      <c r="H687" s="8">
        <v>0.0</v>
      </c>
      <c r="I687" s="8">
        <v>0.0</v>
      </c>
    </row>
    <row r="688" ht="15.75" customHeight="1">
      <c r="A688" s="7" t="s">
        <v>2668</v>
      </c>
      <c r="B688" s="8" t="s">
        <v>28</v>
      </c>
      <c r="D688" s="8">
        <v>1.0</v>
      </c>
      <c r="F688" s="8">
        <v>0.0</v>
      </c>
      <c r="G688" s="8">
        <v>0.0</v>
      </c>
      <c r="H688" s="8">
        <v>1.0</v>
      </c>
    </row>
    <row r="689" ht="15.75" customHeight="1">
      <c r="A689" s="7" t="s">
        <v>2671</v>
      </c>
      <c r="B689" s="8" t="s">
        <v>28</v>
      </c>
      <c r="C689" s="8" t="s">
        <v>2673</v>
      </c>
      <c r="D689" s="8">
        <v>1.0</v>
      </c>
      <c r="F689" s="8">
        <v>0.0</v>
      </c>
      <c r="G689" s="8">
        <v>0.0</v>
      </c>
      <c r="H689" s="8">
        <v>1.0</v>
      </c>
    </row>
    <row r="690" ht="15.75" customHeight="1">
      <c r="A690" s="7" t="s">
        <v>2675</v>
      </c>
      <c r="B690" s="8" t="s">
        <v>28</v>
      </c>
      <c r="C690" s="8" t="s">
        <v>2677</v>
      </c>
      <c r="D690" s="8">
        <v>1.0</v>
      </c>
      <c r="F690" s="8">
        <v>0.0</v>
      </c>
      <c r="G690" s="8">
        <v>0.0</v>
      </c>
      <c r="H690" s="8">
        <v>1.0</v>
      </c>
    </row>
    <row r="691" ht="15.75" customHeight="1">
      <c r="A691" s="7" t="s">
        <v>2678</v>
      </c>
      <c r="B691" s="8" t="s">
        <v>28</v>
      </c>
      <c r="C691" s="8" t="s">
        <v>2682</v>
      </c>
      <c r="D691" s="8">
        <v>1.0</v>
      </c>
      <c r="F691" s="8">
        <v>0.0</v>
      </c>
      <c r="G691" s="8">
        <v>0.0</v>
      </c>
      <c r="H691" s="8">
        <v>1.0</v>
      </c>
    </row>
    <row r="692" ht="15.75" customHeight="1">
      <c r="A692" s="7" t="s">
        <v>2683</v>
      </c>
      <c r="B692" s="8" t="s">
        <v>492</v>
      </c>
      <c r="D692" s="8">
        <v>1.0</v>
      </c>
      <c r="F692" s="8">
        <v>0.0</v>
      </c>
      <c r="G692" s="8">
        <v>0.0</v>
      </c>
      <c r="H692" s="8">
        <v>1.0</v>
      </c>
    </row>
    <row r="693" ht="15.75" customHeight="1">
      <c r="A693" s="7" t="s">
        <v>2687</v>
      </c>
      <c r="B693" s="8" t="s">
        <v>28</v>
      </c>
      <c r="C693" s="8" t="s">
        <v>724</v>
      </c>
      <c r="D693" s="8">
        <v>1.0</v>
      </c>
      <c r="F693" s="8">
        <v>0.0</v>
      </c>
      <c r="G693" s="8">
        <v>0.0</v>
      </c>
      <c r="H693" s="8">
        <v>1.0</v>
      </c>
    </row>
    <row r="694" ht="15.75" customHeight="1">
      <c r="A694" s="7" t="s">
        <v>2690</v>
      </c>
      <c r="B694" s="8" t="s">
        <v>191</v>
      </c>
      <c r="C694" s="8" t="s">
        <v>2694</v>
      </c>
      <c r="D694" s="8">
        <v>1.0</v>
      </c>
      <c r="F694" s="8">
        <v>0.0</v>
      </c>
      <c r="G694" s="8">
        <v>0.0</v>
      </c>
      <c r="H694" s="8">
        <v>1.0</v>
      </c>
    </row>
    <row r="695" ht="15.75" customHeight="1">
      <c r="A695" s="7" t="s">
        <v>2695</v>
      </c>
      <c r="B695" s="8" t="s">
        <v>28</v>
      </c>
      <c r="C695" s="8" t="s">
        <v>2697</v>
      </c>
      <c r="D695" s="8">
        <v>1.0</v>
      </c>
      <c r="F695" s="8">
        <v>0.0</v>
      </c>
      <c r="G695" s="8">
        <v>0.0</v>
      </c>
      <c r="H695" s="8">
        <v>1.0</v>
      </c>
    </row>
    <row r="696" ht="15.75" customHeight="1">
      <c r="A696" s="7" t="s">
        <v>2699</v>
      </c>
      <c r="B696" s="8" t="s">
        <v>28</v>
      </c>
      <c r="C696" s="8" t="s">
        <v>186</v>
      </c>
      <c r="D696" s="8">
        <v>1.0</v>
      </c>
      <c r="E696" s="8">
        <v>0.0</v>
      </c>
      <c r="F696" s="8">
        <v>0.0</v>
      </c>
      <c r="G696" s="8">
        <v>0.0</v>
      </c>
      <c r="H696" s="8">
        <v>0.0</v>
      </c>
      <c r="I696" s="8">
        <v>0.0</v>
      </c>
    </row>
    <row r="697" ht="15.75" customHeight="1">
      <c r="A697" s="7" t="s">
        <v>2702</v>
      </c>
      <c r="B697" s="8" t="s">
        <v>28</v>
      </c>
      <c r="D697" s="8">
        <v>1.0</v>
      </c>
      <c r="F697" s="8">
        <v>0.0</v>
      </c>
      <c r="G697" s="8">
        <v>0.0</v>
      </c>
      <c r="H697" s="8">
        <v>0.0</v>
      </c>
    </row>
    <row r="698" ht="15.75" customHeight="1">
      <c r="A698" s="7" t="s">
        <v>2706</v>
      </c>
      <c r="B698" s="8" t="s">
        <v>28</v>
      </c>
      <c r="C698" s="8" t="s">
        <v>1000</v>
      </c>
      <c r="D698" s="8">
        <v>1.0</v>
      </c>
      <c r="F698" s="8">
        <v>0.0</v>
      </c>
      <c r="G698" s="8">
        <v>0.0</v>
      </c>
      <c r="H698" s="8">
        <v>1.0</v>
      </c>
    </row>
    <row r="699" ht="15.75" customHeight="1">
      <c r="A699" s="7" t="s">
        <v>2708</v>
      </c>
      <c r="B699" s="8" t="s">
        <v>28</v>
      </c>
      <c r="C699" s="8" t="s">
        <v>2711</v>
      </c>
      <c r="D699" s="8">
        <v>1.0</v>
      </c>
      <c r="F699" s="8">
        <v>0.0</v>
      </c>
      <c r="G699" s="8">
        <v>0.0</v>
      </c>
      <c r="H699" s="8">
        <v>1.0</v>
      </c>
    </row>
    <row r="700" ht="15.75" customHeight="1">
      <c r="A700" s="7" t="s">
        <v>2713</v>
      </c>
      <c r="B700" s="8" t="s">
        <v>28</v>
      </c>
      <c r="C700" s="8" t="s">
        <v>2715</v>
      </c>
      <c r="D700" s="8">
        <v>1.0</v>
      </c>
      <c r="E700" s="8">
        <v>-1.0</v>
      </c>
      <c r="F700" s="8">
        <v>0.0</v>
      </c>
      <c r="G700" s="8">
        <v>0.0</v>
      </c>
      <c r="H700" s="8">
        <v>0.0</v>
      </c>
      <c r="I700" s="8">
        <v>-2.0</v>
      </c>
    </row>
    <row r="701" ht="15.75" customHeight="1">
      <c r="A701" s="7" t="s">
        <v>2718</v>
      </c>
      <c r="B701" s="8" t="s">
        <v>28</v>
      </c>
      <c r="C701" s="8" t="s">
        <v>1431</v>
      </c>
      <c r="D701" s="8">
        <v>1.0</v>
      </c>
      <c r="F701" s="8">
        <v>0.0</v>
      </c>
      <c r="G701" s="8">
        <v>0.0</v>
      </c>
      <c r="H701" s="8">
        <v>1.0</v>
      </c>
    </row>
    <row r="702" ht="15.75" customHeight="1">
      <c r="A702" s="8" t="s">
        <v>2720</v>
      </c>
      <c r="B702" s="8" t="s">
        <v>28</v>
      </c>
      <c r="D702" s="8">
        <v>1.0</v>
      </c>
      <c r="E702" s="8">
        <v>-4.0</v>
      </c>
      <c r="F702" s="8">
        <v>0.0</v>
      </c>
      <c r="G702" s="8">
        <v>0.0</v>
      </c>
      <c r="H702" s="8">
        <v>0.0</v>
      </c>
      <c r="I702" s="8">
        <v>0.0</v>
      </c>
    </row>
    <row r="703" ht="15.75" customHeight="1">
      <c r="A703" s="7" t="s">
        <v>2722</v>
      </c>
      <c r="B703" s="8" t="s">
        <v>28</v>
      </c>
      <c r="C703" s="8" t="s">
        <v>498</v>
      </c>
      <c r="D703" s="8">
        <v>1.0</v>
      </c>
      <c r="E703" s="8">
        <v>0.0</v>
      </c>
      <c r="F703" s="8">
        <v>0.0</v>
      </c>
      <c r="G703" s="8">
        <v>0.0</v>
      </c>
      <c r="H703" s="8">
        <v>0.0</v>
      </c>
      <c r="I703" s="8">
        <v>0.0</v>
      </c>
    </row>
    <row r="704" ht="15.75" customHeight="1">
      <c r="A704" s="7" t="s">
        <v>2725</v>
      </c>
      <c r="B704" s="8" t="s">
        <v>28</v>
      </c>
      <c r="C704" s="8" t="s">
        <v>498</v>
      </c>
      <c r="D704" s="8">
        <v>1.0</v>
      </c>
      <c r="F704" s="8">
        <v>0.0</v>
      </c>
      <c r="G704" s="8">
        <v>0.0</v>
      </c>
      <c r="H704" s="8">
        <v>0.0</v>
      </c>
    </row>
    <row r="705" ht="15.75" customHeight="1">
      <c r="A705" s="7" t="s">
        <v>2729</v>
      </c>
      <c r="B705" s="8" t="s">
        <v>492</v>
      </c>
      <c r="D705" s="8">
        <v>1.0</v>
      </c>
      <c r="F705" s="8">
        <v>0.0</v>
      </c>
      <c r="G705" s="8">
        <v>0.0</v>
      </c>
      <c r="H705" s="8">
        <v>1.0</v>
      </c>
    </row>
    <row r="706" ht="15.75" customHeight="1">
      <c r="A706" s="7" t="s">
        <v>2731</v>
      </c>
      <c r="B706" s="8" t="s">
        <v>17</v>
      </c>
      <c r="C706" s="8" t="s">
        <v>792</v>
      </c>
      <c r="D706" s="8">
        <v>1.0</v>
      </c>
      <c r="F706" s="8">
        <v>0.0</v>
      </c>
      <c r="G706" s="8">
        <v>0.0</v>
      </c>
      <c r="H706" s="8">
        <v>2.0</v>
      </c>
    </row>
    <row r="707" ht="15.75" customHeight="1">
      <c r="A707" s="7" t="s">
        <v>2734</v>
      </c>
      <c r="B707" s="8" t="s">
        <v>28</v>
      </c>
      <c r="C707" s="8" t="s">
        <v>498</v>
      </c>
      <c r="D707" s="8">
        <v>1.0</v>
      </c>
      <c r="E707" s="8">
        <v>-5.0</v>
      </c>
      <c r="F707" s="8">
        <v>0.0</v>
      </c>
      <c r="G707" s="8">
        <v>0.0</v>
      </c>
      <c r="H707" s="8">
        <v>0.0</v>
      </c>
      <c r="I707" s="8">
        <v>-1.67</v>
      </c>
    </row>
    <row r="708" ht="15.75" customHeight="1">
      <c r="A708" s="7" t="s">
        <v>2736</v>
      </c>
      <c r="B708" s="8" t="s">
        <v>28</v>
      </c>
      <c r="C708" s="8" t="s">
        <v>2738</v>
      </c>
      <c r="D708" s="8">
        <v>1.0</v>
      </c>
      <c r="F708" s="8">
        <v>0.0</v>
      </c>
      <c r="G708" s="8">
        <v>0.0</v>
      </c>
      <c r="H708" s="8">
        <v>0.0</v>
      </c>
    </row>
    <row r="709" ht="15.75" customHeight="1">
      <c r="A709" s="7" t="s">
        <v>2740</v>
      </c>
      <c r="B709" s="8" t="s">
        <v>28</v>
      </c>
      <c r="C709" s="8" t="s">
        <v>2741</v>
      </c>
      <c r="D709" s="8">
        <v>1.0</v>
      </c>
      <c r="F709" s="8">
        <v>0.0</v>
      </c>
      <c r="G709" s="8">
        <v>0.0</v>
      </c>
      <c r="H709" s="8">
        <v>1.0</v>
      </c>
    </row>
    <row r="710" ht="15.75" customHeight="1">
      <c r="A710" s="7" t="s">
        <v>2743</v>
      </c>
      <c r="B710" s="8" t="s">
        <v>191</v>
      </c>
      <c r="D710" s="8">
        <v>1.0</v>
      </c>
      <c r="F710" s="8">
        <v>0.0</v>
      </c>
      <c r="G710" s="8">
        <v>0.0</v>
      </c>
      <c r="H710" s="8">
        <v>1.0</v>
      </c>
    </row>
    <row r="711" ht="15.75" customHeight="1">
      <c r="A711" s="7" t="s">
        <v>2745</v>
      </c>
      <c r="B711" s="8" t="s">
        <v>28</v>
      </c>
      <c r="D711" s="8">
        <v>1.0</v>
      </c>
      <c r="F711" s="8">
        <v>0.0</v>
      </c>
      <c r="G711" s="8">
        <v>0.0</v>
      </c>
      <c r="H711" s="8">
        <v>1.0</v>
      </c>
    </row>
    <row r="712" ht="15.75" customHeight="1">
      <c r="A712" s="7" t="s">
        <v>2747</v>
      </c>
      <c r="B712" s="8" t="s">
        <v>405</v>
      </c>
      <c r="C712" s="8" t="s">
        <v>2750</v>
      </c>
      <c r="D712" s="8">
        <v>1.0</v>
      </c>
      <c r="F712" s="8">
        <v>0.0</v>
      </c>
      <c r="G712" s="8">
        <v>0.0</v>
      </c>
      <c r="H712" s="8">
        <v>11.0</v>
      </c>
    </row>
    <row r="713" ht="15.75" customHeight="1">
      <c r="A713" s="7" t="s">
        <v>2752</v>
      </c>
      <c r="B713" s="8" t="s">
        <v>405</v>
      </c>
      <c r="C713" s="8" t="s">
        <v>2755</v>
      </c>
      <c r="D713" s="8">
        <v>1.0</v>
      </c>
      <c r="F713" s="8">
        <v>0.0</v>
      </c>
      <c r="G713" s="8">
        <v>0.0</v>
      </c>
      <c r="H713" s="8">
        <v>1.0</v>
      </c>
    </row>
    <row r="714" ht="15.75" customHeight="1">
      <c r="A714" s="7" t="s">
        <v>2757</v>
      </c>
      <c r="B714" s="8" t="s">
        <v>28</v>
      </c>
      <c r="C714" s="8" t="s">
        <v>2759</v>
      </c>
      <c r="D714" s="8">
        <v>1.0</v>
      </c>
      <c r="F714" s="8">
        <v>0.0</v>
      </c>
      <c r="G714" s="8">
        <v>0.0</v>
      </c>
      <c r="H714" s="8">
        <v>1.0</v>
      </c>
    </row>
    <row r="715" ht="15.75" customHeight="1">
      <c r="A715" s="7" t="s">
        <v>2762</v>
      </c>
      <c r="B715" s="8" t="s">
        <v>76</v>
      </c>
      <c r="C715" s="8" t="s">
        <v>1916</v>
      </c>
      <c r="D715" s="8">
        <v>1.0</v>
      </c>
      <c r="F715" s="8">
        <v>0.0</v>
      </c>
      <c r="G715" s="8">
        <v>0.0</v>
      </c>
      <c r="H715" s="8">
        <v>1.0</v>
      </c>
    </row>
    <row r="716" ht="15.75" customHeight="1">
      <c r="A716" s="7" t="s">
        <v>2764</v>
      </c>
      <c r="B716" s="8" t="s">
        <v>28</v>
      </c>
      <c r="D716" s="8">
        <v>1.0</v>
      </c>
      <c r="F716" s="8">
        <v>0.0</v>
      </c>
      <c r="G716" s="8">
        <v>0.0</v>
      </c>
      <c r="H716" s="8">
        <v>0.0</v>
      </c>
    </row>
    <row r="717" ht="15.75" customHeight="1">
      <c r="A717" s="7" t="s">
        <v>2767</v>
      </c>
      <c r="B717" s="8" t="s">
        <v>17</v>
      </c>
      <c r="C717" s="8" t="s">
        <v>1804</v>
      </c>
      <c r="D717" s="8">
        <v>1.0</v>
      </c>
      <c r="F717" s="8">
        <v>0.0</v>
      </c>
      <c r="G717" s="8">
        <v>0.0</v>
      </c>
      <c r="H717" s="8">
        <v>0.0</v>
      </c>
    </row>
    <row r="718" ht="15.75" customHeight="1">
      <c r="A718" s="7" t="s">
        <v>2770</v>
      </c>
      <c r="B718" s="8" t="s">
        <v>28</v>
      </c>
      <c r="D718" s="8">
        <v>1.0</v>
      </c>
      <c r="E718" s="8">
        <v>0.0</v>
      </c>
      <c r="F718" s="8">
        <v>0.0</v>
      </c>
      <c r="G718" s="8">
        <v>0.0</v>
      </c>
      <c r="H718" s="8">
        <v>1.0</v>
      </c>
      <c r="I718" s="8">
        <v>0.0</v>
      </c>
    </row>
    <row r="719" ht="15.75" customHeight="1">
      <c r="A719" s="7" t="s">
        <v>2774</v>
      </c>
      <c r="B719" s="8" t="s">
        <v>28</v>
      </c>
      <c r="D719" s="8">
        <v>1.0</v>
      </c>
      <c r="F719" s="8">
        <v>0.0</v>
      </c>
      <c r="G719" s="8">
        <v>0.0</v>
      </c>
      <c r="H719" s="8">
        <v>0.0</v>
      </c>
    </row>
    <row r="720" ht="15.75" customHeight="1">
      <c r="A720" s="7" t="s">
        <v>2777</v>
      </c>
      <c r="B720" s="8" t="s">
        <v>28</v>
      </c>
      <c r="C720" s="8" t="s">
        <v>186</v>
      </c>
      <c r="D720" s="8">
        <v>1.0</v>
      </c>
      <c r="F720" s="8">
        <v>0.0</v>
      </c>
      <c r="G720" s="8">
        <v>0.0</v>
      </c>
      <c r="H720" s="8">
        <v>0.0</v>
      </c>
    </row>
    <row r="721" ht="15.75" customHeight="1">
      <c r="A721" s="7" t="s">
        <v>2779</v>
      </c>
      <c r="B721" s="8" t="s">
        <v>28</v>
      </c>
      <c r="C721" s="8" t="s">
        <v>803</v>
      </c>
      <c r="D721" s="8">
        <v>1.0</v>
      </c>
      <c r="F721" s="8">
        <v>0.0</v>
      </c>
      <c r="G721" s="8">
        <v>0.0</v>
      </c>
      <c r="H721" s="8">
        <v>0.0</v>
      </c>
    </row>
    <row r="722" ht="15.75" customHeight="1">
      <c r="A722" s="7" t="s">
        <v>2781</v>
      </c>
      <c r="B722" s="8" t="s">
        <v>28</v>
      </c>
      <c r="C722" s="8" t="s">
        <v>2786</v>
      </c>
      <c r="D722" s="8">
        <v>1.0</v>
      </c>
      <c r="F722" s="8">
        <v>0.0</v>
      </c>
      <c r="G722" s="8">
        <v>0.0</v>
      </c>
      <c r="H722" s="8">
        <v>1.0</v>
      </c>
    </row>
    <row r="723" ht="15.75" customHeight="1">
      <c r="A723" s="7" t="s">
        <v>2787</v>
      </c>
      <c r="B723" s="8" t="s">
        <v>28</v>
      </c>
      <c r="C723" s="8" t="s">
        <v>2790</v>
      </c>
      <c r="D723" s="8">
        <v>1.0</v>
      </c>
      <c r="F723" s="8">
        <v>0.0</v>
      </c>
      <c r="G723" s="8">
        <v>0.0</v>
      </c>
      <c r="H723" s="8">
        <v>2.0</v>
      </c>
    </row>
    <row r="724" ht="15.75" customHeight="1">
      <c r="A724" s="7" t="s">
        <v>2791</v>
      </c>
      <c r="B724" s="8" t="s">
        <v>28</v>
      </c>
      <c r="D724" s="8">
        <v>1.0</v>
      </c>
      <c r="F724" s="8">
        <v>0.0</v>
      </c>
      <c r="G724" s="8">
        <v>0.0</v>
      </c>
      <c r="H724" s="8">
        <v>0.0</v>
      </c>
    </row>
    <row r="725" ht="15.75" customHeight="1">
      <c r="A725" s="7" t="s">
        <v>2793</v>
      </c>
      <c r="B725" s="8" t="s">
        <v>28</v>
      </c>
      <c r="C725" s="8" t="s">
        <v>186</v>
      </c>
      <c r="D725" s="8">
        <v>1.0</v>
      </c>
      <c r="F725" s="8">
        <v>0.0</v>
      </c>
      <c r="G725" s="8">
        <v>0.0</v>
      </c>
      <c r="H725" s="8">
        <v>1.0</v>
      </c>
    </row>
    <row r="726" ht="15.75" customHeight="1">
      <c r="A726" s="7" t="s">
        <v>2796</v>
      </c>
      <c r="B726" s="8" t="s">
        <v>28</v>
      </c>
      <c r="C726" s="8" t="s">
        <v>2799</v>
      </c>
      <c r="D726" s="8">
        <v>1.0</v>
      </c>
      <c r="F726" s="8">
        <v>0.0</v>
      </c>
      <c r="G726" s="8">
        <v>0.0</v>
      </c>
      <c r="H726" s="8">
        <v>1.0</v>
      </c>
    </row>
    <row r="727" ht="15.75" customHeight="1">
      <c r="A727" s="7" t="s">
        <v>2801</v>
      </c>
      <c r="B727" s="8" t="s">
        <v>28</v>
      </c>
      <c r="C727" s="8" t="s">
        <v>2804</v>
      </c>
      <c r="D727" s="8">
        <v>1.0</v>
      </c>
      <c r="F727" s="8">
        <v>0.0</v>
      </c>
      <c r="G727" s="8">
        <v>0.0</v>
      </c>
      <c r="H727" s="8">
        <v>0.0</v>
      </c>
    </row>
    <row r="728" ht="15.75" customHeight="1">
      <c r="A728" s="7" t="s">
        <v>2806</v>
      </c>
      <c r="B728" s="8" t="s">
        <v>28</v>
      </c>
      <c r="C728" s="8" t="s">
        <v>2808</v>
      </c>
      <c r="D728" s="8">
        <v>1.0</v>
      </c>
      <c r="E728" s="8">
        <v>0.0</v>
      </c>
      <c r="F728" s="8">
        <v>0.0</v>
      </c>
      <c r="G728" s="8">
        <v>0.0</v>
      </c>
      <c r="H728" s="8">
        <v>0.0</v>
      </c>
      <c r="I728" s="8">
        <v>0.0</v>
      </c>
    </row>
    <row r="729" ht="15.75" customHeight="1">
      <c r="A729" s="7" t="s">
        <v>2810</v>
      </c>
      <c r="B729" s="8" t="s">
        <v>28</v>
      </c>
      <c r="C729" s="8" t="s">
        <v>2813</v>
      </c>
      <c r="D729" s="8">
        <v>1.0</v>
      </c>
      <c r="E729" s="8">
        <v>0.0</v>
      </c>
      <c r="F729" s="8">
        <v>0.0</v>
      </c>
      <c r="G729" s="8">
        <v>0.0</v>
      </c>
      <c r="H729" s="8">
        <v>0.0</v>
      </c>
      <c r="I729" s="8">
        <v>0.0</v>
      </c>
    </row>
    <row r="730" ht="15.75" customHeight="1">
      <c r="A730" s="7" t="s">
        <v>2815</v>
      </c>
      <c r="B730" s="8" t="s">
        <v>28</v>
      </c>
      <c r="C730" s="8" t="s">
        <v>2818</v>
      </c>
      <c r="D730" s="8">
        <v>1.0</v>
      </c>
      <c r="F730" s="8">
        <v>0.0</v>
      </c>
      <c r="G730" s="8">
        <v>0.0</v>
      </c>
      <c r="H730" s="8">
        <v>1.0</v>
      </c>
    </row>
    <row r="731" ht="15.75" customHeight="1">
      <c r="A731" s="7" t="s">
        <v>2819</v>
      </c>
      <c r="B731" s="8" t="s">
        <v>28</v>
      </c>
      <c r="C731" s="8" t="s">
        <v>2822</v>
      </c>
      <c r="D731" s="8">
        <v>1.0</v>
      </c>
      <c r="F731" s="8">
        <v>0.0</v>
      </c>
      <c r="G731" s="8">
        <v>0.0</v>
      </c>
      <c r="H731" s="8">
        <v>1.0</v>
      </c>
    </row>
    <row r="732" ht="15.75" customHeight="1">
      <c r="A732" s="7" t="s">
        <v>2824</v>
      </c>
      <c r="B732" s="8" t="s">
        <v>405</v>
      </c>
      <c r="C732" s="8" t="s">
        <v>2827</v>
      </c>
      <c r="D732" s="8">
        <v>1.0</v>
      </c>
      <c r="F732" s="8">
        <v>0.0</v>
      </c>
      <c r="G732" s="8">
        <v>0.0</v>
      </c>
      <c r="H732" s="8">
        <v>1.0</v>
      </c>
    </row>
    <row r="733" ht="15.75" customHeight="1">
      <c r="A733" s="7" t="s">
        <v>2829</v>
      </c>
      <c r="B733" s="8" t="s">
        <v>28</v>
      </c>
      <c r="C733" s="8" t="s">
        <v>2831</v>
      </c>
      <c r="D733" s="8">
        <v>1.0</v>
      </c>
      <c r="F733" s="8">
        <v>0.0</v>
      </c>
      <c r="G733" s="8">
        <v>0.0</v>
      </c>
      <c r="H733" s="8">
        <v>4.0</v>
      </c>
    </row>
    <row r="734" ht="15.75" customHeight="1">
      <c r="A734" s="8" t="s">
        <v>2833</v>
      </c>
      <c r="B734" s="8" t="s">
        <v>28</v>
      </c>
      <c r="C734" s="8" t="s">
        <v>186</v>
      </c>
      <c r="D734" s="8">
        <v>1.0</v>
      </c>
      <c r="F734" s="8">
        <v>0.0</v>
      </c>
      <c r="G734" s="8">
        <v>0.0</v>
      </c>
      <c r="H734" s="8">
        <v>1.0</v>
      </c>
    </row>
    <row r="735" ht="15.75" customHeight="1">
      <c r="A735" s="7" t="s">
        <v>2835</v>
      </c>
      <c r="B735" s="8" t="s">
        <v>28</v>
      </c>
      <c r="C735" s="8" t="s">
        <v>2836</v>
      </c>
      <c r="D735" s="8">
        <v>1.0</v>
      </c>
      <c r="E735" s="8">
        <v>-2.0</v>
      </c>
      <c r="F735" s="8">
        <v>0.0</v>
      </c>
      <c r="G735" s="8">
        <v>0.0</v>
      </c>
      <c r="H735" s="8">
        <v>1.0</v>
      </c>
      <c r="I735" s="8">
        <v>0.0</v>
      </c>
    </row>
    <row r="736" ht="15.75" customHeight="1">
      <c r="A736" s="7" t="s">
        <v>2838</v>
      </c>
      <c r="B736" s="8" t="s">
        <v>28</v>
      </c>
      <c r="C736" s="8" t="s">
        <v>724</v>
      </c>
      <c r="D736" s="8">
        <v>1.0</v>
      </c>
      <c r="F736" s="8">
        <v>0.0</v>
      </c>
      <c r="G736" s="8">
        <v>0.0</v>
      </c>
      <c r="H736" s="8">
        <v>1.0</v>
      </c>
    </row>
    <row r="737" ht="15.75" customHeight="1">
      <c r="A737" s="7" t="s">
        <v>2841</v>
      </c>
      <c r="B737" s="8" t="s">
        <v>28</v>
      </c>
      <c r="D737" s="8">
        <v>1.0</v>
      </c>
      <c r="F737" s="8">
        <v>0.0</v>
      </c>
      <c r="G737" s="8">
        <v>0.0</v>
      </c>
      <c r="H737" s="8">
        <v>0.0</v>
      </c>
    </row>
    <row r="738" ht="15.75" customHeight="1">
      <c r="A738" s="7" t="s">
        <v>2843</v>
      </c>
      <c r="B738" s="8" t="s">
        <v>28</v>
      </c>
      <c r="D738" s="8">
        <v>1.0</v>
      </c>
      <c r="F738" s="8">
        <v>0.0</v>
      </c>
      <c r="G738" s="8">
        <v>0.0</v>
      </c>
      <c r="H738" s="8">
        <v>1.0</v>
      </c>
    </row>
    <row r="739" ht="15.75" customHeight="1">
      <c r="A739" s="7" t="s">
        <v>2847</v>
      </c>
      <c r="B739" s="8" t="s">
        <v>28</v>
      </c>
      <c r="C739" s="8" t="s">
        <v>2850</v>
      </c>
      <c r="D739" s="8">
        <v>1.0</v>
      </c>
      <c r="F739" s="8">
        <v>0.0</v>
      </c>
      <c r="G739" s="8">
        <v>0.0</v>
      </c>
      <c r="H739" s="8">
        <v>1.0</v>
      </c>
    </row>
    <row r="740" ht="15.75" customHeight="1">
      <c r="A740" s="7" t="s">
        <v>2851</v>
      </c>
      <c r="B740" s="8" t="s">
        <v>28</v>
      </c>
      <c r="C740" s="8" t="s">
        <v>186</v>
      </c>
      <c r="D740" s="8">
        <v>1.0</v>
      </c>
      <c r="F740" s="8">
        <v>0.0</v>
      </c>
      <c r="G740" s="8">
        <v>0.0</v>
      </c>
      <c r="H740" s="8">
        <v>1.0</v>
      </c>
    </row>
    <row r="741" ht="15.75" customHeight="1">
      <c r="A741" s="7" t="s">
        <v>2855</v>
      </c>
      <c r="B741" s="8" t="s">
        <v>28</v>
      </c>
      <c r="C741" s="8" t="s">
        <v>2858</v>
      </c>
      <c r="D741" s="8">
        <v>1.0</v>
      </c>
      <c r="E741" s="8">
        <v>-1.0</v>
      </c>
      <c r="F741" s="8">
        <v>0.0</v>
      </c>
      <c r="G741" s="8">
        <v>0.0</v>
      </c>
      <c r="H741" s="8">
        <v>0.0</v>
      </c>
      <c r="I741" s="8">
        <v>-1.0</v>
      </c>
    </row>
    <row r="742" ht="15.75" customHeight="1">
      <c r="A742" s="7" t="s">
        <v>2860</v>
      </c>
      <c r="B742" s="8" t="s">
        <v>28</v>
      </c>
      <c r="C742" s="8" t="s">
        <v>2255</v>
      </c>
      <c r="D742" s="8">
        <v>1.0</v>
      </c>
      <c r="F742" s="8">
        <v>0.0</v>
      </c>
      <c r="G742" s="8">
        <v>0.0</v>
      </c>
      <c r="H742" s="8">
        <v>1.0</v>
      </c>
    </row>
    <row r="743" ht="15.75" customHeight="1">
      <c r="A743" s="7" t="s">
        <v>2863</v>
      </c>
      <c r="B743" s="8" t="s">
        <v>28</v>
      </c>
      <c r="C743" s="8" t="s">
        <v>2865</v>
      </c>
      <c r="D743" s="8">
        <v>1.0</v>
      </c>
      <c r="F743" s="8">
        <v>0.0</v>
      </c>
      <c r="G743" s="8">
        <v>0.0</v>
      </c>
      <c r="H743" s="8">
        <v>1.0</v>
      </c>
    </row>
    <row r="744" ht="15.75" customHeight="1">
      <c r="A744" s="7" t="s">
        <v>2866</v>
      </c>
      <c r="B744" s="8" t="s">
        <v>28</v>
      </c>
      <c r="D744" s="8">
        <v>1.0</v>
      </c>
      <c r="F744" s="8">
        <v>0.0</v>
      </c>
      <c r="G744" s="8">
        <v>0.0</v>
      </c>
      <c r="H744" s="8">
        <v>0.0</v>
      </c>
    </row>
    <row r="745" ht="15.75" customHeight="1">
      <c r="A745" s="7" t="s">
        <v>2869</v>
      </c>
      <c r="B745" s="8" t="s">
        <v>28</v>
      </c>
      <c r="D745" s="8">
        <v>1.0</v>
      </c>
      <c r="E745" s="8">
        <v>0.0</v>
      </c>
      <c r="F745" s="8">
        <v>0.0</v>
      </c>
      <c r="G745" s="8">
        <v>0.0</v>
      </c>
      <c r="H745" s="8">
        <v>0.0</v>
      </c>
      <c r="I745" s="8">
        <v>0.0</v>
      </c>
    </row>
    <row r="746" ht="15.75" customHeight="1">
      <c r="A746" s="7" t="s">
        <v>2873</v>
      </c>
      <c r="B746" s="8" t="s">
        <v>28</v>
      </c>
      <c r="C746" s="8" t="s">
        <v>2875</v>
      </c>
      <c r="D746" s="8">
        <v>1.0</v>
      </c>
      <c r="E746" s="8">
        <v>-6.0</v>
      </c>
      <c r="F746" s="8">
        <v>0.0</v>
      </c>
      <c r="G746" s="8">
        <v>0.0</v>
      </c>
      <c r="H746" s="8">
        <v>2.0</v>
      </c>
      <c r="I746" s="8">
        <v>0.29</v>
      </c>
    </row>
    <row r="747" ht="15.75" customHeight="1">
      <c r="A747" s="7" t="s">
        <v>2876</v>
      </c>
      <c r="B747" s="8" t="s">
        <v>28</v>
      </c>
      <c r="C747" s="8" t="s">
        <v>2878</v>
      </c>
      <c r="D747" s="8">
        <v>1.0</v>
      </c>
      <c r="F747" s="8">
        <v>0.0</v>
      </c>
      <c r="G747" s="8">
        <v>0.0</v>
      </c>
      <c r="H747" s="8">
        <v>4.0</v>
      </c>
    </row>
    <row r="748" ht="15.75" customHeight="1">
      <c r="A748" s="7" t="s">
        <v>2879</v>
      </c>
      <c r="B748" s="8" t="s">
        <v>28</v>
      </c>
      <c r="D748" s="8">
        <v>1.0</v>
      </c>
      <c r="F748" s="8">
        <v>0.0</v>
      </c>
      <c r="G748" s="8">
        <v>0.0</v>
      </c>
      <c r="H748" s="8">
        <v>1.0</v>
      </c>
    </row>
    <row r="749" ht="15.75" customHeight="1">
      <c r="A749" s="7" t="s">
        <v>2883</v>
      </c>
      <c r="B749" s="8" t="s">
        <v>76</v>
      </c>
      <c r="C749" s="8" t="s">
        <v>2884</v>
      </c>
      <c r="D749" s="8">
        <v>1.0</v>
      </c>
      <c r="E749" s="8">
        <v>0.0</v>
      </c>
      <c r="F749" s="8">
        <v>0.0</v>
      </c>
      <c r="G749" s="8">
        <v>0.0</v>
      </c>
      <c r="H749" s="8">
        <v>0.0</v>
      </c>
      <c r="I749" s="8">
        <v>-1.0</v>
      </c>
    </row>
    <row r="750" ht="15.75" customHeight="1">
      <c r="A750" s="7" t="s">
        <v>2886</v>
      </c>
      <c r="B750" s="8" t="s">
        <v>17</v>
      </c>
      <c r="C750" s="8" t="s">
        <v>2889</v>
      </c>
      <c r="D750" s="8">
        <v>1.0</v>
      </c>
      <c r="F750" s="8">
        <v>0.0</v>
      </c>
      <c r="G750" s="8">
        <v>0.0</v>
      </c>
      <c r="H750" s="8">
        <v>2.0</v>
      </c>
    </row>
    <row r="751" ht="15.75" customHeight="1">
      <c r="A751" s="7" t="s">
        <v>2891</v>
      </c>
      <c r="B751" s="8" t="s">
        <v>405</v>
      </c>
      <c r="C751" s="8" t="s">
        <v>1044</v>
      </c>
      <c r="D751" s="8">
        <v>1.0</v>
      </c>
      <c r="F751" s="8">
        <v>0.0</v>
      </c>
      <c r="G751" s="8">
        <v>0.0</v>
      </c>
      <c r="H751" s="8">
        <v>1.0</v>
      </c>
    </row>
    <row r="752" ht="15.75" customHeight="1">
      <c r="A752" s="7" t="s">
        <v>2895</v>
      </c>
      <c r="B752" s="8" t="s">
        <v>405</v>
      </c>
      <c r="D752" s="8">
        <v>1.0</v>
      </c>
      <c r="E752" s="8">
        <v>-1.0</v>
      </c>
      <c r="F752" s="8">
        <v>0.0</v>
      </c>
      <c r="G752" s="8">
        <v>0.0</v>
      </c>
      <c r="H752" s="8">
        <v>1.0</v>
      </c>
      <c r="I752" s="8">
        <v>1.0</v>
      </c>
    </row>
    <row r="753" ht="15.75" customHeight="1">
      <c r="A753" s="7" t="s">
        <v>2899</v>
      </c>
      <c r="B753" s="8" t="s">
        <v>17</v>
      </c>
      <c r="C753" s="8" t="s">
        <v>2902</v>
      </c>
      <c r="D753" s="8">
        <v>1.0</v>
      </c>
      <c r="F753" s="8">
        <v>0.0</v>
      </c>
      <c r="G753" s="8">
        <v>0.0</v>
      </c>
      <c r="H753" s="8">
        <v>1.0</v>
      </c>
    </row>
    <row r="754" ht="15.75" customHeight="1">
      <c r="A754" s="7" t="s">
        <v>2903</v>
      </c>
      <c r="B754" s="8" t="s">
        <v>28</v>
      </c>
      <c r="D754" s="8">
        <v>1.0</v>
      </c>
      <c r="F754" s="8">
        <v>0.0</v>
      </c>
      <c r="G754" s="8">
        <v>0.0</v>
      </c>
      <c r="H754" s="8">
        <v>2.0</v>
      </c>
    </row>
    <row r="755" ht="15.75" customHeight="1">
      <c r="A755" s="7" t="s">
        <v>2906</v>
      </c>
      <c r="B755" s="8" t="s">
        <v>492</v>
      </c>
      <c r="D755" s="8">
        <v>1.0</v>
      </c>
      <c r="F755" s="8">
        <v>0.0</v>
      </c>
      <c r="G755" s="8">
        <v>0.0</v>
      </c>
      <c r="H755" s="8">
        <v>1.0</v>
      </c>
    </row>
    <row r="756" ht="15.75" customHeight="1">
      <c r="A756" s="7" t="s">
        <v>2911</v>
      </c>
      <c r="B756" s="8" t="s">
        <v>191</v>
      </c>
      <c r="D756" s="8">
        <v>1.0</v>
      </c>
      <c r="F756" s="8">
        <v>0.0</v>
      </c>
      <c r="G756" s="8">
        <v>0.0</v>
      </c>
      <c r="H756" s="8">
        <v>1.0</v>
      </c>
    </row>
    <row r="757" ht="15.75" customHeight="1">
      <c r="A757" s="7" t="s">
        <v>2914</v>
      </c>
      <c r="B757" s="8" t="s">
        <v>191</v>
      </c>
      <c r="C757" s="8" t="s">
        <v>186</v>
      </c>
      <c r="D757" s="8">
        <v>1.0</v>
      </c>
      <c r="F757" s="8">
        <v>0.0</v>
      </c>
      <c r="G757" s="8">
        <v>0.0</v>
      </c>
      <c r="H757" s="8">
        <v>1.0</v>
      </c>
    </row>
    <row r="758" ht="15.75" customHeight="1">
      <c r="A758" s="7" t="s">
        <v>2917</v>
      </c>
      <c r="B758" s="8" t="s">
        <v>28</v>
      </c>
      <c r="D758" s="8">
        <v>1.0</v>
      </c>
      <c r="F758" s="8">
        <v>0.0</v>
      </c>
      <c r="G758" s="8">
        <v>0.0</v>
      </c>
      <c r="H758" s="8">
        <v>1.0</v>
      </c>
    </row>
    <row r="759" ht="15.75" customHeight="1">
      <c r="A759" s="7" t="s">
        <v>2919</v>
      </c>
      <c r="B759" s="8" t="s">
        <v>28</v>
      </c>
      <c r="C759" s="8" t="s">
        <v>2921</v>
      </c>
      <c r="D759" s="8">
        <v>1.0</v>
      </c>
      <c r="E759" s="8">
        <v>-2.0</v>
      </c>
      <c r="F759" s="8">
        <v>0.0</v>
      </c>
      <c r="G759" s="8">
        <v>0.0</v>
      </c>
      <c r="H759" s="8">
        <v>1.0</v>
      </c>
      <c r="I759" s="8">
        <v>0.33</v>
      </c>
    </row>
    <row r="760" ht="15.75" customHeight="1">
      <c r="A760" s="7" t="s">
        <v>2922</v>
      </c>
      <c r="B760" s="8" t="s">
        <v>492</v>
      </c>
      <c r="C760" s="8" t="s">
        <v>2924</v>
      </c>
      <c r="D760" s="8">
        <v>1.0</v>
      </c>
      <c r="F760" s="8">
        <v>0.0</v>
      </c>
      <c r="G760" s="8">
        <v>0.0</v>
      </c>
      <c r="H760" s="8">
        <v>0.0</v>
      </c>
    </row>
    <row r="761" ht="15.75" customHeight="1">
      <c r="A761" s="7" t="s">
        <v>2925</v>
      </c>
      <c r="B761" s="8" t="s">
        <v>28</v>
      </c>
      <c r="D761" s="8">
        <v>1.0</v>
      </c>
      <c r="F761" s="8">
        <v>0.0</v>
      </c>
      <c r="G761" s="8">
        <v>0.0</v>
      </c>
      <c r="H761" s="8">
        <v>1.0</v>
      </c>
    </row>
    <row r="762" ht="15.75" customHeight="1">
      <c r="A762" s="7" t="s">
        <v>2927</v>
      </c>
      <c r="B762" s="8" t="s">
        <v>28</v>
      </c>
      <c r="D762" s="8">
        <v>1.0</v>
      </c>
      <c r="F762" s="8">
        <v>0.0</v>
      </c>
      <c r="G762" s="8">
        <v>0.0</v>
      </c>
      <c r="H762" s="8">
        <v>1.0</v>
      </c>
    </row>
    <row r="763" ht="15.75" customHeight="1">
      <c r="A763" s="7" t="s">
        <v>2930</v>
      </c>
      <c r="B763" s="8" t="s">
        <v>28</v>
      </c>
      <c r="C763" s="8" t="s">
        <v>2932</v>
      </c>
      <c r="D763" s="8">
        <v>1.0</v>
      </c>
      <c r="F763" s="8">
        <v>0.0</v>
      </c>
      <c r="G763" s="8">
        <v>0.0</v>
      </c>
      <c r="H763" s="8">
        <v>0.0</v>
      </c>
    </row>
    <row r="764" ht="15.75" customHeight="1">
      <c r="A764" s="7" t="s">
        <v>2935</v>
      </c>
      <c r="B764" s="8" t="s">
        <v>405</v>
      </c>
      <c r="C764" s="8" t="s">
        <v>2937</v>
      </c>
      <c r="D764" s="8">
        <v>1.0</v>
      </c>
      <c r="F764" s="8">
        <v>0.0</v>
      </c>
      <c r="G764" s="8">
        <v>0.0</v>
      </c>
      <c r="H764" s="8">
        <v>2.0</v>
      </c>
    </row>
    <row r="765" ht="15.75" customHeight="1">
      <c r="A765" s="7" t="s">
        <v>2940</v>
      </c>
      <c r="B765" s="8" t="s">
        <v>405</v>
      </c>
      <c r="C765" s="8" t="s">
        <v>2941</v>
      </c>
      <c r="D765" s="8">
        <v>1.0</v>
      </c>
      <c r="F765" s="8">
        <v>0.0</v>
      </c>
      <c r="G765" s="8">
        <v>0.0</v>
      </c>
      <c r="H765" s="8">
        <v>0.0</v>
      </c>
    </row>
    <row r="766" ht="15.75" customHeight="1">
      <c r="A766" s="8" t="s">
        <v>2942</v>
      </c>
      <c r="B766" s="8" t="s">
        <v>28</v>
      </c>
      <c r="C766" s="8" t="s">
        <v>2943</v>
      </c>
      <c r="D766" s="8">
        <v>1.0</v>
      </c>
      <c r="F766" s="8">
        <v>0.0</v>
      </c>
      <c r="G766" s="8">
        <v>0.0</v>
      </c>
      <c r="H766" s="8">
        <v>1.0</v>
      </c>
    </row>
    <row r="767" ht="15.75" customHeight="1">
      <c r="A767" s="7" t="s">
        <v>2944</v>
      </c>
      <c r="B767" s="8" t="s">
        <v>28</v>
      </c>
      <c r="D767" s="8">
        <v>1.0</v>
      </c>
      <c r="E767" s="8">
        <v>-6.0</v>
      </c>
      <c r="F767" s="8">
        <v>0.0</v>
      </c>
      <c r="G767" s="8">
        <v>0.0</v>
      </c>
      <c r="H767" s="8">
        <v>0.0</v>
      </c>
      <c r="I767" s="8">
        <v>-0.43</v>
      </c>
    </row>
    <row r="768" ht="15.75" customHeight="1">
      <c r="A768" s="7" t="s">
        <v>2947</v>
      </c>
      <c r="B768" s="8" t="s">
        <v>28</v>
      </c>
      <c r="C768" s="8" t="s">
        <v>2950</v>
      </c>
      <c r="D768" s="8">
        <v>1.0</v>
      </c>
      <c r="F768" s="8">
        <v>0.0</v>
      </c>
      <c r="G768" s="8">
        <v>0.0</v>
      </c>
      <c r="H768" s="8">
        <v>0.0</v>
      </c>
    </row>
    <row r="769" ht="15.75" customHeight="1">
      <c r="A769" s="7" t="s">
        <v>2952</v>
      </c>
      <c r="B769" s="8" t="s">
        <v>28</v>
      </c>
      <c r="D769" s="8">
        <v>1.0</v>
      </c>
      <c r="F769" s="8">
        <v>0.0</v>
      </c>
      <c r="G769" s="8">
        <v>0.0</v>
      </c>
      <c r="H769" s="8">
        <v>2.0</v>
      </c>
    </row>
    <row r="770" ht="15.75" customHeight="1">
      <c r="A770" s="7" t="s">
        <v>2956</v>
      </c>
      <c r="B770" s="8" t="s">
        <v>17</v>
      </c>
      <c r="C770" s="8" t="s">
        <v>2958</v>
      </c>
      <c r="D770" s="8">
        <v>1.0</v>
      </c>
      <c r="F770" s="8">
        <v>0.0</v>
      </c>
      <c r="G770" s="8">
        <v>0.0</v>
      </c>
      <c r="H770" s="8">
        <v>1.0</v>
      </c>
    </row>
    <row r="771" ht="15.75" customHeight="1">
      <c r="A771" s="7" t="s">
        <v>2960</v>
      </c>
      <c r="B771" s="8" t="s">
        <v>28</v>
      </c>
      <c r="D771" s="8">
        <v>1.0</v>
      </c>
      <c r="F771" s="8">
        <v>0.0</v>
      </c>
      <c r="G771" s="8">
        <v>0.0</v>
      </c>
      <c r="H771" s="8">
        <v>1.0</v>
      </c>
    </row>
    <row r="772" ht="15.75" customHeight="1">
      <c r="A772" s="7" t="s">
        <v>2964</v>
      </c>
      <c r="B772" s="8" t="s">
        <v>28</v>
      </c>
      <c r="C772" s="8" t="s">
        <v>2965</v>
      </c>
      <c r="D772" s="8">
        <v>1.0</v>
      </c>
      <c r="F772" s="8">
        <v>0.0</v>
      </c>
      <c r="G772" s="8">
        <v>0.0</v>
      </c>
      <c r="H772" s="8">
        <v>1.0</v>
      </c>
    </row>
    <row r="773" ht="15.75" customHeight="1">
      <c r="A773" s="7" t="s">
        <v>2966</v>
      </c>
      <c r="B773" s="8" t="s">
        <v>28</v>
      </c>
      <c r="C773" s="8" t="s">
        <v>2969</v>
      </c>
      <c r="D773" s="8">
        <v>1.0</v>
      </c>
      <c r="E773" s="8">
        <v>0.0</v>
      </c>
      <c r="F773" s="8">
        <v>0.0</v>
      </c>
      <c r="G773" s="8">
        <v>0.0</v>
      </c>
      <c r="H773" s="8">
        <v>1.0</v>
      </c>
      <c r="I773" s="8">
        <v>0.0</v>
      </c>
    </row>
    <row r="774" ht="15.75" customHeight="1">
      <c r="A774" s="7" t="s">
        <v>2972</v>
      </c>
      <c r="B774" s="8" t="s">
        <v>28</v>
      </c>
      <c r="D774" s="8">
        <v>1.0</v>
      </c>
      <c r="F774" s="8">
        <v>0.0</v>
      </c>
      <c r="G774" s="8">
        <v>0.0</v>
      </c>
      <c r="H774" s="8">
        <v>0.0</v>
      </c>
    </row>
    <row r="775" ht="15.75" customHeight="1">
      <c r="A775" s="7" t="s">
        <v>2975</v>
      </c>
      <c r="B775" s="8" t="s">
        <v>28</v>
      </c>
      <c r="C775" s="8" t="s">
        <v>2978</v>
      </c>
      <c r="D775" s="8">
        <v>1.0</v>
      </c>
      <c r="F775" s="8">
        <v>0.0</v>
      </c>
      <c r="G775" s="8">
        <v>0.0</v>
      </c>
      <c r="H775" s="8">
        <v>1.0</v>
      </c>
    </row>
    <row r="776" ht="15.75" customHeight="1">
      <c r="A776" s="7" t="s">
        <v>2979</v>
      </c>
      <c r="B776" s="8" t="s">
        <v>28</v>
      </c>
      <c r="C776" s="8" t="s">
        <v>1890</v>
      </c>
      <c r="D776" s="8">
        <v>1.0</v>
      </c>
      <c r="F776" s="8">
        <v>0.0</v>
      </c>
      <c r="G776" s="8">
        <v>0.0</v>
      </c>
      <c r="H776" s="8">
        <v>1.0</v>
      </c>
    </row>
    <row r="777" ht="15.75" customHeight="1">
      <c r="A777" s="7" t="s">
        <v>2983</v>
      </c>
      <c r="B777" s="8" t="s">
        <v>28</v>
      </c>
      <c r="C777" s="8" t="s">
        <v>2985</v>
      </c>
      <c r="D777" s="8">
        <v>1.0</v>
      </c>
      <c r="F777" s="8">
        <v>0.0</v>
      </c>
      <c r="G777" s="8">
        <v>0.0</v>
      </c>
      <c r="H777" s="8">
        <v>0.0</v>
      </c>
    </row>
    <row r="778" ht="15.75" customHeight="1">
      <c r="A778" s="7" t="s">
        <v>2988</v>
      </c>
      <c r="B778" s="8" t="s">
        <v>28</v>
      </c>
      <c r="C778" s="8" t="s">
        <v>2990</v>
      </c>
      <c r="D778" s="8">
        <v>1.0</v>
      </c>
      <c r="F778" s="8">
        <v>0.0</v>
      </c>
      <c r="G778" s="8">
        <v>0.0</v>
      </c>
      <c r="H778" s="8">
        <v>1.0</v>
      </c>
    </row>
    <row r="779" ht="15.75" customHeight="1">
      <c r="A779" s="7" t="s">
        <v>2992</v>
      </c>
      <c r="B779" s="8" t="s">
        <v>28</v>
      </c>
      <c r="D779" s="8">
        <v>1.0</v>
      </c>
      <c r="F779" s="8">
        <v>0.0</v>
      </c>
      <c r="G779" s="8">
        <v>0.0</v>
      </c>
      <c r="H779" s="8">
        <v>1.0</v>
      </c>
    </row>
    <row r="780" ht="15.75" customHeight="1">
      <c r="A780" s="7" t="s">
        <v>2994</v>
      </c>
      <c r="B780" s="8" t="s">
        <v>28</v>
      </c>
      <c r="C780" s="8" t="s">
        <v>2998</v>
      </c>
      <c r="D780" s="8">
        <v>1.0</v>
      </c>
      <c r="E780" s="8">
        <v>-7.0</v>
      </c>
      <c r="F780" s="8">
        <v>0.0</v>
      </c>
      <c r="G780" s="8">
        <v>0.0</v>
      </c>
      <c r="H780" s="8">
        <v>0.0</v>
      </c>
      <c r="I780" s="8">
        <v>-0.25</v>
      </c>
    </row>
    <row r="781" ht="15.75" customHeight="1">
      <c r="A781" s="7" t="s">
        <v>3000</v>
      </c>
      <c r="B781" s="8" t="s">
        <v>191</v>
      </c>
      <c r="D781" s="8">
        <v>1.0</v>
      </c>
      <c r="F781" s="8">
        <v>0.0</v>
      </c>
      <c r="G781" s="8">
        <v>0.0</v>
      </c>
      <c r="H781" s="8">
        <v>0.0</v>
      </c>
    </row>
    <row r="782" ht="15.75" customHeight="1">
      <c r="A782" s="7" t="s">
        <v>3003</v>
      </c>
      <c r="B782" s="8" t="s">
        <v>191</v>
      </c>
      <c r="C782" s="8" t="s">
        <v>792</v>
      </c>
      <c r="D782" s="8">
        <v>1.0</v>
      </c>
      <c r="F782" s="8">
        <v>0.0</v>
      </c>
      <c r="G782" s="8">
        <v>0.0</v>
      </c>
      <c r="H782" s="8">
        <v>1.0</v>
      </c>
    </row>
    <row r="783" ht="15.75" customHeight="1">
      <c r="A783" s="7" t="s">
        <v>3006</v>
      </c>
      <c r="B783" s="8" t="s">
        <v>28</v>
      </c>
      <c r="C783" s="8" t="s">
        <v>3008</v>
      </c>
      <c r="D783" s="8">
        <v>1.0</v>
      </c>
      <c r="E783" s="8">
        <v>-5.0</v>
      </c>
      <c r="F783" s="8">
        <v>0.0</v>
      </c>
      <c r="G783" s="8">
        <v>0.0</v>
      </c>
      <c r="H783" s="8">
        <v>1.0</v>
      </c>
      <c r="I783" s="8">
        <v>0.67</v>
      </c>
    </row>
    <row r="784" ht="15.75" customHeight="1">
      <c r="A784" s="7" t="s">
        <v>3010</v>
      </c>
      <c r="B784" s="8" t="s">
        <v>28</v>
      </c>
      <c r="C784" s="8" t="s">
        <v>3014</v>
      </c>
      <c r="D784" s="8">
        <v>1.0</v>
      </c>
      <c r="F784" s="8">
        <v>0.0</v>
      </c>
      <c r="G784" s="8">
        <v>0.0</v>
      </c>
      <c r="H784" s="8">
        <v>0.0</v>
      </c>
    </row>
    <row r="785" ht="15.75" customHeight="1">
      <c r="A785" s="7" t="s">
        <v>3015</v>
      </c>
      <c r="B785" s="8" t="s">
        <v>28</v>
      </c>
      <c r="D785" s="8">
        <v>1.0</v>
      </c>
      <c r="F785" s="8">
        <v>0.0</v>
      </c>
      <c r="G785" s="8">
        <v>0.0</v>
      </c>
      <c r="H785" s="8">
        <v>1.0</v>
      </c>
    </row>
    <row r="786" ht="15.75" customHeight="1">
      <c r="A786" s="7" t="s">
        <v>3018</v>
      </c>
      <c r="B786" s="8" t="s">
        <v>28</v>
      </c>
      <c r="C786" s="8" t="s">
        <v>3022</v>
      </c>
      <c r="D786" s="8">
        <v>1.0</v>
      </c>
      <c r="F786" s="8">
        <v>0.0</v>
      </c>
      <c r="G786" s="8">
        <v>0.0</v>
      </c>
      <c r="H786" s="8">
        <v>1.0</v>
      </c>
    </row>
    <row r="787" ht="15.75" customHeight="1">
      <c r="A787" s="7" t="s">
        <v>3023</v>
      </c>
      <c r="B787" s="8" t="s">
        <v>28</v>
      </c>
      <c r="C787" s="8" t="s">
        <v>3025</v>
      </c>
      <c r="D787" s="8">
        <v>1.0</v>
      </c>
      <c r="F787" s="8">
        <v>0.0</v>
      </c>
      <c r="G787" s="8">
        <v>0.0</v>
      </c>
      <c r="H787" s="8">
        <v>1.0</v>
      </c>
    </row>
    <row r="788" ht="15.75" customHeight="1">
      <c r="A788" s="7" t="s">
        <v>3027</v>
      </c>
      <c r="B788" s="8" t="s">
        <v>28</v>
      </c>
      <c r="C788" s="8" t="s">
        <v>3030</v>
      </c>
      <c r="D788" s="8">
        <v>1.0</v>
      </c>
      <c r="F788" s="8">
        <v>0.0</v>
      </c>
      <c r="G788" s="8">
        <v>0.0</v>
      </c>
      <c r="H788" s="8">
        <v>1.0</v>
      </c>
    </row>
    <row r="789" ht="15.75" customHeight="1">
      <c r="A789" s="7" t="s">
        <v>3031</v>
      </c>
      <c r="B789" s="8" t="s">
        <v>28</v>
      </c>
      <c r="D789" s="8">
        <v>1.0</v>
      </c>
      <c r="E789" s="8">
        <v>-1.0</v>
      </c>
      <c r="F789" s="8">
        <v>0.0</v>
      </c>
      <c r="G789" s="8">
        <v>0.0</v>
      </c>
      <c r="H789" s="8">
        <v>0.0</v>
      </c>
      <c r="I789" s="8">
        <v>0.0</v>
      </c>
    </row>
    <row r="790" ht="15.75" customHeight="1">
      <c r="A790" s="7" t="s">
        <v>3033</v>
      </c>
      <c r="B790" s="8" t="s">
        <v>28</v>
      </c>
      <c r="D790" s="8">
        <v>1.0</v>
      </c>
      <c r="F790" s="8">
        <v>0.0</v>
      </c>
      <c r="G790" s="8">
        <v>0.0</v>
      </c>
      <c r="H790" s="8">
        <v>1.0</v>
      </c>
    </row>
    <row r="791" ht="15.75" customHeight="1">
      <c r="A791" s="7" t="s">
        <v>3036</v>
      </c>
      <c r="B791" s="8" t="s">
        <v>28</v>
      </c>
      <c r="D791" s="8">
        <v>1.0</v>
      </c>
      <c r="E791" s="8">
        <v>-2.0</v>
      </c>
      <c r="F791" s="8">
        <v>0.0</v>
      </c>
      <c r="G791" s="8">
        <v>0.0</v>
      </c>
      <c r="H791" s="8">
        <v>1.0</v>
      </c>
      <c r="I791" s="8">
        <v>0.33</v>
      </c>
    </row>
    <row r="792" ht="15.75" customHeight="1">
      <c r="A792" s="8" t="s">
        <v>3038</v>
      </c>
      <c r="B792" s="8" t="s">
        <v>191</v>
      </c>
      <c r="C792" s="8" t="s">
        <v>1071</v>
      </c>
      <c r="D792" s="8">
        <v>1.0</v>
      </c>
      <c r="F792" s="8">
        <v>0.0</v>
      </c>
      <c r="G792" s="8">
        <v>0.0</v>
      </c>
      <c r="H792" s="8">
        <v>1.0</v>
      </c>
    </row>
    <row r="793" ht="15.75" customHeight="1">
      <c r="A793" s="7" t="s">
        <v>3041</v>
      </c>
      <c r="B793" s="8" t="s">
        <v>28</v>
      </c>
      <c r="C793" s="8" t="s">
        <v>3043</v>
      </c>
      <c r="D793" s="8">
        <v>1.0</v>
      </c>
      <c r="E793" s="8">
        <v>-7.0</v>
      </c>
      <c r="F793" s="8">
        <v>0.0</v>
      </c>
      <c r="G793" s="8">
        <v>0.0</v>
      </c>
      <c r="H793" s="8">
        <v>0.0</v>
      </c>
      <c r="I793" s="8">
        <v>-0.25</v>
      </c>
    </row>
    <row r="794" ht="15.75" customHeight="1">
      <c r="A794" s="7" t="s">
        <v>3044</v>
      </c>
      <c r="B794" s="8" t="s">
        <v>28</v>
      </c>
      <c r="C794" s="8" t="s">
        <v>498</v>
      </c>
      <c r="D794" s="8">
        <v>1.0</v>
      </c>
      <c r="F794" s="8">
        <v>0.0</v>
      </c>
      <c r="G794" s="8">
        <v>0.0</v>
      </c>
      <c r="H794" s="8">
        <v>0.0</v>
      </c>
    </row>
    <row r="795" ht="15.75" customHeight="1">
      <c r="A795" s="7" t="s">
        <v>3047</v>
      </c>
      <c r="B795" s="8" t="s">
        <v>28</v>
      </c>
      <c r="C795" s="8" t="s">
        <v>3050</v>
      </c>
      <c r="D795" s="8">
        <v>1.0</v>
      </c>
      <c r="F795" s="8">
        <v>0.0</v>
      </c>
      <c r="G795" s="8">
        <v>0.0</v>
      </c>
      <c r="H795" s="8">
        <v>1.0</v>
      </c>
    </row>
    <row r="796" ht="15.75" customHeight="1">
      <c r="A796" s="7" t="s">
        <v>3051</v>
      </c>
      <c r="B796" s="8" t="s">
        <v>492</v>
      </c>
      <c r="C796" s="8" t="s">
        <v>3053</v>
      </c>
      <c r="D796" s="8">
        <v>1.0</v>
      </c>
      <c r="F796" s="8">
        <v>0.0</v>
      </c>
      <c r="G796" s="8">
        <v>0.0</v>
      </c>
      <c r="H796" s="8">
        <v>0.0</v>
      </c>
    </row>
    <row r="797" ht="15.75" customHeight="1">
      <c r="A797" s="7" t="s">
        <v>3054</v>
      </c>
      <c r="B797" s="8" t="s">
        <v>28</v>
      </c>
      <c r="D797" s="8">
        <v>1.0</v>
      </c>
      <c r="F797" s="8">
        <v>0.0</v>
      </c>
      <c r="G797" s="8">
        <v>0.0</v>
      </c>
      <c r="H797" s="8">
        <v>0.0</v>
      </c>
    </row>
    <row r="798" ht="15.75" customHeight="1">
      <c r="A798" s="7" t="s">
        <v>3057</v>
      </c>
      <c r="B798" s="8" t="s">
        <v>28</v>
      </c>
      <c r="C798" s="8" t="s">
        <v>3059</v>
      </c>
      <c r="D798" s="8">
        <v>1.0</v>
      </c>
      <c r="E798" s="8">
        <v>-2.0</v>
      </c>
      <c r="F798" s="8">
        <v>0.0</v>
      </c>
      <c r="G798" s="8">
        <v>0.0</v>
      </c>
      <c r="H798" s="8">
        <v>0.0</v>
      </c>
      <c r="I798" s="8">
        <v>-2.0</v>
      </c>
    </row>
    <row r="799" ht="15.75" customHeight="1">
      <c r="A799" s="7" t="s">
        <v>3061</v>
      </c>
      <c r="B799" s="8" t="s">
        <v>28</v>
      </c>
      <c r="C799" s="8" t="s">
        <v>3064</v>
      </c>
      <c r="D799" s="8">
        <v>1.0</v>
      </c>
      <c r="F799" s="8">
        <v>0.0</v>
      </c>
      <c r="G799" s="8">
        <v>0.0</v>
      </c>
      <c r="H799" s="8">
        <v>1.0</v>
      </c>
    </row>
    <row r="800" ht="15.75" customHeight="1">
      <c r="A800" s="7" t="s">
        <v>3066</v>
      </c>
      <c r="B800" s="8" t="s">
        <v>28</v>
      </c>
      <c r="C800" s="8" t="s">
        <v>3069</v>
      </c>
      <c r="D800" s="8">
        <v>1.0</v>
      </c>
      <c r="F800" s="8">
        <v>0.0</v>
      </c>
      <c r="G800" s="8">
        <v>0.0</v>
      </c>
      <c r="H800" s="8">
        <v>1.0</v>
      </c>
    </row>
    <row r="801" ht="15.75" customHeight="1">
      <c r="A801" s="7" t="s">
        <v>3071</v>
      </c>
      <c r="B801" s="8" t="s">
        <v>28</v>
      </c>
      <c r="D801" s="8">
        <v>1.0</v>
      </c>
      <c r="F801" s="8">
        <v>0.0</v>
      </c>
      <c r="G801" s="8">
        <v>0.0</v>
      </c>
      <c r="H801" s="8">
        <v>1.0</v>
      </c>
    </row>
    <row r="802" ht="15.75" customHeight="1">
      <c r="A802" s="7" t="s">
        <v>3077</v>
      </c>
      <c r="B802" s="8" t="s">
        <v>28</v>
      </c>
      <c r="D802" s="8">
        <v>1.0</v>
      </c>
      <c r="F802" s="8">
        <v>0.0</v>
      </c>
      <c r="G802" s="8">
        <v>0.0</v>
      </c>
      <c r="H802" s="8">
        <v>0.0</v>
      </c>
    </row>
    <row r="803" ht="15.75" customHeight="1">
      <c r="A803" s="7" t="s">
        <v>3082</v>
      </c>
      <c r="B803" s="8" t="s">
        <v>28</v>
      </c>
      <c r="C803" s="8" t="s">
        <v>3085</v>
      </c>
      <c r="D803" s="8">
        <v>1.0</v>
      </c>
      <c r="E803" s="8">
        <v>-3.0</v>
      </c>
      <c r="F803" s="8">
        <v>0.0</v>
      </c>
      <c r="G803" s="8">
        <v>0.0</v>
      </c>
      <c r="H803" s="8">
        <v>0.0</v>
      </c>
      <c r="I803" s="8">
        <v>-1.0</v>
      </c>
    </row>
    <row r="804" ht="15.75" customHeight="1">
      <c r="A804" s="7" t="s">
        <v>3088</v>
      </c>
      <c r="B804" s="8" t="s">
        <v>28</v>
      </c>
      <c r="D804" s="8">
        <v>1.0</v>
      </c>
      <c r="F804" s="8">
        <v>0.0</v>
      </c>
      <c r="G804" s="8">
        <v>0.0</v>
      </c>
      <c r="H804" s="8">
        <v>0.0</v>
      </c>
    </row>
    <row r="805" ht="15.75" customHeight="1">
      <c r="A805" s="7" t="s">
        <v>3094</v>
      </c>
      <c r="B805" s="8" t="s">
        <v>28</v>
      </c>
      <c r="D805" s="8">
        <v>1.0</v>
      </c>
      <c r="F805" s="8">
        <v>0.0</v>
      </c>
      <c r="G805" s="8">
        <v>0.0</v>
      </c>
      <c r="H805" s="8">
        <v>0.0</v>
      </c>
    </row>
    <row r="806" ht="15.75" customHeight="1">
      <c r="A806" s="7" t="s">
        <v>3097</v>
      </c>
      <c r="B806" s="8" t="s">
        <v>28</v>
      </c>
      <c r="C806" s="8" t="s">
        <v>186</v>
      </c>
      <c r="D806" s="8">
        <v>1.0</v>
      </c>
      <c r="F806" s="8">
        <v>0.0</v>
      </c>
      <c r="G806" s="8">
        <v>0.0</v>
      </c>
      <c r="H806" s="8">
        <v>1.0</v>
      </c>
    </row>
    <row r="807" ht="15.75" customHeight="1">
      <c r="A807" s="7" t="s">
        <v>3100</v>
      </c>
      <c r="B807" s="8" t="s">
        <v>28</v>
      </c>
      <c r="C807" s="8" t="s">
        <v>3102</v>
      </c>
      <c r="D807" s="8">
        <v>1.0</v>
      </c>
      <c r="F807" s="8">
        <v>0.0</v>
      </c>
      <c r="G807" s="8">
        <v>0.0</v>
      </c>
      <c r="H807" s="8">
        <v>0.0</v>
      </c>
    </row>
    <row r="808" ht="15.75" customHeight="1">
      <c r="A808" s="8" t="s">
        <v>3104</v>
      </c>
      <c r="B808" s="8" t="s">
        <v>28</v>
      </c>
      <c r="D808" s="8">
        <v>1.0</v>
      </c>
      <c r="F808" s="8">
        <v>0.0</v>
      </c>
      <c r="G808" s="8">
        <v>0.0</v>
      </c>
      <c r="H808" s="8">
        <v>0.0</v>
      </c>
    </row>
    <row r="809" ht="15.75" customHeight="1">
      <c r="A809" s="7" t="s">
        <v>3105</v>
      </c>
      <c r="B809" s="8" t="s">
        <v>28</v>
      </c>
      <c r="C809" s="8" t="s">
        <v>3109</v>
      </c>
      <c r="D809" s="8">
        <v>1.0</v>
      </c>
      <c r="F809" s="8">
        <v>0.0</v>
      </c>
      <c r="G809" s="8">
        <v>0.0</v>
      </c>
      <c r="H809" s="8">
        <v>1.0</v>
      </c>
    </row>
    <row r="810" ht="15.75" customHeight="1">
      <c r="A810" s="7" t="s">
        <v>3110</v>
      </c>
      <c r="B810" s="8" t="s">
        <v>28</v>
      </c>
      <c r="C810" s="8" t="s">
        <v>792</v>
      </c>
      <c r="D810" s="8">
        <v>1.0</v>
      </c>
      <c r="F810" s="8">
        <v>0.0</v>
      </c>
      <c r="G810" s="8">
        <v>0.0</v>
      </c>
      <c r="H810" s="8">
        <v>1.0</v>
      </c>
    </row>
    <row r="811" ht="15.75" customHeight="1">
      <c r="A811" s="8" t="s">
        <v>3114</v>
      </c>
      <c r="B811" s="8" t="s">
        <v>28</v>
      </c>
      <c r="D811" s="8">
        <v>1.0</v>
      </c>
      <c r="F811" s="8">
        <v>0.0</v>
      </c>
      <c r="G811" s="8">
        <v>0.0</v>
      </c>
      <c r="H811" s="8">
        <v>0.0</v>
      </c>
    </row>
    <row r="812" ht="15.75" customHeight="1">
      <c r="A812" s="8" t="s">
        <v>3116</v>
      </c>
      <c r="B812" s="8" t="s">
        <v>28</v>
      </c>
      <c r="D812" s="8">
        <v>1.0</v>
      </c>
      <c r="E812" s="8">
        <v>0.0</v>
      </c>
      <c r="F812" s="8">
        <v>0.0</v>
      </c>
      <c r="G812" s="8">
        <v>0.0</v>
      </c>
      <c r="H812" s="8">
        <v>0.0</v>
      </c>
      <c r="I812" s="8">
        <v>0.0</v>
      </c>
    </row>
    <row r="813" ht="15.75" customHeight="1">
      <c r="A813" s="7" t="s">
        <v>3119</v>
      </c>
      <c r="B813" s="8" t="s">
        <v>405</v>
      </c>
      <c r="C813" s="8" t="s">
        <v>498</v>
      </c>
      <c r="D813" s="8">
        <v>1.0</v>
      </c>
      <c r="F813" s="8">
        <v>0.0</v>
      </c>
      <c r="G813" s="8">
        <v>0.0</v>
      </c>
      <c r="H813" s="8">
        <v>1.0</v>
      </c>
    </row>
    <row r="814" ht="15.75" customHeight="1">
      <c r="A814" s="7" t="s">
        <v>3122</v>
      </c>
      <c r="B814" s="8" t="s">
        <v>28</v>
      </c>
      <c r="C814" s="8" t="s">
        <v>3125</v>
      </c>
      <c r="D814" s="8">
        <v>1.0</v>
      </c>
      <c r="F814" s="8">
        <v>0.0</v>
      </c>
      <c r="G814" s="8">
        <v>0.0</v>
      </c>
      <c r="H814" s="8">
        <v>1.0</v>
      </c>
    </row>
    <row r="815" ht="15.75" customHeight="1">
      <c r="A815" s="7" t="s">
        <v>3126</v>
      </c>
      <c r="B815" s="8" t="s">
        <v>28</v>
      </c>
      <c r="C815" s="8" t="s">
        <v>3128</v>
      </c>
      <c r="D815" s="8">
        <v>1.0</v>
      </c>
      <c r="E815" s="8">
        <v>-9.0</v>
      </c>
      <c r="F815" s="8">
        <v>0.0</v>
      </c>
      <c r="G815" s="8">
        <v>0.0</v>
      </c>
      <c r="H815" s="8">
        <v>1.0</v>
      </c>
      <c r="I815" s="8">
        <v>0.1</v>
      </c>
    </row>
    <row r="816" ht="15.75" customHeight="1">
      <c r="A816" s="7" t="s">
        <v>3129</v>
      </c>
      <c r="B816" s="8" t="s">
        <v>28</v>
      </c>
      <c r="C816" s="8" t="s">
        <v>3131</v>
      </c>
      <c r="D816" s="8">
        <v>1.0</v>
      </c>
      <c r="E816" s="8">
        <v>-5.0</v>
      </c>
      <c r="F816" s="8">
        <v>0.0</v>
      </c>
      <c r="G816" s="8">
        <v>0.0</v>
      </c>
      <c r="H816" s="8">
        <v>0.0</v>
      </c>
      <c r="I816" s="8">
        <v>0.0</v>
      </c>
    </row>
    <row r="817" ht="15.75" customHeight="1">
      <c r="A817" s="7" t="s">
        <v>3132</v>
      </c>
      <c r="B817" s="8" t="s">
        <v>28</v>
      </c>
      <c r="C817" s="8" t="s">
        <v>186</v>
      </c>
      <c r="D817" s="8">
        <v>1.0</v>
      </c>
      <c r="F817" s="8">
        <v>0.0</v>
      </c>
      <c r="G817" s="8">
        <v>0.0</v>
      </c>
      <c r="H817" s="8">
        <v>1.0</v>
      </c>
    </row>
    <row r="818" ht="15.75" customHeight="1">
      <c r="A818" s="7" t="s">
        <v>3135</v>
      </c>
      <c r="B818" s="8" t="s">
        <v>28</v>
      </c>
      <c r="D818" s="8">
        <v>1.0</v>
      </c>
      <c r="F818" s="8">
        <v>0.0</v>
      </c>
      <c r="G818" s="8">
        <v>0.0</v>
      </c>
      <c r="H818" s="8">
        <v>0.0</v>
      </c>
    </row>
    <row r="819" ht="15.75" customHeight="1">
      <c r="A819" s="7" t="s">
        <v>3138</v>
      </c>
      <c r="B819" s="8" t="s">
        <v>405</v>
      </c>
      <c r="C819" s="8" t="s">
        <v>2441</v>
      </c>
      <c r="D819" s="8">
        <v>1.0</v>
      </c>
      <c r="F819" s="8">
        <v>0.0</v>
      </c>
      <c r="G819" s="8">
        <v>0.0</v>
      </c>
      <c r="H819" s="8">
        <v>0.0</v>
      </c>
    </row>
    <row r="820" ht="15.75" customHeight="1">
      <c r="A820" s="7" t="s">
        <v>3142</v>
      </c>
      <c r="B820" s="8" t="s">
        <v>28</v>
      </c>
      <c r="C820" s="8" t="s">
        <v>3145</v>
      </c>
      <c r="D820" s="8">
        <v>1.0</v>
      </c>
      <c r="F820" s="8">
        <v>0.0</v>
      </c>
      <c r="G820" s="8">
        <v>0.0</v>
      </c>
      <c r="H820" s="8">
        <v>1.0</v>
      </c>
    </row>
    <row r="821" ht="15.75" customHeight="1">
      <c r="A821" s="7" t="s">
        <v>3146</v>
      </c>
      <c r="B821" s="8" t="s">
        <v>28</v>
      </c>
      <c r="D821" s="8">
        <v>1.0</v>
      </c>
      <c r="E821" s="8">
        <v>-4.0</v>
      </c>
      <c r="F821" s="8">
        <v>0.0</v>
      </c>
      <c r="G821" s="8">
        <v>0.0</v>
      </c>
      <c r="H821" s="8">
        <v>0.0</v>
      </c>
      <c r="I821" s="8">
        <v>0.0</v>
      </c>
    </row>
    <row r="822" ht="15.75" customHeight="1">
      <c r="A822" s="7" t="s">
        <v>3153</v>
      </c>
      <c r="B822" s="8" t="s">
        <v>28</v>
      </c>
      <c r="C822" s="8" t="s">
        <v>3155</v>
      </c>
      <c r="D822" s="8">
        <v>1.0</v>
      </c>
      <c r="F822" s="8">
        <v>0.0</v>
      </c>
      <c r="G822" s="8">
        <v>0.0</v>
      </c>
      <c r="H822" s="8">
        <v>1.0</v>
      </c>
    </row>
    <row r="823" ht="15.75" customHeight="1">
      <c r="A823" s="7" t="s">
        <v>3157</v>
      </c>
      <c r="B823" s="8" t="s">
        <v>28</v>
      </c>
      <c r="D823" s="8">
        <v>1.0</v>
      </c>
      <c r="F823" s="8">
        <v>0.0</v>
      </c>
      <c r="G823" s="8">
        <v>0.0</v>
      </c>
      <c r="H823" s="8">
        <v>1.0</v>
      </c>
    </row>
    <row r="824" ht="15.75" customHeight="1">
      <c r="A824" s="7" t="s">
        <v>3160</v>
      </c>
      <c r="B824" s="8" t="s">
        <v>191</v>
      </c>
      <c r="C824" s="8" t="s">
        <v>3162</v>
      </c>
      <c r="D824" s="8">
        <v>1.0</v>
      </c>
      <c r="F824" s="8">
        <v>0.0</v>
      </c>
      <c r="G824" s="8">
        <v>0.0</v>
      </c>
      <c r="H824" s="8">
        <v>1.0</v>
      </c>
    </row>
    <row r="825" ht="15.75" customHeight="1">
      <c r="A825" s="7" t="s">
        <v>3163</v>
      </c>
      <c r="B825" s="8" t="s">
        <v>28</v>
      </c>
      <c r="C825" s="8" t="s">
        <v>3165</v>
      </c>
      <c r="D825" s="8">
        <v>1.0</v>
      </c>
      <c r="F825" s="8">
        <v>0.0</v>
      </c>
      <c r="G825" s="8">
        <v>0.0</v>
      </c>
      <c r="H825" s="8">
        <v>1.0</v>
      </c>
    </row>
    <row r="826" ht="15.75" customHeight="1">
      <c r="A826" s="8" t="s">
        <v>3166</v>
      </c>
      <c r="B826" s="8" t="s">
        <v>28</v>
      </c>
      <c r="C826" s="8" t="s">
        <v>1000</v>
      </c>
      <c r="D826" s="8">
        <v>1.0</v>
      </c>
      <c r="F826" s="8">
        <v>0.0</v>
      </c>
      <c r="G826" s="8">
        <v>0.0</v>
      </c>
      <c r="H826" s="8">
        <v>0.0</v>
      </c>
    </row>
    <row r="827" ht="15.75" customHeight="1">
      <c r="A827" s="7" t="s">
        <v>3168</v>
      </c>
      <c r="B827" s="8" t="s">
        <v>28</v>
      </c>
      <c r="C827" s="8" t="s">
        <v>3169</v>
      </c>
      <c r="D827" s="8">
        <v>1.0</v>
      </c>
      <c r="F827" s="8">
        <v>0.0</v>
      </c>
      <c r="G827" s="8">
        <v>0.0</v>
      </c>
      <c r="H827" s="8">
        <v>1.0</v>
      </c>
    </row>
    <row r="828" ht="15.75" customHeight="1">
      <c r="A828" s="7" t="s">
        <v>3172</v>
      </c>
      <c r="B828" s="8" t="s">
        <v>28</v>
      </c>
      <c r="C828" s="8" t="s">
        <v>3173</v>
      </c>
      <c r="D828" s="8">
        <v>1.0</v>
      </c>
      <c r="E828" s="8">
        <v>-5.0</v>
      </c>
      <c r="F828" s="8">
        <v>0.0</v>
      </c>
      <c r="G828" s="8">
        <v>0.0</v>
      </c>
      <c r="H828" s="8">
        <v>0.0</v>
      </c>
      <c r="I828" s="8">
        <v>0.0</v>
      </c>
    </row>
    <row r="829" ht="15.75" customHeight="1">
      <c r="A829" s="7" t="s">
        <v>3175</v>
      </c>
      <c r="B829" s="8" t="s">
        <v>28</v>
      </c>
      <c r="D829" s="8">
        <v>1.0</v>
      </c>
      <c r="F829" s="8">
        <v>0.0</v>
      </c>
      <c r="G829" s="8">
        <v>0.0</v>
      </c>
      <c r="H829" s="8">
        <v>1.0</v>
      </c>
    </row>
    <row r="830" ht="15.75" customHeight="1">
      <c r="A830" s="7" t="s">
        <v>3177</v>
      </c>
      <c r="B830" s="8" t="s">
        <v>28</v>
      </c>
      <c r="C830" s="8" t="s">
        <v>724</v>
      </c>
      <c r="D830" s="8">
        <v>1.0</v>
      </c>
      <c r="F830" s="8">
        <v>0.0</v>
      </c>
      <c r="G830" s="8">
        <v>0.0</v>
      </c>
      <c r="H830" s="8">
        <v>1.0</v>
      </c>
    </row>
    <row r="831" ht="15.75" customHeight="1">
      <c r="A831" s="8" t="s">
        <v>3180</v>
      </c>
      <c r="B831" s="8" t="s">
        <v>28</v>
      </c>
      <c r="D831" s="8">
        <v>1.0</v>
      </c>
      <c r="F831" s="8">
        <v>0.0</v>
      </c>
      <c r="G831" s="8">
        <v>0.0</v>
      </c>
      <c r="H831" s="8">
        <v>0.0</v>
      </c>
    </row>
    <row r="832" ht="15.75" customHeight="1">
      <c r="A832" s="7" t="s">
        <v>3181</v>
      </c>
      <c r="B832" s="8" t="s">
        <v>28</v>
      </c>
      <c r="C832" s="8" t="s">
        <v>3184</v>
      </c>
      <c r="D832" s="8">
        <v>1.0</v>
      </c>
      <c r="F832" s="8">
        <v>0.0</v>
      </c>
      <c r="G832" s="8">
        <v>0.0</v>
      </c>
      <c r="H832" s="8">
        <v>1.0</v>
      </c>
    </row>
    <row r="833" ht="15.75" customHeight="1">
      <c r="A833" s="7" t="s">
        <v>3186</v>
      </c>
      <c r="B833" s="8" t="s">
        <v>28</v>
      </c>
      <c r="C833" s="8" t="s">
        <v>3189</v>
      </c>
      <c r="D833" s="8">
        <v>1.0</v>
      </c>
      <c r="F833" s="8">
        <v>0.0</v>
      </c>
      <c r="G833" s="8">
        <v>0.0</v>
      </c>
      <c r="H833" s="8">
        <v>0.0</v>
      </c>
    </row>
    <row r="834" ht="15.75" customHeight="1">
      <c r="A834" s="7" t="s">
        <v>3190</v>
      </c>
      <c r="B834" s="8" t="s">
        <v>28</v>
      </c>
      <c r="D834" s="8">
        <v>1.0</v>
      </c>
      <c r="F834" s="8">
        <v>0.0</v>
      </c>
      <c r="G834" s="8">
        <v>0.0</v>
      </c>
      <c r="H834" s="8">
        <v>0.0</v>
      </c>
    </row>
    <row r="835" ht="15.75" customHeight="1">
      <c r="A835" s="7" t="s">
        <v>3193</v>
      </c>
      <c r="B835" s="8" t="s">
        <v>28</v>
      </c>
      <c r="C835" s="8" t="s">
        <v>3195</v>
      </c>
      <c r="D835" s="8">
        <v>1.0</v>
      </c>
      <c r="F835" s="8">
        <v>0.0</v>
      </c>
      <c r="G835" s="8">
        <v>0.0</v>
      </c>
      <c r="H835" s="8">
        <v>0.0</v>
      </c>
    </row>
    <row r="836" ht="15.75" customHeight="1">
      <c r="A836" s="7" t="s">
        <v>3197</v>
      </c>
      <c r="B836" s="8" t="s">
        <v>28</v>
      </c>
      <c r="D836" s="8">
        <v>1.0</v>
      </c>
      <c r="F836" s="8">
        <v>0.0</v>
      </c>
      <c r="G836" s="8">
        <v>0.0</v>
      </c>
      <c r="H836" s="8">
        <v>0.0</v>
      </c>
    </row>
    <row r="837" ht="15.75" customHeight="1">
      <c r="A837" s="7" t="s">
        <v>3201</v>
      </c>
      <c r="B837" s="8" t="s">
        <v>28</v>
      </c>
      <c r="D837" s="8">
        <v>1.0</v>
      </c>
      <c r="F837" s="8">
        <v>0.0</v>
      </c>
      <c r="G837" s="8">
        <v>0.0</v>
      </c>
      <c r="H837" s="8">
        <v>1.0</v>
      </c>
    </row>
    <row r="838" ht="15.75" customHeight="1">
      <c r="A838" s="7" t="s">
        <v>3204</v>
      </c>
      <c r="B838" s="8" t="s">
        <v>405</v>
      </c>
      <c r="C838" s="8" t="s">
        <v>2173</v>
      </c>
      <c r="D838" s="8">
        <v>1.0</v>
      </c>
      <c r="F838" s="8">
        <v>0.0</v>
      </c>
      <c r="G838" s="8">
        <v>0.0</v>
      </c>
      <c r="H838" s="8">
        <v>1.0</v>
      </c>
    </row>
    <row r="839" ht="15.75" customHeight="1">
      <c r="A839" s="7" t="s">
        <v>3208</v>
      </c>
      <c r="B839" s="8" t="s">
        <v>28</v>
      </c>
      <c r="D839" s="8">
        <v>1.0</v>
      </c>
      <c r="E839" s="8">
        <v>-3.0</v>
      </c>
      <c r="F839" s="8">
        <v>0.0</v>
      </c>
      <c r="G839" s="8">
        <v>0.0</v>
      </c>
      <c r="H839" s="8">
        <v>1.0</v>
      </c>
      <c r="I839" s="8">
        <v>0.0</v>
      </c>
    </row>
    <row r="840" ht="15.75" customHeight="1">
      <c r="A840" s="7" t="s">
        <v>3210</v>
      </c>
      <c r="B840" s="8" t="s">
        <v>28</v>
      </c>
      <c r="D840" s="8">
        <v>1.0</v>
      </c>
      <c r="F840" s="8">
        <v>0.0</v>
      </c>
      <c r="G840" s="8">
        <v>0.0</v>
      </c>
      <c r="H840" s="8">
        <v>0.0</v>
      </c>
    </row>
    <row r="841" ht="15.75" customHeight="1">
      <c r="A841" s="7" t="s">
        <v>3214</v>
      </c>
      <c r="B841" s="8" t="s">
        <v>28</v>
      </c>
      <c r="C841" s="8" t="s">
        <v>3216</v>
      </c>
      <c r="D841" s="8">
        <v>1.0</v>
      </c>
      <c r="F841" s="8">
        <v>0.0</v>
      </c>
      <c r="G841" s="8">
        <v>0.0</v>
      </c>
      <c r="H841" s="8">
        <v>1.0</v>
      </c>
    </row>
    <row r="842" ht="15.75" customHeight="1">
      <c r="A842" s="7" t="s">
        <v>3218</v>
      </c>
      <c r="B842" s="8" t="s">
        <v>28</v>
      </c>
      <c r="C842" s="8" t="s">
        <v>803</v>
      </c>
      <c r="D842" s="8">
        <v>1.0</v>
      </c>
      <c r="F842" s="8">
        <v>0.0</v>
      </c>
      <c r="G842" s="8">
        <v>0.0</v>
      </c>
      <c r="H842" s="8">
        <v>1.0</v>
      </c>
    </row>
    <row r="843" ht="15.75" customHeight="1">
      <c r="A843" s="7" t="s">
        <v>3220</v>
      </c>
      <c r="B843" s="8" t="s">
        <v>17</v>
      </c>
      <c r="C843" s="8" t="s">
        <v>3222</v>
      </c>
      <c r="D843" s="8">
        <v>1.0</v>
      </c>
      <c r="E843" s="8">
        <v>-1.0</v>
      </c>
      <c r="F843" s="8">
        <v>0.0</v>
      </c>
      <c r="G843" s="8">
        <v>0.0</v>
      </c>
      <c r="H843" s="8">
        <v>0.0</v>
      </c>
      <c r="I843" s="8">
        <v>0.0</v>
      </c>
    </row>
    <row r="844" ht="15.75" customHeight="1">
      <c r="A844" s="7" t="s">
        <v>3223</v>
      </c>
      <c r="B844" s="8" t="s">
        <v>28</v>
      </c>
      <c r="C844" s="8" t="s">
        <v>3225</v>
      </c>
      <c r="D844" s="8">
        <v>1.0</v>
      </c>
      <c r="F844" s="8">
        <v>0.0</v>
      </c>
      <c r="G844" s="8">
        <v>0.0</v>
      </c>
      <c r="H844" s="8">
        <v>0.0</v>
      </c>
    </row>
    <row r="845" ht="15.75" customHeight="1">
      <c r="A845" s="7" t="s">
        <v>3226</v>
      </c>
      <c r="B845" s="8" t="s">
        <v>28</v>
      </c>
      <c r="C845" s="8" t="s">
        <v>3228</v>
      </c>
      <c r="D845" s="8">
        <v>1.0</v>
      </c>
      <c r="F845" s="8">
        <v>0.0</v>
      </c>
      <c r="G845" s="8">
        <v>0.0</v>
      </c>
      <c r="H845" s="8">
        <v>1.0</v>
      </c>
    </row>
    <row r="846" ht="15.75" customHeight="1">
      <c r="A846" s="7" t="s">
        <v>3231</v>
      </c>
      <c r="B846" s="8" t="s">
        <v>28</v>
      </c>
      <c r="D846" s="8">
        <v>1.0</v>
      </c>
      <c r="E846" s="8">
        <v>-1.0</v>
      </c>
      <c r="F846" s="8">
        <v>0.0</v>
      </c>
      <c r="G846" s="8">
        <v>0.0</v>
      </c>
      <c r="H846" s="8">
        <v>0.0</v>
      </c>
      <c r="I846" s="8">
        <v>0.0</v>
      </c>
    </row>
    <row r="847" ht="15.75" customHeight="1">
      <c r="A847" s="7" t="s">
        <v>3235</v>
      </c>
      <c r="B847" s="8" t="s">
        <v>28</v>
      </c>
      <c r="D847" s="8">
        <v>1.0</v>
      </c>
      <c r="F847" s="8">
        <v>0.0</v>
      </c>
      <c r="G847" s="8">
        <v>0.0</v>
      </c>
      <c r="H847" s="8">
        <v>1.0</v>
      </c>
    </row>
    <row r="848" ht="15.75" customHeight="1">
      <c r="A848" s="7" t="s">
        <v>3237</v>
      </c>
      <c r="B848" s="8" t="s">
        <v>28</v>
      </c>
      <c r="D848" s="8">
        <v>1.0</v>
      </c>
      <c r="F848" s="8">
        <v>0.0</v>
      </c>
      <c r="G848" s="8">
        <v>0.0</v>
      </c>
      <c r="H848" s="8">
        <v>0.0</v>
      </c>
    </row>
    <row r="849" ht="15.75" customHeight="1">
      <c r="A849" s="7" t="s">
        <v>3240</v>
      </c>
      <c r="B849" s="8" t="s">
        <v>28</v>
      </c>
      <c r="C849" s="8" t="s">
        <v>3243</v>
      </c>
      <c r="D849" s="8">
        <v>1.0</v>
      </c>
      <c r="F849" s="8">
        <v>0.0</v>
      </c>
      <c r="G849" s="8">
        <v>0.0</v>
      </c>
      <c r="H849" s="8">
        <v>0.0</v>
      </c>
    </row>
    <row r="850" ht="15.75" customHeight="1">
      <c r="A850" s="7" t="s">
        <v>3246</v>
      </c>
      <c r="B850" s="8" t="s">
        <v>191</v>
      </c>
      <c r="C850" s="8" t="s">
        <v>3248</v>
      </c>
      <c r="D850" s="8">
        <v>1.0</v>
      </c>
      <c r="F850" s="8">
        <v>0.0</v>
      </c>
      <c r="G850" s="8">
        <v>0.0</v>
      </c>
      <c r="H850" s="8">
        <v>1.0</v>
      </c>
    </row>
    <row r="851" ht="15.75" customHeight="1">
      <c r="A851" s="7" t="s">
        <v>3250</v>
      </c>
      <c r="B851" s="8" t="s">
        <v>28</v>
      </c>
      <c r="D851" s="8">
        <v>1.0</v>
      </c>
      <c r="E851" s="8">
        <v>-1.0</v>
      </c>
      <c r="F851" s="8">
        <v>0.0</v>
      </c>
      <c r="G851" s="8">
        <v>0.0</v>
      </c>
      <c r="H851" s="8">
        <v>0.0</v>
      </c>
      <c r="I851" s="8">
        <v>0.0</v>
      </c>
    </row>
    <row r="852" ht="15.75" customHeight="1">
      <c r="A852" s="7" t="s">
        <v>3258</v>
      </c>
      <c r="B852" s="8" t="s">
        <v>28</v>
      </c>
      <c r="C852" s="8" t="s">
        <v>3263</v>
      </c>
      <c r="D852" s="8">
        <v>1.0</v>
      </c>
      <c r="E852" s="8">
        <v>0.0</v>
      </c>
      <c r="F852" s="8">
        <v>0.0</v>
      </c>
      <c r="G852" s="8">
        <v>0.0</v>
      </c>
      <c r="H852" s="8">
        <v>2.0</v>
      </c>
      <c r="I852" s="8">
        <v>1.0</v>
      </c>
    </row>
    <row r="853" ht="15.75" customHeight="1">
      <c r="A853" s="7" t="s">
        <v>3264</v>
      </c>
      <c r="B853" s="8" t="s">
        <v>28</v>
      </c>
      <c r="D853" s="8">
        <v>1.0</v>
      </c>
      <c r="E853" s="8">
        <v>-3.0</v>
      </c>
      <c r="F853" s="8">
        <v>0.0</v>
      </c>
      <c r="G853" s="8">
        <v>0.0</v>
      </c>
      <c r="H853" s="8">
        <v>0.0</v>
      </c>
      <c r="I853" s="8">
        <v>-1.0</v>
      </c>
    </row>
    <row r="854" ht="15.75" customHeight="1">
      <c r="A854" s="7" t="s">
        <v>3268</v>
      </c>
      <c r="B854" s="8" t="s">
        <v>28</v>
      </c>
      <c r="C854" s="8" t="s">
        <v>1779</v>
      </c>
      <c r="D854" s="8">
        <v>1.0</v>
      </c>
      <c r="F854" s="8">
        <v>0.0</v>
      </c>
      <c r="G854" s="8">
        <v>0.0</v>
      </c>
      <c r="H854" s="8">
        <v>1.0</v>
      </c>
    </row>
    <row r="855" ht="15.75" customHeight="1">
      <c r="A855" s="7" t="s">
        <v>3275</v>
      </c>
      <c r="B855" s="8" t="s">
        <v>28</v>
      </c>
      <c r="C855" s="8" t="s">
        <v>3277</v>
      </c>
      <c r="D855" s="8">
        <v>1.0</v>
      </c>
      <c r="F855" s="8">
        <v>0.0</v>
      </c>
      <c r="G855" s="8">
        <v>0.0</v>
      </c>
      <c r="H855" s="8">
        <v>0.0</v>
      </c>
    </row>
    <row r="856" ht="15.75" customHeight="1">
      <c r="A856" s="7" t="s">
        <v>3279</v>
      </c>
      <c r="B856" s="8" t="s">
        <v>28</v>
      </c>
      <c r="C856" s="8" t="s">
        <v>724</v>
      </c>
      <c r="D856" s="8">
        <v>1.0</v>
      </c>
      <c r="F856" s="8">
        <v>0.0</v>
      </c>
      <c r="G856" s="8">
        <v>0.0</v>
      </c>
      <c r="H856" s="8">
        <v>1.0</v>
      </c>
    </row>
    <row r="857" ht="15.75" customHeight="1">
      <c r="A857" s="7" t="s">
        <v>3282</v>
      </c>
      <c r="B857" s="8" t="s">
        <v>28</v>
      </c>
      <c r="D857" s="8">
        <v>1.0</v>
      </c>
      <c r="F857" s="8">
        <v>0.0</v>
      </c>
      <c r="G857" s="8">
        <v>0.0</v>
      </c>
      <c r="H857" s="8">
        <v>2.0</v>
      </c>
    </row>
    <row r="858" ht="15.75" customHeight="1">
      <c r="A858" s="7" t="s">
        <v>3284</v>
      </c>
      <c r="B858" s="8" t="s">
        <v>28</v>
      </c>
      <c r="C858" s="8" t="s">
        <v>3286</v>
      </c>
      <c r="D858" s="8">
        <v>1.0</v>
      </c>
      <c r="F858" s="8">
        <v>0.0</v>
      </c>
      <c r="G858" s="8">
        <v>0.0</v>
      </c>
      <c r="H858" s="8">
        <v>1.0</v>
      </c>
    </row>
    <row r="859" ht="15.75" customHeight="1">
      <c r="A859" s="7" t="s">
        <v>3288</v>
      </c>
      <c r="B859" s="8" t="s">
        <v>28</v>
      </c>
      <c r="C859" s="8" t="s">
        <v>3291</v>
      </c>
      <c r="D859" s="8">
        <v>1.0</v>
      </c>
      <c r="E859" s="8">
        <v>-2.0</v>
      </c>
      <c r="F859" s="8">
        <v>0.0</v>
      </c>
      <c r="G859" s="8">
        <v>0.0</v>
      </c>
      <c r="H859" s="8">
        <v>0.0</v>
      </c>
      <c r="I859" s="8">
        <v>0.0</v>
      </c>
    </row>
    <row r="860" ht="15.75" customHeight="1">
      <c r="A860" s="7" t="s">
        <v>3293</v>
      </c>
      <c r="B860" s="8" t="s">
        <v>28</v>
      </c>
      <c r="C860" s="8" t="s">
        <v>3297</v>
      </c>
      <c r="D860" s="8">
        <v>1.0</v>
      </c>
      <c r="F860" s="8">
        <v>0.0</v>
      </c>
      <c r="G860" s="8">
        <v>0.0</v>
      </c>
      <c r="H860" s="8">
        <v>1.0</v>
      </c>
    </row>
    <row r="861" ht="15.75" customHeight="1">
      <c r="A861" s="7" t="s">
        <v>3298</v>
      </c>
      <c r="B861" s="8" t="s">
        <v>28</v>
      </c>
      <c r="C861" s="8" t="s">
        <v>3302</v>
      </c>
      <c r="D861" s="8">
        <v>1.0</v>
      </c>
      <c r="F861" s="8">
        <v>0.0</v>
      </c>
      <c r="G861" s="8">
        <v>0.0</v>
      </c>
      <c r="H861" s="8">
        <v>0.0</v>
      </c>
    </row>
    <row r="862" ht="15.75" customHeight="1">
      <c r="A862" s="7" t="s">
        <v>3305</v>
      </c>
      <c r="B862" s="8" t="s">
        <v>28</v>
      </c>
      <c r="D862" s="8">
        <v>1.0</v>
      </c>
      <c r="E862" s="8">
        <v>-1.0</v>
      </c>
      <c r="F862" s="8">
        <v>0.0</v>
      </c>
      <c r="G862" s="8">
        <v>0.0</v>
      </c>
      <c r="H862" s="8">
        <v>0.0</v>
      </c>
      <c r="I862" s="8">
        <v>-1.0</v>
      </c>
    </row>
    <row r="863" ht="15.75" customHeight="1">
      <c r="A863" s="7" t="s">
        <v>3308</v>
      </c>
      <c r="B863" s="8" t="s">
        <v>28</v>
      </c>
      <c r="C863" s="8" t="s">
        <v>3311</v>
      </c>
      <c r="D863" s="8">
        <v>1.0</v>
      </c>
      <c r="F863" s="8">
        <v>0.0</v>
      </c>
      <c r="G863" s="8">
        <v>0.0</v>
      </c>
      <c r="H863" s="8">
        <v>1.0</v>
      </c>
    </row>
    <row r="864" ht="15.75" customHeight="1">
      <c r="A864" s="7" t="s">
        <v>3312</v>
      </c>
      <c r="B864" s="8" t="s">
        <v>28</v>
      </c>
      <c r="D864" s="8">
        <v>1.0</v>
      </c>
      <c r="F864" s="8">
        <v>0.0</v>
      </c>
      <c r="G864" s="8">
        <v>0.0</v>
      </c>
      <c r="H864" s="8">
        <v>2.0</v>
      </c>
    </row>
    <row r="865" ht="15.75" customHeight="1">
      <c r="A865" s="7" t="s">
        <v>3315</v>
      </c>
      <c r="B865" s="8" t="s">
        <v>28</v>
      </c>
      <c r="C865" s="8" t="s">
        <v>3318</v>
      </c>
      <c r="D865" s="8">
        <v>1.0</v>
      </c>
      <c r="E865" s="8">
        <v>-1.0</v>
      </c>
      <c r="F865" s="8">
        <v>0.0</v>
      </c>
      <c r="G865" s="8">
        <v>0.0</v>
      </c>
      <c r="H865" s="8">
        <v>2.0</v>
      </c>
      <c r="I865" s="8">
        <v>2.0</v>
      </c>
    </row>
    <row r="866" ht="15.75" customHeight="1">
      <c r="A866" s="7" t="s">
        <v>3321</v>
      </c>
      <c r="B866" s="8" t="s">
        <v>28</v>
      </c>
      <c r="C866" s="8" t="s">
        <v>3323</v>
      </c>
      <c r="D866" s="8">
        <v>1.0</v>
      </c>
      <c r="F866" s="8">
        <v>0.0</v>
      </c>
      <c r="G866" s="8">
        <v>0.0</v>
      </c>
      <c r="H866" s="8">
        <v>1.0</v>
      </c>
    </row>
    <row r="867" ht="15.75" customHeight="1">
      <c r="A867" s="7" t="s">
        <v>3325</v>
      </c>
      <c r="B867" s="8" t="s">
        <v>28</v>
      </c>
      <c r="C867" s="8" t="s">
        <v>654</v>
      </c>
      <c r="D867" s="8">
        <v>1.0</v>
      </c>
      <c r="F867" s="8">
        <v>0.0</v>
      </c>
      <c r="G867" s="8">
        <v>0.0</v>
      </c>
      <c r="H867" s="8">
        <v>1.0</v>
      </c>
    </row>
    <row r="868" ht="15.75" customHeight="1">
      <c r="A868" s="7" t="s">
        <v>3328</v>
      </c>
      <c r="B868" s="8" t="s">
        <v>28</v>
      </c>
      <c r="C868" s="8" t="s">
        <v>3331</v>
      </c>
      <c r="D868" s="8">
        <v>1.0</v>
      </c>
      <c r="E868" s="8">
        <v>0.0</v>
      </c>
      <c r="F868" s="8">
        <v>0.0</v>
      </c>
      <c r="G868" s="8">
        <v>0.0</v>
      </c>
      <c r="H868" s="8">
        <v>1.0</v>
      </c>
      <c r="I868" s="8">
        <v>0.0</v>
      </c>
    </row>
    <row r="869" ht="15.75" customHeight="1">
      <c r="A869" s="7" t="s">
        <v>3333</v>
      </c>
      <c r="B869" s="8" t="s">
        <v>28</v>
      </c>
      <c r="D869" s="8">
        <v>1.0</v>
      </c>
      <c r="F869" s="8">
        <v>0.0</v>
      </c>
      <c r="G869" s="8">
        <v>0.0</v>
      </c>
      <c r="H869" s="8">
        <v>1.0</v>
      </c>
    </row>
    <row r="870" ht="15.75" customHeight="1">
      <c r="A870" s="7" t="s">
        <v>3336</v>
      </c>
      <c r="B870" s="8" t="s">
        <v>28</v>
      </c>
      <c r="C870" s="8" t="s">
        <v>1776</v>
      </c>
      <c r="D870" s="8">
        <v>1.0</v>
      </c>
      <c r="F870" s="8">
        <v>0.0</v>
      </c>
      <c r="G870" s="8">
        <v>0.0</v>
      </c>
      <c r="H870" s="8">
        <v>1.0</v>
      </c>
    </row>
    <row r="871" ht="15.75" customHeight="1">
      <c r="A871" s="7" t="s">
        <v>3341</v>
      </c>
      <c r="B871" s="8" t="s">
        <v>28</v>
      </c>
      <c r="D871" s="8">
        <v>1.0</v>
      </c>
      <c r="E871" s="8">
        <v>0.0</v>
      </c>
      <c r="F871" s="8">
        <v>0.0</v>
      </c>
      <c r="G871" s="8">
        <v>0.0</v>
      </c>
      <c r="H871" s="8">
        <v>0.0</v>
      </c>
      <c r="I871" s="8">
        <v>0.0</v>
      </c>
    </row>
    <row r="872" ht="15.75" customHeight="1">
      <c r="A872" s="7" t="s">
        <v>3346</v>
      </c>
      <c r="B872" s="8" t="s">
        <v>28</v>
      </c>
      <c r="C872" s="8" t="s">
        <v>3348</v>
      </c>
      <c r="D872" s="8">
        <v>1.0</v>
      </c>
      <c r="F872" s="8">
        <v>0.0</v>
      </c>
      <c r="G872" s="8">
        <v>0.0</v>
      </c>
      <c r="H872" s="8">
        <v>0.0</v>
      </c>
    </row>
    <row r="873" ht="15.75" customHeight="1">
      <c r="A873" s="7" t="s">
        <v>3352</v>
      </c>
      <c r="B873" s="8" t="s">
        <v>76</v>
      </c>
      <c r="D873" s="8">
        <v>1.0</v>
      </c>
      <c r="F873" s="8">
        <v>0.0</v>
      </c>
      <c r="G873" s="8">
        <v>0.0</v>
      </c>
      <c r="H873" s="8">
        <v>0.0</v>
      </c>
    </row>
    <row r="874" ht="15.75" customHeight="1">
      <c r="A874" s="7" t="s">
        <v>3355</v>
      </c>
      <c r="B874" s="8" t="s">
        <v>28</v>
      </c>
      <c r="C874" s="8" t="s">
        <v>3357</v>
      </c>
      <c r="D874" s="8">
        <v>1.0</v>
      </c>
      <c r="E874" s="8">
        <v>-11.0</v>
      </c>
      <c r="F874" s="8">
        <v>0.0</v>
      </c>
      <c r="G874" s="8">
        <v>0.0</v>
      </c>
      <c r="H874" s="8">
        <v>1.0</v>
      </c>
      <c r="I874" s="8">
        <v>0.0</v>
      </c>
    </row>
    <row r="875" ht="15.75" customHeight="1">
      <c r="A875" s="7" t="s">
        <v>3359</v>
      </c>
      <c r="B875" s="8" t="s">
        <v>76</v>
      </c>
      <c r="C875" s="8" t="s">
        <v>3361</v>
      </c>
      <c r="D875" s="8">
        <v>1.0</v>
      </c>
      <c r="F875" s="8">
        <v>0.0</v>
      </c>
      <c r="G875" s="8">
        <v>0.0</v>
      </c>
      <c r="H875" s="8">
        <v>1.0</v>
      </c>
    </row>
    <row r="876" ht="15.75" customHeight="1">
      <c r="A876" s="7" t="s">
        <v>3362</v>
      </c>
      <c r="B876" s="8" t="s">
        <v>28</v>
      </c>
      <c r="D876" s="8">
        <v>1.0</v>
      </c>
      <c r="F876" s="8">
        <v>0.0</v>
      </c>
      <c r="G876" s="8">
        <v>0.0</v>
      </c>
      <c r="H876" s="8">
        <v>1.0</v>
      </c>
    </row>
    <row r="877" ht="15.75" customHeight="1">
      <c r="A877" s="7" t="s">
        <v>3364</v>
      </c>
      <c r="B877" s="8" t="s">
        <v>28</v>
      </c>
      <c r="D877" s="8">
        <v>1.0</v>
      </c>
      <c r="F877" s="8">
        <v>0.0</v>
      </c>
      <c r="G877" s="8">
        <v>0.0</v>
      </c>
      <c r="H877" s="8">
        <v>1.0</v>
      </c>
    </row>
    <row r="878" ht="15.75" customHeight="1">
      <c r="A878" s="7" t="s">
        <v>3367</v>
      </c>
      <c r="B878" s="8" t="s">
        <v>28</v>
      </c>
      <c r="C878" s="8" t="s">
        <v>3369</v>
      </c>
      <c r="D878" s="8">
        <v>1.0</v>
      </c>
      <c r="F878" s="8">
        <v>0.0</v>
      </c>
      <c r="G878" s="8">
        <v>0.0</v>
      </c>
      <c r="H878" s="8">
        <v>1.0</v>
      </c>
    </row>
    <row r="879" ht="15.75" customHeight="1">
      <c r="A879" s="7" t="s">
        <v>3372</v>
      </c>
      <c r="B879" s="8" t="s">
        <v>48</v>
      </c>
      <c r="D879" s="8">
        <v>1.0</v>
      </c>
      <c r="F879" s="8">
        <v>0.0</v>
      </c>
      <c r="G879" s="8">
        <v>0.0</v>
      </c>
      <c r="H879" s="8">
        <v>0.0</v>
      </c>
    </row>
    <row r="880" ht="15.75" customHeight="1">
      <c r="A880" s="8" t="s">
        <v>3375</v>
      </c>
      <c r="B880" s="8" t="s">
        <v>28</v>
      </c>
      <c r="C880" s="8" t="s">
        <v>3376</v>
      </c>
      <c r="D880" s="8">
        <v>1.0</v>
      </c>
      <c r="F880" s="8">
        <v>0.0</v>
      </c>
      <c r="G880" s="8">
        <v>0.0</v>
      </c>
      <c r="H880" s="8">
        <v>0.0</v>
      </c>
    </row>
    <row r="881" ht="15.75" customHeight="1">
      <c r="A881" s="7" t="s">
        <v>3377</v>
      </c>
      <c r="B881" s="8" t="s">
        <v>17</v>
      </c>
      <c r="D881" s="8">
        <v>1.0</v>
      </c>
      <c r="F881" s="8">
        <v>0.0</v>
      </c>
      <c r="G881" s="8">
        <v>0.0</v>
      </c>
      <c r="H881" s="8">
        <v>1.0</v>
      </c>
    </row>
    <row r="882" ht="15.75" customHeight="1">
      <c r="A882" s="7" t="s">
        <v>3381</v>
      </c>
      <c r="B882" s="8" t="s">
        <v>28</v>
      </c>
      <c r="D882" s="8">
        <v>1.0</v>
      </c>
      <c r="F882" s="8">
        <v>0.0</v>
      </c>
      <c r="G882" s="8">
        <v>0.0</v>
      </c>
      <c r="H882" s="8">
        <v>0.0</v>
      </c>
    </row>
    <row r="883" ht="15.75" customHeight="1">
      <c r="A883" s="7" t="s">
        <v>3384</v>
      </c>
      <c r="B883" s="8" t="s">
        <v>48</v>
      </c>
      <c r="C883" s="8" t="s">
        <v>3386</v>
      </c>
      <c r="D883" s="8">
        <v>1.0</v>
      </c>
      <c r="F883" s="8">
        <v>0.0</v>
      </c>
      <c r="G883" s="8">
        <v>0.0</v>
      </c>
      <c r="H883" s="8">
        <v>1.0</v>
      </c>
    </row>
    <row r="884" ht="15.75" customHeight="1">
      <c r="A884" s="7" t="s">
        <v>3389</v>
      </c>
      <c r="B884" s="8" t="s">
        <v>28</v>
      </c>
      <c r="C884" s="8" t="s">
        <v>3391</v>
      </c>
      <c r="D884" s="8">
        <v>1.0</v>
      </c>
      <c r="F884" s="8">
        <v>0.0</v>
      </c>
      <c r="G884" s="8">
        <v>0.0</v>
      </c>
      <c r="H884" s="8">
        <v>0.0</v>
      </c>
    </row>
    <row r="885" ht="15.75" customHeight="1">
      <c r="A885" s="7" t="s">
        <v>3394</v>
      </c>
      <c r="B885" s="8" t="s">
        <v>48</v>
      </c>
      <c r="C885" s="8" t="s">
        <v>3395</v>
      </c>
      <c r="D885" s="8">
        <v>1.0</v>
      </c>
      <c r="F885" s="8">
        <v>0.0</v>
      </c>
      <c r="G885" s="8">
        <v>0.0</v>
      </c>
      <c r="H885" s="8">
        <v>0.0</v>
      </c>
    </row>
    <row r="886" ht="15.75" customHeight="1">
      <c r="A886" s="7" t="s">
        <v>3397</v>
      </c>
      <c r="B886" s="8" t="s">
        <v>405</v>
      </c>
      <c r="C886" s="8" t="s">
        <v>3400</v>
      </c>
      <c r="D886" s="8">
        <v>1.0</v>
      </c>
      <c r="E886" s="8">
        <v>-1.0</v>
      </c>
      <c r="F886" s="8">
        <v>0.0</v>
      </c>
      <c r="G886" s="8">
        <v>0.0</v>
      </c>
      <c r="H886" s="8">
        <v>2.0</v>
      </c>
      <c r="I886" s="8">
        <v>0.0</v>
      </c>
    </row>
    <row r="887" ht="15.75" customHeight="1">
      <c r="A887" s="7" t="s">
        <v>3402</v>
      </c>
      <c r="B887" s="8" t="s">
        <v>405</v>
      </c>
      <c r="C887" s="8" t="s">
        <v>3406</v>
      </c>
      <c r="D887" s="8">
        <v>1.0</v>
      </c>
      <c r="F887" s="8">
        <v>0.0</v>
      </c>
      <c r="G887" s="8">
        <v>0.0</v>
      </c>
      <c r="H887" s="8">
        <v>1.0</v>
      </c>
    </row>
    <row r="888" ht="15.75" customHeight="1">
      <c r="A888" s="7" t="s">
        <v>3409</v>
      </c>
      <c r="B888" s="8" t="s">
        <v>28</v>
      </c>
      <c r="C888" s="8" t="s">
        <v>724</v>
      </c>
      <c r="D888" s="8">
        <v>1.0</v>
      </c>
      <c r="F888" s="8">
        <v>0.0</v>
      </c>
      <c r="G888" s="8">
        <v>0.0</v>
      </c>
      <c r="H888" s="8">
        <v>1.0</v>
      </c>
    </row>
    <row r="889" ht="15.75" customHeight="1">
      <c r="A889" s="7" t="s">
        <v>3412</v>
      </c>
      <c r="B889" s="8" t="s">
        <v>191</v>
      </c>
      <c r="D889" s="8">
        <v>1.0</v>
      </c>
      <c r="F889" s="8">
        <v>0.0</v>
      </c>
      <c r="G889" s="8">
        <v>0.0</v>
      </c>
      <c r="H889" s="8">
        <v>1.0</v>
      </c>
    </row>
    <row r="890" ht="15.75" customHeight="1">
      <c r="A890" s="7" t="s">
        <v>3417</v>
      </c>
      <c r="B890" s="8" t="s">
        <v>191</v>
      </c>
      <c r="C890" s="8" t="s">
        <v>3419</v>
      </c>
      <c r="D890" s="8">
        <v>1.0</v>
      </c>
      <c r="F890" s="8">
        <v>0.0</v>
      </c>
      <c r="G890" s="8">
        <v>0.0</v>
      </c>
      <c r="H890" s="8">
        <v>1.0</v>
      </c>
    </row>
    <row r="891" ht="15.75" customHeight="1">
      <c r="A891" s="7" t="s">
        <v>3420</v>
      </c>
      <c r="B891" s="8" t="s">
        <v>28</v>
      </c>
      <c r="D891" s="8">
        <v>1.0</v>
      </c>
      <c r="E891" s="8">
        <v>-1.0</v>
      </c>
      <c r="F891" s="8">
        <v>0.0</v>
      </c>
      <c r="G891" s="8">
        <v>0.0</v>
      </c>
      <c r="H891" s="8">
        <v>1.0</v>
      </c>
      <c r="I891" s="8">
        <v>0.5</v>
      </c>
    </row>
    <row r="892" ht="15.75" customHeight="1">
      <c r="A892" s="7" t="s">
        <v>3423</v>
      </c>
      <c r="B892" s="8" t="s">
        <v>28</v>
      </c>
      <c r="C892" s="8" t="s">
        <v>3426</v>
      </c>
      <c r="D892" s="8">
        <v>1.0</v>
      </c>
      <c r="F892" s="8">
        <v>0.0</v>
      </c>
      <c r="G892" s="8">
        <v>0.0</v>
      </c>
      <c r="H892" s="8">
        <v>9.0</v>
      </c>
    </row>
    <row r="893" ht="15.75" customHeight="1">
      <c r="A893" s="7" t="s">
        <v>3428</v>
      </c>
      <c r="B893" s="8" t="s">
        <v>28</v>
      </c>
      <c r="C893" s="8" t="s">
        <v>3430</v>
      </c>
      <c r="D893" s="8">
        <v>1.0</v>
      </c>
      <c r="F893" s="8">
        <v>0.0</v>
      </c>
      <c r="G893" s="8">
        <v>0.0</v>
      </c>
      <c r="H893" s="8">
        <v>1.0</v>
      </c>
    </row>
    <row r="894" ht="15.75" customHeight="1">
      <c r="A894" s="7" t="s">
        <v>3432</v>
      </c>
      <c r="B894" s="8" t="s">
        <v>405</v>
      </c>
      <c r="D894" s="8">
        <v>1.0</v>
      </c>
      <c r="E894" s="8">
        <v>-4.0</v>
      </c>
      <c r="F894" s="8">
        <v>0.0</v>
      </c>
      <c r="G894" s="8">
        <v>0.0</v>
      </c>
      <c r="H894" s="8">
        <v>0.0</v>
      </c>
      <c r="I894" s="8">
        <v>0.0</v>
      </c>
    </row>
    <row r="895" ht="15.75" customHeight="1">
      <c r="A895" s="7" t="s">
        <v>3436</v>
      </c>
      <c r="B895" s="8" t="s">
        <v>28</v>
      </c>
      <c r="C895" s="8" t="s">
        <v>186</v>
      </c>
      <c r="D895" s="8">
        <v>1.0</v>
      </c>
      <c r="F895" s="8">
        <v>0.0</v>
      </c>
      <c r="G895" s="8">
        <v>0.0</v>
      </c>
      <c r="H895" s="8">
        <v>1.0</v>
      </c>
    </row>
    <row r="896" ht="15.75" customHeight="1">
      <c r="A896" s="7" t="s">
        <v>3441</v>
      </c>
      <c r="B896" s="8" t="s">
        <v>48</v>
      </c>
      <c r="C896" s="8" t="s">
        <v>1603</v>
      </c>
      <c r="D896" s="8">
        <v>1.0</v>
      </c>
      <c r="F896" s="8">
        <v>0.0</v>
      </c>
      <c r="G896" s="8">
        <v>0.0</v>
      </c>
      <c r="H896" s="8">
        <v>0.0</v>
      </c>
    </row>
    <row r="897" ht="15.75" customHeight="1">
      <c r="A897" s="7" t="s">
        <v>3449</v>
      </c>
      <c r="B897" s="8" t="s">
        <v>28</v>
      </c>
      <c r="C897" s="8" t="s">
        <v>3452</v>
      </c>
      <c r="D897" s="8">
        <v>1.0</v>
      </c>
      <c r="F897" s="8">
        <v>0.0</v>
      </c>
      <c r="G897" s="8">
        <v>0.0</v>
      </c>
      <c r="H897" s="8">
        <v>1.0</v>
      </c>
    </row>
    <row r="898" ht="15.75" customHeight="1">
      <c r="A898" s="7" t="s">
        <v>3454</v>
      </c>
      <c r="B898" s="8" t="s">
        <v>76</v>
      </c>
      <c r="C898" s="8" t="s">
        <v>724</v>
      </c>
      <c r="D898" s="8">
        <v>1.0</v>
      </c>
      <c r="F898" s="8">
        <v>0.0</v>
      </c>
      <c r="G898" s="8">
        <v>0.0</v>
      </c>
      <c r="H898" s="8">
        <v>2.0</v>
      </c>
    </row>
    <row r="899" ht="15.75" customHeight="1">
      <c r="A899" s="7" t="s">
        <v>3458</v>
      </c>
      <c r="B899" s="8" t="s">
        <v>28</v>
      </c>
      <c r="C899" s="8" t="s">
        <v>3460</v>
      </c>
      <c r="D899" s="8">
        <v>1.0</v>
      </c>
      <c r="F899" s="8">
        <v>0.0</v>
      </c>
      <c r="G899" s="8">
        <v>0.0</v>
      </c>
      <c r="H899" s="8">
        <v>1.0</v>
      </c>
    </row>
    <row r="900" ht="15.75" customHeight="1">
      <c r="A900" s="7" t="s">
        <v>3462</v>
      </c>
      <c r="B900" s="8" t="s">
        <v>28</v>
      </c>
      <c r="D900" s="8">
        <v>1.0</v>
      </c>
      <c r="F900" s="8">
        <v>0.0</v>
      </c>
      <c r="G900" s="8">
        <v>0.0</v>
      </c>
      <c r="H900" s="8">
        <v>1.0</v>
      </c>
    </row>
    <row r="901" ht="15.75" customHeight="1">
      <c r="A901" s="7" t="s">
        <v>3466</v>
      </c>
      <c r="B901" s="8" t="s">
        <v>28</v>
      </c>
      <c r="C901" s="8" t="s">
        <v>654</v>
      </c>
      <c r="D901" s="8">
        <v>1.0</v>
      </c>
      <c r="F901" s="8">
        <v>0.0</v>
      </c>
      <c r="G901" s="8">
        <v>0.0</v>
      </c>
      <c r="H901" s="8">
        <v>0.0</v>
      </c>
    </row>
    <row r="902" ht="15.75" customHeight="1">
      <c r="A902" s="7" t="s">
        <v>3469</v>
      </c>
      <c r="B902" s="8" t="s">
        <v>28</v>
      </c>
      <c r="D902" s="8">
        <v>1.0</v>
      </c>
      <c r="E902" s="8">
        <v>-2.0</v>
      </c>
      <c r="F902" s="8">
        <v>0.0</v>
      </c>
      <c r="G902" s="8">
        <v>0.0</v>
      </c>
      <c r="H902" s="8">
        <v>0.0</v>
      </c>
      <c r="I902" s="8">
        <v>-0.67</v>
      </c>
    </row>
    <row r="903" ht="15.75" customHeight="1">
      <c r="A903" s="7" t="s">
        <v>3473</v>
      </c>
      <c r="B903" s="8" t="s">
        <v>28</v>
      </c>
      <c r="D903" s="8">
        <v>1.0</v>
      </c>
      <c r="F903" s="8">
        <v>0.0</v>
      </c>
      <c r="G903" s="8">
        <v>0.0</v>
      </c>
      <c r="H903" s="8">
        <v>1.0</v>
      </c>
    </row>
    <row r="904" ht="15.75" customHeight="1">
      <c r="A904" s="7" t="s">
        <v>3477</v>
      </c>
      <c r="B904" s="8" t="s">
        <v>76</v>
      </c>
      <c r="C904" s="8" t="s">
        <v>3479</v>
      </c>
      <c r="D904" s="8">
        <v>1.0</v>
      </c>
      <c r="F904" s="8">
        <v>0.0</v>
      </c>
      <c r="G904" s="8">
        <v>0.0</v>
      </c>
      <c r="H904" s="8">
        <v>1.0</v>
      </c>
    </row>
    <row r="905" ht="15.75" customHeight="1">
      <c r="A905" s="7" t="s">
        <v>3480</v>
      </c>
      <c r="B905" s="8" t="s">
        <v>28</v>
      </c>
      <c r="C905" s="8" t="s">
        <v>3482</v>
      </c>
      <c r="D905" s="8">
        <v>1.0</v>
      </c>
      <c r="E905" s="8">
        <v>0.0</v>
      </c>
      <c r="F905" s="8">
        <v>0.0</v>
      </c>
      <c r="G905" s="8">
        <v>0.0</v>
      </c>
      <c r="H905" s="8">
        <v>1.0</v>
      </c>
      <c r="I905" s="8">
        <v>0.0</v>
      </c>
    </row>
    <row r="906" ht="15.75" customHeight="1">
      <c r="A906" s="7" t="s">
        <v>3485</v>
      </c>
      <c r="B906" s="8" t="s">
        <v>28</v>
      </c>
      <c r="C906" s="8" t="s">
        <v>3486</v>
      </c>
      <c r="D906" s="8">
        <v>1.0</v>
      </c>
      <c r="F906" s="8">
        <v>0.0</v>
      </c>
      <c r="G906" s="8">
        <v>0.0</v>
      </c>
      <c r="H906" s="8">
        <v>0.0</v>
      </c>
    </row>
    <row r="907" ht="15.75" customHeight="1">
      <c r="A907" s="7" t="s">
        <v>3488</v>
      </c>
      <c r="B907" s="8" t="s">
        <v>28</v>
      </c>
      <c r="C907" s="8" t="s">
        <v>3491</v>
      </c>
      <c r="D907" s="8">
        <v>1.0</v>
      </c>
      <c r="F907" s="8">
        <v>0.0</v>
      </c>
      <c r="G907" s="8">
        <v>0.0</v>
      </c>
      <c r="H907" s="8">
        <v>1.0</v>
      </c>
    </row>
    <row r="908" ht="15.75" customHeight="1">
      <c r="A908" s="8" t="s">
        <v>3494</v>
      </c>
      <c r="B908" s="8" t="s">
        <v>28</v>
      </c>
      <c r="C908" s="8" t="s">
        <v>3496</v>
      </c>
      <c r="D908" s="8">
        <v>1.0</v>
      </c>
      <c r="F908" s="8">
        <v>0.0</v>
      </c>
      <c r="G908" s="8">
        <v>0.0</v>
      </c>
      <c r="H908" s="8">
        <v>1.0</v>
      </c>
    </row>
    <row r="909" ht="15.75" customHeight="1">
      <c r="A909" s="7" t="s">
        <v>3497</v>
      </c>
      <c r="B909" s="8" t="s">
        <v>191</v>
      </c>
      <c r="C909" s="8" t="s">
        <v>3501</v>
      </c>
      <c r="D909" s="8">
        <v>1.0</v>
      </c>
      <c r="E909" s="8">
        <v>-1.0</v>
      </c>
      <c r="F909" s="8">
        <v>0.0</v>
      </c>
      <c r="G909" s="8">
        <v>0.0</v>
      </c>
      <c r="H909" s="8">
        <v>1.0</v>
      </c>
      <c r="I909" s="8">
        <v>1.0</v>
      </c>
    </row>
    <row r="910" ht="15.75" customHeight="1">
      <c r="A910" s="7" t="s">
        <v>3503</v>
      </c>
      <c r="B910" s="8" t="s">
        <v>28</v>
      </c>
      <c r="D910" s="8">
        <v>1.0</v>
      </c>
      <c r="E910" s="8">
        <v>-4.0</v>
      </c>
      <c r="F910" s="8">
        <v>0.0</v>
      </c>
      <c r="G910" s="8">
        <v>0.0</v>
      </c>
      <c r="H910" s="8">
        <v>0.0</v>
      </c>
      <c r="I910" s="8">
        <v>0.0</v>
      </c>
    </row>
    <row r="911" ht="15.75" customHeight="1">
      <c r="A911" s="7" t="s">
        <v>3508</v>
      </c>
      <c r="B911" s="8" t="s">
        <v>28</v>
      </c>
      <c r="C911" s="8" t="s">
        <v>3511</v>
      </c>
      <c r="D911" s="8">
        <v>1.0</v>
      </c>
      <c r="F911" s="8">
        <v>0.0</v>
      </c>
      <c r="G911" s="8">
        <v>0.0</v>
      </c>
      <c r="H911" s="8">
        <v>0.0</v>
      </c>
    </row>
    <row r="912" ht="15.75" customHeight="1">
      <c r="A912" s="7" t="s">
        <v>3513</v>
      </c>
      <c r="B912" s="8" t="s">
        <v>28</v>
      </c>
      <c r="C912" s="8" t="s">
        <v>3515</v>
      </c>
      <c r="D912" s="8">
        <v>1.0</v>
      </c>
      <c r="F912" s="8">
        <v>0.0</v>
      </c>
      <c r="G912" s="8">
        <v>0.0</v>
      </c>
      <c r="H912" s="8">
        <v>1.0</v>
      </c>
    </row>
    <row r="913" ht="15.75" customHeight="1">
      <c r="A913" s="7" t="s">
        <v>3517</v>
      </c>
      <c r="B913" s="8" t="s">
        <v>28</v>
      </c>
      <c r="D913" s="8">
        <v>1.0</v>
      </c>
      <c r="F913" s="8">
        <v>0.0</v>
      </c>
      <c r="G913" s="8">
        <v>0.0</v>
      </c>
      <c r="H913" s="8">
        <v>0.0</v>
      </c>
    </row>
    <row r="914" ht="15.75" customHeight="1">
      <c r="A914" s="7" t="s">
        <v>3521</v>
      </c>
      <c r="B914" s="8" t="s">
        <v>28</v>
      </c>
      <c r="D914" s="8">
        <v>1.0</v>
      </c>
      <c r="E914" s="8">
        <v>-1.0</v>
      </c>
      <c r="F914" s="8">
        <v>0.0</v>
      </c>
      <c r="G914" s="8">
        <v>0.0</v>
      </c>
      <c r="H914" s="8">
        <v>0.0</v>
      </c>
      <c r="I914" s="8">
        <v>-0.5</v>
      </c>
    </row>
    <row r="915" ht="15.75" customHeight="1">
      <c r="A915" s="7" t="s">
        <v>3526</v>
      </c>
      <c r="B915" s="8" t="s">
        <v>28</v>
      </c>
      <c r="C915" s="8" t="s">
        <v>3528</v>
      </c>
      <c r="D915" s="8">
        <v>1.0</v>
      </c>
      <c r="F915" s="8">
        <v>0.0</v>
      </c>
      <c r="G915" s="8">
        <v>0.0</v>
      </c>
      <c r="H915" s="8">
        <v>1.0</v>
      </c>
    </row>
    <row r="916" ht="15.75" customHeight="1">
      <c r="A916" s="7" t="s">
        <v>3530</v>
      </c>
      <c r="B916" s="8" t="s">
        <v>28</v>
      </c>
      <c r="D916" s="8">
        <v>1.0</v>
      </c>
      <c r="F916" s="8">
        <v>0.0</v>
      </c>
      <c r="G916" s="8">
        <v>0.0</v>
      </c>
      <c r="H916" s="8">
        <v>0.0</v>
      </c>
    </row>
    <row r="917" ht="15.75" customHeight="1">
      <c r="A917" s="7" t="s">
        <v>3533</v>
      </c>
      <c r="B917" s="8" t="s">
        <v>28</v>
      </c>
      <c r="C917" s="8" t="s">
        <v>1779</v>
      </c>
      <c r="D917" s="8">
        <v>1.0</v>
      </c>
      <c r="E917" s="8">
        <v>-4.0</v>
      </c>
      <c r="F917" s="8">
        <v>0.0</v>
      </c>
      <c r="G917" s="8">
        <v>0.0</v>
      </c>
      <c r="H917" s="8">
        <v>0.0</v>
      </c>
      <c r="I917" s="8">
        <v>0.0</v>
      </c>
    </row>
    <row r="918" ht="15.75" customHeight="1">
      <c r="A918" s="7" t="s">
        <v>3537</v>
      </c>
      <c r="B918" s="8" t="s">
        <v>28</v>
      </c>
      <c r="D918" s="8">
        <v>1.0</v>
      </c>
      <c r="F918" s="8">
        <v>0.0</v>
      </c>
      <c r="G918" s="8">
        <v>0.0</v>
      </c>
      <c r="H918" s="8">
        <v>1.0</v>
      </c>
    </row>
    <row r="919" ht="15.75" customHeight="1">
      <c r="A919" s="7" t="s">
        <v>3540</v>
      </c>
      <c r="B919" s="8" t="s">
        <v>28</v>
      </c>
      <c r="C919" s="8" t="s">
        <v>3543</v>
      </c>
      <c r="D919" s="8">
        <v>1.0</v>
      </c>
      <c r="F919" s="8">
        <v>0.0</v>
      </c>
      <c r="G919" s="8">
        <v>0.0</v>
      </c>
      <c r="H919" s="8">
        <v>1.0</v>
      </c>
    </row>
    <row r="920" ht="15.75" customHeight="1">
      <c r="A920" s="7" t="s">
        <v>3544</v>
      </c>
      <c r="B920" s="8" t="s">
        <v>28</v>
      </c>
      <c r="C920" s="8" t="s">
        <v>3547</v>
      </c>
      <c r="D920" s="8">
        <v>1.0</v>
      </c>
      <c r="E920" s="8">
        <v>-1.0</v>
      </c>
      <c r="F920" s="8">
        <v>0.0</v>
      </c>
      <c r="G920" s="8">
        <v>0.0</v>
      </c>
      <c r="H920" s="8">
        <v>0.0</v>
      </c>
      <c r="I920" s="8">
        <v>-1.0</v>
      </c>
    </row>
    <row r="921" ht="15.75" customHeight="1">
      <c r="A921" s="7" t="s">
        <v>3548</v>
      </c>
      <c r="B921" s="8" t="s">
        <v>492</v>
      </c>
      <c r="C921" s="8" t="s">
        <v>3550</v>
      </c>
      <c r="D921" s="8">
        <v>1.0</v>
      </c>
      <c r="F921" s="8">
        <v>0.0</v>
      </c>
      <c r="G921" s="8">
        <v>0.0</v>
      </c>
      <c r="H921" s="8">
        <v>1.0</v>
      </c>
    </row>
    <row r="922" ht="15.75" customHeight="1">
      <c r="A922" s="7" t="s">
        <v>3552</v>
      </c>
      <c r="B922" s="8" t="s">
        <v>28</v>
      </c>
      <c r="C922" s="8" t="s">
        <v>186</v>
      </c>
      <c r="D922" s="8">
        <v>1.0</v>
      </c>
      <c r="F922" s="8">
        <v>0.0</v>
      </c>
      <c r="G922" s="8">
        <v>0.0</v>
      </c>
      <c r="H922" s="8">
        <v>0.0</v>
      </c>
    </row>
    <row r="923" ht="15.75" customHeight="1">
      <c r="A923" s="7" t="s">
        <v>3556</v>
      </c>
      <c r="B923" s="8" t="s">
        <v>28</v>
      </c>
      <c r="D923" s="8">
        <v>1.0</v>
      </c>
      <c r="E923" s="8">
        <v>0.0</v>
      </c>
      <c r="F923" s="8">
        <v>0.0</v>
      </c>
      <c r="G923" s="8">
        <v>0.0</v>
      </c>
      <c r="H923" s="8">
        <v>0.0</v>
      </c>
      <c r="I923" s="8">
        <v>0.0</v>
      </c>
    </row>
    <row r="924" ht="15.75" customHeight="1">
      <c r="A924" s="7" t="s">
        <v>3560</v>
      </c>
      <c r="B924" s="8" t="s">
        <v>191</v>
      </c>
      <c r="C924" s="8" t="s">
        <v>3562</v>
      </c>
      <c r="D924" s="8">
        <v>1.0</v>
      </c>
      <c r="F924" s="8">
        <v>0.0</v>
      </c>
      <c r="G924" s="8">
        <v>0.0</v>
      </c>
      <c r="H924" s="8">
        <v>1.0</v>
      </c>
    </row>
    <row r="925" ht="15.75" customHeight="1">
      <c r="A925" s="7" t="s">
        <v>3563</v>
      </c>
      <c r="B925" s="8" t="s">
        <v>191</v>
      </c>
      <c r="C925" s="8" t="s">
        <v>3568</v>
      </c>
      <c r="D925" s="8">
        <v>1.0</v>
      </c>
      <c r="E925" s="8">
        <v>0.0</v>
      </c>
      <c r="F925" s="8">
        <v>0.0</v>
      </c>
      <c r="G925" s="8">
        <v>0.0</v>
      </c>
      <c r="H925" s="8">
        <v>0.0</v>
      </c>
      <c r="I925" s="8">
        <v>0.0</v>
      </c>
    </row>
    <row r="926" ht="15.75" customHeight="1">
      <c r="A926" s="7" t="s">
        <v>3570</v>
      </c>
      <c r="B926" s="8" t="s">
        <v>28</v>
      </c>
      <c r="D926" s="8">
        <v>1.0</v>
      </c>
      <c r="E926" s="8">
        <v>-4.0</v>
      </c>
      <c r="F926" s="8">
        <v>0.0</v>
      </c>
      <c r="G926" s="8">
        <v>0.0</v>
      </c>
      <c r="H926" s="8">
        <v>0.0</v>
      </c>
      <c r="I926" s="8">
        <v>-0.6</v>
      </c>
    </row>
    <row r="927" ht="15.75" customHeight="1">
      <c r="A927" s="7" t="s">
        <v>3573</v>
      </c>
      <c r="B927" s="8" t="s">
        <v>28</v>
      </c>
      <c r="D927" s="8">
        <v>1.0</v>
      </c>
      <c r="F927" s="8">
        <v>0.0</v>
      </c>
      <c r="G927" s="8">
        <v>0.0</v>
      </c>
      <c r="H927" s="8">
        <v>1.0</v>
      </c>
    </row>
    <row r="928" ht="15.75" customHeight="1">
      <c r="A928" s="7" t="s">
        <v>3576</v>
      </c>
      <c r="B928" s="8" t="s">
        <v>28</v>
      </c>
      <c r="C928" s="8" t="s">
        <v>3579</v>
      </c>
      <c r="D928" s="8">
        <v>1.0</v>
      </c>
      <c r="F928" s="8">
        <v>0.0</v>
      </c>
      <c r="G928" s="8">
        <v>0.0</v>
      </c>
      <c r="H928" s="8">
        <v>1.0</v>
      </c>
    </row>
    <row r="929" ht="15.75" customHeight="1">
      <c r="A929" s="7" t="s">
        <v>3581</v>
      </c>
      <c r="B929" s="8" t="s">
        <v>28</v>
      </c>
      <c r="D929" s="8">
        <v>1.0</v>
      </c>
      <c r="F929" s="8">
        <v>0.0</v>
      </c>
      <c r="G929" s="8">
        <v>0.0</v>
      </c>
      <c r="H929" s="8">
        <v>0.0</v>
      </c>
    </row>
    <row r="930" ht="15.75" customHeight="1">
      <c r="A930" s="7" t="s">
        <v>3585</v>
      </c>
      <c r="B930" s="8" t="s">
        <v>492</v>
      </c>
      <c r="D930" s="8">
        <v>1.0</v>
      </c>
      <c r="F930" s="8">
        <v>0.0</v>
      </c>
      <c r="G930" s="8">
        <v>0.0</v>
      </c>
      <c r="H930" s="8">
        <v>2.0</v>
      </c>
    </row>
    <row r="931" ht="15.75" customHeight="1">
      <c r="A931" s="7" t="s">
        <v>3587</v>
      </c>
      <c r="B931" s="8" t="s">
        <v>28</v>
      </c>
      <c r="C931" s="8" t="s">
        <v>3590</v>
      </c>
      <c r="D931" s="8">
        <v>1.0</v>
      </c>
      <c r="E931" s="8">
        <v>0.0</v>
      </c>
      <c r="F931" s="8">
        <v>0.0</v>
      </c>
      <c r="G931" s="8">
        <v>0.0</v>
      </c>
      <c r="H931" s="8">
        <v>1.0</v>
      </c>
      <c r="I931" s="8">
        <v>0.0</v>
      </c>
    </row>
    <row r="932" ht="15.75" customHeight="1">
      <c r="A932" s="7" t="s">
        <v>3593</v>
      </c>
      <c r="B932" s="8" t="s">
        <v>28</v>
      </c>
      <c r="C932" s="8" t="s">
        <v>498</v>
      </c>
      <c r="D932" s="8">
        <v>1.0</v>
      </c>
      <c r="F932" s="8">
        <v>0.0</v>
      </c>
      <c r="G932" s="8">
        <v>0.0</v>
      </c>
      <c r="H932" s="8">
        <v>0.0</v>
      </c>
    </row>
    <row r="933" ht="15.75" customHeight="1">
      <c r="A933" s="7" t="s">
        <v>3596</v>
      </c>
      <c r="B933" s="8" t="s">
        <v>28</v>
      </c>
      <c r="C933" s="8" t="s">
        <v>3598</v>
      </c>
      <c r="D933" s="8">
        <v>1.0</v>
      </c>
      <c r="F933" s="8">
        <v>0.0</v>
      </c>
      <c r="G933" s="8">
        <v>0.0</v>
      </c>
      <c r="H933" s="8">
        <v>0.0</v>
      </c>
    </row>
    <row r="934" ht="15.75" customHeight="1">
      <c r="A934" s="7" t="s">
        <v>3599</v>
      </c>
      <c r="B934" s="8" t="s">
        <v>28</v>
      </c>
      <c r="C934" s="8" t="s">
        <v>3602</v>
      </c>
      <c r="D934" s="8">
        <v>1.0</v>
      </c>
      <c r="F934" s="8">
        <v>0.0</v>
      </c>
      <c r="G934" s="8">
        <v>0.0</v>
      </c>
      <c r="H934" s="8">
        <v>1.0</v>
      </c>
    </row>
    <row r="935" ht="15.75" customHeight="1">
      <c r="A935" s="7" t="s">
        <v>3603</v>
      </c>
      <c r="B935" s="8" t="s">
        <v>28</v>
      </c>
      <c r="D935" s="8">
        <v>1.0</v>
      </c>
      <c r="F935" s="8">
        <v>0.0</v>
      </c>
      <c r="G935" s="8">
        <v>0.0</v>
      </c>
      <c r="H935" s="8">
        <v>1.0</v>
      </c>
    </row>
    <row r="936" ht="15.75" customHeight="1">
      <c r="A936" s="7" t="s">
        <v>3607</v>
      </c>
      <c r="B936" s="8" t="s">
        <v>17</v>
      </c>
      <c r="C936" s="8" t="s">
        <v>3609</v>
      </c>
      <c r="D936" s="8">
        <v>1.0</v>
      </c>
      <c r="F936" s="8">
        <v>0.0</v>
      </c>
      <c r="G936" s="8">
        <v>0.0</v>
      </c>
      <c r="H936" s="8">
        <v>1.0</v>
      </c>
    </row>
    <row r="937" ht="15.75" customHeight="1">
      <c r="A937" s="7" t="s">
        <v>3611</v>
      </c>
      <c r="B937" s="8" t="s">
        <v>28</v>
      </c>
      <c r="C937" s="8" t="s">
        <v>3613</v>
      </c>
      <c r="D937" s="8">
        <v>1.0</v>
      </c>
      <c r="F937" s="8">
        <v>0.0</v>
      </c>
      <c r="G937" s="8">
        <v>0.0</v>
      </c>
      <c r="H937" s="8">
        <v>1.0</v>
      </c>
    </row>
    <row r="938" ht="15.75" customHeight="1">
      <c r="A938" s="7" t="s">
        <v>3614</v>
      </c>
      <c r="B938" s="8" t="s">
        <v>28</v>
      </c>
      <c r="D938" s="8">
        <v>1.0</v>
      </c>
      <c r="F938" s="8">
        <v>0.0</v>
      </c>
      <c r="G938" s="8">
        <v>0.0</v>
      </c>
      <c r="H938" s="8">
        <v>0.0</v>
      </c>
    </row>
    <row r="939" ht="15.75" customHeight="1">
      <c r="A939" s="7" t="s">
        <v>3617</v>
      </c>
      <c r="B939" s="8" t="s">
        <v>28</v>
      </c>
      <c r="C939" s="8" t="s">
        <v>498</v>
      </c>
      <c r="D939" s="8">
        <v>1.0</v>
      </c>
      <c r="E939" s="8">
        <v>-6.0</v>
      </c>
      <c r="F939" s="8">
        <v>0.0</v>
      </c>
      <c r="G939" s="8">
        <v>0.0</v>
      </c>
      <c r="H939" s="8">
        <v>3.0</v>
      </c>
      <c r="I939" s="8">
        <v>1.14</v>
      </c>
    </row>
    <row r="940" ht="15.75" customHeight="1">
      <c r="A940" s="7" t="s">
        <v>3620</v>
      </c>
      <c r="B940" s="8" t="s">
        <v>28</v>
      </c>
      <c r="D940" s="8">
        <v>1.0</v>
      </c>
      <c r="E940" s="8">
        <v>-5.0</v>
      </c>
      <c r="F940" s="8">
        <v>0.0</v>
      </c>
      <c r="G940" s="8">
        <v>0.0</v>
      </c>
      <c r="H940" s="8">
        <v>1.0</v>
      </c>
      <c r="I940" s="8">
        <v>1.0</v>
      </c>
    </row>
    <row r="941" ht="15.75" customHeight="1">
      <c r="A941" s="7" t="s">
        <v>3622</v>
      </c>
      <c r="B941" s="8" t="s">
        <v>28</v>
      </c>
      <c r="C941" s="8" t="s">
        <v>3623</v>
      </c>
      <c r="D941" s="8">
        <v>1.0</v>
      </c>
      <c r="F941" s="8">
        <v>0.0</v>
      </c>
      <c r="G941" s="8">
        <v>0.0</v>
      </c>
      <c r="H941" s="8">
        <v>0.0</v>
      </c>
    </row>
    <row r="942" ht="15.75" customHeight="1">
      <c r="A942" s="7" t="s">
        <v>3624</v>
      </c>
      <c r="B942" s="8" t="s">
        <v>28</v>
      </c>
      <c r="C942" s="8" t="s">
        <v>3376</v>
      </c>
      <c r="D942" s="8">
        <v>1.0</v>
      </c>
      <c r="F942" s="8">
        <v>0.0</v>
      </c>
      <c r="G942" s="8">
        <v>0.0</v>
      </c>
      <c r="H942" s="8">
        <v>0.0</v>
      </c>
    </row>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999"/>
  <hyperlinks>
    <hyperlink r:id="rId1" ref="A2"/>
    <hyperlink r:id="rId2" ref="A3"/>
    <hyperlink r:id="rId3" ref="A4"/>
    <hyperlink r:id="rId4" ref="A5"/>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6"/>
    <hyperlink r:id="rId64" ref="A67"/>
    <hyperlink r:id="rId65" ref="A69"/>
    <hyperlink r:id="rId66" ref="A71"/>
    <hyperlink r:id="rId67" ref="A72"/>
    <hyperlink r:id="rId68" ref="A73"/>
    <hyperlink r:id="rId69" ref="A74"/>
    <hyperlink r:id="rId70" ref="A75"/>
    <hyperlink r:id="rId71" ref="A76"/>
    <hyperlink r:id="rId72" ref="A77"/>
    <hyperlink r:id="rId73" ref="A78"/>
    <hyperlink r:id="rId74" ref="A79"/>
    <hyperlink r:id="rId75" ref="A80"/>
    <hyperlink r:id="rId76" ref="A81"/>
    <hyperlink r:id="rId77" ref="A82"/>
    <hyperlink r:id="rId78" ref="A83"/>
    <hyperlink r:id="rId79" ref="A84"/>
    <hyperlink r:id="rId80" ref="A85"/>
    <hyperlink r:id="rId81" ref="A86"/>
    <hyperlink r:id="rId82" ref="A87"/>
    <hyperlink r:id="rId83" ref="A88"/>
    <hyperlink r:id="rId84" ref="A89"/>
    <hyperlink r:id="rId85" ref="A90"/>
    <hyperlink r:id="rId86" ref="A91"/>
    <hyperlink r:id="rId87" ref="A92"/>
    <hyperlink r:id="rId88" ref="A93"/>
    <hyperlink r:id="rId89" ref="A94"/>
    <hyperlink r:id="rId90" ref="A95"/>
    <hyperlink r:id="rId91" ref="A96"/>
    <hyperlink r:id="rId92" ref="A97"/>
    <hyperlink r:id="rId93" ref="A98"/>
    <hyperlink r:id="rId94" ref="A99"/>
    <hyperlink r:id="rId95" ref="A100"/>
    <hyperlink r:id="rId96" ref="A101"/>
    <hyperlink r:id="rId97" ref="A102"/>
    <hyperlink r:id="rId98" ref="A103"/>
    <hyperlink r:id="rId99" ref="A104"/>
    <hyperlink r:id="rId100" ref="A105"/>
    <hyperlink r:id="rId101" ref="A106"/>
    <hyperlink r:id="rId102" ref="A107"/>
    <hyperlink r:id="rId103" ref="A108"/>
    <hyperlink r:id="rId104" ref="A109"/>
    <hyperlink r:id="rId105" ref="A110"/>
    <hyperlink r:id="rId106" ref="A111"/>
    <hyperlink r:id="rId107" ref="A112"/>
    <hyperlink r:id="rId108" ref="A113"/>
    <hyperlink r:id="rId109" ref="A114"/>
    <hyperlink r:id="rId110" ref="A115"/>
    <hyperlink r:id="rId111" ref="A116"/>
    <hyperlink r:id="rId112" ref="A117"/>
    <hyperlink r:id="rId113" ref="A118"/>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3"/>
    <hyperlink r:id="rId127" ref="A134"/>
    <hyperlink r:id="rId128" ref="A135"/>
    <hyperlink r:id="rId129" ref="A136"/>
    <hyperlink r:id="rId130" ref="A137"/>
    <hyperlink r:id="rId131" ref="A139"/>
    <hyperlink r:id="rId132" ref="A140"/>
    <hyperlink r:id="rId133" ref="A141"/>
    <hyperlink r:id="rId134" ref="A142"/>
    <hyperlink r:id="rId135" ref="A144"/>
    <hyperlink r:id="rId136" ref="A145"/>
    <hyperlink r:id="rId137" ref="A146"/>
    <hyperlink r:id="rId138" ref="A147"/>
    <hyperlink r:id="rId139" ref="A148"/>
    <hyperlink r:id="rId140" ref="A149"/>
    <hyperlink r:id="rId141" ref="A150"/>
    <hyperlink r:id="rId142" ref="A151"/>
    <hyperlink r:id="rId143" ref="A152"/>
    <hyperlink r:id="rId144" ref="A153"/>
    <hyperlink r:id="rId145" ref="A154"/>
    <hyperlink r:id="rId146" ref="A155"/>
    <hyperlink r:id="rId147" ref="A156"/>
    <hyperlink r:id="rId148" ref="A157"/>
    <hyperlink r:id="rId149" ref="A158"/>
    <hyperlink r:id="rId150" ref="A159"/>
    <hyperlink r:id="rId151" ref="A160"/>
    <hyperlink r:id="rId152" ref="A161"/>
    <hyperlink r:id="rId153" ref="A162"/>
    <hyperlink r:id="rId154" ref="A163"/>
    <hyperlink r:id="rId155" ref="A164"/>
    <hyperlink r:id="rId156" ref="A165"/>
    <hyperlink r:id="rId157" ref="A166"/>
    <hyperlink r:id="rId158" ref="A167"/>
    <hyperlink r:id="rId159" ref="A168"/>
    <hyperlink r:id="rId160" ref="A169"/>
    <hyperlink r:id="rId161" ref="A170"/>
    <hyperlink r:id="rId162" ref="A171"/>
    <hyperlink r:id="rId163" ref="A173"/>
    <hyperlink r:id="rId164" ref="A174"/>
    <hyperlink r:id="rId165" ref="A175"/>
    <hyperlink r:id="rId166" ref="A176"/>
    <hyperlink r:id="rId167" ref="A177"/>
    <hyperlink r:id="rId168" ref="A178"/>
    <hyperlink r:id="rId169" ref="A179"/>
    <hyperlink r:id="rId170" ref="A180"/>
    <hyperlink r:id="rId171" ref="A181"/>
    <hyperlink r:id="rId172" ref="A182"/>
    <hyperlink r:id="rId173" ref="A184"/>
    <hyperlink r:id="rId174" ref="A185"/>
    <hyperlink r:id="rId175" ref="A186"/>
    <hyperlink r:id="rId176" ref="A187"/>
    <hyperlink r:id="rId177" ref="A188"/>
    <hyperlink r:id="rId178" ref="A189"/>
    <hyperlink r:id="rId179" ref="A190"/>
    <hyperlink r:id="rId180" ref="A191"/>
    <hyperlink r:id="rId181" ref="A192"/>
    <hyperlink r:id="rId182" ref="A193"/>
    <hyperlink r:id="rId183" ref="A194"/>
    <hyperlink r:id="rId184" ref="A195"/>
    <hyperlink r:id="rId185" ref="A196"/>
    <hyperlink r:id="rId186" ref="A198"/>
    <hyperlink r:id="rId187" ref="A199"/>
    <hyperlink r:id="rId188" ref="A200"/>
    <hyperlink r:id="rId189" ref="A201"/>
    <hyperlink r:id="rId190" ref="A202"/>
    <hyperlink r:id="rId191" ref="A203"/>
    <hyperlink r:id="rId192" ref="A204"/>
    <hyperlink r:id="rId193" ref="A205"/>
    <hyperlink r:id="rId194" ref="A206"/>
    <hyperlink r:id="rId195" ref="A207"/>
    <hyperlink r:id="rId196" ref="A208"/>
    <hyperlink r:id="rId197" ref="A209"/>
    <hyperlink r:id="rId198" ref="A210"/>
    <hyperlink r:id="rId199" ref="A211"/>
    <hyperlink r:id="rId200" ref="A212"/>
    <hyperlink r:id="rId201" ref="A213"/>
    <hyperlink r:id="rId202" ref="A214"/>
    <hyperlink r:id="rId203" ref="A215"/>
    <hyperlink r:id="rId204" ref="A216"/>
    <hyperlink r:id="rId205" ref="A217"/>
    <hyperlink r:id="rId206" ref="A218"/>
    <hyperlink r:id="rId207" ref="A219"/>
    <hyperlink r:id="rId208" ref="A220"/>
    <hyperlink r:id="rId209" ref="A221"/>
    <hyperlink r:id="rId210" ref="A222"/>
    <hyperlink r:id="rId211" ref="A223"/>
    <hyperlink r:id="rId212" ref="A224"/>
    <hyperlink r:id="rId213" ref="A225"/>
    <hyperlink r:id="rId214" ref="A226"/>
    <hyperlink r:id="rId215" ref="A227"/>
    <hyperlink r:id="rId216" ref="A228"/>
    <hyperlink r:id="rId217" ref="A229"/>
    <hyperlink r:id="rId218" ref="A230"/>
    <hyperlink r:id="rId219" ref="A231"/>
    <hyperlink r:id="rId220" ref="A232"/>
    <hyperlink r:id="rId221" ref="A233"/>
    <hyperlink r:id="rId222" ref="A234"/>
    <hyperlink r:id="rId223" ref="A235"/>
    <hyperlink r:id="rId224" ref="A236"/>
    <hyperlink r:id="rId225" ref="A237"/>
    <hyperlink r:id="rId226" ref="A239"/>
    <hyperlink r:id="rId227" ref="A240"/>
    <hyperlink r:id="rId228" ref="A241"/>
    <hyperlink r:id="rId229" ref="A242"/>
    <hyperlink r:id="rId230" ref="A243"/>
    <hyperlink r:id="rId231" ref="A244"/>
    <hyperlink r:id="rId232" ref="A245"/>
    <hyperlink r:id="rId233" ref="A246"/>
    <hyperlink r:id="rId234" ref="A247"/>
    <hyperlink r:id="rId235" ref="A248"/>
    <hyperlink r:id="rId236" ref="A249"/>
    <hyperlink r:id="rId237" ref="A250"/>
    <hyperlink r:id="rId238" ref="A251"/>
    <hyperlink r:id="rId239" ref="A252"/>
    <hyperlink r:id="rId240" ref="A253"/>
    <hyperlink r:id="rId241" ref="A254"/>
    <hyperlink r:id="rId242" ref="A255"/>
    <hyperlink r:id="rId243" ref="A257"/>
    <hyperlink r:id="rId244" ref="A258"/>
    <hyperlink r:id="rId245" ref="A259"/>
    <hyperlink r:id="rId246" ref="A260"/>
    <hyperlink r:id="rId247" ref="A261"/>
    <hyperlink r:id="rId248" ref="A262"/>
    <hyperlink r:id="rId249" ref="A263"/>
    <hyperlink r:id="rId250" ref="A264"/>
    <hyperlink r:id="rId251" ref="A265"/>
    <hyperlink r:id="rId252" ref="A266"/>
    <hyperlink r:id="rId253" ref="A267"/>
    <hyperlink r:id="rId254" ref="A269"/>
    <hyperlink r:id="rId255" ref="A270"/>
    <hyperlink r:id="rId256" ref="A271"/>
    <hyperlink r:id="rId257" ref="A272"/>
    <hyperlink r:id="rId258" ref="A273"/>
    <hyperlink r:id="rId259" ref="A274"/>
    <hyperlink r:id="rId260" ref="A275"/>
    <hyperlink r:id="rId261" ref="A276"/>
    <hyperlink r:id="rId262" ref="A277"/>
    <hyperlink r:id="rId263" ref="A278"/>
    <hyperlink r:id="rId264" ref="A279"/>
    <hyperlink r:id="rId265" ref="A280"/>
    <hyperlink r:id="rId266" ref="A281"/>
    <hyperlink r:id="rId267" ref="A282"/>
    <hyperlink r:id="rId268" ref="A283"/>
    <hyperlink r:id="rId269" ref="A285"/>
    <hyperlink r:id="rId270" ref="A286"/>
    <hyperlink r:id="rId271" ref="A288"/>
    <hyperlink r:id="rId272" ref="A289"/>
    <hyperlink r:id="rId273" ref="A290"/>
    <hyperlink r:id="rId274" ref="A291"/>
    <hyperlink r:id="rId275" ref="A292"/>
    <hyperlink r:id="rId276" ref="A293"/>
    <hyperlink r:id="rId277" ref="A294"/>
    <hyperlink r:id="rId278" ref="A295"/>
    <hyperlink r:id="rId279" ref="A296"/>
    <hyperlink r:id="rId280" ref="A297"/>
    <hyperlink r:id="rId281" ref="A298"/>
    <hyperlink r:id="rId282" ref="A299"/>
    <hyperlink r:id="rId283" ref="A300"/>
    <hyperlink r:id="rId284" ref="A301"/>
    <hyperlink r:id="rId285" ref="A302"/>
    <hyperlink r:id="rId286" ref="A303"/>
    <hyperlink r:id="rId287" ref="A304"/>
    <hyperlink r:id="rId288" ref="A305"/>
    <hyperlink r:id="rId289" ref="A306"/>
    <hyperlink r:id="rId290" ref="A307"/>
    <hyperlink r:id="rId291" ref="A308"/>
    <hyperlink r:id="rId292" ref="A309"/>
    <hyperlink r:id="rId293" ref="A310"/>
    <hyperlink r:id="rId294" ref="A311"/>
    <hyperlink r:id="rId295" ref="A312"/>
    <hyperlink r:id="rId296" ref="A313"/>
    <hyperlink r:id="rId297" ref="A314"/>
    <hyperlink r:id="rId298" ref="A315"/>
    <hyperlink r:id="rId299" ref="A316"/>
    <hyperlink r:id="rId300" ref="A317"/>
    <hyperlink r:id="rId301" ref="A318"/>
    <hyperlink r:id="rId302" ref="A319"/>
    <hyperlink r:id="rId303" ref="A320"/>
    <hyperlink r:id="rId304" ref="A322"/>
    <hyperlink r:id="rId305" ref="A323"/>
    <hyperlink r:id="rId306" ref="A324"/>
    <hyperlink r:id="rId307" ref="A325"/>
    <hyperlink r:id="rId308" ref="A326"/>
    <hyperlink r:id="rId309" ref="A329"/>
    <hyperlink r:id="rId310" ref="A330"/>
    <hyperlink r:id="rId311" ref="A331"/>
    <hyperlink r:id="rId312" ref="A332"/>
    <hyperlink r:id="rId313" ref="A333"/>
    <hyperlink r:id="rId314" ref="A334"/>
    <hyperlink r:id="rId315" ref="A335"/>
    <hyperlink r:id="rId316" ref="A336"/>
    <hyperlink r:id="rId317" ref="A337"/>
    <hyperlink r:id="rId318" ref="A338"/>
    <hyperlink r:id="rId319" ref="A339"/>
    <hyperlink r:id="rId320" ref="A340"/>
    <hyperlink r:id="rId321" ref="A341"/>
    <hyperlink r:id="rId322" ref="A342"/>
    <hyperlink r:id="rId323" ref="A343"/>
    <hyperlink r:id="rId324" ref="A344"/>
    <hyperlink r:id="rId325" ref="A345"/>
    <hyperlink r:id="rId326" ref="A346"/>
    <hyperlink r:id="rId327" ref="A348"/>
    <hyperlink r:id="rId328" ref="A349"/>
    <hyperlink r:id="rId329" ref="A350"/>
    <hyperlink r:id="rId330" ref="A352"/>
    <hyperlink r:id="rId331" ref="A353"/>
    <hyperlink r:id="rId332" ref="A354"/>
    <hyperlink r:id="rId333" ref="A355"/>
    <hyperlink r:id="rId334" ref="A356"/>
    <hyperlink r:id="rId335" ref="A357"/>
    <hyperlink r:id="rId336" ref="A358"/>
    <hyperlink r:id="rId337" ref="A359"/>
    <hyperlink r:id="rId338" ref="A360"/>
    <hyperlink r:id="rId339" ref="A361"/>
    <hyperlink r:id="rId340" ref="A362"/>
    <hyperlink r:id="rId341" ref="A363"/>
    <hyperlink r:id="rId342" ref="A364"/>
    <hyperlink r:id="rId343" ref="A365"/>
    <hyperlink r:id="rId344" ref="A366"/>
    <hyperlink r:id="rId345" ref="A367"/>
    <hyperlink r:id="rId346" ref="A368"/>
    <hyperlink r:id="rId347" ref="A369"/>
    <hyperlink r:id="rId348" ref="A370"/>
    <hyperlink r:id="rId349" ref="A371"/>
    <hyperlink r:id="rId350" ref="A372"/>
    <hyperlink r:id="rId351" ref="A373"/>
    <hyperlink r:id="rId352" ref="A374"/>
    <hyperlink r:id="rId353" ref="A375"/>
    <hyperlink r:id="rId354" ref="A376"/>
    <hyperlink r:id="rId355" ref="A377"/>
    <hyperlink r:id="rId356" ref="A378"/>
    <hyperlink r:id="rId357" ref="A379"/>
    <hyperlink r:id="rId358" ref="A380"/>
    <hyperlink r:id="rId359" ref="A381"/>
    <hyperlink r:id="rId360" ref="A382"/>
    <hyperlink r:id="rId361" ref="A383"/>
    <hyperlink r:id="rId362" ref="A384"/>
    <hyperlink r:id="rId363" ref="A385"/>
    <hyperlink r:id="rId364" ref="A386"/>
    <hyperlink r:id="rId365" ref="A387"/>
    <hyperlink r:id="rId366" ref="A388"/>
    <hyperlink r:id="rId367" ref="A389"/>
    <hyperlink r:id="rId368" ref="A390"/>
    <hyperlink r:id="rId369" ref="A391"/>
    <hyperlink r:id="rId370" ref="A392"/>
    <hyperlink r:id="rId371" ref="A393"/>
    <hyperlink r:id="rId372" ref="A394"/>
    <hyperlink r:id="rId373" ref="A395"/>
    <hyperlink r:id="rId374" ref="A396"/>
    <hyperlink r:id="rId375" ref="A397"/>
    <hyperlink r:id="rId376" ref="A398"/>
    <hyperlink r:id="rId377" ref="A399"/>
    <hyperlink r:id="rId378" ref="A400"/>
    <hyperlink r:id="rId379" ref="A401"/>
    <hyperlink r:id="rId380" ref="A402"/>
    <hyperlink r:id="rId381" ref="A403"/>
    <hyperlink r:id="rId382" ref="A404"/>
    <hyperlink r:id="rId383" ref="A406"/>
    <hyperlink r:id="rId384" ref="A407"/>
    <hyperlink r:id="rId385" ref="A408"/>
    <hyperlink r:id="rId386" ref="A409"/>
    <hyperlink r:id="rId387" ref="A410"/>
    <hyperlink r:id="rId388" ref="A411"/>
    <hyperlink r:id="rId389" ref="A412"/>
    <hyperlink r:id="rId390" ref="A413"/>
    <hyperlink r:id="rId391" ref="A414"/>
    <hyperlink r:id="rId392" ref="A415"/>
    <hyperlink r:id="rId393" ref="A416"/>
    <hyperlink r:id="rId394" ref="A417"/>
    <hyperlink r:id="rId395" ref="A418"/>
    <hyperlink r:id="rId396" ref="A419"/>
    <hyperlink r:id="rId397" ref="A420"/>
    <hyperlink r:id="rId398" ref="A421"/>
    <hyperlink r:id="rId399" ref="A422"/>
    <hyperlink r:id="rId400" ref="A423"/>
    <hyperlink r:id="rId401" ref="A424"/>
    <hyperlink r:id="rId402" ref="A425"/>
    <hyperlink r:id="rId403" ref="A426"/>
    <hyperlink r:id="rId404" ref="A428"/>
    <hyperlink r:id="rId405" ref="A429"/>
    <hyperlink r:id="rId406" ref="A430"/>
    <hyperlink r:id="rId407" ref="A431"/>
    <hyperlink r:id="rId408" ref="A432"/>
    <hyperlink r:id="rId409" ref="A433"/>
    <hyperlink r:id="rId410" ref="A434"/>
    <hyperlink r:id="rId411" ref="A435"/>
    <hyperlink r:id="rId412" ref="A436"/>
    <hyperlink r:id="rId413" ref="A437"/>
    <hyperlink r:id="rId414" ref="A438"/>
    <hyperlink r:id="rId415" ref="A439"/>
    <hyperlink r:id="rId416" ref="A440"/>
    <hyperlink r:id="rId417" ref="A441"/>
    <hyperlink r:id="rId418" ref="A442"/>
    <hyperlink r:id="rId419" ref="A443"/>
    <hyperlink r:id="rId420" ref="A444"/>
    <hyperlink r:id="rId421" ref="A445"/>
    <hyperlink r:id="rId422" ref="A446"/>
    <hyperlink r:id="rId423" ref="A447"/>
    <hyperlink r:id="rId424" ref="A448"/>
    <hyperlink r:id="rId425" ref="A449"/>
    <hyperlink r:id="rId426" ref="A450"/>
    <hyperlink r:id="rId427" ref="A451"/>
    <hyperlink r:id="rId428" ref="A452"/>
    <hyperlink r:id="rId429" ref="A453"/>
    <hyperlink r:id="rId430" ref="A454"/>
    <hyperlink r:id="rId431" ref="A455"/>
    <hyperlink r:id="rId432" ref="A456"/>
    <hyperlink r:id="rId433" ref="A457"/>
    <hyperlink r:id="rId434" ref="A458"/>
    <hyperlink r:id="rId435" ref="A459"/>
    <hyperlink r:id="rId436" ref="A460"/>
    <hyperlink r:id="rId437" ref="A461"/>
    <hyperlink r:id="rId438" ref="A462"/>
    <hyperlink r:id="rId439" ref="A463"/>
    <hyperlink r:id="rId440" ref="A464"/>
    <hyperlink r:id="rId441" ref="A465"/>
    <hyperlink r:id="rId442" ref="A466"/>
    <hyperlink r:id="rId443" ref="A467"/>
    <hyperlink r:id="rId444" ref="A468"/>
    <hyperlink r:id="rId445" ref="A469"/>
    <hyperlink r:id="rId446" ref="A470"/>
    <hyperlink r:id="rId447" ref="A471"/>
    <hyperlink r:id="rId448" ref="A472"/>
    <hyperlink r:id="rId449" ref="A473"/>
    <hyperlink r:id="rId450" ref="A474"/>
    <hyperlink r:id="rId451" ref="A475"/>
    <hyperlink r:id="rId452" ref="A476"/>
    <hyperlink r:id="rId453" ref="A477"/>
    <hyperlink r:id="rId454" ref="A478"/>
    <hyperlink r:id="rId455" ref="A479"/>
    <hyperlink r:id="rId456" ref="A480"/>
    <hyperlink r:id="rId457" ref="A481"/>
    <hyperlink r:id="rId458" ref="A482"/>
    <hyperlink r:id="rId459" ref="A483"/>
    <hyperlink r:id="rId460" ref="A484"/>
    <hyperlink r:id="rId461" ref="A485"/>
    <hyperlink r:id="rId462" ref="A487"/>
    <hyperlink r:id="rId463" ref="A488"/>
    <hyperlink r:id="rId464" ref="A489"/>
    <hyperlink r:id="rId465" ref="A490"/>
    <hyperlink r:id="rId466" ref="A491"/>
    <hyperlink r:id="rId467" ref="A492"/>
    <hyperlink r:id="rId468" ref="A493"/>
    <hyperlink r:id="rId469" ref="A494"/>
    <hyperlink r:id="rId470" ref="A495"/>
    <hyperlink r:id="rId471" ref="A496"/>
    <hyperlink r:id="rId472" ref="A497"/>
    <hyperlink r:id="rId473" ref="A498"/>
    <hyperlink r:id="rId474" ref="A499"/>
    <hyperlink r:id="rId475" ref="A500"/>
    <hyperlink r:id="rId476" ref="A501"/>
    <hyperlink r:id="rId477" ref="A502"/>
    <hyperlink r:id="rId478" ref="A503"/>
    <hyperlink r:id="rId479" ref="A504"/>
    <hyperlink r:id="rId480" ref="A505"/>
    <hyperlink r:id="rId481" ref="A506"/>
    <hyperlink r:id="rId482" ref="A507"/>
    <hyperlink r:id="rId483" ref="A508"/>
    <hyperlink r:id="rId484" ref="A509"/>
    <hyperlink r:id="rId485" ref="A510"/>
    <hyperlink r:id="rId486" ref="A511"/>
    <hyperlink r:id="rId487" ref="A512"/>
    <hyperlink r:id="rId488" ref="A513"/>
    <hyperlink r:id="rId489" ref="A514"/>
    <hyperlink r:id="rId490" ref="A515"/>
    <hyperlink r:id="rId491" ref="A516"/>
    <hyperlink r:id="rId492" ref="A517"/>
    <hyperlink r:id="rId493" ref="A518"/>
    <hyperlink r:id="rId494" ref="A519"/>
    <hyperlink r:id="rId495" ref="A520"/>
    <hyperlink r:id="rId496" ref="A521"/>
    <hyperlink r:id="rId497" ref="A522"/>
    <hyperlink r:id="rId498" ref="A523"/>
    <hyperlink r:id="rId499" ref="A525"/>
    <hyperlink r:id="rId500" ref="A526"/>
    <hyperlink r:id="rId501" ref="A527"/>
    <hyperlink r:id="rId502" ref="A528"/>
    <hyperlink r:id="rId503" ref="A529"/>
    <hyperlink r:id="rId504" ref="A530"/>
    <hyperlink r:id="rId505" ref="A531"/>
    <hyperlink r:id="rId506" ref="A532"/>
    <hyperlink r:id="rId507" ref="A533"/>
    <hyperlink r:id="rId508" ref="A534"/>
    <hyperlink r:id="rId509" ref="A535"/>
    <hyperlink r:id="rId510" ref="A536"/>
    <hyperlink r:id="rId511" ref="A537"/>
    <hyperlink r:id="rId512" ref="A538"/>
    <hyperlink r:id="rId513" ref="A539"/>
    <hyperlink r:id="rId514" ref="A540"/>
    <hyperlink r:id="rId515" ref="A541"/>
    <hyperlink r:id="rId516" ref="A542"/>
    <hyperlink r:id="rId517" ref="A543"/>
    <hyperlink r:id="rId518" ref="A544"/>
    <hyperlink r:id="rId519" ref="A545"/>
    <hyperlink r:id="rId520" ref="A546"/>
    <hyperlink r:id="rId521" ref="A547"/>
    <hyperlink r:id="rId522" ref="A548"/>
    <hyperlink r:id="rId523" ref="A549"/>
    <hyperlink r:id="rId524" ref="A550"/>
    <hyperlink r:id="rId525" ref="A551"/>
    <hyperlink r:id="rId526" ref="A552"/>
    <hyperlink r:id="rId527" ref="A553"/>
    <hyperlink r:id="rId528" ref="A554"/>
    <hyperlink r:id="rId529" ref="A555"/>
    <hyperlink r:id="rId530" ref="A556"/>
    <hyperlink r:id="rId531" ref="A557"/>
    <hyperlink r:id="rId532" ref="A558"/>
    <hyperlink r:id="rId533" ref="A559"/>
    <hyperlink r:id="rId534" ref="A560"/>
    <hyperlink r:id="rId535" ref="A561"/>
    <hyperlink r:id="rId536" ref="A562"/>
    <hyperlink r:id="rId537" ref="A563"/>
    <hyperlink r:id="rId538" ref="A564"/>
    <hyperlink r:id="rId539" ref="A565"/>
    <hyperlink r:id="rId540" ref="A566"/>
    <hyperlink r:id="rId541" ref="A567"/>
    <hyperlink r:id="rId542" ref="A568"/>
    <hyperlink r:id="rId543" ref="A569"/>
    <hyperlink r:id="rId544" ref="A570"/>
    <hyperlink r:id="rId545" ref="A571"/>
    <hyperlink r:id="rId546" ref="A572"/>
    <hyperlink r:id="rId547" ref="A573"/>
    <hyperlink r:id="rId548" ref="A574"/>
    <hyperlink r:id="rId549" ref="A575"/>
    <hyperlink r:id="rId550" ref="A576"/>
    <hyperlink r:id="rId551" ref="A577"/>
    <hyperlink r:id="rId552" ref="A578"/>
    <hyperlink r:id="rId553" ref="A579"/>
    <hyperlink r:id="rId554" ref="A580"/>
    <hyperlink r:id="rId555" ref="A581"/>
    <hyperlink r:id="rId556" ref="A582"/>
    <hyperlink r:id="rId557" ref="A583"/>
    <hyperlink r:id="rId558" ref="A584"/>
    <hyperlink r:id="rId559" ref="A585"/>
    <hyperlink r:id="rId560" ref="A586"/>
    <hyperlink r:id="rId561" ref="A587"/>
    <hyperlink r:id="rId562" ref="A588"/>
    <hyperlink r:id="rId563" ref="A589"/>
    <hyperlink r:id="rId564" ref="A590"/>
    <hyperlink r:id="rId565" ref="A591"/>
    <hyperlink r:id="rId566" ref="A592"/>
    <hyperlink r:id="rId567" ref="A593"/>
    <hyperlink r:id="rId568" ref="A594"/>
    <hyperlink r:id="rId569" ref="A595"/>
    <hyperlink r:id="rId570" ref="A596"/>
    <hyperlink r:id="rId571" ref="A597"/>
    <hyperlink r:id="rId572" ref="A600"/>
    <hyperlink r:id="rId573" ref="A601"/>
    <hyperlink r:id="rId574" ref="A602"/>
    <hyperlink r:id="rId575" ref="A603"/>
    <hyperlink r:id="rId576" ref="A604"/>
    <hyperlink r:id="rId577" ref="A605"/>
    <hyperlink r:id="rId578" ref="A606"/>
    <hyperlink r:id="rId579" ref="A607"/>
    <hyperlink r:id="rId580" ref="A608"/>
    <hyperlink r:id="rId581" ref="A609"/>
    <hyperlink r:id="rId582" ref="A610"/>
    <hyperlink r:id="rId583" ref="A611"/>
    <hyperlink r:id="rId584" ref="A612"/>
    <hyperlink r:id="rId585" ref="A613"/>
    <hyperlink r:id="rId586" ref="A614"/>
    <hyperlink r:id="rId587" ref="A616"/>
    <hyperlink r:id="rId588" ref="A617"/>
    <hyperlink r:id="rId589" ref="A618"/>
    <hyperlink r:id="rId590" ref="A619"/>
    <hyperlink r:id="rId591" ref="A620"/>
    <hyperlink r:id="rId592" ref="A621"/>
    <hyperlink r:id="rId593" ref="A622"/>
    <hyperlink r:id="rId594" ref="A623"/>
    <hyperlink r:id="rId595" ref="A624"/>
    <hyperlink r:id="rId596" ref="A625"/>
    <hyperlink r:id="rId597" ref="A626"/>
    <hyperlink r:id="rId598" ref="A627"/>
    <hyperlink r:id="rId599" ref="A628"/>
    <hyperlink r:id="rId600" ref="A629"/>
    <hyperlink r:id="rId601" ref="A630"/>
    <hyperlink r:id="rId602" ref="A631"/>
    <hyperlink r:id="rId603" ref="A632"/>
    <hyperlink r:id="rId604" ref="A633"/>
    <hyperlink r:id="rId605" ref="A634"/>
    <hyperlink r:id="rId606" ref="A635"/>
    <hyperlink r:id="rId607" ref="A636"/>
    <hyperlink r:id="rId608" ref="A637"/>
    <hyperlink r:id="rId609" ref="A638"/>
    <hyperlink r:id="rId610" ref="A639"/>
    <hyperlink r:id="rId611" ref="A640"/>
    <hyperlink r:id="rId612" ref="A641"/>
    <hyperlink r:id="rId613" ref="A642"/>
    <hyperlink r:id="rId614" ref="A643"/>
    <hyperlink r:id="rId615" ref="A644"/>
    <hyperlink r:id="rId616" ref="A645"/>
    <hyperlink r:id="rId617" ref="A646"/>
    <hyperlink r:id="rId618" ref="A647"/>
    <hyperlink r:id="rId619" ref="A648"/>
    <hyperlink r:id="rId620" ref="A649"/>
    <hyperlink r:id="rId621" ref="A651"/>
    <hyperlink r:id="rId622" ref="A652"/>
    <hyperlink r:id="rId623" ref="A653"/>
    <hyperlink r:id="rId624" ref="A654"/>
    <hyperlink r:id="rId625" ref="A655"/>
    <hyperlink r:id="rId626" ref="A656"/>
    <hyperlink r:id="rId627" ref="A657"/>
    <hyperlink r:id="rId628" ref="A658"/>
    <hyperlink r:id="rId629" ref="A659"/>
    <hyperlink r:id="rId630" ref="A660"/>
    <hyperlink r:id="rId631" ref="A661"/>
    <hyperlink r:id="rId632" ref="A662"/>
    <hyperlink r:id="rId633" ref="A663"/>
    <hyperlink r:id="rId634" ref="A664"/>
    <hyperlink r:id="rId635" ref="A665"/>
    <hyperlink r:id="rId636" ref="A666"/>
    <hyperlink r:id="rId637" ref="A667"/>
    <hyperlink r:id="rId638" ref="A668"/>
    <hyperlink r:id="rId639" ref="A669"/>
    <hyperlink r:id="rId640" ref="A670"/>
    <hyperlink r:id="rId641" ref="A671"/>
    <hyperlink r:id="rId642" ref="A672"/>
    <hyperlink r:id="rId643" ref="A673"/>
    <hyperlink r:id="rId644" ref="A674"/>
    <hyperlink r:id="rId645" ref="A675"/>
    <hyperlink r:id="rId646" ref="A676"/>
    <hyperlink r:id="rId647" ref="A677"/>
    <hyperlink r:id="rId648" ref="A678"/>
    <hyperlink r:id="rId649" ref="A679"/>
    <hyperlink r:id="rId650" ref="A680"/>
    <hyperlink r:id="rId651" ref="A681"/>
    <hyperlink r:id="rId652" ref="A682"/>
    <hyperlink r:id="rId653" ref="A683"/>
    <hyperlink r:id="rId654" ref="A684"/>
    <hyperlink r:id="rId655" ref="A685"/>
    <hyperlink r:id="rId656" ref="A686"/>
    <hyperlink r:id="rId657" ref="A688"/>
    <hyperlink r:id="rId658" ref="A689"/>
    <hyperlink r:id="rId659" ref="A690"/>
    <hyperlink r:id="rId660" ref="A691"/>
    <hyperlink r:id="rId661" ref="A692"/>
    <hyperlink r:id="rId662" ref="A693"/>
    <hyperlink r:id="rId663" ref="A694"/>
    <hyperlink r:id="rId664" ref="A695"/>
    <hyperlink r:id="rId665" ref="A696"/>
    <hyperlink r:id="rId666" ref="A697"/>
    <hyperlink r:id="rId667" ref="A698"/>
    <hyperlink r:id="rId668" ref="A699"/>
    <hyperlink r:id="rId669" ref="A700"/>
    <hyperlink r:id="rId670" ref="A701"/>
    <hyperlink r:id="rId671" ref="A703"/>
    <hyperlink r:id="rId672" ref="A704"/>
    <hyperlink r:id="rId673" ref="A705"/>
    <hyperlink r:id="rId674" ref="A706"/>
    <hyperlink r:id="rId675" ref="A707"/>
    <hyperlink r:id="rId676" ref="A708"/>
    <hyperlink r:id="rId677" ref="A709"/>
    <hyperlink r:id="rId678" ref="A710"/>
    <hyperlink r:id="rId679" ref="A711"/>
    <hyperlink r:id="rId680" ref="A712"/>
    <hyperlink r:id="rId681" ref="A713"/>
    <hyperlink r:id="rId682" ref="A714"/>
    <hyperlink r:id="rId683" ref="A715"/>
    <hyperlink r:id="rId684" ref="A716"/>
    <hyperlink r:id="rId685" ref="A717"/>
    <hyperlink r:id="rId686" ref="A718"/>
    <hyperlink r:id="rId687" ref="A719"/>
    <hyperlink r:id="rId688" ref="A720"/>
    <hyperlink r:id="rId689" ref="A721"/>
    <hyperlink r:id="rId690" ref="A722"/>
    <hyperlink r:id="rId691" ref="A723"/>
    <hyperlink r:id="rId692" ref="A724"/>
    <hyperlink r:id="rId693" ref="A725"/>
    <hyperlink r:id="rId694" ref="A726"/>
    <hyperlink r:id="rId695" ref="A727"/>
    <hyperlink r:id="rId696" ref="A728"/>
    <hyperlink r:id="rId697" ref="A729"/>
    <hyperlink r:id="rId698" ref="A730"/>
    <hyperlink r:id="rId699" ref="A731"/>
    <hyperlink r:id="rId700" ref="A732"/>
    <hyperlink r:id="rId701" ref="A733"/>
    <hyperlink r:id="rId702" ref="A735"/>
    <hyperlink r:id="rId703" ref="A736"/>
    <hyperlink r:id="rId704" ref="A737"/>
    <hyperlink r:id="rId705" ref="A738"/>
    <hyperlink r:id="rId706" ref="A739"/>
    <hyperlink r:id="rId707" ref="A740"/>
    <hyperlink r:id="rId708" ref="A741"/>
    <hyperlink r:id="rId709" ref="A742"/>
    <hyperlink r:id="rId710" ref="A743"/>
    <hyperlink r:id="rId711" ref="A744"/>
    <hyperlink r:id="rId712" ref="A745"/>
    <hyperlink r:id="rId713" ref="A746"/>
    <hyperlink r:id="rId714" ref="A747"/>
    <hyperlink r:id="rId715" ref="A748"/>
    <hyperlink r:id="rId716" ref="A749"/>
    <hyperlink r:id="rId717" ref="A750"/>
    <hyperlink r:id="rId718" ref="A751"/>
    <hyperlink r:id="rId719" ref="A752"/>
    <hyperlink r:id="rId720" ref="A753"/>
    <hyperlink r:id="rId721" ref="A754"/>
    <hyperlink r:id="rId722" ref="A755"/>
    <hyperlink r:id="rId723" ref="A756"/>
    <hyperlink r:id="rId724" ref="A757"/>
    <hyperlink r:id="rId725" ref="A758"/>
    <hyperlink r:id="rId726" ref="A759"/>
    <hyperlink r:id="rId727" ref="A760"/>
    <hyperlink r:id="rId728" ref="A761"/>
    <hyperlink r:id="rId729" ref="A762"/>
    <hyperlink r:id="rId730" ref="A763"/>
    <hyperlink r:id="rId731" ref="A764"/>
    <hyperlink r:id="rId732" ref="A765"/>
    <hyperlink r:id="rId733" ref="A767"/>
    <hyperlink r:id="rId734" ref="A768"/>
    <hyperlink r:id="rId735" ref="A769"/>
    <hyperlink r:id="rId736" ref="A770"/>
    <hyperlink r:id="rId737" ref="A771"/>
    <hyperlink r:id="rId738" ref="A772"/>
    <hyperlink r:id="rId739" ref="A773"/>
    <hyperlink r:id="rId740" ref="A774"/>
    <hyperlink r:id="rId741" ref="A775"/>
    <hyperlink r:id="rId742" ref="A776"/>
    <hyperlink r:id="rId743" ref="A777"/>
    <hyperlink r:id="rId744" ref="A778"/>
    <hyperlink r:id="rId745" ref="A779"/>
    <hyperlink r:id="rId746" ref="A780"/>
    <hyperlink r:id="rId747" ref="A781"/>
    <hyperlink r:id="rId748" ref="A782"/>
    <hyperlink r:id="rId749" ref="A783"/>
    <hyperlink r:id="rId750" ref="A784"/>
    <hyperlink r:id="rId751" ref="A785"/>
    <hyperlink r:id="rId752" ref="A786"/>
    <hyperlink r:id="rId753" ref="A787"/>
    <hyperlink r:id="rId754" ref="A788"/>
    <hyperlink r:id="rId755" ref="A789"/>
    <hyperlink r:id="rId756" ref="A790"/>
    <hyperlink r:id="rId757" ref="A791"/>
    <hyperlink r:id="rId758" ref="A793"/>
    <hyperlink r:id="rId759" ref="A794"/>
    <hyperlink r:id="rId760" ref="A795"/>
    <hyperlink r:id="rId761" ref="A796"/>
    <hyperlink r:id="rId762" ref="A797"/>
    <hyperlink r:id="rId763" ref="A798"/>
    <hyperlink r:id="rId764" ref="A799"/>
    <hyperlink r:id="rId765" ref="A800"/>
    <hyperlink r:id="rId766" ref="A801"/>
    <hyperlink r:id="rId767" ref="A802"/>
    <hyperlink r:id="rId768" ref="A803"/>
    <hyperlink r:id="rId769" ref="A804"/>
    <hyperlink r:id="rId770" ref="A805"/>
    <hyperlink r:id="rId771" ref="A806"/>
    <hyperlink r:id="rId772" ref="A807"/>
    <hyperlink r:id="rId773" ref="A809"/>
    <hyperlink r:id="rId774" ref="A810"/>
    <hyperlink r:id="rId775" ref="A813"/>
    <hyperlink r:id="rId776" ref="A814"/>
    <hyperlink r:id="rId777" ref="A815"/>
    <hyperlink r:id="rId778" ref="A816"/>
    <hyperlink r:id="rId779" ref="A817"/>
    <hyperlink r:id="rId780" ref="A818"/>
    <hyperlink r:id="rId781" ref="A819"/>
    <hyperlink r:id="rId782" ref="A820"/>
    <hyperlink r:id="rId783" ref="A821"/>
    <hyperlink r:id="rId784" ref="A822"/>
    <hyperlink r:id="rId785" ref="A823"/>
    <hyperlink r:id="rId786" ref="A824"/>
    <hyperlink r:id="rId787" ref="A825"/>
    <hyperlink r:id="rId788" ref="A827"/>
    <hyperlink r:id="rId789" ref="A828"/>
    <hyperlink r:id="rId790" ref="A829"/>
    <hyperlink r:id="rId791" ref="A830"/>
    <hyperlink r:id="rId792" ref="A832"/>
    <hyperlink r:id="rId793" ref="A833"/>
    <hyperlink r:id="rId794" ref="A834"/>
    <hyperlink r:id="rId795" ref="A835"/>
    <hyperlink r:id="rId796" ref="A836"/>
    <hyperlink r:id="rId797" ref="A837"/>
    <hyperlink r:id="rId798" ref="A838"/>
    <hyperlink r:id="rId799" ref="A839"/>
    <hyperlink r:id="rId800" ref="A840"/>
    <hyperlink r:id="rId801" ref="A841"/>
    <hyperlink r:id="rId802" ref="A842"/>
    <hyperlink r:id="rId803" ref="A843"/>
    <hyperlink r:id="rId804" ref="A844"/>
    <hyperlink r:id="rId805" ref="A845"/>
    <hyperlink r:id="rId806" ref="A846"/>
    <hyperlink r:id="rId807" ref="A847"/>
    <hyperlink r:id="rId808" ref="A848"/>
    <hyperlink r:id="rId809" ref="A849"/>
    <hyperlink r:id="rId810" ref="A850"/>
    <hyperlink r:id="rId811" ref="A851"/>
    <hyperlink r:id="rId812" ref="A852"/>
    <hyperlink r:id="rId813" ref="A853"/>
    <hyperlink r:id="rId814" ref="A854"/>
    <hyperlink r:id="rId815" ref="A855"/>
    <hyperlink r:id="rId816" ref="A856"/>
    <hyperlink r:id="rId817" ref="A857"/>
    <hyperlink r:id="rId818" ref="A858"/>
    <hyperlink r:id="rId819" ref="A859"/>
    <hyperlink r:id="rId820" ref="A860"/>
    <hyperlink r:id="rId821" ref="A861"/>
    <hyperlink r:id="rId822" ref="A862"/>
    <hyperlink r:id="rId823" ref="A863"/>
    <hyperlink r:id="rId824" ref="A864"/>
    <hyperlink r:id="rId825" ref="A865"/>
    <hyperlink r:id="rId826" ref="A866"/>
    <hyperlink r:id="rId827" ref="A867"/>
    <hyperlink r:id="rId828" ref="A868"/>
    <hyperlink r:id="rId829" ref="A869"/>
    <hyperlink r:id="rId830" ref="A870"/>
    <hyperlink r:id="rId831" ref="A871"/>
    <hyperlink r:id="rId832" ref="A872"/>
    <hyperlink r:id="rId833" ref="A873"/>
    <hyperlink r:id="rId834" ref="A874"/>
    <hyperlink r:id="rId835" ref="A875"/>
    <hyperlink r:id="rId836" ref="A876"/>
    <hyperlink r:id="rId837" ref="A877"/>
    <hyperlink r:id="rId838" ref="A878"/>
    <hyperlink r:id="rId839" ref="A879"/>
    <hyperlink r:id="rId840" ref="A881"/>
    <hyperlink r:id="rId841" ref="A882"/>
    <hyperlink r:id="rId842" ref="A883"/>
    <hyperlink r:id="rId843" ref="A884"/>
    <hyperlink r:id="rId844" ref="A885"/>
    <hyperlink r:id="rId845" ref="A886"/>
    <hyperlink r:id="rId846" ref="A887"/>
    <hyperlink r:id="rId847" ref="A888"/>
    <hyperlink r:id="rId848" ref="A889"/>
    <hyperlink r:id="rId849" ref="A890"/>
    <hyperlink r:id="rId850" ref="A891"/>
    <hyperlink r:id="rId851" ref="A892"/>
    <hyperlink r:id="rId852" ref="A893"/>
    <hyperlink r:id="rId853" ref="A894"/>
    <hyperlink r:id="rId854" ref="A895"/>
    <hyperlink r:id="rId855" ref="A896"/>
    <hyperlink r:id="rId856" ref="A897"/>
    <hyperlink r:id="rId857" ref="A898"/>
    <hyperlink r:id="rId858" ref="A899"/>
    <hyperlink r:id="rId859" ref="A900"/>
    <hyperlink r:id="rId860" ref="A901"/>
    <hyperlink r:id="rId861" ref="A902"/>
    <hyperlink r:id="rId862" ref="A903"/>
    <hyperlink r:id="rId863" ref="A904"/>
    <hyperlink r:id="rId864" ref="A905"/>
    <hyperlink r:id="rId865" ref="A906"/>
    <hyperlink r:id="rId866" ref="A907"/>
    <hyperlink r:id="rId867" ref="A909"/>
    <hyperlink r:id="rId868" ref="A910"/>
    <hyperlink r:id="rId869" ref="A911"/>
    <hyperlink r:id="rId870" ref="A912"/>
    <hyperlink r:id="rId871" ref="A913"/>
    <hyperlink r:id="rId872" ref="A914"/>
    <hyperlink r:id="rId873" ref="A915"/>
    <hyperlink r:id="rId874" ref="A916"/>
    <hyperlink r:id="rId875" ref="A917"/>
    <hyperlink r:id="rId876" ref="A918"/>
    <hyperlink r:id="rId877" ref="A919"/>
    <hyperlink r:id="rId878" ref="A920"/>
    <hyperlink r:id="rId879" ref="A921"/>
    <hyperlink r:id="rId880" ref="A922"/>
    <hyperlink r:id="rId881" ref="A923"/>
    <hyperlink r:id="rId882" ref="A924"/>
    <hyperlink r:id="rId883" ref="A925"/>
    <hyperlink r:id="rId884" ref="A926"/>
    <hyperlink r:id="rId885" ref="A927"/>
    <hyperlink r:id="rId886" ref="A928"/>
    <hyperlink r:id="rId887" ref="A929"/>
    <hyperlink r:id="rId888" ref="A930"/>
    <hyperlink r:id="rId889" ref="A931"/>
    <hyperlink r:id="rId890" ref="A932"/>
    <hyperlink r:id="rId891" ref="A933"/>
    <hyperlink r:id="rId892" ref="A934"/>
    <hyperlink r:id="rId893" ref="A935"/>
    <hyperlink r:id="rId894" ref="A936"/>
    <hyperlink r:id="rId895" ref="A937"/>
    <hyperlink r:id="rId896" ref="A938"/>
    <hyperlink r:id="rId897" ref="A939"/>
    <hyperlink r:id="rId898" ref="A940"/>
    <hyperlink r:id="rId899" ref="A941"/>
    <hyperlink r:id="rId900" ref="A942"/>
  </hyperlinks>
  <drawing r:id="rId9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7" t="s">
        <v>16</v>
      </c>
      <c r="B2" s="8" t="s">
        <v>18</v>
      </c>
      <c r="C2" s="7" t="s">
        <v>15</v>
      </c>
      <c r="D2" s="12" t="s">
        <v>21</v>
      </c>
      <c r="E2" s="13" t="s">
        <v>22</v>
      </c>
      <c r="F2" s="8" t="s">
        <v>24</v>
      </c>
      <c r="G2" s="8" t="b">
        <v>0</v>
      </c>
      <c r="H2" s="8" t="s">
        <v>25</v>
      </c>
      <c r="I2" s="8">
        <v>87.0</v>
      </c>
      <c r="J2" s="8">
        <v>0.09</v>
      </c>
      <c r="K2" s="8">
        <v>0.26</v>
      </c>
    </row>
    <row r="3" ht="15.75" customHeight="1">
      <c r="A3" s="7" t="s">
        <v>27</v>
      </c>
      <c r="B3" s="8" t="s">
        <v>31</v>
      </c>
      <c r="C3" s="7" t="s">
        <v>15</v>
      </c>
      <c r="D3" s="12" t="s">
        <v>21</v>
      </c>
      <c r="E3" s="13" t="s">
        <v>22</v>
      </c>
      <c r="F3" s="8" t="s">
        <v>24</v>
      </c>
      <c r="G3" s="8" t="b">
        <v>0</v>
      </c>
      <c r="H3" s="8" t="s">
        <v>33</v>
      </c>
      <c r="I3" s="8">
        <v>86.0</v>
      </c>
      <c r="J3" s="8">
        <v>0.08</v>
      </c>
      <c r="K3" s="8">
        <v>0.78</v>
      </c>
    </row>
    <row r="4" ht="15.75" customHeight="1">
      <c r="A4" s="7" t="s">
        <v>34</v>
      </c>
      <c r="B4" s="8" t="s">
        <v>36</v>
      </c>
      <c r="C4" s="7" t="s">
        <v>37</v>
      </c>
      <c r="D4" s="12" t="s">
        <v>39</v>
      </c>
      <c r="E4" s="13" t="s">
        <v>41</v>
      </c>
      <c r="F4" s="8" t="s">
        <v>42</v>
      </c>
      <c r="G4" s="8" t="b">
        <v>0</v>
      </c>
      <c r="H4" s="8" t="s">
        <v>43</v>
      </c>
      <c r="I4" s="8">
        <v>68.0</v>
      </c>
      <c r="J4" s="8">
        <v>0.07</v>
      </c>
      <c r="K4" s="8">
        <v>1.37</v>
      </c>
    </row>
    <row r="5" ht="15.75" customHeight="1">
      <c r="A5" s="7" t="s">
        <v>44</v>
      </c>
      <c r="B5" s="8" t="s">
        <v>47</v>
      </c>
      <c r="C5" s="7" t="s">
        <v>20</v>
      </c>
      <c r="D5" s="12" t="s">
        <v>39</v>
      </c>
      <c r="E5" s="13" t="s">
        <v>22</v>
      </c>
      <c r="F5" s="8" t="s">
        <v>42</v>
      </c>
      <c r="G5" s="8" t="b">
        <v>0</v>
      </c>
      <c r="H5" s="8" t="s">
        <v>50</v>
      </c>
      <c r="I5" s="8">
        <v>65.0</v>
      </c>
      <c r="J5" s="8">
        <v>0.06</v>
      </c>
      <c r="K5" s="8">
        <v>0.74</v>
      </c>
    </row>
    <row r="6" ht="15.75" customHeight="1">
      <c r="A6" s="7" t="s">
        <v>51</v>
      </c>
      <c r="B6" s="8" t="s">
        <v>53</v>
      </c>
      <c r="C6" s="7" t="s">
        <v>54</v>
      </c>
      <c r="D6" s="12" t="s">
        <v>39</v>
      </c>
      <c r="E6" s="13" t="s">
        <v>41</v>
      </c>
      <c r="F6" s="8" t="s">
        <v>42</v>
      </c>
      <c r="G6" s="8" t="b">
        <v>0</v>
      </c>
      <c r="H6" s="8" t="s">
        <v>55</v>
      </c>
      <c r="I6" s="8">
        <v>63.0</v>
      </c>
      <c r="J6" s="8">
        <v>0.06</v>
      </c>
      <c r="K6" s="8">
        <v>1.16</v>
      </c>
    </row>
    <row r="7" ht="15.75" customHeight="1">
      <c r="A7" s="7" t="s">
        <v>56</v>
      </c>
      <c r="B7" s="8" t="s">
        <v>58</v>
      </c>
      <c r="C7" s="7" t="s">
        <v>60</v>
      </c>
      <c r="D7" s="12" t="s">
        <v>39</v>
      </c>
      <c r="E7" s="13" t="s">
        <v>22</v>
      </c>
      <c r="F7" s="8" t="s">
        <v>42</v>
      </c>
      <c r="G7" s="8" t="b">
        <v>0</v>
      </c>
      <c r="H7" s="8" t="s">
        <v>61</v>
      </c>
      <c r="I7" s="8">
        <v>62.0</v>
      </c>
      <c r="J7" s="8">
        <v>0.06</v>
      </c>
      <c r="K7" s="8">
        <v>2.06</v>
      </c>
    </row>
    <row r="8" ht="15.75" customHeight="1">
      <c r="A8" s="7" t="s">
        <v>62</v>
      </c>
      <c r="B8" s="8" t="s">
        <v>64</v>
      </c>
      <c r="C8" s="7" t="s">
        <v>65</v>
      </c>
      <c r="D8" s="12" t="s">
        <v>39</v>
      </c>
      <c r="E8" s="13" t="s">
        <v>22</v>
      </c>
      <c r="F8" s="8" t="s">
        <v>42</v>
      </c>
      <c r="G8" s="8" t="b">
        <v>0</v>
      </c>
      <c r="H8" s="8" t="s">
        <v>67</v>
      </c>
      <c r="I8" s="8">
        <v>62.0</v>
      </c>
      <c r="J8" s="8">
        <v>0.06</v>
      </c>
      <c r="K8" s="8">
        <v>0.9</v>
      </c>
    </row>
    <row r="9" ht="15.75" customHeight="1">
      <c r="A9" s="7" t="s">
        <v>68</v>
      </c>
      <c r="B9" s="8" t="s">
        <v>70</v>
      </c>
      <c r="C9" s="7" t="s">
        <v>46</v>
      </c>
      <c r="D9" s="12" t="s">
        <v>72</v>
      </c>
      <c r="E9" s="13" t="s">
        <v>73</v>
      </c>
      <c r="F9" s="8" t="s">
        <v>74</v>
      </c>
      <c r="G9" s="8" t="b">
        <v>0</v>
      </c>
      <c r="H9" s="8" t="s">
        <v>75</v>
      </c>
      <c r="I9" s="8">
        <v>59.0</v>
      </c>
      <c r="J9" s="8">
        <v>0.06</v>
      </c>
      <c r="K9" s="8">
        <v>0.22</v>
      </c>
    </row>
    <row r="10" ht="15.75" customHeight="1">
      <c r="A10" s="7" t="s">
        <v>77</v>
      </c>
      <c r="B10" s="8" t="s">
        <v>80</v>
      </c>
      <c r="C10" s="7" t="s">
        <v>66</v>
      </c>
      <c r="D10" s="12" t="s">
        <v>39</v>
      </c>
      <c r="E10" s="13" t="s">
        <v>22</v>
      </c>
      <c r="F10" s="8" t="s">
        <v>42</v>
      </c>
      <c r="G10" s="8" t="b">
        <v>0</v>
      </c>
      <c r="H10" s="8" t="s">
        <v>81</v>
      </c>
      <c r="I10" s="8">
        <v>55.0</v>
      </c>
      <c r="J10" s="8">
        <v>0.05</v>
      </c>
      <c r="K10" s="8">
        <v>1.82</v>
      </c>
    </row>
    <row r="11" ht="15.75" customHeight="1">
      <c r="A11" s="7" t="s">
        <v>82</v>
      </c>
      <c r="B11" s="8" t="s">
        <v>84</v>
      </c>
      <c r="C11" s="7" t="s">
        <v>85</v>
      </c>
      <c r="D11" s="12" t="s">
        <v>39</v>
      </c>
      <c r="E11" s="13" t="s">
        <v>22</v>
      </c>
      <c r="F11" s="8" t="s">
        <v>42</v>
      </c>
      <c r="G11" s="8" t="b">
        <v>0</v>
      </c>
      <c r="H11" s="8" t="s">
        <v>86</v>
      </c>
      <c r="I11" s="8">
        <v>53.0</v>
      </c>
      <c r="J11" s="8">
        <v>0.05</v>
      </c>
      <c r="K11" s="8">
        <v>2.25</v>
      </c>
    </row>
    <row r="12" ht="15.75" customHeight="1">
      <c r="A12" s="7" t="s">
        <v>87</v>
      </c>
      <c r="B12" s="8" t="s">
        <v>89</v>
      </c>
      <c r="C12" s="8" t="s">
        <v>35</v>
      </c>
      <c r="D12" s="12" t="s">
        <v>39</v>
      </c>
      <c r="E12" s="13" t="s">
        <v>22</v>
      </c>
      <c r="F12" s="8" t="s">
        <v>42</v>
      </c>
      <c r="G12" s="8" t="b">
        <v>0</v>
      </c>
      <c r="H12" s="8" t="s">
        <v>90</v>
      </c>
      <c r="I12" s="8">
        <v>46.0</v>
      </c>
      <c r="J12" s="8">
        <v>0.05</v>
      </c>
      <c r="K12" s="8">
        <v>0.98</v>
      </c>
    </row>
    <row r="13" ht="15.75" customHeight="1">
      <c r="A13" s="7" t="s">
        <v>91</v>
      </c>
      <c r="B13" s="8" t="s">
        <v>93</v>
      </c>
      <c r="C13" s="7" t="s">
        <v>30</v>
      </c>
      <c r="D13" s="12" t="s">
        <v>21</v>
      </c>
      <c r="E13" s="13" t="s">
        <v>41</v>
      </c>
      <c r="F13" s="8" t="s">
        <v>24</v>
      </c>
      <c r="G13" s="8" t="b">
        <v>0</v>
      </c>
      <c r="H13" s="8" t="s">
        <v>94</v>
      </c>
      <c r="I13" s="8">
        <v>44.0</v>
      </c>
      <c r="J13" s="8">
        <v>0.04</v>
      </c>
      <c r="K13" s="8">
        <v>0.0</v>
      </c>
    </row>
    <row r="14" ht="15.75" customHeight="1">
      <c r="A14" s="7" t="s">
        <v>95</v>
      </c>
      <c r="B14" s="8" t="s">
        <v>96</v>
      </c>
      <c r="C14" s="7" t="s">
        <v>40</v>
      </c>
      <c r="D14" s="12" t="s">
        <v>21</v>
      </c>
      <c r="E14" s="13" t="s">
        <v>41</v>
      </c>
      <c r="F14" s="8" t="s">
        <v>24</v>
      </c>
      <c r="G14" s="8" t="b">
        <v>0</v>
      </c>
      <c r="H14" s="8" t="s">
        <v>98</v>
      </c>
      <c r="I14" s="8">
        <v>42.0</v>
      </c>
      <c r="J14" s="8">
        <v>0.04</v>
      </c>
      <c r="K14" s="8">
        <v>0.17</v>
      </c>
    </row>
    <row r="15" ht="15.75" customHeight="1">
      <c r="A15" s="7" t="s">
        <v>100</v>
      </c>
      <c r="B15" s="8" t="s">
        <v>101</v>
      </c>
      <c r="C15" s="7" t="s">
        <v>102</v>
      </c>
      <c r="D15" s="12" t="s">
        <v>104</v>
      </c>
      <c r="E15" s="13" t="s">
        <v>22</v>
      </c>
      <c r="F15" s="8" t="s">
        <v>106</v>
      </c>
      <c r="G15" s="8" t="b">
        <v>0</v>
      </c>
      <c r="H15" s="8" t="s">
        <v>107</v>
      </c>
      <c r="I15" s="8">
        <v>41.0</v>
      </c>
      <c r="J15" s="8">
        <v>0.04</v>
      </c>
      <c r="K15" s="8">
        <v>0.83</v>
      </c>
    </row>
    <row r="16" ht="15.75" customHeight="1">
      <c r="A16" s="7" t="s">
        <v>108</v>
      </c>
      <c r="B16" s="8" t="s">
        <v>109</v>
      </c>
      <c r="C16" s="7" t="s">
        <v>79</v>
      </c>
      <c r="D16" s="12" t="s">
        <v>39</v>
      </c>
      <c r="E16" s="13" t="s">
        <v>22</v>
      </c>
      <c r="F16" s="8" t="s">
        <v>42</v>
      </c>
      <c r="G16" s="8" t="b">
        <v>0</v>
      </c>
      <c r="H16" s="8" t="s">
        <v>111</v>
      </c>
      <c r="I16" s="8">
        <v>41.0</v>
      </c>
      <c r="J16" s="8">
        <v>0.04</v>
      </c>
      <c r="K16" s="8">
        <v>1.59</v>
      </c>
    </row>
    <row r="17" ht="15.75" customHeight="1">
      <c r="A17" s="7" t="s">
        <v>113</v>
      </c>
      <c r="B17" s="8" t="s">
        <v>114</v>
      </c>
      <c r="C17" s="7" t="s">
        <v>15</v>
      </c>
      <c r="D17" s="12" t="s">
        <v>21</v>
      </c>
      <c r="E17" s="13" t="s">
        <v>22</v>
      </c>
      <c r="F17" s="8" t="s">
        <v>24</v>
      </c>
      <c r="G17" s="8" t="b">
        <v>0</v>
      </c>
      <c r="H17" s="8" t="s">
        <v>115</v>
      </c>
      <c r="I17" s="8">
        <v>39.0</v>
      </c>
      <c r="J17" s="8">
        <v>0.04</v>
      </c>
      <c r="K17" s="8">
        <v>0.54</v>
      </c>
    </row>
    <row r="18" ht="15.75" customHeight="1">
      <c r="A18" s="7" t="s">
        <v>117</v>
      </c>
      <c r="B18" s="8" t="s">
        <v>119</v>
      </c>
      <c r="C18" s="7" t="s">
        <v>52</v>
      </c>
      <c r="D18" s="12" t="s">
        <v>39</v>
      </c>
      <c r="E18" s="13" t="s">
        <v>22</v>
      </c>
      <c r="F18" s="8" t="s">
        <v>42</v>
      </c>
      <c r="G18" s="8" t="b">
        <v>0</v>
      </c>
      <c r="H18" s="8" t="s">
        <v>121</v>
      </c>
      <c r="I18" s="8">
        <v>39.0</v>
      </c>
      <c r="J18" s="8">
        <v>0.04</v>
      </c>
      <c r="K18" s="8">
        <v>0.77</v>
      </c>
    </row>
    <row r="19" ht="15.75" customHeight="1">
      <c r="A19" s="7" t="s">
        <v>122</v>
      </c>
      <c r="B19" s="8" t="s">
        <v>124</v>
      </c>
      <c r="C19" s="7" t="s">
        <v>105</v>
      </c>
      <c r="D19" s="12" t="s">
        <v>39</v>
      </c>
      <c r="E19" s="13" t="s">
        <v>22</v>
      </c>
      <c r="F19" s="8" t="s">
        <v>42</v>
      </c>
      <c r="G19" s="8" t="b">
        <v>0</v>
      </c>
      <c r="H19" s="8" t="s">
        <v>127</v>
      </c>
      <c r="I19" s="8">
        <v>39.0</v>
      </c>
      <c r="J19" s="8">
        <v>0.04</v>
      </c>
      <c r="K19" s="8">
        <v>0.85</v>
      </c>
    </row>
    <row r="20" ht="15.75" customHeight="1">
      <c r="A20" s="7" t="s">
        <v>128</v>
      </c>
      <c r="B20" s="8" t="s">
        <v>129</v>
      </c>
      <c r="C20" s="8" t="s">
        <v>35</v>
      </c>
      <c r="D20" s="12" t="s">
        <v>39</v>
      </c>
      <c r="E20" s="13" t="s">
        <v>22</v>
      </c>
      <c r="F20" s="8" t="s">
        <v>42</v>
      </c>
      <c r="G20" s="8" t="b">
        <v>0</v>
      </c>
      <c r="H20" s="8" t="s">
        <v>130</v>
      </c>
      <c r="I20" s="8">
        <v>38.0</v>
      </c>
      <c r="J20" s="8">
        <v>0.04</v>
      </c>
      <c r="K20" s="8">
        <v>3.21</v>
      </c>
    </row>
    <row r="21" ht="15.75" customHeight="1">
      <c r="A21" s="7" t="s">
        <v>132</v>
      </c>
      <c r="B21" s="8" t="s">
        <v>134</v>
      </c>
      <c r="C21" s="7" t="s">
        <v>26</v>
      </c>
      <c r="D21" s="12" t="s">
        <v>21</v>
      </c>
      <c r="E21" s="13" t="s">
        <v>41</v>
      </c>
      <c r="F21" s="8" t="s">
        <v>24</v>
      </c>
      <c r="G21" s="8" t="b">
        <v>0</v>
      </c>
      <c r="H21" s="8" t="s">
        <v>135</v>
      </c>
      <c r="I21" s="8">
        <v>37.0</v>
      </c>
      <c r="J21" s="8">
        <v>0.04</v>
      </c>
      <c r="K21" s="8">
        <v>0.54</v>
      </c>
    </row>
    <row r="22" ht="15.75" customHeight="1">
      <c r="A22" s="7" t="s">
        <v>136</v>
      </c>
      <c r="B22" s="8" t="s">
        <v>139</v>
      </c>
      <c r="C22" s="7" t="s">
        <v>140</v>
      </c>
      <c r="D22" s="12" t="s">
        <v>39</v>
      </c>
      <c r="E22" s="13" t="s">
        <v>41</v>
      </c>
      <c r="F22" s="8" t="s">
        <v>42</v>
      </c>
      <c r="G22" s="8" t="b">
        <v>0</v>
      </c>
      <c r="H22" s="8" t="s">
        <v>141</v>
      </c>
      <c r="I22" s="8">
        <v>37.0</v>
      </c>
      <c r="J22" s="8">
        <v>0.04</v>
      </c>
      <c r="K22" s="8">
        <v>1.65</v>
      </c>
    </row>
    <row r="23" ht="15.75" customHeight="1">
      <c r="A23" s="7" t="s">
        <v>143</v>
      </c>
      <c r="B23" s="8" t="s">
        <v>144</v>
      </c>
      <c r="C23" s="7" t="s">
        <v>20</v>
      </c>
      <c r="D23" s="12" t="s">
        <v>39</v>
      </c>
      <c r="E23" s="13" t="s">
        <v>22</v>
      </c>
      <c r="F23" s="8" t="s">
        <v>42</v>
      </c>
      <c r="G23" s="8" t="b">
        <v>0</v>
      </c>
      <c r="H23" s="8" t="s">
        <v>146</v>
      </c>
      <c r="I23" s="8">
        <v>37.0</v>
      </c>
      <c r="J23" s="8">
        <v>0.04</v>
      </c>
      <c r="K23" s="8">
        <v>1.84</v>
      </c>
    </row>
    <row r="24" ht="15.75" customHeight="1">
      <c r="A24" s="7" t="s">
        <v>147</v>
      </c>
      <c r="B24" s="8" t="s">
        <v>148</v>
      </c>
      <c r="C24" s="7" t="s">
        <v>123</v>
      </c>
      <c r="D24" s="12" t="s">
        <v>39</v>
      </c>
      <c r="E24" s="13" t="s">
        <v>76</v>
      </c>
      <c r="F24" s="8" t="s">
        <v>42</v>
      </c>
      <c r="G24" s="8" t="b">
        <v>0</v>
      </c>
      <c r="H24" s="8" t="s">
        <v>61</v>
      </c>
      <c r="I24" s="8">
        <v>36.0</v>
      </c>
      <c r="J24" s="8">
        <v>0.04</v>
      </c>
      <c r="K24" s="8">
        <v>1.22</v>
      </c>
    </row>
    <row r="25" ht="15.75" customHeight="1">
      <c r="A25" s="7" t="s">
        <v>150</v>
      </c>
      <c r="B25" s="8" t="s">
        <v>151</v>
      </c>
      <c r="C25" s="7" t="s">
        <v>152</v>
      </c>
      <c r="D25" s="12" t="s">
        <v>39</v>
      </c>
      <c r="E25" s="13" t="s">
        <v>41</v>
      </c>
      <c r="F25" s="8" t="s">
        <v>42</v>
      </c>
      <c r="G25" s="8" t="b">
        <v>0</v>
      </c>
      <c r="H25" s="8" t="s">
        <v>154</v>
      </c>
      <c r="I25" s="8">
        <v>36.0</v>
      </c>
      <c r="J25" s="8">
        <v>0.04</v>
      </c>
      <c r="K25" s="8">
        <v>0.5</v>
      </c>
    </row>
    <row r="26" ht="15.75" customHeight="1">
      <c r="A26" s="7" t="s">
        <v>155</v>
      </c>
      <c r="B26" s="8" t="s">
        <v>157</v>
      </c>
      <c r="C26" s="7" t="s">
        <v>158</v>
      </c>
      <c r="D26" s="12" t="s">
        <v>39</v>
      </c>
      <c r="E26" s="13" t="s">
        <v>22</v>
      </c>
      <c r="F26" s="8" t="s">
        <v>42</v>
      </c>
      <c r="G26" s="8" t="b">
        <v>0</v>
      </c>
      <c r="H26" s="8" t="s">
        <v>160</v>
      </c>
      <c r="I26" s="8">
        <v>35.0</v>
      </c>
      <c r="J26" s="8">
        <v>0.03</v>
      </c>
      <c r="K26" s="8">
        <v>1.11</v>
      </c>
    </row>
    <row r="27" ht="15.75" customHeight="1">
      <c r="A27" s="7" t="s">
        <v>162</v>
      </c>
      <c r="B27" s="8" t="s">
        <v>163</v>
      </c>
      <c r="C27" s="7" t="s">
        <v>165</v>
      </c>
      <c r="D27" s="12" t="s">
        <v>39</v>
      </c>
      <c r="E27" s="13" t="s">
        <v>22</v>
      </c>
      <c r="F27" s="8" t="s">
        <v>42</v>
      </c>
      <c r="G27" s="8" t="b">
        <v>0</v>
      </c>
      <c r="H27" s="8" t="s">
        <v>166</v>
      </c>
      <c r="I27" s="8">
        <v>35.0</v>
      </c>
      <c r="J27" s="8">
        <v>0.03</v>
      </c>
      <c r="K27" s="8">
        <v>0.97</v>
      </c>
    </row>
    <row r="28" ht="15.75" customHeight="1">
      <c r="A28" s="7" t="s">
        <v>167</v>
      </c>
      <c r="B28" s="8" t="s">
        <v>169</v>
      </c>
      <c r="C28" s="7" t="s">
        <v>145</v>
      </c>
      <c r="D28" s="12" t="s">
        <v>21</v>
      </c>
      <c r="E28" s="13" t="s">
        <v>73</v>
      </c>
      <c r="F28" s="8" t="s">
        <v>24</v>
      </c>
      <c r="G28" s="8" t="b">
        <v>0</v>
      </c>
      <c r="H28" s="8" t="s">
        <v>170</v>
      </c>
      <c r="I28" s="8">
        <v>34.0</v>
      </c>
      <c r="J28" s="8">
        <v>0.03</v>
      </c>
      <c r="K28" s="8">
        <v>0.76</v>
      </c>
    </row>
    <row r="29" ht="15.75" customHeight="1">
      <c r="A29" s="7" t="s">
        <v>171</v>
      </c>
      <c r="B29" s="8" t="s">
        <v>172</v>
      </c>
      <c r="C29" s="7" t="s">
        <v>112</v>
      </c>
      <c r="D29" s="12" t="s">
        <v>39</v>
      </c>
      <c r="E29" s="13" t="s">
        <v>22</v>
      </c>
      <c r="F29" s="8" t="s">
        <v>42</v>
      </c>
      <c r="G29" s="8" t="b">
        <v>0</v>
      </c>
      <c r="H29" s="8" t="s">
        <v>174</v>
      </c>
      <c r="I29" s="8">
        <v>34.0</v>
      </c>
      <c r="J29" s="8">
        <v>0.03</v>
      </c>
      <c r="K29" s="8">
        <v>1.32</v>
      </c>
    </row>
    <row r="30" ht="15.75" customHeight="1">
      <c r="A30" s="7" t="s">
        <v>175</v>
      </c>
      <c r="B30" s="8" t="s">
        <v>176</v>
      </c>
      <c r="C30" s="7" t="s">
        <v>59</v>
      </c>
      <c r="D30" s="12" t="s">
        <v>39</v>
      </c>
      <c r="E30" s="13" t="s">
        <v>22</v>
      </c>
      <c r="F30" s="8" t="s">
        <v>42</v>
      </c>
      <c r="G30" s="8" t="b">
        <v>0</v>
      </c>
      <c r="H30" s="8" t="s">
        <v>178</v>
      </c>
      <c r="I30" s="8">
        <v>34.0</v>
      </c>
      <c r="J30" s="8">
        <v>0.03</v>
      </c>
      <c r="K30" s="8">
        <v>0.12</v>
      </c>
    </row>
    <row r="31" ht="15.75" customHeight="1">
      <c r="A31" s="7" t="s">
        <v>179</v>
      </c>
      <c r="B31" s="8" t="s">
        <v>181</v>
      </c>
      <c r="C31" s="7" t="s">
        <v>79</v>
      </c>
      <c r="D31" s="12" t="s">
        <v>39</v>
      </c>
      <c r="E31" s="13" t="s">
        <v>22</v>
      </c>
      <c r="F31" s="8" t="s">
        <v>42</v>
      </c>
      <c r="G31" s="8" t="b">
        <v>0</v>
      </c>
      <c r="H31" s="8" t="s">
        <v>182</v>
      </c>
      <c r="I31" s="8">
        <v>34.0</v>
      </c>
      <c r="J31" s="8">
        <v>0.03</v>
      </c>
      <c r="K31" s="8">
        <v>1.53</v>
      </c>
    </row>
    <row r="32" ht="15.75" customHeight="1">
      <c r="A32" s="7" t="s">
        <v>183</v>
      </c>
      <c r="B32" s="8" t="s">
        <v>185</v>
      </c>
      <c r="C32" s="7" t="s">
        <v>40</v>
      </c>
      <c r="D32" s="12" t="s">
        <v>72</v>
      </c>
      <c r="E32" s="13" t="s">
        <v>41</v>
      </c>
      <c r="F32" s="8" t="s">
        <v>74</v>
      </c>
      <c r="G32" s="8" t="b">
        <v>0</v>
      </c>
      <c r="H32" s="8" t="s">
        <v>186</v>
      </c>
      <c r="I32" s="8">
        <v>33.0</v>
      </c>
      <c r="J32" s="8">
        <v>0.03</v>
      </c>
      <c r="K32" s="8">
        <v>0.24</v>
      </c>
    </row>
    <row r="33" ht="15.75" customHeight="1">
      <c r="A33" s="7" t="s">
        <v>187</v>
      </c>
      <c r="B33" s="8" t="s">
        <v>189</v>
      </c>
      <c r="C33" s="7" t="s">
        <v>15</v>
      </c>
      <c r="D33" s="12" t="s">
        <v>190</v>
      </c>
      <c r="E33" s="13" t="s">
        <v>22</v>
      </c>
      <c r="F33" s="8" t="s">
        <v>191</v>
      </c>
      <c r="G33" s="8" t="b">
        <v>0</v>
      </c>
      <c r="H33" s="8" t="s">
        <v>192</v>
      </c>
      <c r="I33" s="8">
        <v>33.0</v>
      </c>
      <c r="J33" s="8">
        <v>0.03</v>
      </c>
      <c r="K33" s="8">
        <v>0.94</v>
      </c>
    </row>
    <row r="34" ht="15.75" customHeight="1">
      <c r="A34" s="7" t="s">
        <v>194</v>
      </c>
      <c r="B34" s="8" t="s">
        <v>196</v>
      </c>
      <c r="C34" s="7" t="s">
        <v>85</v>
      </c>
      <c r="D34" s="12" t="s">
        <v>39</v>
      </c>
      <c r="E34" s="13" t="s">
        <v>22</v>
      </c>
      <c r="F34" s="8" t="s">
        <v>42</v>
      </c>
      <c r="G34" s="8" t="b">
        <v>0</v>
      </c>
      <c r="H34" s="8" t="s">
        <v>86</v>
      </c>
      <c r="I34" s="8">
        <v>33.0</v>
      </c>
      <c r="J34" s="8">
        <v>0.03</v>
      </c>
      <c r="K34" s="8">
        <v>1.7</v>
      </c>
    </row>
    <row r="35" ht="15.75" customHeight="1">
      <c r="A35" s="7" t="s">
        <v>197</v>
      </c>
      <c r="B35" s="8" t="s">
        <v>199</v>
      </c>
      <c r="C35" s="7" t="s">
        <v>200</v>
      </c>
      <c r="D35" s="12" t="s">
        <v>190</v>
      </c>
      <c r="E35" s="13" t="s">
        <v>190</v>
      </c>
      <c r="F35" s="8" t="s">
        <v>191</v>
      </c>
      <c r="G35" s="8" t="b">
        <v>0</v>
      </c>
      <c r="I35" s="8">
        <v>33.0</v>
      </c>
      <c r="J35" s="8">
        <v>0.03</v>
      </c>
      <c r="K35" s="8">
        <v>1.76</v>
      </c>
    </row>
    <row r="36" ht="15.75" customHeight="1">
      <c r="A36" s="7" t="s">
        <v>202</v>
      </c>
      <c r="B36" s="8" t="s">
        <v>203</v>
      </c>
      <c r="C36" s="7" t="s">
        <v>204</v>
      </c>
      <c r="D36" s="12" t="s">
        <v>39</v>
      </c>
      <c r="E36" s="13" t="s">
        <v>41</v>
      </c>
      <c r="F36" s="8" t="s">
        <v>42</v>
      </c>
      <c r="G36" s="8" t="b">
        <v>0</v>
      </c>
      <c r="H36" s="8" t="s">
        <v>206</v>
      </c>
      <c r="I36" s="8">
        <v>32.0</v>
      </c>
      <c r="J36" s="8">
        <v>0.03</v>
      </c>
      <c r="K36" s="8">
        <v>0.84</v>
      </c>
    </row>
    <row r="37" ht="15.75" customHeight="1">
      <c r="A37" s="7" t="s">
        <v>207</v>
      </c>
      <c r="B37" s="8" t="s">
        <v>208</v>
      </c>
      <c r="C37" s="7" t="s">
        <v>15</v>
      </c>
      <c r="D37" s="12" t="s">
        <v>21</v>
      </c>
      <c r="E37" s="13" t="s">
        <v>22</v>
      </c>
      <c r="F37" s="8" t="s">
        <v>24</v>
      </c>
      <c r="G37" s="8" t="b">
        <v>0</v>
      </c>
      <c r="H37" s="8" t="s">
        <v>209</v>
      </c>
      <c r="I37" s="8">
        <v>31.0</v>
      </c>
      <c r="J37" s="8">
        <v>0.03</v>
      </c>
      <c r="K37" s="8">
        <v>1.03</v>
      </c>
    </row>
    <row r="38" ht="15.75" customHeight="1">
      <c r="A38" s="7" t="s">
        <v>211</v>
      </c>
      <c r="B38" s="8" t="s">
        <v>213</v>
      </c>
      <c r="C38" s="7" t="s">
        <v>99</v>
      </c>
      <c r="D38" s="12" t="s">
        <v>21</v>
      </c>
      <c r="E38" s="13" t="s">
        <v>76</v>
      </c>
      <c r="F38" s="8" t="s">
        <v>24</v>
      </c>
      <c r="G38" s="8" t="b">
        <v>0</v>
      </c>
      <c r="H38" s="8" t="s">
        <v>214</v>
      </c>
      <c r="I38" s="8">
        <v>31.0</v>
      </c>
      <c r="J38" s="8">
        <v>0.03</v>
      </c>
      <c r="K38" s="8">
        <v>0.55</v>
      </c>
    </row>
    <row r="39" ht="15.75" customHeight="1">
      <c r="A39" s="7" t="s">
        <v>215</v>
      </c>
      <c r="B39" s="8" t="s">
        <v>218</v>
      </c>
      <c r="C39" s="7" t="s">
        <v>195</v>
      </c>
      <c r="D39" s="12" t="s">
        <v>39</v>
      </c>
      <c r="E39" s="13" t="s">
        <v>41</v>
      </c>
      <c r="F39" s="8" t="s">
        <v>42</v>
      </c>
      <c r="G39" s="8" t="b">
        <v>0</v>
      </c>
      <c r="H39" s="8" t="s">
        <v>219</v>
      </c>
      <c r="I39" s="8">
        <v>31.0</v>
      </c>
      <c r="J39" s="8">
        <v>0.03</v>
      </c>
      <c r="K39" s="8">
        <v>0.19</v>
      </c>
    </row>
    <row r="40" ht="15.75" customHeight="1">
      <c r="A40" s="7" t="s">
        <v>220</v>
      </c>
      <c r="B40" s="8" t="s">
        <v>223</v>
      </c>
      <c r="C40" s="7" t="s">
        <v>224</v>
      </c>
      <c r="D40" s="12" t="s">
        <v>39</v>
      </c>
      <c r="E40" s="13" t="s">
        <v>41</v>
      </c>
      <c r="F40" s="8" t="s">
        <v>42</v>
      </c>
      <c r="G40" s="8" t="b">
        <v>0</v>
      </c>
      <c r="H40" s="8" t="s">
        <v>225</v>
      </c>
      <c r="I40" s="8">
        <v>30.0</v>
      </c>
      <c r="J40" s="8">
        <v>0.03</v>
      </c>
      <c r="K40" s="8">
        <v>0.57</v>
      </c>
    </row>
    <row r="41" ht="15.75" customHeight="1">
      <c r="A41" s="7" t="s">
        <v>226</v>
      </c>
      <c r="B41" s="8" t="s">
        <v>228</v>
      </c>
      <c r="C41" s="7" t="s">
        <v>222</v>
      </c>
      <c r="D41" s="12" t="s">
        <v>104</v>
      </c>
      <c r="E41" s="13" t="s">
        <v>22</v>
      </c>
      <c r="F41" s="8" t="s">
        <v>106</v>
      </c>
      <c r="G41" s="8" t="b">
        <v>0</v>
      </c>
      <c r="H41" s="8" t="s">
        <v>229</v>
      </c>
      <c r="I41" s="8">
        <v>30.0</v>
      </c>
      <c r="J41" s="8">
        <v>0.03</v>
      </c>
      <c r="K41" s="8">
        <v>1.27</v>
      </c>
    </row>
    <row r="42" ht="15.75" customHeight="1">
      <c r="A42" s="7" t="s">
        <v>230</v>
      </c>
      <c r="B42" s="8" t="s">
        <v>232</v>
      </c>
      <c r="C42" s="7" t="s">
        <v>15</v>
      </c>
      <c r="D42" s="12" t="s">
        <v>21</v>
      </c>
      <c r="E42" s="13" t="s">
        <v>22</v>
      </c>
      <c r="F42" s="8" t="s">
        <v>24</v>
      </c>
      <c r="G42" s="8" t="b">
        <v>0</v>
      </c>
      <c r="H42" s="8" t="s">
        <v>234</v>
      </c>
      <c r="I42" s="8">
        <v>29.0</v>
      </c>
      <c r="J42" s="8">
        <v>0.03</v>
      </c>
      <c r="K42" s="8">
        <v>0.93</v>
      </c>
    </row>
    <row r="43" ht="15.75" customHeight="1">
      <c r="A43" s="7" t="s">
        <v>235</v>
      </c>
      <c r="B43" s="8" t="s">
        <v>237</v>
      </c>
      <c r="C43" s="7" t="s">
        <v>52</v>
      </c>
      <c r="D43" s="12" t="s">
        <v>39</v>
      </c>
      <c r="E43" s="13" t="s">
        <v>22</v>
      </c>
      <c r="F43" s="8" t="s">
        <v>42</v>
      </c>
      <c r="G43" s="8" t="b">
        <v>0</v>
      </c>
      <c r="H43" s="8" t="s">
        <v>238</v>
      </c>
      <c r="I43" s="8">
        <v>29.0</v>
      </c>
      <c r="J43" s="8">
        <v>0.03</v>
      </c>
      <c r="K43" s="8">
        <v>1.72</v>
      </c>
    </row>
    <row r="44" ht="15.75" customHeight="1">
      <c r="A44" s="7" t="s">
        <v>239</v>
      </c>
      <c r="B44" s="8" t="s">
        <v>240</v>
      </c>
      <c r="C44" s="7" t="s">
        <v>133</v>
      </c>
      <c r="D44" s="12" t="s">
        <v>39</v>
      </c>
      <c r="E44" s="13" t="s">
        <v>22</v>
      </c>
      <c r="F44" s="8" t="s">
        <v>42</v>
      </c>
      <c r="G44" s="8" t="b">
        <v>0</v>
      </c>
      <c r="H44" s="8" t="s">
        <v>242</v>
      </c>
      <c r="I44" s="8">
        <v>29.0</v>
      </c>
      <c r="J44" s="8">
        <v>0.03</v>
      </c>
      <c r="K44" s="8">
        <v>1.17</v>
      </c>
    </row>
    <row r="45" ht="15.75" customHeight="1">
      <c r="A45" s="7" t="s">
        <v>243</v>
      </c>
      <c r="B45" s="8" t="s">
        <v>245</v>
      </c>
      <c r="C45" s="7" t="s">
        <v>246</v>
      </c>
      <c r="D45" s="12" t="s">
        <v>39</v>
      </c>
      <c r="E45" s="13" t="s">
        <v>73</v>
      </c>
      <c r="F45" s="8" t="s">
        <v>42</v>
      </c>
      <c r="G45" s="8" t="b">
        <v>0</v>
      </c>
      <c r="H45" s="8" t="s">
        <v>248</v>
      </c>
      <c r="I45" s="8">
        <v>29.0</v>
      </c>
      <c r="J45" s="8">
        <v>0.03</v>
      </c>
      <c r="K45" s="8">
        <v>0.1</v>
      </c>
    </row>
    <row r="46" ht="15.75" customHeight="1">
      <c r="A46" s="7" t="s">
        <v>249</v>
      </c>
      <c r="B46" s="8" t="s">
        <v>250</v>
      </c>
      <c r="C46" s="7" t="s">
        <v>251</v>
      </c>
      <c r="D46" s="12" t="s">
        <v>39</v>
      </c>
      <c r="E46" s="13" t="s">
        <v>41</v>
      </c>
      <c r="F46" s="8" t="s">
        <v>42</v>
      </c>
      <c r="G46" s="8" t="b">
        <v>0</v>
      </c>
      <c r="H46" s="8" t="s">
        <v>254</v>
      </c>
      <c r="I46" s="8">
        <v>29.0</v>
      </c>
      <c r="J46" s="8">
        <v>0.03</v>
      </c>
      <c r="K46" s="8">
        <v>0.76</v>
      </c>
    </row>
    <row r="47" ht="15.75" customHeight="1">
      <c r="A47" s="7" t="s">
        <v>255</v>
      </c>
      <c r="B47" s="8" t="s">
        <v>256</v>
      </c>
      <c r="C47" s="7" t="s">
        <v>118</v>
      </c>
      <c r="D47" s="12" t="s">
        <v>39</v>
      </c>
      <c r="E47" s="13" t="s">
        <v>22</v>
      </c>
      <c r="F47" s="8" t="s">
        <v>42</v>
      </c>
      <c r="G47" s="8" t="b">
        <v>0</v>
      </c>
      <c r="H47" s="8" t="s">
        <v>258</v>
      </c>
      <c r="I47" s="8">
        <v>29.0</v>
      </c>
      <c r="J47" s="8">
        <v>0.03</v>
      </c>
      <c r="K47" s="8">
        <v>0.48</v>
      </c>
    </row>
    <row r="48" ht="15.75" customHeight="1">
      <c r="A48" s="7" t="s">
        <v>259</v>
      </c>
      <c r="B48" s="8" t="s">
        <v>260</v>
      </c>
      <c r="C48" s="7" t="s">
        <v>188</v>
      </c>
      <c r="D48" s="12" t="s">
        <v>39</v>
      </c>
      <c r="E48" s="13" t="s">
        <v>22</v>
      </c>
      <c r="F48" s="8" t="s">
        <v>42</v>
      </c>
      <c r="G48" s="8" t="b">
        <v>0</v>
      </c>
      <c r="H48" s="8" t="s">
        <v>262</v>
      </c>
      <c r="I48" s="8">
        <v>29.0</v>
      </c>
      <c r="J48" s="8">
        <v>0.03</v>
      </c>
      <c r="K48" s="8">
        <v>1.48</v>
      </c>
    </row>
    <row r="49" ht="15.75" customHeight="1">
      <c r="A49" s="7" t="s">
        <v>263</v>
      </c>
      <c r="B49" s="8" t="s">
        <v>265</v>
      </c>
      <c r="C49" s="7" t="s">
        <v>15</v>
      </c>
      <c r="D49" s="12" t="s">
        <v>21</v>
      </c>
      <c r="E49" s="13" t="s">
        <v>22</v>
      </c>
      <c r="F49" s="8" t="s">
        <v>24</v>
      </c>
      <c r="G49" s="8" t="b">
        <v>0</v>
      </c>
      <c r="H49" s="8" t="s">
        <v>266</v>
      </c>
      <c r="I49" s="8">
        <v>28.0</v>
      </c>
      <c r="J49" s="8">
        <v>0.03</v>
      </c>
      <c r="K49" s="8">
        <v>0.21</v>
      </c>
    </row>
    <row r="50" ht="15.75" customHeight="1">
      <c r="A50" s="7" t="s">
        <v>267</v>
      </c>
      <c r="B50" s="8" t="s">
        <v>269</v>
      </c>
      <c r="C50" s="7" t="s">
        <v>161</v>
      </c>
      <c r="D50" s="12" t="s">
        <v>39</v>
      </c>
      <c r="E50" s="13" t="s">
        <v>22</v>
      </c>
      <c r="F50" s="8" t="s">
        <v>42</v>
      </c>
      <c r="G50" s="8" t="b">
        <v>0</v>
      </c>
      <c r="H50" s="8" t="s">
        <v>272</v>
      </c>
      <c r="I50" s="8">
        <v>28.0</v>
      </c>
      <c r="J50" s="8">
        <v>0.03</v>
      </c>
      <c r="K50" s="8">
        <v>1.18</v>
      </c>
    </row>
    <row r="51" ht="15.75" customHeight="1">
      <c r="A51" s="7" t="s">
        <v>273</v>
      </c>
      <c r="B51" s="8" t="s">
        <v>274</v>
      </c>
      <c r="C51" s="7" t="s">
        <v>275</v>
      </c>
      <c r="D51" s="12" t="s">
        <v>39</v>
      </c>
      <c r="E51" s="13" t="s">
        <v>190</v>
      </c>
      <c r="F51" s="8" t="s">
        <v>42</v>
      </c>
      <c r="G51" s="8" t="b">
        <v>0</v>
      </c>
      <c r="H51" s="8" t="s">
        <v>278</v>
      </c>
      <c r="I51" s="8">
        <v>28.0</v>
      </c>
      <c r="J51" s="8">
        <v>0.03</v>
      </c>
      <c r="K51" s="8">
        <v>0.5</v>
      </c>
    </row>
    <row r="52" ht="15.75" customHeight="1">
      <c r="A52" s="7" t="s">
        <v>280</v>
      </c>
      <c r="B52" s="8" t="s">
        <v>282</v>
      </c>
      <c r="C52" s="7" t="s">
        <v>283</v>
      </c>
      <c r="D52" s="12" t="s">
        <v>39</v>
      </c>
      <c r="E52" s="13" t="s">
        <v>41</v>
      </c>
      <c r="F52" s="8" t="s">
        <v>42</v>
      </c>
      <c r="G52" s="8" t="b">
        <v>0</v>
      </c>
      <c r="H52" s="8" t="s">
        <v>285</v>
      </c>
      <c r="I52" s="8">
        <v>28.0</v>
      </c>
      <c r="J52" s="8">
        <v>0.03</v>
      </c>
      <c r="K52" s="8">
        <v>1.14</v>
      </c>
    </row>
    <row r="53" ht="15.75" customHeight="1">
      <c r="A53" s="7" t="s">
        <v>287</v>
      </c>
      <c r="B53" s="8" t="s">
        <v>289</v>
      </c>
      <c r="C53" s="7" t="s">
        <v>217</v>
      </c>
      <c r="D53" s="12" t="s">
        <v>39</v>
      </c>
      <c r="E53" s="13" t="s">
        <v>41</v>
      </c>
      <c r="F53" s="8" t="s">
        <v>42</v>
      </c>
      <c r="G53" s="8" t="b">
        <v>0</v>
      </c>
      <c r="H53" s="8" t="s">
        <v>292</v>
      </c>
      <c r="I53" s="8">
        <v>28.0</v>
      </c>
      <c r="J53" s="8">
        <v>0.03</v>
      </c>
      <c r="K53" s="8">
        <v>0.68</v>
      </c>
    </row>
    <row r="54" ht="15.75" customHeight="1">
      <c r="A54" s="7" t="s">
        <v>293</v>
      </c>
      <c r="B54" s="8" t="s">
        <v>295</v>
      </c>
      <c r="C54" s="7" t="s">
        <v>297</v>
      </c>
      <c r="D54" s="12" t="s">
        <v>39</v>
      </c>
      <c r="E54" s="13" t="s">
        <v>41</v>
      </c>
      <c r="F54" s="8" t="s">
        <v>42</v>
      </c>
      <c r="G54" s="8" t="b">
        <v>0</v>
      </c>
      <c r="H54" s="8" t="s">
        <v>299</v>
      </c>
      <c r="I54" s="8">
        <v>27.0</v>
      </c>
      <c r="J54" s="8">
        <v>0.03</v>
      </c>
      <c r="K54" s="8">
        <v>0.93</v>
      </c>
    </row>
    <row r="55" ht="15.75" customHeight="1">
      <c r="A55" s="7" t="s">
        <v>300</v>
      </c>
      <c r="B55" s="8" t="s">
        <v>302</v>
      </c>
      <c r="C55" s="7" t="s">
        <v>52</v>
      </c>
      <c r="D55" s="12" t="s">
        <v>39</v>
      </c>
      <c r="E55" s="13" t="s">
        <v>22</v>
      </c>
      <c r="F55" s="8" t="s">
        <v>42</v>
      </c>
      <c r="G55" s="8" t="b">
        <v>0</v>
      </c>
      <c r="H55" s="8" t="s">
        <v>303</v>
      </c>
      <c r="I55" s="8">
        <v>27.0</v>
      </c>
      <c r="J55" s="8">
        <v>0.03</v>
      </c>
      <c r="K55" s="8">
        <v>1.7</v>
      </c>
    </row>
    <row r="56" ht="15.75" customHeight="1">
      <c r="A56" s="7" t="s">
        <v>305</v>
      </c>
      <c r="B56" s="8" t="s">
        <v>307</v>
      </c>
      <c r="C56" s="7" t="s">
        <v>123</v>
      </c>
      <c r="D56" s="12" t="s">
        <v>39</v>
      </c>
      <c r="E56" s="13" t="s">
        <v>76</v>
      </c>
      <c r="F56" s="8" t="s">
        <v>42</v>
      </c>
      <c r="G56" s="8" t="b">
        <v>0</v>
      </c>
      <c r="H56" s="8" t="s">
        <v>309</v>
      </c>
      <c r="I56" s="8">
        <v>27.0</v>
      </c>
      <c r="J56" s="8">
        <v>0.03</v>
      </c>
      <c r="K56" s="8">
        <v>2.15</v>
      </c>
    </row>
    <row r="57" ht="15.75" customHeight="1">
      <c r="A57" s="7" t="s">
        <v>310</v>
      </c>
      <c r="B57" s="8" t="s">
        <v>312</v>
      </c>
      <c r="C57" s="7" t="s">
        <v>264</v>
      </c>
      <c r="D57" s="12" t="s">
        <v>39</v>
      </c>
      <c r="E57" s="13" t="s">
        <v>22</v>
      </c>
      <c r="F57" s="8" t="s">
        <v>42</v>
      </c>
      <c r="G57" s="8" t="b">
        <v>0</v>
      </c>
      <c r="H57" s="8" t="s">
        <v>314</v>
      </c>
      <c r="I57" s="8">
        <v>27.0</v>
      </c>
      <c r="J57" s="8">
        <v>0.03</v>
      </c>
      <c r="K57" s="8">
        <v>1.41</v>
      </c>
    </row>
    <row r="58" ht="15.75" customHeight="1">
      <c r="A58" s="7" t="s">
        <v>315</v>
      </c>
      <c r="B58" s="8" t="s">
        <v>317</v>
      </c>
      <c r="C58" s="7" t="s">
        <v>30</v>
      </c>
      <c r="D58" s="12" t="s">
        <v>21</v>
      </c>
      <c r="E58" s="13" t="s">
        <v>41</v>
      </c>
      <c r="F58" s="8" t="s">
        <v>24</v>
      </c>
      <c r="G58" s="8" t="b">
        <v>0</v>
      </c>
      <c r="H58" s="8" t="s">
        <v>318</v>
      </c>
      <c r="I58" s="8">
        <v>27.0</v>
      </c>
      <c r="J58" s="8">
        <v>0.03</v>
      </c>
      <c r="K58" s="8">
        <v>0.0</v>
      </c>
    </row>
    <row r="59" ht="15.75" customHeight="1">
      <c r="A59" s="7" t="s">
        <v>319</v>
      </c>
      <c r="B59" s="8" t="s">
        <v>321</v>
      </c>
      <c r="C59" s="7" t="s">
        <v>145</v>
      </c>
      <c r="D59" s="12" t="s">
        <v>21</v>
      </c>
      <c r="E59" s="13" t="s">
        <v>73</v>
      </c>
      <c r="F59" s="8" t="s">
        <v>24</v>
      </c>
      <c r="G59" s="8" t="b">
        <v>0</v>
      </c>
      <c r="H59" s="8" t="s">
        <v>322</v>
      </c>
      <c r="I59" s="8">
        <v>26.0</v>
      </c>
      <c r="J59" s="8">
        <v>0.03</v>
      </c>
      <c r="K59" s="8">
        <v>0.5</v>
      </c>
    </row>
    <row r="60" ht="15.75" customHeight="1">
      <c r="A60" s="7" t="s">
        <v>324</v>
      </c>
      <c r="B60" s="8" t="s">
        <v>325</v>
      </c>
      <c r="C60" s="7" t="s">
        <v>15</v>
      </c>
      <c r="D60" s="12" t="s">
        <v>21</v>
      </c>
      <c r="E60" s="13" t="s">
        <v>22</v>
      </c>
      <c r="F60" s="8" t="s">
        <v>24</v>
      </c>
      <c r="G60" s="8" t="b">
        <v>0</v>
      </c>
      <c r="H60" s="8" t="s">
        <v>327</v>
      </c>
      <c r="I60" s="8">
        <v>26.0</v>
      </c>
      <c r="J60" s="8">
        <v>0.03</v>
      </c>
      <c r="K60" s="8">
        <v>0.12</v>
      </c>
    </row>
    <row r="61" ht="15.75" customHeight="1">
      <c r="A61" s="7" t="s">
        <v>328</v>
      </c>
      <c r="B61" s="8" t="s">
        <v>330</v>
      </c>
      <c r="C61" s="7" t="s">
        <v>46</v>
      </c>
      <c r="D61" s="12" t="s">
        <v>21</v>
      </c>
      <c r="E61" s="13" t="s">
        <v>73</v>
      </c>
      <c r="F61" s="8" t="s">
        <v>24</v>
      </c>
      <c r="G61" s="8" t="b">
        <v>0</v>
      </c>
      <c r="H61" s="8" t="s">
        <v>332</v>
      </c>
      <c r="I61" s="8">
        <v>26.0</v>
      </c>
      <c r="J61" s="8">
        <v>0.03</v>
      </c>
      <c r="K61" s="8">
        <v>0.12</v>
      </c>
    </row>
    <row r="62" ht="15.75" customHeight="1">
      <c r="A62" s="7" t="s">
        <v>333</v>
      </c>
      <c r="B62" s="8" t="s">
        <v>335</v>
      </c>
      <c r="C62" s="8" t="s">
        <v>35</v>
      </c>
      <c r="D62" s="12" t="s">
        <v>39</v>
      </c>
      <c r="E62" s="13" t="s">
        <v>22</v>
      </c>
      <c r="F62" s="8" t="s">
        <v>42</v>
      </c>
      <c r="G62" s="8" t="b">
        <v>0</v>
      </c>
      <c r="H62" s="8" t="s">
        <v>336</v>
      </c>
      <c r="I62" s="8">
        <v>26.0</v>
      </c>
      <c r="J62" s="8">
        <v>0.03</v>
      </c>
      <c r="K62" s="8">
        <v>0.27</v>
      </c>
    </row>
    <row r="63" ht="15.75" customHeight="1">
      <c r="A63" s="7" t="s">
        <v>338</v>
      </c>
      <c r="B63" s="8" t="s">
        <v>340</v>
      </c>
      <c r="C63" s="7" t="s">
        <v>59</v>
      </c>
      <c r="D63" s="12" t="s">
        <v>39</v>
      </c>
      <c r="E63" s="13" t="s">
        <v>22</v>
      </c>
      <c r="F63" s="8" t="s">
        <v>42</v>
      </c>
      <c r="G63" s="8" t="b">
        <v>0</v>
      </c>
      <c r="H63" s="8" t="s">
        <v>342</v>
      </c>
      <c r="I63" s="8">
        <v>26.0</v>
      </c>
      <c r="J63" s="8">
        <v>0.03</v>
      </c>
      <c r="K63" s="8">
        <v>0.92</v>
      </c>
    </row>
    <row r="64" ht="15.75" customHeight="1">
      <c r="A64" s="7" t="s">
        <v>343</v>
      </c>
      <c r="B64" s="8" t="s">
        <v>345</v>
      </c>
      <c r="C64" s="7" t="s">
        <v>20</v>
      </c>
      <c r="D64" s="12" t="s">
        <v>39</v>
      </c>
      <c r="E64" s="13" t="s">
        <v>22</v>
      </c>
      <c r="F64" s="8" t="s">
        <v>42</v>
      </c>
      <c r="G64" s="8" t="b">
        <v>0</v>
      </c>
      <c r="H64" s="8" t="s">
        <v>347</v>
      </c>
      <c r="I64" s="8">
        <v>26.0</v>
      </c>
      <c r="J64" s="8">
        <v>0.03</v>
      </c>
      <c r="K64" s="8">
        <v>0.42</v>
      </c>
    </row>
    <row r="65" ht="15.75" customHeight="1">
      <c r="A65" s="7" t="s">
        <v>348</v>
      </c>
      <c r="B65" s="8" t="s">
        <v>350</v>
      </c>
      <c r="C65" s="7" t="s">
        <v>306</v>
      </c>
      <c r="D65" s="12" t="s">
        <v>21</v>
      </c>
      <c r="E65" s="13" t="s">
        <v>41</v>
      </c>
      <c r="F65" s="8" t="s">
        <v>24</v>
      </c>
      <c r="G65" s="8" t="b">
        <v>0</v>
      </c>
      <c r="H65" s="8" t="s">
        <v>353</v>
      </c>
      <c r="I65" s="8">
        <v>25.0</v>
      </c>
      <c r="J65" s="8">
        <v>0.02</v>
      </c>
      <c r="K65" s="8">
        <v>0.4</v>
      </c>
    </row>
    <row r="66" ht="15.75" customHeight="1">
      <c r="A66" s="7" t="s">
        <v>355</v>
      </c>
      <c r="B66" s="8" t="s">
        <v>357</v>
      </c>
      <c r="C66" s="7" t="s">
        <v>15</v>
      </c>
      <c r="D66" s="12" t="s">
        <v>21</v>
      </c>
      <c r="E66" s="13" t="s">
        <v>22</v>
      </c>
      <c r="F66" s="8" t="s">
        <v>24</v>
      </c>
      <c r="G66" s="8" t="b">
        <v>0</v>
      </c>
      <c r="H66" s="8" t="s">
        <v>358</v>
      </c>
      <c r="I66" s="8">
        <v>25.0</v>
      </c>
      <c r="J66" s="8">
        <v>0.02</v>
      </c>
      <c r="K66" s="8">
        <v>0.4</v>
      </c>
    </row>
    <row r="67" ht="15.75" customHeight="1">
      <c r="A67" s="7" t="s">
        <v>360</v>
      </c>
      <c r="B67" s="8" t="s">
        <v>363</v>
      </c>
      <c r="C67" s="7" t="s">
        <v>26</v>
      </c>
      <c r="D67" s="12" t="s">
        <v>39</v>
      </c>
      <c r="E67" s="13" t="s">
        <v>41</v>
      </c>
      <c r="F67" s="8" t="s">
        <v>42</v>
      </c>
      <c r="G67" s="8" t="b">
        <v>0</v>
      </c>
      <c r="H67" s="8" t="s">
        <v>365</v>
      </c>
      <c r="I67" s="8">
        <v>25.0</v>
      </c>
      <c r="J67" s="8">
        <v>0.02</v>
      </c>
      <c r="K67" s="8">
        <v>0.16</v>
      </c>
    </row>
    <row r="68" ht="15.75" customHeight="1">
      <c r="A68" s="7" t="s">
        <v>366</v>
      </c>
      <c r="B68" s="8" t="s">
        <v>368</v>
      </c>
      <c r="C68" s="7" t="s">
        <v>145</v>
      </c>
      <c r="D68" s="12" t="s">
        <v>39</v>
      </c>
      <c r="E68" s="13" t="s">
        <v>73</v>
      </c>
      <c r="F68" s="8" t="s">
        <v>42</v>
      </c>
      <c r="G68" s="8" t="b">
        <v>0</v>
      </c>
      <c r="H68" s="8" t="s">
        <v>370</v>
      </c>
      <c r="I68" s="8">
        <v>24.0</v>
      </c>
      <c r="J68" s="8">
        <v>0.02</v>
      </c>
      <c r="K68" s="8">
        <v>1.13</v>
      </c>
    </row>
    <row r="69" ht="15.75" customHeight="1">
      <c r="A69" s="7" t="s">
        <v>371</v>
      </c>
      <c r="B69" s="8" t="s">
        <v>374</v>
      </c>
      <c r="C69" s="7" t="s">
        <v>375</v>
      </c>
      <c r="D69" s="12" t="s">
        <v>39</v>
      </c>
      <c r="E69" s="13" t="s">
        <v>41</v>
      </c>
      <c r="F69" s="8" t="s">
        <v>42</v>
      </c>
      <c r="G69" s="8" t="b">
        <v>0</v>
      </c>
      <c r="H69" s="8" t="s">
        <v>378</v>
      </c>
      <c r="I69" s="8">
        <v>24.0</v>
      </c>
      <c r="J69" s="8">
        <v>0.02</v>
      </c>
      <c r="K69" s="8">
        <v>1.04</v>
      </c>
    </row>
    <row r="70" ht="15.75" customHeight="1">
      <c r="A70" s="7" t="s">
        <v>379</v>
      </c>
      <c r="B70" s="8" t="s">
        <v>381</v>
      </c>
      <c r="C70" s="7" t="s">
        <v>15</v>
      </c>
      <c r="D70" s="12" t="s">
        <v>21</v>
      </c>
      <c r="E70" s="13" t="s">
        <v>22</v>
      </c>
      <c r="F70" s="8" t="s">
        <v>24</v>
      </c>
      <c r="G70" s="8" t="b">
        <v>0</v>
      </c>
      <c r="H70" s="8" t="s">
        <v>383</v>
      </c>
      <c r="I70" s="8">
        <v>24.0</v>
      </c>
      <c r="J70" s="8">
        <v>0.02</v>
      </c>
      <c r="K70" s="8">
        <v>1.54</v>
      </c>
    </row>
    <row r="71" ht="15.75" customHeight="1">
      <c r="A71" s="7" t="s">
        <v>384</v>
      </c>
      <c r="B71" s="8" t="s">
        <v>386</v>
      </c>
      <c r="C71" s="7" t="s">
        <v>112</v>
      </c>
      <c r="D71" s="12" t="s">
        <v>39</v>
      </c>
      <c r="E71" s="13" t="s">
        <v>22</v>
      </c>
      <c r="F71" s="8" t="s">
        <v>42</v>
      </c>
      <c r="G71" s="8" t="b">
        <v>0</v>
      </c>
      <c r="H71" s="8" t="s">
        <v>387</v>
      </c>
      <c r="I71" s="8">
        <v>24.0</v>
      </c>
      <c r="J71" s="8">
        <v>0.02</v>
      </c>
      <c r="K71" s="8">
        <v>2.25</v>
      </c>
    </row>
    <row r="72" ht="15.75" customHeight="1">
      <c r="A72" s="7" t="s">
        <v>388</v>
      </c>
      <c r="B72" s="8" t="s">
        <v>390</v>
      </c>
      <c r="C72" s="7" t="s">
        <v>233</v>
      </c>
      <c r="D72" s="12" t="s">
        <v>39</v>
      </c>
      <c r="E72" s="13" t="s">
        <v>41</v>
      </c>
      <c r="F72" s="8" t="s">
        <v>42</v>
      </c>
      <c r="G72" s="8" t="b">
        <v>0</v>
      </c>
      <c r="H72" s="8" t="s">
        <v>392</v>
      </c>
      <c r="I72" s="8">
        <v>24.0</v>
      </c>
      <c r="J72" s="8">
        <v>0.02</v>
      </c>
      <c r="K72" s="8">
        <v>0.79</v>
      </c>
    </row>
    <row r="73" ht="15.75" customHeight="1">
      <c r="A73" s="7" t="s">
        <v>394</v>
      </c>
      <c r="B73" s="8" t="s">
        <v>396</v>
      </c>
      <c r="C73" s="7" t="s">
        <v>118</v>
      </c>
      <c r="D73" s="12" t="s">
        <v>39</v>
      </c>
      <c r="E73" s="13" t="s">
        <v>22</v>
      </c>
      <c r="F73" s="8" t="s">
        <v>42</v>
      </c>
      <c r="G73" s="8" t="b">
        <v>0</v>
      </c>
      <c r="H73" s="8" t="s">
        <v>399</v>
      </c>
      <c r="I73" s="8">
        <v>24.0</v>
      </c>
      <c r="J73" s="8">
        <v>0.02</v>
      </c>
      <c r="K73" s="8">
        <v>1.38</v>
      </c>
    </row>
    <row r="74" ht="15.75" customHeight="1">
      <c r="A74" s="7" t="s">
        <v>400</v>
      </c>
      <c r="B74" s="8" t="s">
        <v>402</v>
      </c>
      <c r="C74" s="7" t="s">
        <v>373</v>
      </c>
      <c r="D74" s="12" t="s">
        <v>39</v>
      </c>
      <c r="E74" s="13" t="s">
        <v>41</v>
      </c>
      <c r="F74" s="8" t="s">
        <v>42</v>
      </c>
      <c r="G74" s="8" t="b">
        <v>0</v>
      </c>
      <c r="H74" s="8" t="s">
        <v>404</v>
      </c>
      <c r="I74" s="8">
        <v>24.0</v>
      </c>
      <c r="J74" s="8">
        <v>0.02</v>
      </c>
      <c r="K74" s="8">
        <v>1.46</v>
      </c>
    </row>
    <row r="75" ht="15.75" customHeight="1">
      <c r="A75" s="7" t="s">
        <v>407</v>
      </c>
      <c r="B75" s="8" t="s">
        <v>409</v>
      </c>
      <c r="C75" s="7" t="s">
        <v>156</v>
      </c>
      <c r="D75" s="12" t="s">
        <v>39</v>
      </c>
      <c r="E75" s="13" t="s">
        <v>41</v>
      </c>
      <c r="F75" s="8" t="s">
        <v>42</v>
      </c>
      <c r="G75" s="8" t="b">
        <v>0</v>
      </c>
      <c r="H75" s="8" t="s">
        <v>411</v>
      </c>
      <c r="I75" s="8">
        <v>24.0</v>
      </c>
      <c r="J75" s="8">
        <v>0.02</v>
      </c>
      <c r="K75" s="8">
        <v>0.38</v>
      </c>
    </row>
    <row r="76" ht="15.75" customHeight="1">
      <c r="A76" s="7" t="s">
        <v>413</v>
      </c>
      <c r="B76" s="8" t="s">
        <v>415</v>
      </c>
      <c r="C76" s="7" t="s">
        <v>398</v>
      </c>
      <c r="D76" s="12" t="s">
        <v>39</v>
      </c>
      <c r="E76" s="13" t="s">
        <v>41</v>
      </c>
      <c r="F76" s="8" t="s">
        <v>42</v>
      </c>
      <c r="G76" s="8" t="b">
        <v>0</v>
      </c>
      <c r="H76" s="8" t="s">
        <v>417</v>
      </c>
      <c r="I76" s="8">
        <v>23.0</v>
      </c>
      <c r="J76" s="8">
        <v>0.02</v>
      </c>
      <c r="K76" s="8">
        <v>0.39</v>
      </c>
    </row>
    <row r="77" ht="15.75" customHeight="1">
      <c r="A77" s="7" t="s">
        <v>418</v>
      </c>
      <c r="B77" s="8" t="s">
        <v>420</v>
      </c>
      <c r="C77" s="7" t="s">
        <v>26</v>
      </c>
      <c r="D77" s="12" t="s">
        <v>21</v>
      </c>
      <c r="E77" s="13" t="s">
        <v>41</v>
      </c>
      <c r="F77" s="8" t="s">
        <v>24</v>
      </c>
      <c r="G77" s="8" t="b">
        <v>0</v>
      </c>
      <c r="H77" s="8" t="s">
        <v>422</v>
      </c>
      <c r="I77" s="8">
        <v>23.0</v>
      </c>
      <c r="J77" s="8">
        <v>0.02</v>
      </c>
      <c r="K77" s="8">
        <v>0.87</v>
      </c>
    </row>
    <row r="78" ht="15.75" customHeight="1">
      <c r="A78" s="7" t="s">
        <v>423</v>
      </c>
      <c r="B78" s="8" t="s">
        <v>424</v>
      </c>
      <c r="C78" s="7" t="s">
        <v>369</v>
      </c>
      <c r="D78" s="12" t="s">
        <v>39</v>
      </c>
      <c r="E78" s="13" t="s">
        <v>22</v>
      </c>
      <c r="F78" s="8" t="s">
        <v>42</v>
      </c>
      <c r="G78" s="8" t="b">
        <v>0</v>
      </c>
      <c r="H78" s="8" t="s">
        <v>426</v>
      </c>
      <c r="I78" s="8">
        <v>23.0</v>
      </c>
      <c r="J78" s="8">
        <v>0.02</v>
      </c>
      <c r="K78" s="8">
        <v>0.57</v>
      </c>
    </row>
    <row r="79" ht="15.75" customHeight="1">
      <c r="A79" s="7" t="s">
        <v>427</v>
      </c>
      <c r="B79" s="8" t="s">
        <v>429</v>
      </c>
      <c r="C79" s="7" t="s">
        <v>395</v>
      </c>
      <c r="D79" s="12" t="s">
        <v>39</v>
      </c>
      <c r="E79" s="13" t="s">
        <v>41</v>
      </c>
      <c r="F79" s="8" t="s">
        <v>42</v>
      </c>
      <c r="G79" s="8" t="b">
        <v>0</v>
      </c>
      <c r="H79" s="8" t="s">
        <v>431</v>
      </c>
      <c r="I79" s="8">
        <v>23.0</v>
      </c>
      <c r="J79" s="8">
        <v>0.02</v>
      </c>
      <c r="K79" s="8">
        <v>0.74</v>
      </c>
    </row>
    <row r="80" ht="15.75" customHeight="1">
      <c r="A80" s="7" t="s">
        <v>433</v>
      </c>
      <c r="B80" s="8" t="s">
        <v>436</v>
      </c>
      <c r="C80" s="7" t="s">
        <v>105</v>
      </c>
      <c r="D80" s="12" t="s">
        <v>39</v>
      </c>
      <c r="E80" s="13" t="s">
        <v>22</v>
      </c>
      <c r="F80" s="8" t="s">
        <v>42</v>
      </c>
      <c r="G80" s="8" t="b">
        <v>0</v>
      </c>
      <c r="H80" s="8" t="s">
        <v>437</v>
      </c>
      <c r="I80" s="8">
        <v>23.0</v>
      </c>
      <c r="J80" s="8">
        <v>0.02</v>
      </c>
      <c r="K80" s="8">
        <v>1.0</v>
      </c>
    </row>
    <row r="81" ht="15.75" customHeight="1">
      <c r="A81" s="7" t="s">
        <v>438</v>
      </c>
      <c r="B81" s="8" t="s">
        <v>441</v>
      </c>
      <c r="C81" s="7" t="s">
        <v>30</v>
      </c>
      <c r="D81" s="12" t="s">
        <v>21</v>
      </c>
      <c r="E81" s="13" t="s">
        <v>41</v>
      </c>
      <c r="F81" s="8" t="s">
        <v>24</v>
      </c>
      <c r="G81" s="8" t="b">
        <v>0</v>
      </c>
      <c r="H81" s="8" t="s">
        <v>442</v>
      </c>
      <c r="I81" s="8">
        <v>23.0</v>
      </c>
      <c r="J81" s="8">
        <v>0.02</v>
      </c>
      <c r="K81" s="8">
        <v>0.04</v>
      </c>
    </row>
    <row r="82" ht="15.75" customHeight="1">
      <c r="A82" s="7" t="s">
        <v>444</v>
      </c>
      <c r="B82" s="8" t="s">
        <v>446</v>
      </c>
      <c r="C82" s="7" t="s">
        <v>212</v>
      </c>
      <c r="D82" s="12" t="s">
        <v>39</v>
      </c>
      <c r="E82" s="13" t="s">
        <v>22</v>
      </c>
      <c r="F82" s="8" t="s">
        <v>42</v>
      </c>
      <c r="G82" s="8" t="b">
        <v>0</v>
      </c>
      <c r="H82" s="8" t="s">
        <v>448</v>
      </c>
      <c r="I82" s="8">
        <v>23.0</v>
      </c>
      <c r="J82" s="8">
        <v>0.02</v>
      </c>
      <c r="K82" s="8">
        <v>0.91</v>
      </c>
    </row>
    <row r="83" ht="15.75" customHeight="1">
      <c r="A83" s="7" t="s">
        <v>450</v>
      </c>
      <c r="B83" s="8" t="s">
        <v>452</v>
      </c>
      <c r="C83" s="7" t="s">
        <v>79</v>
      </c>
      <c r="D83" s="12" t="s">
        <v>39</v>
      </c>
      <c r="E83" s="13" t="s">
        <v>22</v>
      </c>
      <c r="F83" s="8" t="s">
        <v>42</v>
      </c>
      <c r="G83" s="8" t="b">
        <v>0</v>
      </c>
      <c r="H83" s="8" t="s">
        <v>454</v>
      </c>
      <c r="I83" s="8">
        <v>23.0</v>
      </c>
      <c r="J83" s="8">
        <v>0.02</v>
      </c>
      <c r="K83" s="8">
        <v>2.43</v>
      </c>
    </row>
    <row r="84" ht="15.75" customHeight="1">
      <c r="A84" s="7" t="s">
        <v>455</v>
      </c>
      <c r="B84" s="8" t="s">
        <v>457</v>
      </c>
      <c r="C84" s="7" t="s">
        <v>15</v>
      </c>
      <c r="D84" s="12" t="s">
        <v>21</v>
      </c>
      <c r="E84" s="13" t="s">
        <v>22</v>
      </c>
      <c r="F84" s="8" t="s">
        <v>24</v>
      </c>
      <c r="G84" s="8" t="b">
        <v>0</v>
      </c>
      <c r="H84" s="8" t="s">
        <v>459</v>
      </c>
      <c r="I84" s="8">
        <v>22.0</v>
      </c>
      <c r="J84" s="8">
        <v>0.02</v>
      </c>
      <c r="K84" s="8">
        <v>2.09</v>
      </c>
    </row>
    <row r="85" ht="15.75" customHeight="1">
      <c r="A85" s="7" t="s">
        <v>460</v>
      </c>
      <c r="B85" s="8" t="s">
        <v>462</v>
      </c>
      <c r="C85" s="7" t="s">
        <v>339</v>
      </c>
      <c r="D85" s="12" t="s">
        <v>21</v>
      </c>
      <c r="E85" s="13" t="s">
        <v>76</v>
      </c>
      <c r="F85" s="8" t="s">
        <v>24</v>
      </c>
      <c r="G85" s="8" t="b">
        <v>0</v>
      </c>
      <c r="I85" s="8">
        <v>22.0</v>
      </c>
      <c r="J85" s="8">
        <v>0.02</v>
      </c>
      <c r="K85" s="8">
        <v>0.14</v>
      </c>
    </row>
    <row r="86" ht="15.75" customHeight="1">
      <c r="A86" s="7" t="s">
        <v>465</v>
      </c>
      <c r="B86" s="8" t="s">
        <v>468</v>
      </c>
      <c r="C86" s="7" t="s">
        <v>344</v>
      </c>
      <c r="D86" s="12" t="s">
        <v>39</v>
      </c>
      <c r="E86" s="13" t="s">
        <v>41</v>
      </c>
      <c r="F86" s="8" t="s">
        <v>42</v>
      </c>
      <c r="G86" s="8" t="b">
        <v>0</v>
      </c>
      <c r="H86" s="8" t="s">
        <v>470</v>
      </c>
      <c r="I86" s="8">
        <v>22.0</v>
      </c>
      <c r="J86" s="8">
        <v>0.02</v>
      </c>
      <c r="K86" s="8">
        <v>1.45</v>
      </c>
    </row>
    <row r="87" ht="15.75" customHeight="1">
      <c r="A87" s="7" t="s">
        <v>471</v>
      </c>
      <c r="B87" s="8" t="s">
        <v>473</v>
      </c>
      <c r="C87" s="7" t="s">
        <v>298</v>
      </c>
      <c r="D87" s="12" t="s">
        <v>39</v>
      </c>
      <c r="E87" s="13" t="s">
        <v>22</v>
      </c>
      <c r="F87" s="8" t="s">
        <v>42</v>
      </c>
      <c r="G87" s="8" t="b">
        <v>0</v>
      </c>
      <c r="H87" s="8" t="s">
        <v>475</v>
      </c>
      <c r="I87" s="8">
        <v>22.0</v>
      </c>
      <c r="J87" s="8">
        <v>0.02</v>
      </c>
      <c r="K87" s="8">
        <v>0.77</v>
      </c>
    </row>
    <row r="88" ht="15.75" customHeight="1">
      <c r="A88" s="7" t="s">
        <v>476</v>
      </c>
      <c r="B88" s="8" t="s">
        <v>478</v>
      </c>
      <c r="C88" s="7" t="s">
        <v>126</v>
      </c>
      <c r="D88" s="12" t="s">
        <v>39</v>
      </c>
      <c r="E88" s="13" t="s">
        <v>41</v>
      </c>
      <c r="F88" s="8" t="s">
        <v>42</v>
      </c>
      <c r="G88" s="8" t="b">
        <v>0</v>
      </c>
      <c r="H88" s="8" t="s">
        <v>480</v>
      </c>
      <c r="I88" s="8">
        <v>22.0</v>
      </c>
      <c r="J88" s="8">
        <v>0.02</v>
      </c>
      <c r="K88" s="8">
        <v>0.82</v>
      </c>
    </row>
    <row r="89" ht="15.75" customHeight="1">
      <c r="A89" s="7" t="s">
        <v>481</v>
      </c>
      <c r="B89" s="8" t="s">
        <v>483</v>
      </c>
      <c r="C89" s="7" t="s">
        <v>59</v>
      </c>
      <c r="D89" s="12" t="s">
        <v>39</v>
      </c>
      <c r="E89" s="13" t="s">
        <v>22</v>
      </c>
      <c r="F89" s="8" t="s">
        <v>42</v>
      </c>
      <c r="G89" s="8" t="b">
        <v>0</v>
      </c>
      <c r="H89" s="8" t="s">
        <v>485</v>
      </c>
      <c r="I89" s="8">
        <v>22.0</v>
      </c>
      <c r="J89" s="8">
        <v>0.02</v>
      </c>
      <c r="K89" s="8">
        <v>0.77</v>
      </c>
    </row>
    <row r="90" ht="15.75" customHeight="1">
      <c r="A90" s="7" t="s">
        <v>487</v>
      </c>
      <c r="B90" s="8" t="s">
        <v>489</v>
      </c>
      <c r="C90" s="7" t="s">
        <v>40</v>
      </c>
      <c r="D90" s="12" t="s">
        <v>21</v>
      </c>
      <c r="E90" s="13" t="s">
        <v>41</v>
      </c>
      <c r="F90" s="8" t="s">
        <v>24</v>
      </c>
      <c r="G90" s="8" t="b">
        <v>0</v>
      </c>
      <c r="H90" s="8" t="s">
        <v>98</v>
      </c>
      <c r="I90" s="8">
        <v>21.0</v>
      </c>
      <c r="J90" s="8">
        <v>0.02</v>
      </c>
      <c r="K90" s="8">
        <v>0.1</v>
      </c>
    </row>
    <row r="91" ht="15.75" customHeight="1">
      <c r="A91" s="7" t="s">
        <v>491</v>
      </c>
      <c r="B91" s="8" t="s">
        <v>494</v>
      </c>
      <c r="C91" s="7" t="s">
        <v>54</v>
      </c>
      <c r="D91" s="12" t="s">
        <v>39</v>
      </c>
      <c r="E91" s="13" t="s">
        <v>41</v>
      </c>
      <c r="F91" s="8" t="s">
        <v>42</v>
      </c>
      <c r="G91" s="8" t="b">
        <v>0</v>
      </c>
      <c r="H91" s="8" t="s">
        <v>496</v>
      </c>
      <c r="I91" s="8">
        <v>21.0</v>
      </c>
      <c r="J91" s="8">
        <v>0.02</v>
      </c>
      <c r="K91" s="8">
        <v>0.24</v>
      </c>
    </row>
    <row r="92" ht="15.75" customHeight="1">
      <c r="A92" s="7" t="s">
        <v>497</v>
      </c>
      <c r="B92" s="8" t="s">
        <v>499</v>
      </c>
      <c r="C92" s="7" t="s">
        <v>432</v>
      </c>
      <c r="D92" s="12" t="s">
        <v>39</v>
      </c>
      <c r="E92" s="13" t="s">
        <v>41</v>
      </c>
      <c r="F92" s="8" t="s">
        <v>42</v>
      </c>
      <c r="G92" s="8" t="b">
        <v>0</v>
      </c>
      <c r="H92" s="8" t="s">
        <v>501</v>
      </c>
      <c r="I92" s="8">
        <v>21.0</v>
      </c>
      <c r="J92" s="8">
        <v>0.02</v>
      </c>
      <c r="K92" s="8">
        <v>1.05</v>
      </c>
    </row>
    <row r="93" ht="15.75" customHeight="1">
      <c r="A93" s="7" t="s">
        <v>502</v>
      </c>
      <c r="B93" s="8" t="s">
        <v>504</v>
      </c>
      <c r="C93" s="7" t="s">
        <v>244</v>
      </c>
      <c r="D93" s="12" t="s">
        <v>39</v>
      </c>
      <c r="E93" s="13" t="s">
        <v>41</v>
      </c>
      <c r="F93" s="8" t="s">
        <v>42</v>
      </c>
      <c r="G93" s="8" t="b">
        <v>0</v>
      </c>
      <c r="H93" s="8" t="s">
        <v>506</v>
      </c>
      <c r="I93" s="8">
        <v>21.0</v>
      </c>
      <c r="J93" s="8">
        <v>0.02</v>
      </c>
      <c r="K93" s="8">
        <v>1.43</v>
      </c>
    </row>
    <row r="94" ht="15.75" customHeight="1">
      <c r="A94" s="7" t="s">
        <v>508</v>
      </c>
      <c r="B94" s="8" t="s">
        <v>509</v>
      </c>
      <c r="C94" s="7" t="s">
        <v>217</v>
      </c>
      <c r="D94" s="12" t="s">
        <v>39</v>
      </c>
      <c r="E94" s="13" t="s">
        <v>41</v>
      </c>
      <c r="F94" s="8" t="s">
        <v>42</v>
      </c>
      <c r="G94" s="8" t="b">
        <v>0</v>
      </c>
      <c r="H94" s="8" t="s">
        <v>511</v>
      </c>
      <c r="I94" s="8">
        <v>21.0</v>
      </c>
      <c r="J94" s="8">
        <v>0.02</v>
      </c>
      <c r="K94" s="8">
        <v>0.57</v>
      </c>
    </row>
    <row r="95" ht="15.75" customHeight="1">
      <c r="A95" s="7" t="s">
        <v>513</v>
      </c>
      <c r="B95" s="8" t="s">
        <v>514</v>
      </c>
      <c r="C95" s="7" t="s">
        <v>65</v>
      </c>
      <c r="D95" s="12" t="s">
        <v>39</v>
      </c>
      <c r="E95" s="13" t="s">
        <v>22</v>
      </c>
      <c r="F95" s="8" t="s">
        <v>42</v>
      </c>
      <c r="G95" s="8" t="b">
        <v>0</v>
      </c>
      <c r="H95" s="8" t="s">
        <v>516</v>
      </c>
      <c r="I95" s="8">
        <v>21.0</v>
      </c>
      <c r="J95" s="8">
        <v>0.02</v>
      </c>
      <c r="K95" s="8">
        <v>0.0</v>
      </c>
    </row>
    <row r="96" ht="15.75" customHeight="1">
      <c r="A96" s="7" t="s">
        <v>517</v>
      </c>
      <c r="B96" s="8" t="s">
        <v>519</v>
      </c>
      <c r="C96" s="7" t="s">
        <v>201</v>
      </c>
      <c r="D96" s="12" t="s">
        <v>39</v>
      </c>
      <c r="E96" s="13" t="s">
        <v>22</v>
      </c>
      <c r="F96" s="8" t="s">
        <v>42</v>
      </c>
      <c r="G96" s="8" t="b">
        <v>0</v>
      </c>
      <c r="H96" s="8" t="s">
        <v>521</v>
      </c>
      <c r="I96" s="8">
        <v>21.0</v>
      </c>
      <c r="J96" s="8">
        <v>0.02</v>
      </c>
      <c r="K96" s="8">
        <v>2.48</v>
      </c>
    </row>
    <row r="97" ht="15.75" customHeight="1">
      <c r="A97" s="7" t="s">
        <v>522</v>
      </c>
      <c r="B97" s="8" t="s">
        <v>525</v>
      </c>
      <c r="C97" s="7" t="s">
        <v>408</v>
      </c>
      <c r="D97" s="12" t="s">
        <v>39</v>
      </c>
      <c r="E97" s="13" t="s">
        <v>41</v>
      </c>
      <c r="F97" s="8" t="s">
        <v>42</v>
      </c>
      <c r="G97" s="8" t="b">
        <v>0</v>
      </c>
      <c r="H97" s="8" t="s">
        <v>527</v>
      </c>
      <c r="I97" s="8">
        <v>20.0</v>
      </c>
      <c r="J97" s="8">
        <v>0.02</v>
      </c>
      <c r="K97" s="8">
        <v>1.1</v>
      </c>
    </row>
    <row r="98" ht="15.75" customHeight="1">
      <c r="A98" s="7" t="s">
        <v>529</v>
      </c>
      <c r="B98" s="8" t="s">
        <v>530</v>
      </c>
      <c r="C98" s="7" t="s">
        <v>40</v>
      </c>
      <c r="D98" s="12" t="s">
        <v>21</v>
      </c>
      <c r="E98" s="13" t="s">
        <v>41</v>
      </c>
      <c r="F98" s="8" t="s">
        <v>24</v>
      </c>
      <c r="G98" s="8" t="b">
        <v>0</v>
      </c>
      <c r="H98" s="8" t="s">
        <v>531</v>
      </c>
      <c r="I98" s="8">
        <v>20.0</v>
      </c>
      <c r="J98" s="8">
        <v>0.02</v>
      </c>
      <c r="K98" s="8">
        <v>0.7</v>
      </c>
    </row>
    <row r="99" ht="15.75" customHeight="1">
      <c r="A99" s="7" t="s">
        <v>533</v>
      </c>
      <c r="B99" s="8" t="s">
        <v>535</v>
      </c>
      <c r="C99" s="7" t="s">
        <v>290</v>
      </c>
      <c r="D99" s="12" t="s">
        <v>39</v>
      </c>
      <c r="E99" s="13" t="s">
        <v>41</v>
      </c>
      <c r="F99" s="8" t="s">
        <v>42</v>
      </c>
      <c r="G99" s="8" t="b">
        <v>0</v>
      </c>
      <c r="H99" s="8" t="s">
        <v>537</v>
      </c>
      <c r="I99" s="8">
        <v>20.0</v>
      </c>
      <c r="J99" s="8">
        <v>0.02</v>
      </c>
      <c r="K99" s="8">
        <v>1.2</v>
      </c>
    </row>
    <row r="100" ht="15.75" customHeight="1">
      <c r="A100" s="7" t="s">
        <v>538</v>
      </c>
      <c r="B100" s="8" t="s">
        <v>541</v>
      </c>
      <c r="C100" s="7" t="s">
        <v>26</v>
      </c>
      <c r="D100" s="12" t="s">
        <v>39</v>
      </c>
      <c r="E100" s="13" t="s">
        <v>41</v>
      </c>
      <c r="F100" s="8" t="s">
        <v>42</v>
      </c>
      <c r="G100" s="8" t="b">
        <v>0</v>
      </c>
      <c r="H100" s="8" t="s">
        <v>542</v>
      </c>
      <c r="I100" s="8">
        <v>20.0</v>
      </c>
      <c r="J100" s="8">
        <v>0.02</v>
      </c>
      <c r="K100" s="8">
        <v>0.05</v>
      </c>
    </row>
    <row r="101" ht="15.75" customHeight="1">
      <c r="A101" s="7" t="s">
        <v>543</v>
      </c>
      <c r="B101" s="8" t="s">
        <v>546</v>
      </c>
      <c r="C101" s="7" t="s">
        <v>138</v>
      </c>
      <c r="D101" s="12" t="s">
        <v>21</v>
      </c>
      <c r="E101" s="13" t="s">
        <v>41</v>
      </c>
      <c r="F101" s="8" t="s">
        <v>24</v>
      </c>
      <c r="G101" s="8" t="b">
        <v>0</v>
      </c>
      <c r="H101" s="8" t="s">
        <v>548</v>
      </c>
      <c r="I101" s="8">
        <v>20.0</v>
      </c>
      <c r="J101" s="8">
        <v>0.02</v>
      </c>
      <c r="K101" s="8">
        <v>0.3</v>
      </c>
    </row>
    <row r="102" ht="15.75" customHeight="1">
      <c r="A102" s="7" t="s">
        <v>549</v>
      </c>
      <c r="B102" s="8" t="s">
        <v>552</v>
      </c>
      <c r="C102" s="7" t="s">
        <v>356</v>
      </c>
      <c r="D102" s="12" t="s">
        <v>554</v>
      </c>
      <c r="E102" s="13" t="s">
        <v>41</v>
      </c>
      <c r="F102" s="8" t="s">
        <v>555</v>
      </c>
      <c r="G102" s="8" t="b">
        <v>0</v>
      </c>
      <c r="H102" s="8" t="s">
        <v>359</v>
      </c>
      <c r="I102" s="8">
        <v>20.0</v>
      </c>
      <c r="J102" s="8">
        <v>0.02</v>
      </c>
      <c r="K102" s="8">
        <v>0.55</v>
      </c>
    </row>
    <row r="103" ht="15.75" customHeight="1">
      <c r="A103" s="7" t="s">
        <v>556</v>
      </c>
      <c r="B103" s="8" t="s">
        <v>558</v>
      </c>
      <c r="C103" s="7" t="s">
        <v>435</v>
      </c>
      <c r="D103" s="12" t="s">
        <v>560</v>
      </c>
      <c r="E103" s="13" t="s">
        <v>22</v>
      </c>
      <c r="F103" s="8" t="s">
        <v>561</v>
      </c>
      <c r="G103" s="8" t="b">
        <v>0</v>
      </c>
      <c r="H103" s="8" t="s">
        <v>562</v>
      </c>
      <c r="I103" s="8">
        <v>20.0</v>
      </c>
      <c r="J103" s="8">
        <v>0.02</v>
      </c>
      <c r="K103" s="8">
        <v>0.65</v>
      </c>
    </row>
    <row r="104" ht="15.75" customHeight="1">
      <c r="A104" s="7" t="s">
        <v>563</v>
      </c>
      <c r="B104" s="8" t="s">
        <v>565</v>
      </c>
      <c r="C104" s="7" t="s">
        <v>440</v>
      </c>
      <c r="D104" s="12" t="s">
        <v>39</v>
      </c>
      <c r="E104" s="13" t="s">
        <v>41</v>
      </c>
      <c r="F104" s="8" t="s">
        <v>42</v>
      </c>
      <c r="G104" s="8" t="b">
        <v>0</v>
      </c>
      <c r="H104" s="8" t="s">
        <v>568</v>
      </c>
      <c r="I104" s="8">
        <v>20.0</v>
      </c>
      <c r="J104" s="8">
        <v>0.02</v>
      </c>
      <c r="K104" s="8">
        <v>2.45</v>
      </c>
    </row>
    <row r="105" ht="15.75" customHeight="1">
      <c r="A105" s="7" t="s">
        <v>569</v>
      </c>
      <c r="B105" s="8" t="s">
        <v>571</v>
      </c>
      <c r="C105" s="7" t="s">
        <v>449</v>
      </c>
      <c r="D105" s="12" t="s">
        <v>39</v>
      </c>
      <c r="E105" s="13" t="s">
        <v>41</v>
      </c>
      <c r="F105" s="8" t="s">
        <v>42</v>
      </c>
      <c r="G105" s="8" t="b">
        <v>0</v>
      </c>
      <c r="H105" s="8" t="s">
        <v>575</v>
      </c>
      <c r="I105" s="8">
        <v>20.0</v>
      </c>
      <c r="J105" s="8">
        <v>0.02</v>
      </c>
      <c r="K105" s="8">
        <v>1.5</v>
      </c>
    </row>
    <row r="106" ht="15.75" customHeight="1">
      <c r="A106" s="7" t="s">
        <v>576</v>
      </c>
      <c r="B106" s="8" t="s">
        <v>578</v>
      </c>
      <c r="C106" s="7" t="s">
        <v>408</v>
      </c>
      <c r="D106" s="12" t="s">
        <v>39</v>
      </c>
      <c r="E106" s="13" t="s">
        <v>41</v>
      </c>
      <c r="F106" s="8" t="s">
        <v>42</v>
      </c>
      <c r="G106" s="8" t="b">
        <v>0</v>
      </c>
      <c r="H106" s="8" t="s">
        <v>579</v>
      </c>
      <c r="I106" s="8">
        <v>19.0</v>
      </c>
      <c r="J106" s="8">
        <v>0.02</v>
      </c>
      <c r="K106" s="8">
        <v>1.21</v>
      </c>
    </row>
    <row r="107" ht="15.75" customHeight="1">
      <c r="A107" s="7" t="s">
        <v>580</v>
      </c>
      <c r="B107" s="8" t="s">
        <v>583</v>
      </c>
      <c r="C107" s="7" t="s">
        <v>15</v>
      </c>
      <c r="D107" s="12" t="s">
        <v>21</v>
      </c>
      <c r="E107" s="13" t="s">
        <v>22</v>
      </c>
      <c r="F107" s="8" t="s">
        <v>24</v>
      </c>
      <c r="G107" s="8" t="b">
        <v>0</v>
      </c>
      <c r="H107" s="8" t="s">
        <v>584</v>
      </c>
      <c r="I107" s="8">
        <v>19.0</v>
      </c>
      <c r="J107" s="8">
        <v>0.02</v>
      </c>
      <c r="K107" s="8">
        <v>0.26</v>
      </c>
    </row>
    <row r="108" ht="15.75" customHeight="1">
      <c r="A108" s="7" t="s">
        <v>585</v>
      </c>
      <c r="B108" s="8" t="s">
        <v>588</v>
      </c>
      <c r="C108" s="7" t="s">
        <v>26</v>
      </c>
      <c r="D108" s="12" t="s">
        <v>21</v>
      </c>
      <c r="E108" s="13" t="s">
        <v>41</v>
      </c>
      <c r="F108" s="8" t="s">
        <v>24</v>
      </c>
      <c r="G108" s="8" t="b">
        <v>0</v>
      </c>
      <c r="H108" s="8" t="s">
        <v>589</v>
      </c>
      <c r="I108" s="8">
        <v>19.0</v>
      </c>
      <c r="J108" s="8">
        <v>0.02</v>
      </c>
      <c r="K108" s="8">
        <v>0.26</v>
      </c>
    </row>
    <row r="109" ht="15.75" customHeight="1">
      <c r="A109" s="7" t="s">
        <v>590</v>
      </c>
      <c r="B109" s="8" t="s">
        <v>593</v>
      </c>
      <c r="C109" s="7" t="s">
        <v>469</v>
      </c>
      <c r="D109" s="12" t="s">
        <v>39</v>
      </c>
      <c r="E109" s="13" t="s">
        <v>41</v>
      </c>
      <c r="F109" s="8" t="s">
        <v>42</v>
      </c>
      <c r="G109" s="8" t="b">
        <v>0</v>
      </c>
      <c r="H109" s="8" t="s">
        <v>596</v>
      </c>
      <c r="I109" s="8">
        <v>19.0</v>
      </c>
      <c r="J109" s="8">
        <v>0.02</v>
      </c>
      <c r="K109" s="8">
        <v>1.05</v>
      </c>
    </row>
    <row r="110" ht="15.75" customHeight="1">
      <c r="A110" s="7" t="s">
        <v>597</v>
      </c>
      <c r="B110" s="8" t="s">
        <v>601</v>
      </c>
      <c r="C110" s="7" t="s">
        <v>479</v>
      </c>
      <c r="D110" s="12" t="s">
        <v>39</v>
      </c>
      <c r="E110" s="13" t="s">
        <v>41</v>
      </c>
      <c r="F110" s="8" t="s">
        <v>42</v>
      </c>
      <c r="G110" s="8" t="b">
        <v>0</v>
      </c>
      <c r="I110" s="8">
        <v>19.0</v>
      </c>
      <c r="J110" s="8">
        <v>0.02</v>
      </c>
      <c r="K110" s="8">
        <v>0.05</v>
      </c>
    </row>
    <row r="111" ht="15.75" customHeight="1">
      <c r="A111" s="7" t="s">
        <v>604</v>
      </c>
      <c r="B111" s="8" t="s">
        <v>606</v>
      </c>
      <c r="C111" s="7" t="s">
        <v>112</v>
      </c>
      <c r="D111" s="12" t="s">
        <v>39</v>
      </c>
      <c r="E111" s="13" t="s">
        <v>22</v>
      </c>
      <c r="F111" s="8" t="s">
        <v>42</v>
      </c>
      <c r="G111" s="8" t="b">
        <v>0</v>
      </c>
      <c r="H111" s="8" t="s">
        <v>607</v>
      </c>
      <c r="I111" s="8">
        <v>19.0</v>
      </c>
      <c r="J111" s="8">
        <v>0.02</v>
      </c>
      <c r="K111" s="8">
        <v>0.53</v>
      </c>
    </row>
    <row r="112" ht="15.75" customHeight="1">
      <c r="A112" s="7" t="s">
        <v>609</v>
      </c>
      <c r="B112" s="8" t="s">
        <v>611</v>
      </c>
      <c r="C112" s="7" t="s">
        <v>364</v>
      </c>
      <c r="D112" s="12" t="s">
        <v>39</v>
      </c>
      <c r="E112" s="13" t="s">
        <v>41</v>
      </c>
      <c r="F112" s="8" t="s">
        <v>42</v>
      </c>
      <c r="G112" s="8" t="b">
        <v>0</v>
      </c>
      <c r="H112" s="8" t="s">
        <v>614</v>
      </c>
      <c r="I112" s="8">
        <v>19.0</v>
      </c>
      <c r="J112" s="8">
        <v>0.02</v>
      </c>
      <c r="K112" s="8">
        <v>0.58</v>
      </c>
    </row>
    <row r="113" ht="15.75" customHeight="1">
      <c r="A113" s="7" t="s">
        <v>616</v>
      </c>
      <c r="B113" s="8" t="s">
        <v>618</v>
      </c>
      <c r="C113" s="7" t="s">
        <v>15</v>
      </c>
      <c r="D113" s="12" t="s">
        <v>21</v>
      </c>
      <c r="E113" s="13" t="s">
        <v>22</v>
      </c>
      <c r="F113" s="8" t="s">
        <v>24</v>
      </c>
      <c r="G113" s="8" t="b">
        <v>0</v>
      </c>
      <c r="H113" s="8" t="s">
        <v>620</v>
      </c>
      <c r="I113" s="8">
        <v>18.0</v>
      </c>
      <c r="J113" s="8">
        <v>0.02</v>
      </c>
      <c r="K113" s="8">
        <v>0.22</v>
      </c>
    </row>
    <row r="114" ht="15.75" customHeight="1">
      <c r="A114" s="7" t="s">
        <v>622</v>
      </c>
      <c r="B114" s="8" t="s">
        <v>625</v>
      </c>
      <c r="C114" s="7" t="s">
        <v>158</v>
      </c>
      <c r="D114" s="12" t="s">
        <v>39</v>
      </c>
      <c r="E114" s="13" t="s">
        <v>22</v>
      </c>
      <c r="F114" s="8" t="s">
        <v>42</v>
      </c>
      <c r="G114" s="8" t="b">
        <v>0</v>
      </c>
      <c r="H114" s="8" t="s">
        <v>627</v>
      </c>
      <c r="I114" s="8">
        <v>18.0</v>
      </c>
      <c r="J114" s="8">
        <v>0.02</v>
      </c>
      <c r="K114" s="8">
        <v>1.44</v>
      </c>
    </row>
    <row r="115" ht="15.75" customHeight="1">
      <c r="A115" s="7" t="s">
        <v>629</v>
      </c>
      <c r="B115" s="8" t="s">
        <v>631</v>
      </c>
      <c r="C115" s="7" t="s">
        <v>165</v>
      </c>
      <c r="D115" s="12" t="s">
        <v>39</v>
      </c>
      <c r="E115" s="13" t="s">
        <v>22</v>
      </c>
      <c r="F115" s="8" t="s">
        <v>42</v>
      </c>
      <c r="G115" s="8" t="b">
        <v>0</v>
      </c>
      <c r="H115" s="8" t="s">
        <v>633</v>
      </c>
      <c r="I115" s="8">
        <v>18.0</v>
      </c>
      <c r="J115" s="8">
        <v>0.02</v>
      </c>
      <c r="K115" s="8">
        <v>1.44</v>
      </c>
    </row>
    <row r="116" ht="15.75" customHeight="1">
      <c r="A116" s="7" t="s">
        <v>634</v>
      </c>
      <c r="B116" s="8" t="s">
        <v>636</v>
      </c>
      <c r="C116" s="7" t="s">
        <v>138</v>
      </c>
      <c r="D116" s="12" t="s">
        <v>72</v>
      </c>
      <c r="E116" s="13" t="s">
        <v>41</v>
      </c>
      <c r="F116" s="8" t="s">
        <v>74</v>
      </c>
      <c r="G116" s="8" t="b">
        <v>0</v>
      </c>
      <c r="H116" s="8" t="s">
        <v>638</v>
      </c>
      <c r="I116" s="8">
        <v>18.0</v>
      </c>
      <c r="J116" s="8">
        <v>0.02</v>
      </c>
      <c r="K116" s="8">
        <v>1.61</v>
      </c>
    </row>
    <row r="117" ht="15.75" customHeight="1">
      <c r="A117" s="7" t="s">
        <v>639</v>
      </c>
      <c r="B117" s="8" t="s">
        <v>641</v>
      </c>
      <c r="C117" s="7" t="s">
        <v>495</v>
      </c>
      <c r="D117" s="12" t="s">
        <v>554</v>
      </c>
      <c r="E117" s="13" t="s">
        <v>41</v>
      </c>
      <c r="F117" s="8" t="s">
        <v>555</v>
      </c>
      <c r="G117" s="8" t="b">
        <v>0</v>
      </c>
      <c r="H117" s="8" t="s">
        <v>498</v>
      </c>
      <c r="I117" s="8">
        <v>18.0</v>
      </c>
      <c r="J117" s="8">
        <v>0.02</v>
      </c>
      <c r="K117" s="8">
        <v>0.44</v>
      </c>
    </row>
    <row r="118" ht="15.75" customHeight="1">
      <c r="A118" s="7" t="s">
        <v>643</v>
      </c>
      <c r="B118" s="8" t="s">
        <v>647</v>
      </c>
      <c r="C118" s="7" t="s">
        <v>99</v>
      </c>
      <c r="D118" s="12" t="s">
        <v>72</v>
      </c>
      <c r="E118" s="13" t="s">
        <v>76</v>
      </c>
      <c r="F118" s="8" t="s">
        <v>74</v>
      </c>
      <c r="G118" s="8" t="b">
        <v>0</v>
      </c>
      <c r="I118" s="8">
        <v>18.0</v>
      </c>
      <c r="J118" s="8">
        <v>0.02</v>
      </c>
      <c r="K118" s="8">
        <v>0.0</v>
      </c>
    </row>
    <row r="119" ht="15.75" customHeight="1">
      <c r="A119" s="7" t="s">
        <v>649</v>
      </c>
      <c r="B119" s="8" t="s">
        <v>651</v>
      </c>
      <c r="C119" s="7" t="s">
        <v>486</v>
      </c>
      <c r="D119" s="12" t="s">
        <v>39</v>
      </c>
      <c r="E119" s="13" t="s">
        <v>41</v>
      </c>
      <c r="F119" s="8" t="s">
        <v>42</v>
      </c>
      <c r="G119" s="8" t="b">
        <v>0</v>
      </c>
      <c r="H119" s="8" t="s">
        <v>653</v>
      </c>
      <c r="I119" s="8">
        <v>18.0</v>
      </c>
      <c r="J119" s="8">
        <v>0.02</v>
      </c>
      <c r="K119" s="8">
        <v>1.44</v>
      </c>
    </row>
    <row r="120" ht="15.75" customHeight="1">
      <c r="A120" s="7" t="s">
        <v>655</v>
      </c>
      <c r="B120" s="8" t="s">
        <v>657</v>
      </c>
      <c r="C120" s="7" t="s">
        <v>126</v>
      </c>
      <c r="D120" s="12" t="s">
        <v>39</v>
      </c>
      <c r="E120" s="13" t="s">
        <v>41</v>
      </c>
      <c r="F120" s="8" t="s">
        <v>42</v>
      </c>
      <c r="G120" s="8" t="b">
        <v>0</v>
      </c>
      <c r="H120" s="8" t="s">
        <v>658</v>
      </c>
      <c r="I120" s="8">
        <v>18.0</v>
      </c>
      <c r="J120" s="8">
        <v>0.02</v>
      </c>
      <c r="K120" s="8">
        <v>1.17</v>
      </c>
    </row>
    <row r="121" ht="15.75" customHeight="1">
      <c r="A121" s="7" t="s">
        <v>660</v>
      </c>
      <c r="B121" s="8" t="s">
        <v>662</v>
      </c>
      <c r="C121" s="7" t="s">
        <v>482</v>
      </c>
      <c r="D121" s="12" t="s">
        <v>39</v>
      </c>
      <c r="E121" s="13" t="s">
        <v>41</v>
      </c>
      <c r="F121" s="8" t="s">
        <v>42</v>
      </c>
      <c r="G121" s="8" t="b">
        <v>0</v>
      </c>
      <c r="H121" s="8" t="s">
        <v>666</v>
      </c>
      <c r="I121" s="8">
        <v>18.0</v>
      </c>
      <c r="J121" s="8">
        <v>0.02</v>
      </c>
      <c r="K121" s="8">
        <v>2.44</v>
      </c>
    </row>
    <row r="122" ht="15.75" customHeight="1">
      <c r="A122" s="7" t="s">
        <v>667</v>
      </c>
      <c r="B122" s="8" t="s">
        <v>669</v>
      </c>
      <c r="C122" s="7" t="s">
        <v>20</v>
      </c>
      <c r="D122" s="12" t="s">
        <v>39</v>
      </c>
      <c r="E122" s="13" t="s">
        <v>22</v>
      </c>
      <c r="F122" s="8" t="s">
        <v>42</v>
      </c>
      <c r="G122" s="8" t="b">
        <v>0</v>
      </c>
      <c r="H122" s="8" t="s">
        <v>671</v>
      </c>
      <c r="I122" s="8">
        <v>18.0</v>
      </c>
      <c r="J122" s="8">
        <v>0.02</v>
      </c>
      <c r="K122" s="8">
        <v>0.89</v>
      </c>
    </row>
    <row r="123" ht="15.75" customHeight="1">
      <c r="A123" s="7" t="s">
        <v>672</v>
      </c>
      <c r="B123" s="8" t="s">
        <v>674</v>
      </c>
      <c r="C123" s="7" t="s">
        <v>66</v>
      </c>
      <c r="D123" s="12" t="s">
        <v>39</v>
      </c>
      <c r="E123" s="13" t="s">
        <v>22</v>
      </c>
      <c r="F123" s="8" t="s">
        <v>42</v>
      </c>
      <c r="G123" s="8" t="b">
        <v>0</v>
      </c>
      <c r="H123" s="8" t="s">
        <v>676</v>
      </c>
      <c r="I123" s="8">
        <v>17.0</v>
      </c>
      <c r="J123" s="8">
        <v>0.02</v>
      </c>
      <c r="K123" s="8">
        <v>1.12</v>
      </c>
    </row>
    <row r="124" ht="15.75" customHeight="1">
      <c r="A124" s="7" t="s">
        <v>677</v>
      </c>
      <c r="B124" s="8" t="s">
        <v>680</v>
      </c>
      <c r="C124" s="7" t="s">
        <v>15</v>
      </c>
      <c r="D124" s="12" t="s">
        <v>21</v>
      </c>
      <c r="E124" s="13" t="s">
        <v>22</v>
      </c>
      <c r="F124" s="8" t="s">
        <v>24</v>
      </c>
      <c r="G124" s="8" t="b">
        <v>0</v>
      </c>
      <c r="H124" s="8" t="s">
        <v>682</v>
      </c>
      <c r="I124" s="8">
        <v>17.0</v>
      </c>
      <c r="J124" s="8">
        <v>0.02</v>
      </c>
      <c r="K124" s="8">
        <v>0.12</v>
      </c>
    </row>
    <row r="125" ht="15.75" customHeight="1">
      <c r="A125" s="7" t="s">
        <v>683</v>
      </c>
      <c r="B125" s="8" t="s">
        <v>686</v>
      </c>
      <c r="C125" s="7" t="s">
        <v>520</v>
      </c>
      <c r="D125" s="12" t="s">
        <v>39</v>
      </c>
      <c r="E125" s="13" t="s">
        <v>41</v>
      </c>
      <c r="F125" s="8" t="s">
        <v>42</v>
      </c>
      <c r="G125" s="8" t="b">
        <v>0</v>
      </c>
      <c r="H125" s="8" t="s">
        <v>186</v>
      </c>
      <c r="I125" s="8">
        <v>17.0</v>
      </c>
      <c r="J125" s="8">
        <v>0.02</v>
      </c>
      <c r="K125" s="8">
        <v>0.35</v>
      </c>
    </row>
    <row r="126" ht="15.75" customHeight="1">
      <c r="A126" s="7" t="s">
        <v>688</v>
      </c>
      <c r="B126" s="8" t="s">
        <v>690</v>
      </c>
      <c r="C126" s="7" t="s">
        <v>490</v>
      </c>
      <c r="D126" s="12" t="s">
        <v>693</v>
      </c>
      <c r="E126" s="13" t="s">
        <v>694</v>
      </c>
      <c r="F126" s="8" t="s">
        <v>695</v>
      </c>
      <c r="G126" s="8" t="b">
        <v>0</v>
      </c>
      <c r="H126" s="8" t="s">
        <v>696</v>
      </c>
      <c r="I126" s="8">
        <v>17.0</v>
      </c>
      <c r="J126" s="8">
        <v>0.02</v>
      </c>
      <c r="K126" s="8">
        <v>0.65</v>
      </c>
    </row>
    <row r="127" ht="15.75" customHeight="1">
      <c r="A127" s="7" t="s">
        <v>697</v>
      </c>
      <c r="B127" s="8" t="s">
        <v>699</v>
      </c>
      <c r="C127" s="7" t="s">
        <v>334</v>
      </c>
      <c r="D127" s="12" t="s">
        <v>39</v>
      </c>
      <c r="E127" s="13" t="s">
        <v>41</v>
      </c>
      <c r="F127" s="8" t="s">
        <v>42</v>
      </c>
      <c r="G127" s="8" t="b">
        <v>0</v>
      </c>
      <c r="H127" s="8" t="s">
        <v>701</v>
      </c>
      <c r="I127" s="8">
        <v>17.0</v>
      </c>
      <c r="J127" s="8">
        <v>0.02</v>
      </c>
      <c r="K127" s="8">
        <v>3.53</v>
      </c>
    </row>
    <row r="128" ht="15.75" customHeight="1">
      <c r="A128" s="7" t="s">
        <v>703</v>
      </c>
      <c r="B128" s="8" t="s">
        <v>706</v>
      </c>
      <c r="C128" s="7" t="s">
        <v>523</v>
      </c>
      <c r="D128" s="12" t="s">
        <v>39</v>
      </c>
      <c r="E128" s="13" t="s">
        <v>41</v>
      </c>
      <c r="F128" s="8" t="s">
        <v>42</v>
      </c>
      <c r="G128" s="8" t="b">
        <v>0</v>
      </c>
      <c r="H128" s="8" t="s">
        <v>708</v>
      </c>
      <c r="I128" s="8">
        <v>17.0</v>
      </c>
      <c r="J128" s="8">
        <v>0.02</v>
      </c>
      <c r="K128" s="8">
        <v>0.35</v>
      </c>
    </row>
    <row r="129" ht="15.75" customHeight="1">
      <c r="A129" s="7" t="s">
        <v>710</v>
      </c>
      <c r="B129" s="8" t="s">
        <v>712</v>
      </c>
      <c r="C129" s="7" t="s">
        <v>500</v>
      </c>
      <c r="D129" s="12" t="s">
        <v>39</v>
      </c>
      <c r="E129" s="13" t="s">
        <v>41</v>
      </c>
      <c r="F129" s="8" t="s">
        <v>42</v>
      </c>
      <c r="G129" s="8" t="b">
        <v>0</v>
      </c>
      <c r="I129" s="8">
        <v>17.0</v>
      </c>
      <c r="J129" s="8">
        <v>0.02</v>
      </c>
      <c r="K129" s="8">
        <v>2.35</v>
      </c>
    </row>
    <row r="130" ht="15.75" customHeight="1">
      <c r="A130" s="7" t="s">
        <v>715</v>
      </c>
      <c r="B130" s="8" t="s">
        <v>718</v>
      </c>
      <c r="C130" s="7" t="s">
        <v>294</v>
      </c>
      <c r="D130" s="12" t="s">
        <v>190</v>
      </c>
      <c r="E130" s="13" t="s">
        <v>41</v>
      </c>
      <c r="F130" s="8" t="s">
        <v>191</v>
      </c>
      <c r="G130" s="8" t="b">
        <v>0</v>
      </c>
      <c r="H130" s="8" t="s">
        <v>719</v>
      </c>
      <c r="I130" s="8">
        <v>17.0</v>
      </c>
      <c r="J130" s="8">
        <v>0.02</v>
      </c>
      <c r="K130" s="8">
        <v>1.65</v>
      </c>
    </row>
    <row r="131" ht="15.75" customHeight="1">
      <c r="A131" s="7" t="s">
        <v>721</v>
      </c>
      <c r="B131" s="8" t="s">
        <v>723</v>
      </c>
      <c r="C131" s="7" t="s">
        <v>349</v>
      </c>
      <c r="D131" s="12" t="s">
        <v>39</v>
      </c>
      <c r="E131" s="13" t="s">
        <v>41</v>
      </c>
      <c r="F131" s="8" t="s">
        <v>42</v>
      </c>
      <c r="G131" s="8" t="b">
        <v>0</v>
      </c>
      <c r="H131" s="8" t="s">
        <v>726</v>
      </c>
      <c r="I131" s="8">
        <v>17.0</v>
      </c>
      <c r="J131" s="8">
        <v>0.02</v>
      </c>
      <c r="K131" s="8">
        <v>2.35</v>
      </c>
    </row>
    <row r="132" ht="15.75" customHeight="1">
      <c r="A132" s="7" t="s">
        <v>727</v>
      </c>
      <c r="B132" s="8" t="s">
        <v>729</v>
      </c>
      <c r="C132" s="7" t="s">
        <v>145</v>
      </c>
      <c r="D132" s="12" t="s">
        <v>39</v>
      </c>
      <c r="E132" s="13" t="s">
        <v>73</v>
      </c>
      <c r="F132" s="8" t="s">
        <v>42</v>
      </c>
      <c r="G132" s="8" t="b">
        <v>0</v>
      </c>
      <c r="H132" s="8" t="s">
        <v>730</v>
      </c>
      <c r="I132" s="8">
        <v>16.0</v>
      </c>
      <c r="J132" s="8">
        <v>0.02</v>
      </c>
      <c r="K132" s="8">
        <v>0.38</v>
      </c>
    </row>
    <row r="133" ht="15.75" customHeight="1">
      <c r="A133" s="7" t="s">
        <v>732</v>
      </c>
      <c r="B133" s="8" t="s">
        <v>734</v>
      </c>
      <c r="C133" s="7" t="s">
        <v>313</v>
      </c>
      <c r="D133" s="12" t="s">
        <v>39</v>
      </c>
      <c r="E133" s="13" t="s">
        <v>73</v>
      </c>
      <c r="F133" s="8" t="s">
        <v>42</v>
      </c>
      <c r="G133" s="8" t="b">
        <v>0</v>
      </c>
      <c r="H133" s="8" t="s">
        <v>736</v>
      </c>
      <c r="I133" s="8">
        <v>16.0</v>
      </c>
      <c r="J133" s="8">
        <v>0.02</v>
      </c>
      <c r="K133" s="8">
        <v>1.0</v>
      </c>
    </row>
    <row r="134" ht="15.75" customHeight="1">
      <c r="A134" s="7" t="s">
        <v>737</v>
      </c>
      <c r="B134" s="8" t="s">
        <v>739</v>
      </c>
      <c r="C134" s="7" t="s">
        <v>550</v>
      </c>
      <c r="D134" s="12" t="s">
        <v>39</v>
      </c>
      <c r="E134" s="13" t="s">
        <v>41</v>
      </c>
      <c r="F134" s="8" t="s">
        <v>42</v>
      </c>
      <c r="G134" s="8" t="b">
        <v>0</v>
      </c>
      <c r="H134" s="8" t="s">
        <v>741</v>
      </c>
      <c r="I134" s="8">
        <v>16.0</v>
      </c>
      <c r="J134" s="8">
        <v>0.02</v>
      </c>
      <c r="K134" s="8">
        <v>0.69</v>
      </c>
    </row>
    <row r="135" ht="15.75" customHeight="1">
      <c r="A135" s="7" t="s">
        <v>742</v>
      </c>
      <c r="B135" s="8" t="s">
        <v>745</v>
      </c>
      <c r="C135" s="7" t="s">
        <v>507</v>
      </c>
      <c r="D135" s="12" t="s">
        <v>39</v>
      </c>
      <c r="E135" s="13" t="s">
        <v>41</v>
      </c>
      <c r="F135" s="8" t="s">
        <v>42</v>
      </c>
      <c r="G135" s="8" t="b">
        <v>0</v>
      </c>
      <c r="H135" s="8" t="s">
        <v>748</v>
      </c>
      <c r="I135" s="8">
        <v>16.0</v>
      </c>
      <c r="J135" s="8">
        <v>0.02</v>
      </c>
      <c r="K135" s="8">
        <v>1.13</v>
      </c>
    </row>
    <row r="136" ht="15.75" customHeight="1">
      <c r="A136" s="7" t="s">
        <v>749</v>
      </c>
      <c r="B136" s="8" t="s">
        <v>751</v>
      </c>
      <c r="C136" s="7" t="s">
        <v>403</v>
      </c>
      <c r="D136" s="12" t="s">
        <v>72</v>
      </c>
      <c r="E136" s="13" t="s">
        <v>753</v>
      </c>
      <c r="F136" s="8" t="s">
        <v>74</v>
      </c>
      <c r="G136" s="8" t="b">
        <v>0</v>
      </c>
      <c r="H136" s="8" t="s">
        <v>755</v>
      </c>
      <c r="I136" s="8">
        <v>16.0</v>
      </c>
      <c r="J136" s="8">
        <v>0.02</v>
      </c>
      <c r="K136" s="8">
        <v>0.19</v>
      </c>
    </row>
    <row r="137" ht="15.75" customHeight="1">
      <c r="A137" s="7" t="s">
        <v>756</v>
      </c>
      <c r="B137" s="8" t="s">
        <v>758</v>
      </c>
      <c r="C137" s="7" t="s">
        <v>15</v>
      </c>
      <c r="D137" s="12" t="s">
        <v>21</v>
      </c>
      <c r="E137" s="13" t="s">
        <v>22</v>
      </c>
      <c r="F137" s="8" t="s">
        <v>24</v>
      </c>
      <c r="G137" s="8" t="b">
        <v>0</v>
      </c>
      <c r="H137" s="8" t="s">
        <v>759</v>
      </c>
      <c r="I137" s="8">
        <v>16.0</v>
      </c>
      <c r="J137" s="8">
        <v>0.02</v>
      </c>
      <c r="K137" s="8">
        <v>0.19</v>
      </c>
    </row>
    <row r="138" ht="15.75" customHeight="1">
      <c r="A138" s="7" t="s">
        <v>761</v>
      </c>
      <c r="B138" s="8" t="s">
        <v>763</v>
      </c>
      <c r="C138" s="7" t="s">
        <v>553</v>
      </c>
      <c r="D138" s="12" t="s">
        <v>766</v>
      </c>
      <c r="E138" s="13" t="s">
        <v>41</v>
      </c>
      <c r="F138" s="8" t="s">
        <v>767</v>
      </c>
      <c r="G138" s="8" t="b">
        <v>0</v>
      </c>
      <c r="I138" s="8">
        <v>16.0</v>
      </c>
      <c r="J138" s="8">
        <v>0.02</v>
      </c>
      <c r="K138" s="8">
        <v>1.06</v>
      </c>
    </row>
    <row r="139" ht="15.75" customHeight="1">
      <c r="A139" s="7" t="s">
        <v>768</v>
      </c>
      <c r="B139" s="8" t="s">
        <v>769</v>
      </c>
      <c r="C139" s="7" t="s">
        <v>26</v>
      </c>
      <c r="D139" s="12" t="s">
        <v>39</v>
      </c>
      <c r="E139" s="13" t="s">
        <v>41</v>
      </c>
      <c r="F139" s="8" t="s">
        <v>42</v>
      </c>
      <c r="G139" s="8" t="b">
        <v>0</v>
      </c>
      <c r="H139" s="8" t="s">
        <v>771</v>
      </c>
      <c r="I139" s="8">
        <v>16.0</v>
      </c>
      <c r="J139" s="8">
        <v>0.02</v>
      </c>
      <c r="K139" s="8">
        <v>0.19</v>
      </c>
    </row>
    <row r="140" ht="15.75" customHeight="1">
      <c r="A140" s="7" t="s">
        <v>772</v>
      </c>
      <c r="B140" s="8" t="s">
        <v>775</v>
      </c>
      <c r="C140" s="7" t="s">
        <v>46</v>
      </c>
      <c r="D140" s="12" t="s">
        <v>21</v>
      </c>
      <c r="E140" s="13" t="s">
        <v>73</v>
      </c>
      <c r="F140" s="8" t="s">
        <v>24</v>
      </c>
      <c r="G140" s="8" t="b">
        <v>0</v>
      </c>
      <c r="H140" s="8" t="s">
        <v>776</v>
      </c>
      <c r="I140" s="8">
        <v>16.0</v>
      </c>
      <c r="J140" s="8">
        <v>0.02</v>
      </c>
      <c r="K140" s="8">
        <v>0.0</v>
      </c>
    </row>
    <row r="141" ht="15.75" customHeight="1">
      <c r="A141" s="7" t="s">
        <v>778</v>
      </c>
      <c r="B141" s="8" t="s">
        <v>780</v>
      </c>
      <c r="C141" s="7" t="s">
        <v>46</v>
      </c>
      <c r="D141" s="12" t="s">
        <v>72</v>
      </c>
      <c r="E141" s="13" t="s">
        <v>73</v>
      </c>
      <c r="F141" s="8" t="s">
        <v>74</v>
      </c>
      <c r="G141" s="8" t="b">
        <v>0</v>
      </c>
      <c r="H141" s="8" t="s">
        <v>782</v>
      </c>
      <c r="I141" s="8">
        <v>16.0</v>
      </c>
      <c r="J141" s="8">
        <v>0.02</v>
      </c>
      <c r="K141" s="8">
        <v>0.56</v>
      </c>
    </row>
    <row r="142" ht="15.75" customHeight="1">
      <c r="A142" s="7" t="s">
        <v>783</v>
      </c>
      <c r="B142" s="8" t="s">
        <v>787</v>
      </c>
      <c r="C142" s="7" t="s">
        <v>545</v>
      </c>
      <c r="D142" s="12" t="s">
        <v>39</v>
      </c>
      <c r="E142" s="13" t="s">
        <v>753</v>
      </c>
      <c r="F142" s="8" t="s">
        <v>42</v>
      </c>
      <c r="G142" s="8" t="b">
        <v>0</v>
      </c>
      <c r="H142" s="8" t="s">
        <v>789</v>
      </c>
      <c r="I142" s="8">
        <v>16.0</v>
      </c>
      <c r="J142" s="8">
        <v>0.02</v>
      </c>
      <c r="K142" s="8">
        <v>0.75</v>
      </c>
    </row>
    <row r="143" ht="15.75" customHeight="1">
      <c r="A143" s="7" t="s">
        <v>791</v>
      </c>
      <c r="B143" s="8" t="s">
        <v>794</v>
      </c>
      <c r="C143" s="7" t="s">
        <v>458</v>
      </c>
      <c r="D143" s="12" t="s">
        <v>39</v>
      </c>
      <c r="E143" s="13" t="s">
        <v>22</v>
      </c>
      <c r="F143" s="8" t="s">
        <v>42</v>
      </c>
      <c r="G143" s="8" t="b">
        <v>0</v>
      </c>
      <c r="H143" s="8" t="s">
        <v>796</v>
      </c>
      <c r="I143" s="8">
        <v>16.0</v>
      </c>
      <c r="J143" s="8">
        <v>0.02</v>
      </c>
      <c r="K143" s="8">
        <v>0.06</v>
      </c>
    </row>
    <row r="144" ht="15.75" customHeight="1">
      <c r="A144" s="7" t="s">
        <v>797</v>
      </c>
      <c r="B144" s="8" t="s">
        <v>800</v>
      </c>
      <c r="C144" s="7" t="s">
        <v>557</v>
      </c>
      <c r="D144" s="12" t="s">
        <v>39</v>
      </c>
      <c r="E144" s="13" t="s">
        <v>753</v>
      </c>
      <c r="F144" s="8" t="s">
        <v>42</v>
      </c>
      <c r="G144" s="8" t="b">
        <v>0</v>
      </c>
      <c r="H144" s="8" t="s">
        <v>802</v>
      </c>
      <c r="I144" s="8">
        <v>16.0</v>
      </c>
      <c r="J144" s="8">
        <v>0.02</v>
      </c>
      <c r="K144" s="8">
        <v>0.13</v>
      </c>
    </row>
    <row r="145" ht="15.75" customHeight="1">
      <c r="A145" s="7" t="s">
        <v>804</v>
      </c>
      <c r="B145" s="8" t="s">
        <v>806</v>
      </c>
      <c r="C145" s="7" t="s">
        <v>244</v>
      </c>
      <c r="D145" s="12" t="s">
        <v>39</v>
      </c>
      <c r="E145" s="13" t="s">
        <v>41</v>
      </c>
      <c r="F145" s="8" t="s">
        <v>42</v>
      </c>
      <c r="G145" s="8" t="b">
        <v>0</v>
      </c>
      <c r="H145" s="8" t="s">
        <v>808</v>
      </c>
      <c r="I145" s="8">
        <v>16.0</v>
      </c>
      <c r="J145" s="8">
        <v>0.02</v>
      </c>
      <c r="K145" s="8">
        <v>1.06</v>
      </c>
    </row>
    <row r="146" ht="15.75" customHeight="1">
      <c r="A146" s="7" t="s">
        <v>810</v>
      </c>
      <c r="B146" s="8" t="s">
        <v>812</v>
      </c>
      <c r="C146" s="7" t="s">
        <v>564</v>
      </c>
      <c r="D146" s="12" t="s">
        <v>39</v>
      </c>
      <c r="E146" s="13" t="s">
        <v>41</v>
      </c>
      <c r="F146" s="8" t="s">
        <v>42</v>
      </c>
      <c r="G146" s="8" t="b">
        <v>0</v>
      </c>
      <c r="H146" s="8" t="s">
        <v>814</v>
      </c>
      <c r="I146" s="8">
        <v>16.0</v>
      </c>
      <c r="J146" s="8">
        <v>0.02</v>
      </c>
      <c r="K146" s="8">
        <v>2.5</v>
      </c>
    </row>
    <row r="147" ht="15.75" customHeight="1">
      <c r="A147" s="7" t="s">
        <v>816</v>
      </c>
      <c r="B147" s="8" t="s">
        <v>420</v>
      </c>
      <c r="C147" s="7" t="s">
        <v>253</v>
      </c>
      <c r="D147" s="12" t="s">
        <v>39</v>
      </c>
      <c r="E147" s="13" t="s">
        <v>41</v>
      </c>
      <c r="F147" s="8" t="s">
        <v>42</v>
      </c>
      <c r="G147" s="8" t="b">
        <v>0</v>
      </c>
      <c r="H147" s="8" t="s">
        <v>186</v>
      </c>
      <c r="I147" s="8">
        <v>16.0</v>
      </c>
      <c r="J147" s="8">
        <v>0.02</v>
      </c>
      <c r="K147" s="8">
        <v>0.25</v>
      </c>
    </row>
    <row r="148" ht="15.75" customHeight="1">
      <c r="A148" s="7" t="s">
        <v>819</v>
      </c>
      <c r="B148" s="8" t="s">
        <v>823</v>
      </c>
      <c r="C148" s="7" t="s">
        <v>118</v>
      </c>
      <c r="D148" s="12" t="s">
        <v>39</v>
      </c>
      <c r="E148" s="13" t="s">
        <v>22</v>
      </c>
      <c r="F148" s="8" t="s">
        <v>42</v>
      </c>
      <c r="G148" s="8" t="b">
        <v>0</v>
      </c>
      <c r="H148" s="8" t="s">
        <v>824</v>
      </c>
      <c r="I148" s="8">
        <v>16.0</v>
      </c>
      <c r="J148" s="8">
        <v>0.02</v>
      </c>
      <c r="K148" s="8">
        <v>0.38</v>
      </c>
    </row>
    <row r="149" ht="15.75" customHeight="1">
      <c r="A149" s="7" t="s">
        <v>826</v>
      </c>
      <c r="B149" s="8" t="s">
        <v>827</v>
      </c>
      <c r="C149" s="7" t="s">
        <v>540</v>
      </c>
      <c r="D149" s="12" t="s">
        <v>39</v>
      </c>
      <c r="E149" s="13" t="s">
        <v>22</v>
      </c>
      <c r="F149" s="8" t="s">
        <v>42</v>
      </c>
      <c r="G149" s="8" t="b">
        <v>0</v>
      </c>
      <c r="H149" s="8" t="s">
        <v>830</v>
      </c>
      <c r="I149" s="8">
        <v>16.0</v>
      </c>
      <c r="J149" s="8">
        <v>0.02</v>
      </c>
      <c r="K149" s="8">
        <v>0.88</v>
      </c>
    </row>
    <row r="150" ht="15.75" customHeight="1">
      <c r="A150" s="7" t="s">
        <v>831</v>
      </c>
      <c r="B150" s="8" t="s">
        <v>834</v>
      </c>
      <c r="C150" s="7" t="s">
        <v>412</v>
      </c>
      <c r="D150" s="12" t="s">
        <v>39</v>
      </c>
      <c r="E150" s="13" t="s">
        <v>753</v>
      </c>
      <c r="F150" s="8" t="s">
        <v>42</v>
      </c>
      <c r="G150" s="8" t="b">
        <v>0</v>
      </c>
      <c r="H150" s="8" t="s">
        <v>836</v>
      </c>
      <c r="I150" s="8">
        <v>16.0</v>
      </c>
      <c r="J150" s="8">
        <v>0.02</v>
      </c>
      <c r="K150" s="8">
        <v>0.63</v>
      </c>
    </row>
    <row r="151" ht="15.75" customHeight="1">
      <c r="A151" s="7" t="s">
        <v>838</v>
      </c>
      <c r="B151" s="8" t="s">
        <v>840</v>
      </c>
      <c r="C151" s="7" t="s">
        <v>567</v>
      </c>
      <c r="D151" s="12" t="s">
        <v>554</v>
      </c>
      <c r="E151" s="13" t="s">
        <v>41</v>
      </c>
      <c r="F151" s="8" t="s">
        <v>555</v>
      </c>
      <c r="G151" s="8" t="b">
        <v>0</v>
      </c>
      <c r="H151" s="8" t="s">
        <v>842</v>
      </c>
      <c r="I151" s="8">
        <v>16.0</v>
      </c>
      <c r="J151" s="8">
        <v>0.02</v>
      </c>
      <c r="K151" s="8">
        <v>0.25</v>
      </c>
    </row>
    <row r="152" ht="15.75" customHeight="1">
      <c r="A152" s="7" t="s">
        <v>844</v>
      </c>
      <c r="B152" s="8" t="s">
        <v>846</v>
      </c>
      <c r="C152" s="7" t="s">
        <v>156</v>
      </c>
      <c r="D152" s="12" t="s">
        <v>39</v>
      </c>
      <c r="E152" s="13" t="s">
        <v>41</v>
      </c>
      <c r="F152" s="8" t="s">
        <v>42</v>
      </c>
      <c r="G152" s="8" t="b">
        <v>0</v>
      </c>
      <c r="H152" s="8" t="s">
        <v>847</v>
      </c>
      <c r="I152" s="8">
        <v>16.0</v>
      </c>
      <c r="J152" s="8">
        <v>0.02</v>
      </c>
      <c r="K152" s="8">
        <v>0.63</v>
      </c>
    </row>
    <row r="153" ht="15.75" customHeight="1">
      <c r="A153" s="7" t="s">
        <v>849</v>
      </c>
      <c r="B153" s="8" t="s">
        <v>851</v>
      </c>
      <c r="C153" s="7" t="s">
        <v>574</v>
      </c>
      <c r="D153" s="12" t="s">
        <v>554</v>
      </c>
      <c r="E153" s="13" t="s">
        <v>41</v>
      </c>
      <c r="F153" s="8" t="s">
        <v>555</v>
      </c>
      <c r="G153" s="8" t="b">
        <v>0</v>
      </c>
      <c r="I153" s="8">
        <v>15.0</v>
      </c>
      <c r="J153" s="8">
        <v>0.01</v>
      </c>
      <c r="K153" s="8">
        <v>0.13</v>
      </c>
    </row>
    <row r="154" ht="15.75" customHeight="1">
      <c r="A154" s="7" t="s">
        <v>854</v>
      </c>
      <c r="B154" s="8" t="s">
        <v>856</v>
      </c>
      <c r="C154" s="7" t="s">
        <v>40</v>
      </c>
      <c r="D154" s="12" t="s">
        <v>21</v>
      </c>
      <c r="E154" s="13" t="s">
        <v>41</v>
      </c>
      <c r="F154" s="8" t="s">
        <v>24</v>
      </c>
      <c r="G154" s="8" t="b">
        <v>0</v>
      </c>
      <c r="H154" s="8" t="s">
        <v>857</v>
      </c>
      <c r="I154" s="8">
        <v>15.0</v>
      </c>
      <c r="J154" s="8">
        <v>0.01</v>
      </c>
      <c r="K154" s="8">
        <v>0.0</v>
      </c>
    </row>
    <row r="155" ht="15.75" customHeight="1">
      <c r="A155" s="7" t="s">
        <v>858</v>
      </c>
      <c r="B155" s="8" t="s">
        <v>860</v>
      </c>
      <c r="C155" s="7" t="s">
        <v>515</v>
      </c>
      <c r="D155" s="12" t="s">
        <v>766</v>
      </c>
      <c r="E155" s="13" t="s">
        <v>22</v>
      </c>
      <c r="F155" s="8" t="s">
        <v>767</v>
      </c>
      <c r="G155" s="8" t="b">
        <v>0</v>
      </c>
      <c r="H155" s="8" t="s">
        <v>518</v>
      </c>
      <c r="I155" s="8">
        <v>15.0</v>
      </c>
      <c r="J155" s="8">
        <v>0.01</v>
      </c>
      <c r="K155" s="8">
        <v>1.07</v>
      </c>
    </row>
    <row r="156" ht="15.75" customHeight="1">
      <c r="A156" s="7" t="s">
        <v>862</v>
      </c>
      <c r="B156" s="8" t="s">
        <v>863</v>
      </c>
      <c r="C156" s="7" t="s">
        <v>15</v>
      </c>
      <c r="D156" s="12" t="s">
        <v>21</v>
      </c>
      <c r="E156" s="13" t="s">
        <v>22</v>
      </c>
      <c r="F156" s="8" t="s">
        <v>24</v>
      </c>
      <c r="G156" s="8" t="b">
        <v>0</v>
      </c>
      <c r="H156" s="8" t="s">
        <v>865</v>
      </c>
      <c r="I156" s="8">
        <v>15.0</v>
      </c>
      <c r="J156" s="8">
        <v>0.01</v>
      </c>
      <c r="K156" s="8">
        <v>0.47</v>
      </c>
    </row>
    <row r="157" ht="15.75" customHeight="1">
      <c r="A157" s="7" t="s">
        <v>866</v>
      </c>
      <c r="B157" s="8" t="s">
        <v>868</v>
      </c>
      <c r="C157" s="7" t="s">
        <v>26</v>
      </c>
      <c r="D157" s="12" t="s">
        <v>39</v>
      </c>
      <c r="E157" s="13" t="s">
        <v>41</v>
      </c>
      <c r="F157" s="8" t="s">
        <v>42</v>
      </c>
      <c r="G157" s="8" t="b">
        <v>0</v>
      </c>
      <c r="H157" s="8" t="s">
        <v>870</v>
      </c>
      <c r="I157" s="8">
        <v>15.0</v>
      </c>
      <c r="J157" s="8">
        <v>0.01</v>
      </c>
      <c r="K157" s="8">
        <v>0.4</v>
      </c>
    </row>
    <row r="158" ht="15.75" customHeight="1">
      <c r="A158" s="7" t="s">
        <v>871</v>
      </c>
      <c r="B158" s="8" t="s">
        <v>874</v>
      </c>
      <c r="C158" s="7" t="s">
        <v>126</v>
      </c>
      <c r="D158" s="12" t="s">
        <v>39</v>
      </c>
      <c r="E158" s="13" t="s">
        <v>41</v>
      </c>
      <c r="F158" s="8" t="s">
        <v>42</v>
      </c>
      <c r="G158" s="8" t="b">
        <v>0</v>
      </c>
      <c r="H158" s="8" t="s">
        <v>875</v>
      </c>
      <c r="I158" s="8">
        <v>15.0</v>
      </c>
      <c r="J158" s="8">
        <v>0.01</v>
      </c>
      <c r="K158" s="8">
        <v>0.27</v>
      </c>
    </row>
    <row r="159" ht="15.75" customHeight="1">
      <c r="A159" s="7" t="s">
        <v>877</v>
      </c>
      <c r="B159" s="8" t="s">
        <v>879</v>
      </c>
      <c r="C159" s="7" t="s">
        <v>246</v>
      </c>
      <c r="D159" s="12" t="s">
        <v>554</v>
      </c>
      <c r="E159" s="13" t="s">
        <v>73</v>
      </c>
      <c r="F159" s="8" t="s">
        <v>555</v>
      </c>
      <c r="G159" s="8" t="b">
        <v>0</v>
      </c>
      <c r="H159" s="8" t="s">
        <v>881</v>
      </c>
      <c r="I159" s="8">
        <v>15.0</v>
      </c>
      <c r="J159" s="8">
        <v>0.01</v>
      </c>
      <c r="K159" s="8">
        <v>0.33</v>
      </c>
    </row>
    <row r="160" ht="15.75" customHeight="1">
      <c r="A160" s="7" t="s">
        <v>882</v>
      </c>
      <c r="B160" s="8" t="s">
        <v>883</v>
      </c>
      <c r="C160" s="7" t="s">
        <v>587</v>
      </c>
      <c r="D160" s="12" t="s">
        <v>39</v>
      </c>
      <c r="E160" s="13" t="s">
        <v>41</v>
      </c>
      <c r="F160" s="8" t="s">
        <v>42</v>
      </c>
      <c r="G160" s="8" t="b">
        <v>0</v>
      </c>
      <c r="H160" s="8" t="s">
        <v>886</v>
      </c>
      <c r="I160" s="8">
        <v>15.0</v>
      </c>
      <c r="J160" s="8">
        <v>0.01</v>
      </c>
      <c r="K160" s="8">
        <v>1.47</v>
      </c>
    </row>
    <row r="161" ht="15.75" customHeight="1">
      <c r="A161" s="7" t="s">
        <v>887</v>
      </c>
      <c r="B161" s="8" t="s">
        <v>889</v>
      </c>
      <c r="C161" s="7" t="s">
        <v>30</v>
      </c>
      <c r="D161" s="12" t="s">
        <v>21</v>
      </c>
      <c r="E161" s="13" t="s">
        <v>41</v>
      </c>
      <c r="F161" s="8" t="s">
        <v>24</v>
      </c>
      <c r="G161" s="8" t="b">
        <v>0</v>
      </c>
      <c r="H161" s="8" t="s">
        <v>890</v>
      </c>
      <c r="I161" s="8">
        <v>15.0</v>
      </c>
      <c r="J161" s="8">
        <v>0.01</v>
      </c>
      <c r="K161" s="8">
        <v>0.07</v>
      </c>
    </row>
    <row r="162" ht="15.75" customHeight="1">
      <c r="A162" s="7" t="s">
        <v>892</v>
      </c>
      <c r="B162" s="8" t="s">
        <v>894</v>
      </c>
      <c r="C162" s="7" t="s">
        <v>592</v>
      </c>
      <c r="D162" s="12" t="s">
        <v>693</v>
      </c>
      <c r="E162" s="13" t="s">
        <v>41</v>
      </c>
      <c r="F162" s="8" t="s">
        <v>695</v>
      </c>
      <c r="G162" s="8" t="b">
        <v>0</v>
      </c>
      <c r="H162" s="8" t="s">
        <v>594</v>
      </c>
      <c r="I162" s="8">
        <v>15.0</v>
      </c>
      <c r="J162" s="8">
        <v>0.01</v>
      </c>
      <c r="K162" s="8">
        <v>0.2</v>
      </c>
    </row>
    <row r="163" ht="15.75" customHeight="1">
      <c r="A163" s="7" t="s">
        <v>897</v>
      </c>
      <c r="B163" s="8" t="s">
        <v>899</v>
      </c>
      <c r="C163" s="7" t="s">
        <v>466</v>
      </c>
      <c r="D163" s="12" t="s">
        <v>39</v>
      </c>
      <c r="E163" s="13" t="s">
        <v>41</v>
      </c>
      <c r="F163" s="8" t="s">
        <v>42</v>
      </c>
      <c r="G163" s="8" t="b">
        <v>0</v>
      </c>
      <c r="H163" s="8" t="s">
        <v>902</v>
      </c>
      <c r="I163" s="8">
        <v>15.0</v>
      </c>
      <c r="J163" s="8">
        <v>0.01</v>
      </c>
      <c r="K163" s="8">
        <v>1.67</v>
      </c>
    </row>
    <row r="164" ht="15.75" customHeight="1">
      <c r="A164" s="7" t="s">
        <v>903</v>
      </c>
      <c r="B164" s="8" t="s">
        <v>905</v>
      </c>
      <c r="C164" s="7" t="s">
        <v>329</v>
      </c>
      <c r="D164" s="12" t="s">
        <v>72</v>
      </c>
      <c r="E164" s="13" t="s">
        <v>73</v>
      </c>
      <c r="F164" s="8" t="s">
        <v>74</v>
      </c>
      <c r="G164" s="8" t="b">
        <v>0</v>
      </c>
      <c r="I164" s="8">
        <v>15.0</v>
      </c>
      <c r="J164" s="8">
        <v>0.01</v>
      </c>
      <c r="K164" s="8">
        <v>0.13</v>
      </c>
    </row>
    <row r="165" ht="15.75" customHeight="1">
      <c r="A165" s="7" t="s">
        <v>907</v>
      </c>
      <c r="B165" s="8" t="s">
        <v>910</v>
      </c>
      <c r="C165" s="7" t="s">
        <v>59</v>
      </c>
      <c r="D165" s="12" t="s">
        <v>39</v>
      </c>
      <c r="E165" s="13" t="s">
        <v>22</v>
      </c>
      <c r="F165" s="8" t="s">
        <v>42</v>
      </c>
      <c r="G165" s="8" t="b">
        <v>0</v>
      </c>
      <c r="H165" s="8" t="s">
        <v>911</v>
      </c>
      <c r="I165" s="8">
        <v>15.0</v>
      </c>
      <c r="J165" s="8">
        <v>0.01</v>
      </c>
      <c r="K165" s="8">
        <v>1.4</v>
      </c>
    </row>
    <row r="166" ht="15.75" customHeight="1">
      <c r="A166" s="7" t="s">
        <v>913</v>
      </c>
      <c r="B166" s="8" t="s">
        <v>915</v>
      </c>
      <c r="C166" s="7" t="s">
        <v>59</v>
      </c>
      <c r="D166" s="12" t="s">
        <v>39</v>
      </c>
      <c r="E166" s="13" t="s">
        <v>22</v>
      </c>
      <c r="F166" s="8" t="s">
        <v>42</v>
      </c>
      <c r="G166" s="8" t="b">
        <v>0</v>
      </c>
      <c r="H166" s="8" t="s">
        <v>916</v>
      </c>
      <c r="I166" s="8">
        <v>15.0</v>
      </c>
      <c r="J166" s="8">
        <v>0.01</v>
      </c>
      <c r="K166" s="8">
        <v>0.07</v>
      </c>
    </row>
    <row r="167" ht="15.75" customHeight="1">
      <c r="A167" s="7" t="s">
        <v>918</v>
      </c>
      <c r="B167" s="8" t="s">
        <v>920</v>
      </c>
      <c r="C167" s="7" t="s">
        <v>212</v>
      </c>
      <c r="D167" s="12" t="s">
        <v>39</v>
      </c>
      <c r="E167" s="13" t="s">
        <v>22</v>
      </c>
      <c r="F167" s="8" t="s">
        <v>42</v>
      </c>
      <c r="G167" s="8" t="b">
        <v>0</v>
      </c>
      <c r="H167" s="8" t="s">
        <v>922</v>
      </c>
      <c r="I167" s="8">
        <v>15.0</v>
      </c>
      <c r="J167" s="8">
        <v>0.01</v>
      </c>
      <c r="K167" s="8">
        <v>1.07</v>
      </c>
    </row>
    <row r="168" ht="15.75" customHeight="1">
      <c r="A168" s="7" t="s">
        <v>923</v>
      </c>
      <c r="B168" s="8" t="s">
        <v>927</v>
      </c>
      <c r="C168" s="7" t="s">
        <v>599</v>
      </c>
      <c r="D168" s="12" t="s">
        <v>39</v>
      </c>
      <c r="E168" s="13" t="s">
        <v>41</v>
      </c>
      <c r="F168" s="8" t="s">
        <v>42</v>
      </c>
      <c r="G168" s="8" t="b">
        <v>0</v>
      </c>
      <c r="H168" s="8" t="s">
        <v>600</v>
      </c>
      <c r="I168" s="8">
        <v>15.0</v>
      </c>
      <c r="J168" s="8">
        <v>0.01</v>
      </c>
      <c r="K168" s="8">
        <v>1.27</v>
      </c>
    </row>
    <row r="169" ht="15.75" customHeight="1">
      <c r="A169" s="7" t="s">
        <v>930</v>
      </c>
      <c r="B169" s="8" t="s">
        <v>933</v>
      </c>
      <c r="C169" s="7" t="s">
        <v>15</v>
      </c>
      <c r="D169" s="12" t="s">
        <v>21</v>
      </c>
      <c r="E169" s="13" t="s">
        <v>22</v>
      </c>
      <c r="F169" s="8" t="s">
        <v>24</v>
      </c>
      <c r="G169" s="8" t="b">
        <v>0</v>
      </c>
      <c r="H169" s="8" t="s">
        <v>934</v>
      </c>
      <c r="I169" s="8">
        <v>14.0</v>
      </c>
      <c r="J169" s="8">
        <v>0.01</v>
      </c>
      <c r="K169" s="8">
        <v>0.21</v>
      </c>
    </row>
    <row r="170" ht="15.75" customHeight="1">
      <c r="A170" s="7" t="s">
        <v>936</v>
      </c>
      <c r="B170" s="8" t="s">
        <v>938</v>
      </c>
      <c r="C170" s="7" t="s">
        <v>15</v>
      </c>
      <c r="D170" s="12" t="s">
        <v>21</v>
      </c>
      <c r="E170" s="13" t="s">
        <v>22</v>
      </c>
      <c r="F170" s="8" t="s">
        <v>24</v>
      </c>
      <c r="G170" s="8" t="b">
        <v>0</v>
      </c>
      <c r="H170" s="8" t="s">
        <v>939</v>
      </c>
      <c r="I170" s="8">
        <v>14.0</v>
      </c>
      <c r="J170" s="8">
        <v>0.01</v>
      </c>
      <c r="K170" s="8">
        <v>1.5</v>
      </c>
    </row>
    <row r="171" ht="15.75" customHeight="1">
      <c r="A171" s="7" t="s">
        <v>941</v>
      </c>
      <c r="B171" s="8" t="s">
        <v>943</v>
      </c>
      <c r="C171" s="7" t="s">
        <v>161</v>
      </c>
      <c r="D171" s="12" t="s">
        <v>39</v>
      </c>
      <c r="E171" s="13" t="s">
        <v>22</v>
      </c>
      <c r="F171" s="8" t="s">
        <v>42</v>
      </c>
      <c r="G171" s="8" t="b">
        <v>0</v>
      </c>
      <c r="H171" s="8" t="s">
        <v>579</v>
      </c>
      <c r="I171" s="8">
        <v>14.0</v>
      </c>
      <c r="J171" s="8">
        <v>0.01</v>
      </c>
      <c r="K171" s="8">
        <v>0.86</v>
      </c>
    </row>
    <row r="172" ht="15.75" customHeight="1">
      <c r="A172" s="7" t="s">
        <v>945</v>
      </c>
      <c r="B172" s="8" t="s">
        <v>947</v>
      </c>
      <c r="C172" s="7" t="s">
        <v>605</v>
      </c>
      <c r="D172" s="12" t="s">
        <v>39</v>
      </c>
      <c r="E172" s="13" t="s">
        <v>41</v>
      </c>
      <c r="F172" s="8" t="s">
        <v>42</v>
      </c>
      <c r="G172" s="8" t="b">
        <v>0</v>
      </c>
      <c r="H172" s="8" t="s">
        <v>949</v>
      </c>
      <c r="I172" s="8">
        <v>14.0</v>
      </c>
      <c r="J172" s="8">
        <v>0.01</v>
      </c>
      <c r="K172" s="8">
        <v>1.0</v>
      </c>
    </row>
    <row r="173" ht="15.75" customHeight="1">
      <c r="A173" s="7" t="s">
        <v>950</v>
      </c>
      <c r="B173" s="8" t="s">
        <v>953</v>
      </c>
      <c r="C173" s="8" t="s">
        <v>572</v>
      </c>
      <c r="D173" s="12" t="s">
        <v>21</v>
      </c>
      <c r="E173" s="13" t="s">
        <v>41</v>
      </c>
      <c r="F173" s="8" t="s">
        <v>24</v>
      </c>
      <c r="G173" s="8" t="b">
        <v>1</v>
      </c>
      <c r="H173" s="8" t="s">
        <v>955</v>
      </c>
      <c r="I173" s="8">
        <v>14.0</v>
      </c>
      <c r="J173" s="8">
        <v>0.01</v>
      </c>
      <c r="K173" s="8">
        <v>1.36</v>
      </c>
    </row>
    <row r="174" ht="15.75" customHeight="1">
      <c r="A174" s="7" t="s">
        <v>957</v>
      </c>
      <c r="B174" s="8" t="s">
        <v>959</v>
      </c>
      <c r="C174" s="7" t="s">
        <v>369</v>
      </c>
      <c r="D174" s="12" t="s">
        <v>766</v>
      </c>
      <c r="E174" s="13" t="s">
        <v>22</v>
      </c>
      <c r="F174" s="8" t="s">
        <v>767</v>
      </c>
      <c r="G174" s="8" t="b">
        <v>0</v>
      </c>
      <c r="H174" s="8" t="s">
        <v>960</v>
      </c>
      <c r="I174" s="8">
        <v>14.0</v>
      </c>
      <c r="J174" s="8">
        <v>0.01</v>
      </c>
      <c r="K174" s="8">
        <v>0.07</v>
      </c>
    </row>
    <row r="175" ht="15.75" customHeight="1">
      <c r="A175" s="7" t="s">
        <v>962</v>
      </c>
      <c r="B175" s="8" t="s">
        <v>964</v>
      </c>
      <c r="C175" s="7" t="s">
        <v>582</v>
      </c>
      <c r="D175" s="12" t="s">
        <v>766</v>
      </c>
      <c r="E175" s="13" t="s">
        <v>41</v>
      </c>
      <c r="F175" s="8" t="s">
        <v>767</v>
      </c>
      <c r="G175" s="8" t="b">
        <v>0</v>
      </c>
      <c r="I175" s="8">
        <v>14.0</v>
      </c>
      <c r="J175" s="8">
        <v>0.01</v>
      </c>
      <c r="K175" s="8">
        <v>0.43</v>
      </c>
    </row>
    <row r="176" ht="15.75" customHeight="1">
      <c r="A176" s="7" t="s">
        <v>966</v>
      </c>
      <c r="B176" s="8" t="s">
        <v>968</v>
      </c>
      <c r="C176" s="7" t="s">
        <v>595</v>
      </c>
      <c r="D176" s="12" t="s">
        <v>39</v>
      </c>
      <c r="E176" s="13" t="s">
        <v>190</v>
      </c>
      <c r="F176" s="8" t="s">
        <v>42</v>
      </c>
      <c r="G176" s="8" t="b">
        <v>0</v>
      </c>
      <c r="H176" s="8" t="s">
        <v>970</v>
      </c>
      <c r="I176" s="8">
        <v>14.0</v>
      </c>
      <c r="J176" s="8">
        <v>0.01</v>
      </c>
      <c r="K176" s="8">
        <v>0.0</v>
      </c>
    </row>
    <row r="177" ht="15.75" customHeight="1">
      <c r="A177" s="7" t="s">
        <v>972</v>
      </c>
      <c r="B177" s="8" t="s">
        <v>974</v>
      </c>
      <c r="C177" s="7" t="s">
        <v>59</v>
      </c>
      <c r="D177" s="12" t="s">
        <v>39</v>
      </c>
      <c r="E177" s="13" t="s">
        <v>22</v>
      </c>
      <c r="F177" s="8" t="s">
        <v>42</v>
      </c>
      <c r="G177" s="8" t="b">
        <v>0</v>
      </c>
      <c r="H177" s="8" t="s">
        <v>976</v>
      </c>
      <c r="I177" s="8">
        <v>14.0</v>
      </c>
      <c r="J177" s="8">
        <v>0.01</v>
      </c>
      <c r="K177" s="8">
        <v>0.0</v>
      </c>
    </row>
    <row r="178" ht="15.75" customHeight="1">
      <c r="A178" s="7" t="s">
        <v>977</v>
      </c>
      <c r="B178" s="8" t="s">
        <v>980</v>
      </c>
      <c r="C178" s="7" t="s">
        <v>637</v>
      </c>
      <c r="D178" s="12" t="s">
        <v>190</v>
      </c>
      <c r="E178" s="13" t="s">
        <v>73</v>
      </c>
      <c r="F178" s="8" t="s">
        <v>191</v>
      </c>
      <c r="G178" s="8" t="b">
        <v>0</v>
      </c>
      <c r="H178" s="8" t="s">
        <v>983</v>
      </c>
      <c r="I178" s="8">
        <v>13.0</v>
      </c>
      <c r="J178" s="8">
        <v>0.01</v>
      </c>
      <c r="K178" s="8">
        <v>0.0</v>
      </c>
    </row>
    <row r="179" ht="15.75" customHeight="1">
      <c r="A179" s="7" t="s">
        <v>984</v>
      </c>
      <c r="B179" s="8" t="s">
        <v>986</v>
      </c>
      <c r="C179" s="7" t="s">
        <v>40</v>
      </c>
      <c r="D179" s="12" t="s">
        <v>21</v>
      </c>
      <c r="E179" s="13" t="s">
        <v>41</v>
      </c>
      <c r="F179" s="8" t="s">
        <v>24</v>
      </c>
      <c r="G179" s="8" t="b">
        <v>0</v>
      </c>
      <c r="H179" s="8" t="s">
        <v>98</v>
      </c>
      <c r="I179" s="8">
        <v>13.0</v>
      </c>
      <c r="J179" s="8">
        <v>0.01</v>
      </c>
      <c r="K179" s="8">
        <v>0.0</v>
      </c>
    </row>
    <row r="180" ht="15.75" customHeight="1">
      <c r="A180" s="7" t="s">
        <v>988</v>
      </c>
      <c r="B180" s="8" t="s">
        <v>991</v>
      </c>
      <c r="C180" s="7" t="s">
        <v>200</v>
      </c>
      <c r="D180" s="12" t="s">
        <v>693</v>
      </c>
      <c r="E180" s="13" t="s">
        <v>190</v>
      </c>
      <c r="F180" s="8" t="s">
        <v>695</v>
      </c>
      <c r="G180" s="8" t="b">
        <v>0</v>
      </c>
      <c r="H180" s="8" t="s">
        <v>992</v>
      </c>
      <c r="I180" s="8">
        <v>13.0</v>
      </c>
      <c r="J180" s="8">
        <v>0.01</v>
      </c>
      <c r="K180" s="8">
        <v>0.0</v>
      </c>
    </row>
    <row r="181" ht="15.75" customHeight="1">
      <c r="A181" s="7" t="s">
        <v>994</v>
      </c>
      <c r="B181" s="8" t="s">
        <v>995</v>
      </c>
      <c r="C181" s="7" t="s">
        <v>15</v>
      </c>
      <c r="D181" s="12" t="s">
        <v>21</v>
      </c>
      <c r="E181" s="13" t="s">
        <v>22</v>
      </c>
      <c r="F181" s="8" t="s">
        <v>24</v>
      </c>
      <c r="G181" s="8" t="b">
        <v>0</v>
      </c>
      <c r="H181" s="8" t="s">
        <v>997</v>
      </c>
      <c r="I181" s="8">
        <v>13.0</v>
      </c>
      <c r="J181" s="8">
        <v>0.01</v>
      </c>
      <c r="K181" s="8">
        <v>0.23</v>
      </c>
    </row>
    <row r="182" ht="15.75" customHeight="1">
      <c r="A182" s="7" t="s">
        <v>999</v>
      </c>
      <c r="B182" s="8" t="s">
        <v>1001</v>
      </c>
      <c r="C182" s="7" t="s">
        <v>15</v>
      </c>
      <c r="D182" s="12" t="s">
        <v>21</v>
      </c>
      <c r="E182" s="13" t="s">
        <v>22</v>
      </c>
      <c r="F182" s="8" t="s">
        <v>24</v>
      </c>
      <c r="G182" s="8" t="b">
        <v>0</v>
      </c>
      <c r="H182" s="8" t="s">
        <v>1002</v>
      </c>
      <c r="I182" s="8">
        <v>13.0</v>
      </c>
      <c r="J182" s="8">
        <v>0.01</v>
      </c>
      <c r="K182" s="8">
        <v>0.0</v>
      </c>
    </row>
    <row r="183" ht="15.75" customHeight="1">
      <c r="A183" s="7" t="s">
        <v>1004</v>
      </c>
      <c r="B183" s="8" t="s">
        <v>1006</v>
      </c>
      <c r="C183" s="7" t="s">
        <v>15</v>
      </c>
      <c r="D183" s="12" t="s">
        <v>21</v>
      </c>
      <c r="E183" s="13" t="s">
        <v>22</v>
      </c>
      <c r="F183" s="8" t="s">
        <v>24</v>
      </c>
      <c r="G183" s="8" t="b">
        <v>0</v>
      </c>
      <c r="H183" s="8" t="s">
        <v>1007</v>
      </c>
      <c r="I183" s="8">
        <v>13.0</v>
      </c>
      <c r="J183" s="8">
        <v>0.01</v>
      </c>
      <c r="K183" s="8">
        <v>1.0</v>
      </c>
    </row>
    <row r="184" ht="15.75" customHeight="1">
      <c r="A184" s="7" t="s">
        <v>1009</v>
      </c>
      <c r="B184" s="8" t="s">
        <v>1011</v>
      </c>
      <c r="C184" s="7" t="s">
        <v>161</v>
      </c>
      <c r="D184" s="12" t="s">
        <v>39</v>
      </c>
      <c r="E184" s="13" t="s">
        <v>22</v>
      </c>
      <c r="F184" s="8" t="s">
        <v>42</v>
      </c>
      <c r="G184" s="8" t="b">
        <v>0</v>
      </c>
      <c r="H184" s="8" t="s">
        <v>1012</v>
      </c>
      <c r="I184" s="8">
        <v>13.0</v>
      </c>
      <c r="J184" s="8">
        <v>0.01</v>
      </c>
      <c r="K184" s="8">
        <v>0.38</v>
      </c>
    </row>
    <row r="185" ht="15.75" customHeight="1">
      <c r="A185" s="7" t="s">
        <v>1014</v>
      </c>
      <c r="B185" s="8" t="s">
        <v>1016</v>
      </c>
      <c r="C185" s="7" t="s">
        <v>161</v>
      </c>
      <c r="D185" s="12" t="s">
        <v>39</v>
      </c>
      <c r="E185" s="13" t="s">
        <v>22</v>
      </c>
      <c r="F185" s="8" t="s">
        <v>42</v>
      </c>
      <c r="G185" s="8" t="b">
        <v>0</v>
      </c>
      <c r="H185" s="8" t="s">
        <v>1018</v>
      </c>
      <c r="I185" s="8">
        <v>13.0</v>
      </c>
      <c r="J185" s="8">
        <v>0.01</v>
      </c>
      <c r="K185" s="8">
        <v>0.23</v>
      </c>
    </row>
    <row r="186" ht="15.75" customHeight="1">
      <c r="A186" s="7" t="s">
        <v>1019</v>
      </c>
      <c r="B186" s="8" t="s">
        <v>1022</v>
      </c>
      <c r="C186" s="7" t="s">
        <v>642</v>
      </c>
      <c r="D186" s="12" t="s">
        <v>39</v>
      </c>
      <c r="E186" s="13" t="s">
        <v>41</v>
      </c>
      <c r="F186" s="8" t="s">
        <v>42</v>
      </c>
      <c r="G186" s="8" t="b">
        <v>0</v>
      </c>
      <c r="H186" s="8" t="s">
        <v>1025</v>
      </c>
      <c r="I186" s="8">
        <v>13.0</v>
      </c>
      <c r="J186" s="8">
        <v>0.01</v>
      </c>
      <c r="K186" s="8">
        <v>1.0</v>
      </c>
    </row>
    <row r="187" ht="15.75" customHeight="1">
      <c r="A187" s="7" t="s">
        <v>1026</v>
      </c>
      <c r="B187" s="8" t="s">
        <v>1028</v>
      </c>
      <c r="C187" s="8" t="s">
        <v>645</v>
      </c>
      <c r="D187" s="12" t="s">
        <v>39</v>
      </c>
      <c r="E187" s="13" t="s">
        <v>190</v>
      </c>
      <c r="F187" s="8" t="s">
        <v>42</v>
      </c>
      <c r="G187" s="8" t="b">
        <v>0</v>
      </c>
      <c r="H187" s="8" t="s">
        <v>1030</v>
      </c>
      <c r="I187" s="8">
        <v>13.0</v>
      </c>
      <c r="J187" s="8">
        <v>0.01</v>
      </c>
      <c r="K187" s="8">
        <v>0.23</v>
      </c>
    </row>
    <row r="188" ht="15.75" customHeight="1">
      <c r="A188" s="7" t="s">
        <v>1031</v>
      </c>
      <c r="B188" s="8" t="s">
        <v>1032</v>
      </c>
      <c r="C188" s="7" t="s">
        <v>648</v>
      </c>
      <c r="D188" s="12" t="s">
        <v>39</v>
      </c>
      <c r="E188" s="13" t="s">
        <v>41</v>
      </c>
      <c r="F188" s="8" t="s">
        <v>42</v>
      </c>
      <c r="G188" s="8" t="b">
        <v>0</v>
      </c>
      <c r="H188" s="8" t="s">
        <v>1036</v>
      </c>
      <c r="I188" s="8">
        <v>13.0</v>
      </c>
      <c r="J188" s="8">
        <v>0.01</v>
      </c>
      <c r="K188" s="8">
        <v>1.08</v>
      </c>
    </row>
    <row r="189" ht="15.75" customHeight="1">
      <c r="A189" s="7" t="s">
        <v>1037</v>
      </c>
      <c r="B189" s="8" t="s">
        <v>1039</v>
      </c>
      <c r="C189" s="7" t="s">
        <v>416</v>
      </c>
      <c r="D189" s="12" t="s">
        <v>39</v>
      </c>
      <c r="E189" s="13" t="s">
        <v>41</v>
      </c>
      <c r="F189" s="8" t="s">
        <v>42</v>
      </c>
      <c r="G189" s="8" t="b">
        <v>0</v>
      </c>
      <c r="H189" s="8" t="s">
        <v>1041</v>
      </c>
      <c r="I189" s="8">
        <v>13.0</v>
      </c>
      <c r="J189" s="8">
        <v>0.01</v>
      </c>
      <c r="K189" s="8">
        <v>0.92</v>
      </c>
    </row>
    <row r="190" ht="15.75" customHeight="1">
      <c r="A190" s="7" t="s">
        <v>1042</v>
      </c>
      <c r="B190" s="8" t="s">
        <v>1043</v>
      </c>
      <c r="C190" s="7" t="s">
        <v>474</v>
      </c>
      <c r="D190" s="12" t="s">
        <v>39</v>
      </c>
      <c r="E190" s="13" t="s">
        <v>41</v>
      </c>
      <c r="F190" s="8" t="s">
        <v>42</v>
      </c>
      <c r="G190" s="8" t="b">
        <v>0</v>
      </c>
      <c r="H190" s="8" t="s">
        <v>1045</v>
      </c>
      <c r="I190" s="8">
        <v>13.0</v>
      </c>
      <c r="J190" s="8">
        <v>0.01</v>
      </c>
      <c r="K190" s="8">
        <v>0.0</v>
      </c>
    </row>
    <row r="191" ht="15.75" customHeight="1">
      <c r="A191" s="7" t="s">
        <v>1046</v>
      </c>
      <c r="B191" s="8" t="s">
        <v>1048</v>
      </c>
      <c r="C191" s="7" t="s">
        <v>652</v>
      </c>
      <c r="D191" s="12" t="s">
        <v>554</v>
      </c>
      <c r="E191" s="13" t="s">
        <v>41</v>
      </c>
      <c r="F191" s="8" t="s">
        <v>555</v>
      </c>
      <c r="G191" s="8" t="b">
        <v>0</v>
      </c>
      <c r="H191" s="8" t="s">
        <v>654</v>
      </c>
      <c r="I191" s="8">
        <v>13.0</v>
      </c>
      <c r="J191" s="8">
        <v>0.01</v>
      </c>
      <c r="K191" s="8">
        <v>0.0</v>
      </c>
    </row>
    <row r="192" ht="15.75" customHeight="1">
      <c r="A192" s="7" t="s">
        <v>1050</v>
      </c>
      <c r="B192" s="8" t="s">
        <v>1053</v>
      </c>
      <c r="C192" s="7" t="s">
        <v>180</v>
      </c>
      <c r="D192" s="12" t="s">
        <v>39</v>
      </c>
      <c r="E192" s="13" t="s">
        <v>73</v>
      </c>
      <c r="F192" s="8" t="s">
        <v>42</v>
      </c>
      <c r="G192" s="8" t="b">
        <v>0</v>
      </c>
      <c r="H192" s="8" t="s">
        <v>1056</v>
      </c>
      <c r="I192" s="8">
        <v>13.0</v>
      </c>
      <c r="J192" s="8">
        <v>0.01</v>
      </c>
      <c r="K192" s="8">
        <v>0.15</v>
      </c>
    </row>
    <row r="193" ht="15.75" customHeight="1">
      <c r="A193" s="7" t="s">
        <v>1057</v>
      </c>
      <c r="B193" s="8" t="s">
        <v>1060</v>
      </c>
      <c r="C193" s="7" t="s">
        <v>180</v>
      </c>
      <c r="D193" s="12" t="s">
        <v>39</v>
      </c>
      <c r="E193" s="13" t="s">
        <v>73</v>
      </c>
      <c r="F193" s="8" t="s">
        <v>42</v>
      </c>
      <c r="G193" s="8" t="b">
        <v>0</v>
      </c>
      <c r="H193" s="8" t="s">
        <v>1061</v>
      </c>
      <c r="I193" s="8">
        <v>13.0</v>
      </c>
      <c r="J193" s="8">
        <v>0.01</v>
      </c>
      <c r="K193" s="8">
        <v>0.0</v>
      </c>
    </row>
    <row r="194" ht="15.75" customHeight="1">
      <c r="A194" s="7" t="s">
        <v>1062</v>
      </c>
      <c r="B194" s="8" t="s">
        <v>1064</v>
      </c>
      <c r="C194" s="7" t="s">
        <v>180</v>
      </c>
      <c r="D194" s="12" t="s">
        <v>39</v>
      </c>
      <c r="E194" s="13" t="s">
        <v>73</v>
      </c>
      <c r="F194" s="8" t="s">
        <v>42</v>
      </c>
      <c r="G194" s="8" t="b">
        <v>0</v>
      </c>
      <c r="H194" s="8" t="s">
        <v>1066</v>
      </c>
      <c r="I194" s="8">
        <v>13.0</v>
      </c>
      <c r="J194" s="8">
        <v>0.01</v>
      </c>
      <c r="K194" s="8">
        <v>0.46</v>
      </c>
    </row>
    <row r="195" ht="15.75" customHeight="1">
      <c r="A195" s="7" t="s">
        <v>1067</v>
      </c>
      <c r="B195" s="8" t="s">
        <v>1070</v>
      </c>
      <c r="C195" s="7" t="s">
        <v>632</v>
      </c>
      <c r="D195" s="12" t="s">
        <v>39</v>
      </c>
      <c r="E195" s="13" t="s">
        <v>41</v>
      </c>
      <c r="F195" s="8" t="s">
        <v>42</v>
      </c>
      <c r="G195" s="8" t="b">
        <v>0</v>
      </c>
      <c r="H195" s="8" t="s">
        <v>1072</v>
      </c>
      <c r="I195" s="8">
        <v>13.0</v>
      </c>
      <c r="J195" s="8">
        <v>0.01</v>
      </c>
      <c r="K195" s="8">
        <v>1.46</v>
      </c>
    </row>
    <row r="196" ht="15.75" customHeight="1">
      <c r="A196" s="7" t="s">
        <v>1073</v>
      </c>
      <c r="B196" s="8" t="s">
        <v>1075</v>
      </c>
      <c r="C196" s="7" t="s">
        <v>85</v>
      </c>
      <c r="D196" s="12" t="s">
        <v>554</v>
      </c>
      <c r="E196" s="13" t="s">
        <v>22</v>
      </c>
      <c r="F196" s="8" t="s">
        <v>555</v>
      </c>
      <c r="G196" s="8" t="b">
        <v>0</v>
      </c>
      <c r="H196" s="8" t="s">
        <v>498</v>
      </c>
      <c r="I196" s="8">
        <v>13.0</v>
      </c>
      <c r="J196" s="8">
        <v>0.01</v>
      </c>
      <c r="K196" s="8">
        <v>0.92</v>
      </c>
    </row>
    <row r="197" ht="15.75" customHeight="1">
      <c r="A197" s="7" t="s">
        <v>1076</v>
      </c>
      <c r="B197" s="8" t="s">
        <v>1078</v>
      </c>
      <c r="C197" s="7" t="s">
        <v>246</v>
      </c>
      <c r="D197" s="12" t="s">
        <v>39</v>
      </c>
      <c r="E197" s="13" t="s">
        <v>73</v>
      </c>
      <c r="F197" s="8" t="s">
        <v>42</v>
      </c>
      <c r="G197" s="8" t="b">
        <v>0</v>
      </c>
      <c r="H197" s="8" t="s">
        <v>1079</v>
      </c>
      <c r="I197" s="8">
        <v>13.0</v>
      </c>
      <c r="J197" s="8">
        <v>0.01</v>
      </c>
      <c r="K197" s="8">
        <v>0.31</v>
      </c>
    </row>
    <row r="198" ht="15.75" customHeight="1">
      <c r="A198" s="7" t="s">
        <v>1081</v>
      </c>
      <c r="B198" s="8" t="s">
        <v>1083</v>
      </c>
      <c r="C198" s="7" t="s">
        <v>233</v>
      </c>
      <c r="D198" s="12" t="s">
        <v>39</v>
      </c>
      <c r="E198" s="13" t="s">
        <v>41</v>
      </c>
      <c r="F198" s="8" t="s">
        <v>42</v>
      </c>
      <c r="G198" s="8" t="b">
        <v>0</v>
      </c>
      <c r="H198" s="8" t="s">
        <v>1084</v>
      </c>
      <c r="I198" s="8">
        <v>13.0</v>
      </c>
      <c r="J198" s="8">
        <v>0.01</v>
      </c>
      <c r="K198" s="8">
        <v>1.0</v>
      </c>
    </row>
    <row r="199" ht="15.75" customHeight="1">
      <c r="A199" s="7" t="s">
        <v>1086</v>
      </c>
      <c r="B199" s="8" t="s">
        <v>1088</v>
      </c>
      <c r="C199" s="8" t="s">
        <v>664</v>
      </c>
      <c r="D199" s="12" t="s">
        <v>39</v>
      </c>
      <c r="E199" s="13" t="s">
        <v>41</v>
      </c>
      <c r="F199" s="8" t="s">
        <v>42</v>
      </c>
      <c r="G199" s="8" t="b">
        <v>0</v>
      </c>
      <c r="H199" s="8" t="s">
        <v>1089</v>
      </c>
      <c r="I199" s="8">
        <v>13.0</v>
      </c>
      <c r="J199" s="8">
        <v>0.01</v>
      </c>
      <c r="K199" s="8">
        <v>1.08</v>
      </c>
    </row>
    <row r="200" ht="15.75" customHeight="1">
      <c r="A200" s="7" t="s">
        <v>1091</v>
      </c>
      <c r="B200" s="8" t="s">
        <v>1092</v>
      </c>
      <c r="C200" s="7" t="s">
        <v>294</v>
      </c>
      <c r="D200" s="12" t="s">
        <v>39</v>
      </c>
      <c r="E200" s="13" t="s">
        <v>41</v>
      </c>
      <c r="F200" s="8" t="s">
        <v>42</v>
      </c>
      <c r="G200" s="8" t="b">
        <v>0</v>
      </c>
      <c r="H200" s="8" t="s">
        <v>1094</v>
      </c>
      <c r="I200" s="8">
        <v>13.0</v>
      </c>
      <c r="J200" s="8">
        <v>0.01</v>
      </c>
      <c r="K200" s="8">
        <v>0.46</v>
      </c>
    </row>
    <row r="201" ht="15.75" customHeight="1">
      <c r="A201" s="7" t="s">
        <v>1095</v>
      </c>
      <c r="B201" s="8" t="s">
        <v>1097</v>
      </c>
      <c r="C201" s="7" t="s">
        <v>222</v>
      </c>
      <c r="D201" s="12" t="s">
        <v>554</v>
      </c>
      <c r="E201" s="13" t="s">
        <v>22</v>
      </c>
      <c r="F201" s="8" t="s">
        <v>555</v>
      </c>
      <c r="G201" s="8" t="b">
        <v>0</v>
      </c>
      <c r="H201" s="8" t="s">
        <v>1099</v>
      </c>
      <c r="I201" s="8">
        <v>13.0</v>
      </c>
      <c r="J201" s="8">
        <v>0.01</v>
      </c>
      <c r="K201" s="8">
        <v>0.46</v>
      </c>
    </row>
    <row r="202" ht="15.75" customHeight="1">
      <c r="A202" s="7" t="s">
        <v>1100</v>
      </c>
      <c r="B202" s="8" t="s">
        <v>1102</v>
      </c>
      <c r="C202" s="7" t="s">
        <v>391</v>
      </c>
      <c r="D202" s="12" t="s">
        <v>39</v>
      </c>
      <c r="E202" s="13" t="s">
        <v>41</v>
      </c>
      <c r="F202" s="8" t="s">
        <v>42</v>
      </c>
      <c r="G202" s="8" t="b">
        <v>0</v>
      </c>
      <c r="H202" s="8" t="s">
        <v>1105</v>
      </c>
      <c r="I202" s="8">
        <v>13.0</v>
      </c>
      <c r="J202" s="8">
        <v>0.01</v>
      </c>
      <c r="K202" s="8">
        <v>0.46</v>
      </c>
    </row>
    <row r="203" ht="15.75" customHeight="1">
      <c r="A203" s="7" t="s">
        <v>1106</v>
      </c>
      <c r="B203" s="8" t="s">
        <v>1109</v>
      </c>
      <c r="C203" s="7" t="s">
        <v>329</v>
      </c>
      <c r="D203" s="12" t="s">
        <v>72</v>
      </c>
      <c r="E203" s="13" t="s">
        <v>73</v>
      </c>
      <c r="F203" s="8" t="s">
        <v>74</v>
      </c>
      <c r="G203" s="8" t="b">
        <v>0</v>
      </c>
      <c r="H203" s="8" t="s">
        <v>331</v>
      </c>
      <c r="I203" s="8">
        <v>13.0</v>
      </c>
      <c r="J203" s="8">
        <v>0.01</v>
      </c>
      <c r="K203" s="8">
        <v>0.08</v>
      </c>
    </row>
    <row r="204" ht="15.75" customHeight="1">
      <c r="A204" s="7" t="s">
        <v>1111</v>
      </c>
      <c r="B204" s="8" t="s">
        <v>1114</v>
      </c>
      <c r="C204" s="7" t="s">
        <v>673</v>
      </c>
      <c r="D204" s="12" t="s">
        <v>39</v>
      </c>
      <c r="E204" s="13" t="s">
        <v>41</v>
      </c>
      <c r="F204" s="8" t="s">
        <v>42</v>
      </c>
      <c r="G204" s="8" t="b">
        <v>0</v>
      </c>
      <c r="H204" s="8" t="s">
        <v>1117</v>
      </c>
      <c r="I204" s="8">
        <v>13.0</v>
      </c>
      <c r="J204" s="8">
        <v>0.01</v>
      </c>
      <c r="K204" s="8">
        <v>1.15</v>
      </c>
    </row>
    <row r="205" ht="15.75" customHeight="1">
      <c r="A205" s="7" t="s">
        <v>1118</v>
      </c>
      <c r="B205" s="8" t="s">
        <v>1120</v>
      </c>
      <c r="C205" s="7" t="s">
        <v>678</v>
      </c>
      <c r="D205" s="12" t="s">
        <v>39</v>
      </c>
      <c r="E205" s="13" t="s">
        <v>73</v>
      </c>
      <c r="F205" s="8" t="s">
        <v>42</v>
      </c>
      <c r="G205" s="8" t="b">
        <v>0</v>
      </c>
      <c r="H205" s="8" t="s">
        <v>679</v>
      </c>
      <c r="I205" s="8">
        <v>13.0</v>
      </c>
      <c r="J205" s="8">
        <v>0.01</v>
      </c>
      <c r="K205" s="8">
        <v>0.0</v>
      </c>
    </row>
    <row r="206" ht="15.75" customHeight="1">
      <c r="A206" s="7" t="s">
        <v>1124</v>
      </c>
      <c r="B206" s="8" t="s">
        <v>1125</v>
      </c>
      <c r="C206" s="7" t="s">
        <v>711</v>
      </c>
      <c r="D206" s="12" t="s">
        <v>39</v>
      </c>
      <c r="E206" s="13" t="s">
        <v>41</v>
      </c>
      <c r="F206" s="8" t="s">
        <v>42</v>
      </c>
      <c r="G206" s="8" t="b">
        <v>0</v>
      </c>
      <c r="H206" s="8" t="s">
        <v>1127</v>
      </c>
      <c r="I206" s="8">
        <v>12.0</v>
      </c>
      <c r="J206" s="8">
        <v>0.01</v>
      </c>
      <c r="K206" s="8">
        <v>0.83</v>
      </c>
    </row>
    <row r="207" ht="15.75" customHeight="1">
      <c r="A207" s="7" t="s">
        <v>1128</v>
      </c>
      <c r="B207" s="8" t="s">
        <v>1131</v>
      </c>
      <c r="C207" s="7" t="s">
        <v>40</v>
      </c>
      <c r="D207" s="12" t="s">
        <v>21</v>
      </c>
      <c r="E207" s="13" t="s">
        <v>41</v>
      </c>
      <c r="F207" s="8" t="s">
        <v>24</v>
      </c>
      <c r="G207" s="8" t="b">
        <v>0</v>
      </c>
      <c r="H207" s="8" t="s">
        <v>98</v>
      </c>
      <c r="I207" s="8">
        <v>12.0</v>
      </c>
      <c r="J207" s="8">
        <v>0.01</v>
      </c>
      <c r="K207" s="8">
        <v>0.08</v>
      </c>
    </row>
    <row r="208" ht="15.75" customHeight="1">
      <c r="A208" s="7" t="s">
        <v>1132</v>
      </c>
      <c r="B208" s="8" t="s">
        <v>1135</v>
      </c>
      <c r="C208" s="7" t="s">
        <v>145</v>
      </c>
      <c r="D208" s="12" t="s">
        <v>39</v>
      </c>
      <c r="E208" s="13" t="s">
        <v>73</v>
      </c>
      <c r="F208" s="8" t="s">
        <v>42</v>
      </c>
      <c r="G208" s="8" t="b">
        <v>0</v>
      </c>
      <c r="H208" s="8" t="s">
        <v>1136</v>
      </c>
      <c r="I208" s="8">
        <v>12.0</v>
      </c>
      <c r="J208" s="8">
        <v>0.01</v>
      </c>
      <c r="K208" s="8">
        <v>0.0</v>
      </c>
    </row>
    <row r="209" ht="15.75" customHeight="1">
      <c r="A209" s="7" t="s">
        <v>1138</v>
      </c>
      <c r="B209" s="8" t="s">
        <v>1140</v>
      </c>
      <c r="C209" s="7" t="s">
        <v>145</v>
      </c>
      <c r="D209" s="12" t="s">
        <v>39</v>
      </c>
      <c r="E209" s="13" t="s">
        <v>73</v>
      </c>
      <c r="F209" s="8" t="s">
        <v>42</v>
      </c>
      <c r="G209" s="8" t="b">
        <v>0</v>
      </c>
      <c r="H209" s="8" t="s">
        <v>1141</v>
      </c>
      <c r="I209" s="8">
        <v>12.0</v>
      </c>
      <c r="J209" s="8">
        <v>0.01</v>
      </c>
      <c r="K209" s="8">
        <v>0.25</v>
      </c>
    </row>
    <row r="210" ht="15.75" customHeight="1">
      <c r="A210" s="7" t="s">
        <v>1142</v>
      </c>
      <c r="B210" s="8" t="s">
        <v>1144</v>
      </c>
      <c r="C210" s="7" t="s">
        <v>66</v>
      </c>
      <c r="D210" s="12" t="s">
        <v>39</v>
      </c>
      <c r="E210" s="13" t="s">
        <v>22</v>
      </c>
      <c r="F210" s="8" t="s">
        <v>42</v>
      </c>
      <c r="G210" s="8" t="b">
        <v>0</v>
      </c>
      <c r="H210" s="8" t="s">
        <v>1145</v>
      </c>
      <c r="I210" s="8">
        <v>12.0</v>
      </c>
      <c r="J210" s="8">
        <v>0.01</v>
      </c>
      <c r="K210" s="8">
        <v>1.0</v>
      </c>
    </row>
    <row r="211" ht="15.75" customHeight="1">
      <c r="A211" s="7" t="s">
        <v>1146</v>
      </c>
      <c r="B211" s="8" t="s">
        <v>1149</v>
      </c>
      <c r="C211" s="7" t="s">
        <v>722</v>
      </c>
      <c r="D211" s="12" t="s">
        <v>766</v>
      </c>
      <c r="E211" s="13" t="s">
        <v>41</v>
      </c>
      <c r="F211" s="8" t="s">
        <v>767</v>
      </c>
      <c r="G211" s="8" t="b">
        <v>0</v>
      </c>
      <c r="H211" s="8" t="s">
        <v>724</v>
      </c>
      <c r="I211" s="8">
        <v>12.0</v>
      </c>
      <c r="J211" s="8">
        <v>0.01</v>
      </c>
      <c r="K211" s="8">
        <v>0.0</v>
      </c>
    </row>
    <row r="212" ht="15.75" customHeight="1">
      <c r="A212" s="7" t="s">
        <v>1152</v>
      </c>
      <c r="B212" s="8" t="s">
        <v>1155</v>
      </c>
      <c r="C212" s="7" t="s">
        <v>15</v>
      </c>
      <c r="D212" s="12" t="s">
        <v>190</v>
      </c>
      <c r="E212" s="13" t="s">
        <v>22</v>
      </c>
      <c r="F212" s="8" t="s">
        <v>191</v>
      </c>
      <c r="G212" s="8" t="b">
        <v>0</v>
      </c>
      <c r="H212" s="8" t="s">
        <v>1156</v>
      </c>
      <c r="I212" s="8">
        <v>12.0</v>
      </c>
      <c r="J212" s="8">
        <v>0.01</v>
      </c>
      <c r="K212" s="8">
        <v>1.5</v>
      </c>
    </row>
    <row r="213" ht="15.75" customHeight="1">
      <c r="A213" s="7" t="s">
        <v>1157</v>
      </c>
      <c r="B213" s="8" t="s">
        <v>1159</v>
      </c>
      <c r="C213" s="7" t="s">
        <v>54</v>
      </c>
      <c r="D213" s="12" t="s">
        <v>39</v>
      </c>
      <c r="E213" s="13" t="s">
        <v>41</v>
      </c>
      <c r="F213" s="8" t="s">
        <v>42</v>
      </c>
      <c r="G213" s="8" t="b">
        <v>0</v>
      </c>
      <c r="H213" s="8" t="s">
        <v>1160</v>
      </c>
      <c r="I213" s="8">
        <v>12.0</v>
      </c>
      <c r="J213" s="8">
        <v>0.01</v>
      </c>
      <c r="K213" s="8">
        <v>1.5</v>
      </c>
    </row>
    <row r="214" ht="15.75" customHeight="1">
      <c r="A214" s="7" t="s">
        <v>1161</v>
      </c>
      <c r="B214" s="8" t="s">
        <v>1164</v>
      </c>
      <c r="C214" s="7" t="s">
        <v>725</v>
      </c>
      <c r="D214" s="12" t="s">
        <v>554</v>
      </c>
      <c r="E214" s="13" t="s">
        <v>41</v>
      </c>
      <c r="F214" s="8" t="s">
        <v>555</v>
      </c>
      <c r="G214" s="8" t="b">
        <v>0</v>
      </c>
      <c r="I214" s="8">
        <v>12.0</v>
      </c>
      <c r="J214" s="8">
        <v>0.01</v>
      </c>
      <c r="K214" s="8">
        <v>1.5</v>
      </c>
    </row>
    <row r="215" ht="15.75" customHeight="1">
      <c r="A215" s="7" t="s">
        <v>1166</v>
      </c>
      <c r="B215" s="8" t="s">
        <v>1168</v>
      </c>
      <c r="C215" s="7" t="s">
        <v>610</v>
      </c>
      <c r="D215" s="12" t="s">
        <v>39</v>
      </c>
      <c r="E215" s="13" t="s">
        <v>41</v>
      </c>
      <c r="F215" s="8" t="s">
        <v>42</v>
      </c>
      <c r="G215" s="8" t="b">
        <v>0</v>
      </c>
      <c r="H215" s="8" t="s">
        <v>1170</v>
      </c>
      <c r="I215" s="8">
        <v>12.0</v>
      </c>
      <c r="J215" s="8">
        <v>0.01</v>
      </c>
      <c r="K215" s="8">
        <v>0.0</v>
      </c>
    </row>
    <row r="216" ht="15.75" customHeight="1">
      <c r="A216" s="7" t="s">
        <v>1172</v>
      </c>
      <c r="B216" s="8" t="s">
        <v>1173</v>
      </c>
      <c r="C216" s="7" t="s">
        <v>133</v>
      </c>
      <c r="D216" s="12" t="s">
        <v>39</v>
      </c>
      <c r="E216" s="13" t="s">
        <v>22</v>
      </c>
      <c r="F216" s="8" t="s">
        <v>42</v>
      </c>
      <c r="G216" s="8" t="b">
        <v>0</v>
      </c>
      <c r="H216" s="8" t="s">
        <v>1175</v>
      </c>
      <c r="I216" s="8">
        <v>12.0</v>
      </c>
      <c r="J216" s="8">
        <v>0.01</v>
      </c>
      <c r="K216" s="8">
        <v>1.42</v>
      </c>
    </row>
    <row r="217" ht="15.75" customHeight="1">
      <c r="A217" s="7" t="s">
        <v>1176</v>
      </c>
      <c r="B217" s="8" t="s">
        <v>1178</v>
      </c>
      <c r="C217" s="7" t="s">
        <v>138</v>
      </c>
      <c r="D217" s="12" t="s">
        <v>21</v>
      </c>
      <c r="E217" s="13" t="s">
        <v>41</v>
      </c>
      <c r="F217" s="8" t="s">
        <v>24</v>
      </c>
      <c r="G217" s="8" t="b">
        <v>0</v>
      </c>
      <c r="H217" s="8" t="s">
        <v>1179</v>
      </c>
      <c r="I217" s="8">
        <v>12.0</v>
      </c>
      <c r="J217" s="8">
        <v>0.01</v>
      </c>
      <c r="K217" s="8">
        <v>1.25</v>
      </c>
    </row>
    <row r="218" ht="15.75" customHeight="1">
      <c r="A218" s="7" t="s">
        <v>1180</v>
      </c>
      <c r="B218" s="8" t="s">
        <v>1182</v>
      </c>
      <c r="C218" s="7" t="s">
        <v>200</v>
      </c>
      <c r="D218" s="12" t="s">
        <v>21</v>
      </c>
      <c r="E218" s="13" t="s">
        <v>190</v>
      </c>
      <c r="F218" s="8" t="s">
        <v>24</v>
      </c>
      <c r="G218" s="8" t="b">
        <v>0</v>
      </c>
      <c r="I218" s="8">
        <v>12.0</v>
      </c>
      <c r="J218" s="8">
        <v>0.01</v>
      </c>
      <c r="K218" s="8">
        <v>0.0</v>
      </c>
    </row>
    <row r="219" ht="15.75" customHeight="1">
      <c r="A219" s="7" t="s">
        <v>1183</v>
      </c>
      <c r="B219" s="8" t="s">
        <v>1186</v>
      </c>
      <c r="C219" s="7" t="s">
        <v>733</v>
      </c>
      <c r="D219" s="12" t="s">
        <v>39</v>
      </c>
      <c r="E219" s="13" t="s">
        <v>41</v>
      </c>
      <c r="F219" s="8" t="s">
        <v>42</v>
      </c>
      <c r="G219" s="8" t="b">
        <v>0</v>
      </c>
      <c r="H219" s="8" t="s">
        <v>724</v>
      </c>
      <c r="I219" s="8">
        <v>12.0</v>
      </c>
      <c r="J219" s="8">
        <v>0.01</v>
      </c>
      <c r="K219" s="8">
        <v>0.17</v>
      </c>
    </row>
    <row r="220" ht="15.75" customHeight="1">
      <c r="A220" s="7" t="s">
        <v>1187</v>
      </c>
      <c r="B220" s="8" t="s">
        <v>1189</v>
      </c>
      <c r="C220" s="7" t="s">
        <v>453</v>
      </c>
      <c r="D220" s="12" t="s">
        <v>39</v>
      </c>
      <c r="E220" s="13" t="s">
        <v>190</v>
      </c>
      <c r="F220" s="8" t="s">
        <v>42</v>
      </c>
      <c r="G220" s="8" t="b">
        <v>0</v>
      </c>
      <c r="H220" s="8" t="s">
        <v>1192</v>
      </c>
      <c r="I220" s="8">
        <v>12.0</v>
      </c>
      <c r="J220" s="8">
        <v>0.01</v>
      </c>
      <c r="K220" s="8">
        <v>0.0</v>
      </c>
    </row>
    <row r="221" ht="15.75" customHeight="1">
      <c r="A221" s="7" t="s">
        <v>1193</v>
      </c>
      <c r="B221" s="8" t="s">
        <v>1195</v>
      </c>
      <c r="C221" s="8" t="s">
        <v>35</v>
      </c>
      <c r="D221" s="12" t="s">
        <v>693</v>
      </c>
      <c r="E221" s="13" t="s">
        <v>22</v>
      </c>
      <c r="F221" s="8" t="s">
        <v>695</v>
      </c>
      <c r="G221" s="8" t="b">
        <v>0</v>
      </c>
      <c r="H221" s="8" t="s">
        <v>1197</v>
      </c>
      <c r="I221" s="8">
        <v>12.0</v>
      </c>
      <c r="J221" s="8">
        <v>0.01</v>
      </c>
      <c r="K221" s="8">
        <v>0.17</v>
      </c>
    </row>
    <row r="222" ht="15.75" customHeight="1">
      <c r="A222" s="7" t="s">
        <v>1198</v>
      </c>
      <c r="B222" s="8" t="s">
        <v>1199</v>
      </c>
      <c r="C222" s="7" t="s">
        <v>689</v>
      </c>
      <c r="D222" s="12" t="s">
        <v>554</v>
      </c>
      <c r="E222" s="13" t="s">
        <v>41</v>
      </c>
      <c r="F222" s="8" t="s">
        <v>555</v>
      </c>
      <c r="G222" s="8" t="b">
        <v>0</v>
      </c>
      <c r="I222" s="8">
        <v>12.0</v>
      </c>
      <c r="J222" s="8">
        <v>0.01</v>
      </c>
      <c r="K222" s="8">
        <v>1.5</v>
      </c>
    </row>
    <row r="223" ht="15.75" customHeight="1">
      <c r="A223" s="7" t="s">
        <v>1201</v>
      </c>
      <c r="B223" s="8" t="s">
        <v>1203</v>
      </c>
      <c r="C223" s="7" t="s">
        <v>613</v>
      </c>
      <c r="D223" s="12" t="s">
        <v>39</v>
      </c>
      <c r="E223" s="13" t="s">
        <v>76</v>
      </c>
      <c r="F223" s="8" t="s">
        <v>42</v>
      </c>
      <c r="G223" s="8" t="b">
        <v>0</v>
      </c>
      <c r="H223" s="8" t="s">
        <v>1205</v>
      </c>
      <c r="I223" s="8">
        <v>12.0</v>
      </c>
      <c r="J223" s="8">
        <v>0.01</v>
      </c>
      <c r="K223" s="8">
        <v>0.0</v>
      </c>
    </row>
    <row r="224" ht="15.75" customHeight="1">
      <c r="A224" s="7" t="s">
        <v>1207</v>
      </c>
      <c r="B224" s="8" t="s">
        <v>1209</v>
      </c>
      <c r="C224" s="7" t="s">
        <v>735</v>
      </c>
      <c r="D224" s="12" t="s">
        <v>39</v>
      </c>
      <c r="E224" s="13" t="s">
        <v>41</v>
      </c>
      <c r="F224" s="8" t="s">
        <v>42</v>
      </c>
      <c r="G224" s="8" t="b">
        <v>0</v>
      </c>
      <c r="H224" s="8" t="s">
        <v>1213</v>
      </c>
      <c r="I224" s="8">
        <v>12.0</v>
      </c>
      <c r="J224" s="8">
        <v>0.01</v>
      </c>
      <c r="K224" s="8">
        <v>0.0</v>
      </c>
    </row>
    <row r="225" ht="15.75" customHeight="1">
      <c r="A225" s="7" t="s">
        <v>1214</v>
      </c>
      <c r="B225" s="8" t="s">
        <v>1216</v>
      </c>
      <c r="C225" s="7" t="s">
        <v>85</v>
      </c>
      <c r="D225" s="12" t="s">
        <v>39</v>
      </c>
      <c r="E225" s="13" t="s">
        <v>22</v>
      </c>
      <c r="F225" s="8" t="s">
        <v>42</v>
      </c>
      <c r="G225" s="8" t="b">
        <v>0</v>
      </c>
      <c r="H225" s="8" t="s">
        <v>1218</v>
      </c>
      <c r="I225" s="8">
        <v>12.0</v>
      </c>
      <c r="J225" s="8">
        <v>0.01</v>
      </c>
      <c r="K225" s="8">
        <v>0.58</v>
      </c>
    </row>
    <row r="226" ht="15.75" customHeight="1">
      <c r="A226" s="7" t="s">
        <v>1219</v>
      </c>
      <c r="B226" s="8" t="s">
        <v>1222</v>
      </c>
      <c r="C226" s="7" t="s">
        <v>740</v>
      </c>
      <c r="D226" s="12" t="s">
        <v>39</v>
      </c>
      <c r="E226" s="13" t="s">
        <v>41</v>
      </c>
      <c r="F226" s="8" t="s">
        <v>42</v>
      </c>
      <c r="G226" s="8" t="b">
        <v>0</v>
      </c>
      <c r="H226" s="8" t="s">
        <v>1225</v>
      </c>
      <c r="I226" s="8">
        <v>12.0</v>
      </c>
      <c r="J226" s="8">
        <v>0.01</v>
      </c>
      <c r="K226" s="8">
        <v>0.67</v>
      </c>
    </row>
    <row r="227" ht="15.75" customHeight="1">
      <c r="A227" s="7" t="s">
        <v>1227</v>
      </c>
      <c r="B227" s="8" t="s">
        <v>1229</v>
      </c>
      <c r="C227" s="7" t="s">
        <v>421</v>
      </c>
      <c r="D227" s="12" t="s">
        <v>39</v>
      </c>
      <c r="E227" s="13" t="s">
        <v>22</v>
      </c>
      <c r="F227" s="8" t="s">
        <v>42</v>
      </c>
      <c r="G227" s="8" t="b">
        <v>0</v>
      </c>
      <c r="H227" s="8" t="s">
        <v>1231</v>
      </c>
      <c r="I227" s="8">
        <v>12.0</v>
      </c>
      <c r="J227" s="8">
        <v>0.01</v>
      </c>
      <c r="K227" s="8">
        <v>0.0</v>
      </c>
    </row>
    <row r="228" ht="15.75" customHeight="1">
      <c r="A228" s="7" t="s">
        <v>1232</v>
      </c>
      <c r="B228" s="8" t="s">
        <v>1235</v>
      </c>
      <c r="C228" s="7" t="s">
        <v>195</v>
      </c>
      <c r="D228" s="12" t="s">
        <v>39</v>
      </c>
      <c r="E228" s="13" t="s">
        <v>41</v>
      </c>
      <c r="F228" s="8" t="s">
        <v>42</v>
      </c>
      <c r="G228" s="8" t="b">
        <v>0</v>
      </c>
      <c r="H228" s="8" t="s">
        <v>1236</v>
      </c>
      <c r="I228" s="8">
        <v>12.0</v>
      </c>
      <c r="J228" s="8">
        <v>0.01</v>
      </c>
      <c r="K228" s="8">
        <v>1.08</v>
      </c>
    </row>
    <row r="229" ht="15.75" customHeight="1">
      <c r="A229" s="7" t="s">
        <v>1238</v>
      </c>
      <c r="C229" s="7" t="s">
        <v>356</v>
      </c>
      <c r="D229" s="12" t="s">
        <v>190</v>
      </c>
      <c r="E229" s="13" t="s">
        <v>41</v>
      </c>
      <c r="F229" s="8" t="s">
        <v>191</v>
      </c>
      <c r="H229" s="8" t="s">
        <v>1246</v>
      </c>
      <c r="I229" s="8">
        <v>12.0</v>
      </c>
      <c r="J229" s="8">
        <v>0.01</v>
      </c>
      <c r="K229" s="8">
        <v>0.0</v>
      </c>
    </row>
    <row r="230" ht="15.75" customHeight="1">
      <c r="A230" s="7" t="s">
        <v>1247</v>
      </c>
      <c r="B230" s="8" t="s">
        <v>1249</v>
      </c>
      <c r="C230" s="7" t="s">
        <v>656</v>
      </c>
      <c r="D230" s="12" t="s">
        <v>39</v>
      </c>
      <c r="E230" s="13" t="s">
        <v>190</v>
      </c>
      <c r="F230" s="8" t="s">
        <v>42</v>
      </c>
      <c r="G230" s="8" t="b">
        <v>0</v>
      </c>
      <c r="H230" s="8" t="s">
        <v>1251</v>
      </c>
      <c r="I230" s="8">
        <v>12.0</v>
      </c>
      <c r="J230" s="8">
        <v>0.01</v>
      </c>
      <c r="K230" s="8">
        <v>1.17</v>
      </c>
    </row>
    <row r="231" ht="15.75" customHeight="1">
      <c r="A231" s="7" t="s">
        <v>1253</v>
      </c>
      <c r="B231" s="8" t="s">
        <v>1255</v>
      </c>
      <c r="C231" s="7" t="s">
        <v>661</v>
      </c>
      <c r="D231" s="12" t="s">
        <v>39</v>
      </c>
      <c r="E231" s="13" t="s">
        <v>41</v>
      </c>
      <c r="F231" s="8" t="s">
        <v>42</v>
      </c>
      <c r="G231" s="8" t="b">
        <v>0</v>
      </c>
      <c r="H231" s="8" t="s">
        <v>1258</v>
      </c>
      <c r="I231" s="8">
        <v>12.0</v>
      </c>
      <c r="J231" s="8">
        <v>0.01</v>
      </c>
      <c r="K231" s="8">
        <v>0.83</v>
      </c>
    </row>
    <row r="232" ht="15.75" customHeight="1">
      <c r="A232" s="7" t="s">
        <v>1259</v>
      </c>
      <c r="B232" s="8" t="s">
        <v>1262</v>
      </c>
      <c r="C232" s="7" t="s">
        <v>681</v>
      </c>
      <c r="D232" s="12" t="s">
        <v>39</v>
      </c>
      <c r="E232" s="13" t="s">
        <v>41</v>
      </c>
      <c r="F232" s="8" t="s">
        <v>42</v>
      </c>
      <c r="G232" s="8" t="b">
        <v>0</v>
      </c>
      <c r="H232" s="8" t="s">
        <v>1264</v>
      </c>
      <c r="I232" s="8">
        <v>12.0</v>
      </c>
      <c r="J232" s="8">
        <v>0.01</v>
      </c>
      <c r="K232" s="8">
        <v>1.58</v>
      </c>
    </row>
    <row r="233" ht="15.75" customHeight="1">
      <c r="A233" s="7" t="s">
        <v>1266</v>
      </c>
      <c r="B233" s="8" t="s">
        <v>1268</v>
      </c>
      <c r="C233" s="7" t="s">
        <v>253</v>
      </c>
      <c r="D233" s="12" t="s">
        <v>21</v>
      </c>
      <c r="E233" s="13" t="s">
        <v>41</v>
      </c>
      <c r="F233" s="8" t="s">
        <v>24</v>
      </c>
      <c r="G233" s="8" t="b">
        <v>0</v>
      </c>
      <c r="I233" s="8">
        <v>12.0</v>
      </c>
      <c r="J233" s="8">
        <v>0.01</v>
      </c>
      <c r="K233" s="8">
        <v>0.0</v>
      </c>
    </row>
    <row r="234" ht="15.75" customHeight="1">
      <c r="A234" s="7" t="s">
        <v>1270</v>
      </c>
      <c r="B234" s="8" t="s">
        <v>1273</v>
      </c>
      <c r="C234" s="7" t="s">
        <v>105</v>
      </c>
      <c r="D234" s="12" t="s">
        <v>39</v>
      </c>
      <c r="E234" s="13" t="s">
        <v>22</v>
      </c>
      <c r="F234" s="8" t="s">
        <v>42</v>
      </c>
      <c r="G234" s="8" t="b">
        <v>0</v>
      </c>
      <c r="H234" s="8" t="s">
        <v>1274</v>
      </c>
      <c r="I234" s="8">
        <v>12.0</v>
      </c>
      <c r="J234" s="8">
        <v>0.01</v>
      </c>
      <c r="K234" s="8">
        <v>1.5</v>
      </c>
    </row>
    <row r="235" ht="15.75" customHeight="1">
      <c r="A235" s="7" t="s">
        <v>1275</v>
      </c>
      <c r="B235" s="8" t="s">
        <v>1279</v>
      </c>
      <c r="C235" s="7" t="s">
        <v>668</v>
      </c>
      <c r="D235" s="12" t="s">
        <v>560</v>
      </c>
      <c r="E235" s="13" t="s">
        <v>41</v>
      </c>
      <c r="F235" s="8" t="s">
        <v>561</v>
      </c>
      <c r="G235" s="8" t="b">
        <v>0</v>
      </c>
      <c r="H235" s="8" t="s">
        <v>1281</v>
      </c>
      <c r="I235" s="8">
        <v>12.0</v>
      </c>
      <c r="J235" s="8">
        <v>0.01</v>
      </c>
      <c r="K235" s="8">
        <v>0.0</v>
      </c>
    </row>
    <row r="236" ht="15.75" customHeight="1">
      <c r="A236" s="7" t="s">
        <v>1283</v>
      </c>
      <c r="B236" s="8" t="s">
        <v>1285</v>
      </c>
      <c r="C236" s="7" t="s">
        <v>428</v>
      </c>
      <c r="D236" s="12" t="s">
        <v>104</v>
      </c>
      <c r="E236" s="13" t="s">
        <v>753</v>
      </c>
      <c r="F236" s="8" t="s">
        <v>106</v>
      </c>
      <c r="G236" s="8" t="b">
        <v>0</v>
      </c>
      <c r="H236" s="8" t="s">
        <v>803</v>
      </c>
      <c r="I236" s="8">
        <v>12.0</v>
      </c>
      <c r="J236" s="8">
        <v>0.01</v>
      </c>
      <c r="K236" s="8">
        <v>2.33</v>
      </c>
    </row>
    <row r="237" ht="15.75" customHeight="1">
      <c r="A237" s="7" t="s">
        <v>1288</v>
      </c>
      <c r="B237" s="8" t="s">
        <v>1291</v>
      </c>
      <c r="C237" s="7" t="s">
        <v>744</v>
      </c>
      <c r="D237" s="12" t="s">
        <v>39</v>
      </c>
      <c r="E237" s="13" t="s">
        <v>41</v>
      </c>
      <c r="F237" s="8" t="s">
        <v>42</v>
      </c>
      <c r="G237" s="8" t="b">
        <v>0</v>
      </c>
      <c r="H237" s="8" t="s">
        <v>1292</v>
      </c>
      <c r="I237" s="8">
        <v>12.0</v>
      </c>
      <c r="J237" s="8">
        <v>0.01</v>
      </c>
      <c r="K237" s="8">
        <v>0.42</v>
      </c>
    </row>
    <row r="238" ht="15.75" customHeight="1">
      <c r="A238" s="7" t="s">
        <v>1294</v>
      </c>
      <c r="B238" s="8" t="s">
        <v>1296</v>
      </c>
      <c r="C238" s="7" t="s">
        <v>286</v>
      </c>
      <c r="D238" s="12" t="s">
        <v>72</v>
      </c>
      <c r="E238" s="13" t="s">
        <v>73</v>
      </c>
      <c r="F238" s="8" t="s">
        <v>74</v>
      </c>
      <c r="G238" s="8" t="b">
        <v>0</v>
      </c>
      <c r="H238" s="8" t="s">
        <v>1298</v>
      </c>
      <c r="I238" s="8">
        <v>12.0</v>
      </c>
      <c r="J238" s="8">
        <v>0.01</v>
      </c>
      <c r="K238" s="8">
        <v>0.0</v>
      </c>
    </row>
    <row r="239" ht="15.75" customHeight="1">
      <c r="A239" s="7" t="s">
        <v>1299</v>
      </c>
      <c r="B239" s="8" t="s">
        <v>1301</v>
      </c>
      <c r="C239" s="7" t="s">
        <v>752</v>
      </c>
      <c r="D239" s="12" t="s">
        <v>39</v>
      </c>
      <c r="E239" s="13" t="s">
        <v>41</v>
      </c>
      <c r="F239" s="8" t="s">
        <v>42</v>
      </c>
      <c r="G239" s="8" t="b">
        <v>0</v>
      </c>
      <c r="H239" s="8" t="s">
        <v>1303</v>
      </c>
      <c r="I239" s="8">
        <v>12.0</v>
      </c>
      <c r="J239" s="8">
        <v>0.01</v>
      </c>
      <c r="K239" s="8">
        <v>1.0</v>
      </c>
    </row>
    <row r="240" ht="15.75" customHeight="1">
      <c r="A240" s="7" t="s">
        <v>1304</v>
      </c>
      <c r="B240" s="8" t="s">
        <v>1306</v>
      </c>
      <c r="C240" s="7" t="s">
        <v>20</v>
      </c>
      <c r="D240" s="12" t="s">
        <v>39</v>
      </c>
      <c r="E240" s="13" t="s">
        <v>22</v>
      </c>
      <c r="F240" s="8" t="s">
        <v>42</v>
      </c>
      <c r="G240" s="8" t="b">
        <v>0</v>
      </c>
      <c r="H240" s="8" t="s">
        <v>1308</v>
      </c>
      <c r="I240" s="8">
        <v>12.0</v>
      </c>
      <c r="J240" s="8">
        <v>0.01</v>
      </c>
      <c r="K240" s="8">
        <v>1.83</v>
      </c>
    </row>
    <row r="241" ht="15.75" customHeight="1">
      <c r="A241" s="7" t="s">
        <v>1309</v>
      </c>
      <c r="B241" s="8" t="s">
        <v>1312</v>
      </c>
      <c r="C241" s="8" t="s">
        <v>270</v>
      </c>
      <c r="D241" s="12" t="s">
        <v>39</v>
      </c>
      <c r="E241" s="13" t="s">
        <v>41</v>
      </c>
      <c r="F241" s="8" t="s">
        <v>42</v>
      </c>
      <c r="G241" s="8" t="b">
        <v>0</v>
      </c>
      <c r="H241" s="8" t="s">
        <v>1313</v>
      </c>
      <c r="I241" s="8">
        <v>12.0</v>
      </c>
      <c r="J241" s="8">
        <v>0.01</v>
      </c>
      <c r="K241" s="8">
        <v>0.0</v>
      </c>
    </row>
    <row r="242" ht="15.75" customHeight="1">
      <c r="A242" s="7" t="s">
        <v>1314</v>
      </c>
      <c r="B242" s="8" t="s">
        <v>1316</v>
      </c>
      <c r="C242" s="7" t="s">
        <v>377</v>
      </c>
      <c r="D242" s="12" t="s">
        <v>21</v>
      </c>
      <c r="E242" s="13" t="s">
        <v>73</v>
      </c>
      <c r="F242" s="8" t="s">
        <v>24</v>
      </c>
      <c r="G242" s="8" t="b">
        <v>0</v>
      </c>
      <c r="H242" s="8" t="s">
        <v>1318</v>
      </c>
      <c r="I242" s="8">
        <v>11.0</v>
      </c>
      <c r="J242" s="8">
        <v>0.01</v>
      </c>
      <c r="K242" s="8">
        <v>0.0</v>
      </c>
    </row>
    <row r="243" ht="15.75" customHeight="1">
      <c r="A243" s="7" t="s">
        <v>1319</v>
      </c>
      <c r="B243" s="8" t="s">
        <v>1322</v>
      </c>
      <c r="C243" s="7" t="s">
        <v>377</v>
      </c>
      <c r="D243" s="12" t="s">
        <v>21</v>
      </c>
      <c r="E243" s="13" t="s">
        <v>73</v>
      </c>
      <c r="F243" s="8" t="s">
        <v>24</v>
      </c>
      <c r="G243" s="8" t="b">
        <v>0</v>
      </c>
      <c r="H243" s="8" t="s">
        <v>1323</v>
      </c>
      <c r="I243" s="8">
        <v>11.0</v>
      </c>
      <c r="J243" s="8">
        <v>0.01</v>
      </c>
      <c r="K243" s="8">
        <v>0.0</v>
      </c>
    </row>
    <row r="244" ht="15.75" customHeight="1">
      <c r="A244" s="7" t="s">
        <v>1325</v>
      </c>
      <c r="B244" s="8" t="s">
        <v>1327</v>
      </c>
      <c r="C244" s="7" t="s">
        <v>503</v>
      </c>
      <c r="D244" s="12" t="s">
        <v>39</v>
      </c>
      <c r="E244" s="13" t="s">
        <v>41</v>
      </c>
      <c r="F244" s="8" t="s">
        <v>42</v>
      </c>
      <c r="G244" s="8" t="b">
        <v>0</v>
      </c>
      <c r="H244" s="8" t="s">
        <v>1329</v>
      </c>
      <c r="I244" s="8">
        <v>11.0</v>
      </c>
      <c r="J244" s="8">
        <v>0.01</v>
      </c>
      <c r="K244" s="8">
        <v>0.0</v>
      </c>
    </row>
    <row r="245" ht="15.75" customHeight="1">
      <c r="A245" s="7" t="s">
        <v>1331</v>
      </c>
      <c r="B245" s="8" t="s">
        <v>1333</v>
      </c>
      <c r="C245" s="7" t="s">
        <v>770</v>
      </c>
      <c r="D245" s="12" t="s">
        <v>39</v>
      </c>
      <c r="E245" s="13" t="s">
        <v>41</v>
      </c>
      <c r="F245" s="8" t="s">
        <v>42</v>
      </c>
      <c r="G245" s="8" t="b">
        <v>0</v>
      </c>
      <c r="H245" s="8" t="s">
        <v>1335</v>
      </c>
      <c r="I245" s="8">
        <v>11.0</v>
      </c>
      <c r="J245" s="8">
        <v>0.01</v>
      </c>
      <c r="K245" s="8">
        <v>0.18</v>
      </c>
    </row>
    <row r="246" ht="15.75" customHeight="1">
      <c r="A246" s="7" t="s">
        <v>1337</v>
      </c>
      <c r="B246" s="8" t="s">
        <v>1339</v>
      </c>
      <c r="C246" s="7" t="s">
        <v>765</v>
      </c>
      <c r="D246" s="12" t="s">
        <v>554</v>
      </c>
      <c r="E246" s="13" t="s">
        <v>41</v>
      </c>
      <c r="F246" s="8" t="s">
        <v>555</v>
      </c>
      <c r="G246" s="8" t="b">
        <v>0</v>
      </c>
      <c r="H246" s="8" t="s">
        <v>498</v>
      </c>
      <c r="I246" s="8">
        <v>11.0</v>
      </c>
      <c r="J246" s="8">
        <v>0.01</v>
      </c>
      <c r="K246" s="8">
        <v>0.0</v>
      </c>
    </row>
    <row r="247" ht="15.75" customHeight="1">
      <c r="A247" s="7" t="s">
        <v>1341</v>
      </c>
      <c r="B247" s="8" t="s">
        <v>1343</v>
      </c>
      <c r="C247" s="7" t="s">
        <v>774</v>
      </c>
      <c r="D247" s="12" t="s">
        <v>39</v>
      </c>
      <c r="E247" s="13" t="s">
        <v>41</v>
      </c>
      <c r="F247" s="8" t="s">
        <v>42</v>
      </c>
      <c r="G247" s="8" t="b">
        <v>0</v>
      </c>
      <c r="H247" s="8" t="s">
        <v>1346</v>
      </c>
      <c r="I247" s="8">
        <v>11.0</v>
      </c>
      <c r="J247" s="8">
        <v>0.01</v>
      </c>
      <c r="K247" s="8">
        <v>0.0</v>
      </c>
    </row>
    <row r="248" ht="15.75" customHeight="1">
      <c r="A248" s="7" t="s">
        <v>1347</v>
      </c>
      <c r="B248" s="8" t="s">
        <v>1349</v>
      </c>
      <c r="C248" s="7" t="s">
        <v>281</v>
      </c>
      <c r="D248" s="12" t="s">
        <v>39</v>
      </c>
      <c r="E248" s="13" t="s">
        <v>41</v>
      </c>
      <c r="F248" s="8" t="s">
        <v>42</v>
      </c>
      <c r="G248" s="8" t="b">
        <v>0</v>
      </c>
      <c r="H248" s="8" t="s">
        <v>1352</v>
      </c>
      <c r="I248" s="8">
        <v>11.0</v>
      </c>
      <c r="J248" s="8">
        <v>0.01</v>
      </c>
      <c r="K248" s="8">
        <v>0.0</v>
      </c>
    </row>
    <row r="249" ht="15.75" customHeight="1">
      <c r="A249" s="7" t="s">
        <v>1353</v>
      </c>
      <c r="B249" s="8" t="s">
        <v>1355</v>
      </c>
      <c r="C249" s="7" t="s">
        <v>779</v>
      </c>
      <c r="D249" s="12" t="s">
        <v>39</v>
      </c>
      <c r="E249" s="13" t="s">
        <v>41</v>
      </c>
      <c r="F249" s="8" t="s">
        <v>42</v>
      </c>
      <c r="G249" s="8" t="b">
        <v>0</v>
      </c>
      <c r="H249" s="8" t="s">
        <v>1360</v>
      </c>
      <c r="I249" s="8">
        <v>11.0</v>
      </c>
      <c r="J249" s="8">
        <v>0.01</v>
      </c>
      <c r="K249" s="8">
        <v>1.09</v>
      </c>
    </row>
    <row r="250" ht="15.75" customHeight="1">
      <c r="A250" s="7" t="s">
        <v>1362</v>
      </c>
      <c r="B250" s="8" t="s">
        <v>1366</v>
      </c>
      <c r="C250" s="8" t="s">
        <v>784</v>
      </c>
      <c r="D250" s="12" t="s">
        <v>39</v>
      </c>
      <c r="E250" s="13" t="s">
        <v>41</v>
      </c>
      <c r="F250" s="8" t="s">
        <v>42</v>
      </c>
      <c r="G250" s="8" t="b">
        <v>0</v>
      </c>
      <c r="H250" s="8" t="s">
        <v>1367</v>
      </c>
      <c r="I250" s="8">
        <v>11.0</v>
      </c>
      <c r="J250" s="8">
        <v>0.01</v>
      </c>
      <c r="K250" s="8">
        <v>0.0</v>
      </c>
    </row>
    <row r="251" ht="15.75" customHeight="1">
      <c r="A251" s="7" t="s">
        <v>1368</v>
      </c>
      <c r="B251" s="8" t="s">
        <v>1371</v>
      </c>
      <c r="C251" s="7" t="s">
        <v>26</v>
      </c>
      <c r="D251" s="12" t="s">
        <v>39</v>
      </c>
      <c r="E251" s="13" t="s">
        <v>41</v>
      </c>
      <c r="F251" s="8" t="s">
        <v>42</v>
      </c>
      <c r="G251" s="8" t="b">
        <v>0</v>
      </c>
      <c r="H251" s="8" t="s">
        <v>1373</v>
      </c>
      <c r="I251" s="8">
        <v>11.0</v>
      </c>
      <c r="J251" s="8">
        <v>0.01</v>
      </c>
      <c r="K251" s="8">
        <v>0.09</v>
      </c>
    </row>
    <row r="252" ht="15.75" customHeight="1">
      <c r="A252" s="7" t="s">
        <v>1374</v>
      </c>
      <c r="B252" s="8" t="s">
        <v>1376</v>
      </c>
      <c r="C252" s="7" t="s">
        <v>26</v>
      </c>
      <c r="D252" s="12" t="s">
        <v>190</v>
      </c>
      <c r="E252" s="13" t="s">
        <v>41</v>
      </c>
      <c r="F252" s="8" t="s">
        <v>191</v>
      </c>
      <c r="G252" s="8" t="b">
        <v>0</v>
      </c>
      <c r="H252" s="8" t="s">
        <v>1373</v>
      </c>
      <c r="I252" s="8">
        <v>11.0</v>
      </c>
      <c r="J252" s="8">
        <v>0.01</v>
      </c>
      <c r="K252" s="8">
        <v>0.0</v>
      </c>
    </row>
    <row r="253" ht="15.75" customHeight="1">
      <c r="A253" s="7" t="s">
        <v>1379</v>
      </c>
      <c r="B253" s="8" t="s">
        <v>1380</v>
      </c>
      <c r="C253" s="7" t="s">
        <v>790</v>
      </c>
      <c r="D253" s="12" t="s">
        <v>39</v>
      </c>
      <c r="E253" s="13" t="s">
        <v>41</v>
      </c>
      <c r="F253" s="8" t="s">
        <v>42</v>
      </c>
      <c r="G253" s="8" t="b">
        <v>0</v>
      </c>
      <c r="H253" s="8" t="s">
        <v>792</v>
      </c>
      <c r="I253" s="8">
        <v>11.0</v>
      </c>
      <c r="J253" s="8">
        <v>0.01</v>
      </c>
      <c r="K253" s="8">
        <v>0.09</v>
      </c>
    </row>
    <row r="254" ht="15.75" customHeight="1">
      <c r="A254" s="7" t="s">
        <v>1382</v>
      </c>
      <c r="B254" s="8" t="s">
        <v>1384</v>
      </c>
      <c r="C254" s="7" t="s">
        <v>138</v>
      </c>
      <c r="D254" s="12" t="s">
        <v>72</v>
      </c>
      <c r="E254" s="13" t="s">
        <v>41</v>
      </c>
      <c r="F254" s="8" t="s">
        <v>74</v>
      </c>
      <c r="G254" s="8" t="b">
        <v>0</v>
      </c>
      <c r="H254" s="8" t="s">
        <v>1386</v>
      </c>
      <c r="I254" s="8">
        <v>11.0</v>
      </c>
      <c r="J254" s="8">
        <v>0.01</v>
      </c>
      <c r="K254" s="8">
        <v>1.18</v>
      </c>
    </row>
    <row r="255" ht="15.75" customHeight="1">
      <c r="A255" s="7" t="s">
        <v>1387</v>
      </c>
      <c r="C255" s="7" t="s">
        <v>200</v>
      </c>
      <c r="D255" s="12" t="s">
        <v>190</v>
      </c>
      <c r="E255" s="13" t="s">
        <v>190</v>
      </c>
      <c r="F255" s="8" t="s">
        <v>191</v>
      </c>
      <c r="H255" s="8" t="s">
        <v>1246</v>
      </c>
      <c r="I255" s="8">
        <v>11.0</v>
      </c>
      <c r="J255" s="8">
        <v>0.01</v>
      </c>
      <c r="K255" s="8">
        <v>0.73</v>
      </c>
    </row>
    <row r="256" ht="15.75" customHeight="1">
      <c r="A256" s="7" t="s">
        <v>1390</v>
      </c>
      <c r="B256" s="8" t="s">
        <v>1391</v>
      </c>
      <c r="C256" s="7" t="s">
        <v>798</v>
      </c>
      <c r="D256" s="12" t="s">
        <v>39</v>
      </c>
      <c r="E256" s="13" t="s">
        <v>41</v>
      </c>
      <c r="F256" s="8" t="s">
        <v>42</v>
      </c>
      <c r="G256" s="8" t="b">
        <v>0</v>
      </c>
      <c r="H256" s="8" t="s">
        <v>1393</v>
      </c>
      <c r="I256" s="8">
        <v>11.0</v>
      </c>
      <c r="J256" s="8">
        <v>0.01</v>
      </c>
      <c r="K256" s="8">
        <v>2.0</v>
      </c>
    </row>
    <row r="257" ht="15.75" customHeight="1">
      <c r="A257" s="7" t="s">
        <v>1394</v>
      </c>
      <c r="B257" s="8" t="s">
        <v>1396</v>
      </c>
      <c r="C257" s="7" t="s">
        <v>180</v>
      </c>
      <c r="D257" s="12" t="s">
        <v>39</v>
      </c>
      <c r="E257" s="13" t="s">
        <v>73</v>
      </c>
      <c r="F257" s="8" t="s">
        <v>42</v>
      </c>
      <c r="G257" s="8" t="b">
        <v>0</v>
      </c>
      <c r="H257" s="8" t="s">
        <v>1398</v>
      </c>
      <c r="I257" s="8">
        <v>11.0</v>
      </c>
      <c r="J257" s="8">
        <v>0.01</v>
      </c>
      <c r="K257" s="8">
        <v>0.09</v>
      </c>
    </row>
    <row r="258" ht="15.75" customHeight="1">
      <c r="A258" s="7" t="s">
        <v>1400</v>
      </c>
      <c r="B258" s="8" t="s">
        <v>1402</v>
      </c>
      <c r="C258" s="7" t="s">
        <v>126</v>
      </c>
      <c r="D258" s="12" t="s">
        <v>39</v>
      </c>
      <c r="E258" s="13" t="s">
        <v>41</v>
      </c>
      <c r="F258" s="8" t="s">
        <v>42</v>
      </c>
      <c r="G258" s="8" t="b">
        <v>0</v>
      </c>
      <c r="H258" s="8" t="s">
        <v>1404</v>
      </c>
      <c r="I258" s="8">
        <v>11.0</v>
      </c>
      <c r="J258" s="8">
        <v>0.01</v>
      </c>
      <c r="K258" s="8">
        <v>0.55</v>
      </c>
    </row>
    <row r="259" ht="15.75" customHeight="1">
      <c r="A259" s="7" t="s">
        <v>1405</v>
      </c>
      <c r="B259" s="8" t="s">
        <v>1407</v>
      </c>
      <c r="C259" s="7" t="s">
        <v>801</v>
      </c>
      <c r="D259" s="12" t="s">
        <v>766</v>
      </c>
      <c r="E259" s="13" t="s">
        <v>41</v>
      </c>
      <c r="F259" s="8" t="s">
        <v>767</v>
      </c>
      <c r="G259" s="8" t="b">
        <v>0</v>
      </c>
      <c r="H259" s="8" t="s">
        <v>803</v>
      </c>
      <c r="I259" s="8">
        <v>11.0</v>
      </c>
      <c r="J259" s="8">
        <v>0.01</v>
      </c>
      <c r="K259" s="8">
        <v>0.73</v>
      </c>
    </row>
    <row r="260" ht="15.75" customHeight="1">
      <c r="A260" s="7" t="s">
        <v>1410</v>
      </c>
      <c r="B260" s="8" t="s">
        <v>1412</v>
      </c>
      <c r="C260" s="7" t="s">
        <v>692</v>
      </c>
      <c r="D260" s="12" t="s">
        <v>766</v>
      </c>
      <c r="E260" s="13" t="s">
        <v>41</v>
      </c>
      <c r="F260" s="8" t="s">
        <v>767</v>
      </c>
      <c r="G260" s="8" t="b">
        <v>0</v>
      </c>
      <c r="H260" s="8" t="s">
        <v>498</v>
      </c>
      <c r="I260" s="8">
        <v>11.0</v>
      </c>
      <c r="J260" s="8">
        <v>0.01</v>
      </c>
      <c r="K260" s="8">
        <v>1.64</v>
      </c>
    </row>
    <row r="261" ht="15.75" customHeight="1">
      <c r="A261" s="7" t="s">
        <v>1415</v>
      </c>
      <c r="B261" s="8" t="s">
        <v>1417</v>
      </c>
      <c r="C261" s="7" t="s">
        <v>264</v>
      </c>
      <c r="D261" s="12" t="s">
        <v>39</v>
      </c>
      <c r="E261" s="13" t="s">
        <v>22</v>
      </c>
      <c r="F261" s="8" t="s">
        <v>42</v>
      </c>
      <c r="G261" s="8" t="b">
        <v>0</v>
      </c>
      <c r="H261" s="8" t="s">
        <v>1419</v>
      </c>
      <c r="I261" s="8">
        <v>11.0</v>
      </c>
      <c r="J261" s="8">
        <v>0.01</v>
      </c>
      <c r="K261" s="8">
        <v>0.0</v>
      </c>
    </row>
    <row r="262" ht="15.75" customHeight="1">
      <c r="A262" s="7" t="s">
        <v>1420</v>
      </c>
      <c r="B262" s="8" t="s">
        <v>1423</v>
      </c>
      <c r="C262" s="7" t="s">
        <v>71</v>
      </c>
      <c r="D262" s="12" t="s">
        <v>1425</v>
      </c>
      <c r="E262" s="13" t="s">
        <v>76</v>
      </c>
      <c r="F262" s="8" t="s">
        <v>1426</v>
      </c>
      <c r="G262" s="8" t="b">
        <v>0</v>
      </c>
      <c r="H262" s="8" t="s">
        <v>1427</v>
      </c>
      <c r="I262" s="8">
        <v>11.0</v>
      </c>
      <c r="J262" s="8">
        <v>0.01</v>
      </c>
      <c r="K262" s="8">
        <v>1.73</v>
      </c>
    </row>
    <row r="263" ht="15.75" customHeight="1">
      <c r="A263" s="7" t="s">
        <v>1428</v>
      </c>
      <c r="B263" s="8" t="s">
        <v>1430</v>
      </c>
      <c r="C263" s="7" t="s">
        <v>71</v>
      </c>
      <c r="D263" s="12" t="s">
        <v>1425</v>
      </c>
      <c r="E263" s="13" t="s">
        <v>76</v>
      </c>
      <c r="F263" s="8" t="s">
        <v>1426</v>
      </c>
      <c r="G263" s="8" t="b">
        <v>0</v>
      </c>
      <c r="H263" s="8" t="s">
        <v>1432</v>
      </c>
      <c r="I263" s="8">
        <v>11.0</v>
      </c>
      <c r="J263" s="8">
        <v>0.01</v>
      </c>
      <c r="K263" s="8">
        <v>3.0</v>
      </c>
    </row>
    <row r="264" ht="15.75" customHeight="1">
      <c r="A264" s="7" t="s">
        <v>1433</v>
      </c>
      <c r="B264" s="8" t="s">
        <v>1435</v>
      </c>
      <c r="C264" s="7" t="s">
        <v>391</v>
      </c>
      <c r="D264" s="12" t="s">
        <v>39</v>
      </c>
      <c r="E264" s="13" t="s">
        <v>41</v>
      </c>
      <c r="F264" s="8" t="s">
        <v>42</v>
      </c>
      <c r="G264" s="8" t="b">
        <v>0</v>
      </c>
      <c r="H264" s="8" t="s">
        <v>1437</v>
      </c>
      <c r="I264" s="8">
        <v>11.0</v>
      </c>
      <c r="J264" s="8">
        <v>0.01</v>
      </c>
      <c r="K264" s="8">
        <v>2.0</v>
      </c>
    </row>
    <row r="265" ht="15.75" customHeight="1">
      <c r="A265" s="7" t="s">
        <v>1439</v>
      </c>
      <c r="B265" s="8" t="s">
        <v>1442</v>
      </c>
      <c r="C265" s="7" t="s">
        <v>805</v>
      </c>
      <c r="D265" s="12" t="s">
        <v>766</v>
      </c>
      <c r="E265" s="13" t="s">
        <v>41</v>
      </c>
      <c r="F265" s="8" t="s">
        <v>767</v>
      </c>
      <c r="G265" s="8" t="b">
        <v>0</v>
      </c>
      <c r="H265" s="8" t="s">
        <v>1443</v>
      </c>
      <c r="I265" s="8">
        <v>11.0</v>
      </c>
      <c r="J265" s="8">
        <v>0.01</v>
      </c>
      <c r="K265" s="8">
        <v>0.18</v>
      </c>
    </row>
    <row r="266" ht="15.75" customHeight="1">
      <c r="A266" s="7" t="s">
        <v>1445</v>
      </c>
      <c r="B266" s="8" t="s">
        <v>1446</v>
      </c>
      <c r="C266" s="7" t="s">
        <v>156</v>
      </c>
      <c r="D266" s="12" t="s">
        <v>39</v>
      </c>
      <c r="E266" s="13" t="s">
        <v>41</v>
      </c>
      <c r="F266" s="8" t="s">
        <v>42</v>
      </c>
      <c r="G266" s="8" t="b">
        <v>0</v>
      </c>
      <c r="H266" s="8" t="s">
        <v>1448</v>
      </c>
      <c r="I266" s="8">
        <v>11.0</v>
      </c>
      <c r="J266" s="8">
        <v>0.01</v>
      </c>
      <c r="K266" s="8">
        <v>1.0</v>
      </c>
    </row>
    <row r="267" ht="15.75" customHeight="1">
      <c r="A267" s="7" t="s">
        <v>1450</v>
      </c>
      <c r="B267" s="8" t="s">
        <v>1451</v>
      </c>
      <c r="C267" s="7" t="s">
        <v>532</v>
      </c>
      <c r="D267" s="12" t="s">
        <v>39</v>
      </c>
      <c r="E267" s="13" t="s">
        <v>41</v>
      </c>
      <c r="F267" s="8" t="s">
        <v>42</v>
      </c>
      <c r="G267" s="8" t="b">
        <v>0</v>
      </c>
      <c r="H267" s="8" t="s">
        <v>1455</v>
      </c>
      <c r="I267" s="8">
        <v>11.0</v>
      </c>
      <c r="J267" s="8">
        <v>0.01</v>
      </c>
      <c r="K267" s="8">
        <v>0.91</v>
      </c>
    </row>
    <row r="268" ht="15.75" customHeight="1">
      <c r="A268" s="7" t="s">
        <v>1456</v>
      </c>
      <c r="B268" s="8" t="s">
        <v>1459</v>
      </c>
      <c r="C268" s="8" t="s">
        <v>270</v>
      </c>
      <c r="D268" s="12" t="s">
        <v>39</v>
      </c>
      <c r="E268" s="13" t="s">
        <v>41</v>
      </c>
      <c r="F268" s="8" t="s">
        <v>42</v>
      </c>
      <c r="G268" s="8" t="b">
        <v>0</v>
      </c>
      <c r="H268" s="8" t="s">
        <v>1460</v>
      </c>
      <c r="I268" s="8">
        <v>11.0</v>
      </c>
      <c r="J268" s="8">
        <v>0.01</v>
      </c>
      <c r="K268" s="8">
        <v>0.09</v>
      </c>
    </row>
    <row r="269" ht="15.75" customHeight="1">
      <c r="A269" s="7" t="s">
        <v>1461</v>
      </c>
      <c r="B269" s="8" t="s">
        <v>1463</v>
      </c>
      <c r="C269" s="7" t="s">
        <v>602</v>
      </c>
      <c r="D269" s="12" t="s">
        <v>39</v>
      </c>
      <c r="E269" s="13" t="s">
        <v>41</v>
      </c>
      <c r="F269" s="8" t="s">
        <v>42</v>
      </c>
      <c r="G269" s="8" t="b">
        <v>0</v>
      </c>
      <c r="I269" s="8">
        <v>11.0</v>
      </c>
      <c r="J269" s="8">
        <v>0.01</v>
      </c>
      <c r="K269" s="8">
        <v>0.0</v>
      </c>
    </row>
    <row r="270" ht="15.75" customHeight="1">
      <c r="A270" s="7" t="s">
        <v>1466</v>
      </c>
      <c r="B270" s="8" t="s">
        <v>1468</v>
      </c>
      <c r="C270" s="7" t="s">
        <v>40</v>
      </c>
      <c r="D270" s="12" t="s">
        <v>21</v>
      </c>
      <c r="E270" s="13" t="s">
        <v>41</v>
      </c>
      <c r="F270" s="8" t="s">
        <v>24</v>
      </c>
      <c r="G270" s="8" t="b">
        <v>0</v>
      </c>
      <c r="H270" s="8" t="s">
        <v>1470</v>
      </c>
      <c r="I270" s="8">
        <v>10.0</v>
      </c>
      <c r="J270" s="8">
        <v>0.01</v>
      </c>
      <c r="K270" s="8">
        <v>0.0</v>
      </c>
    </row>
    <row r="271" ht="15.75" customHeight="1">
      <c r="A271" s="7" t="s">
        <v>1471</v>
      </c>
      <c r="B271" s="8" t="s">
        <v>1472</v>
      </c>
      <c r="C271" s="7" t="s">
        <v>762</v>
      </c>
      <c r="D271" s="12" t="s">
        <v>554</v>
      </c>
      <c r="E271" s="13" t="s">
        <v>41</v>
      </c>
      <c r="F271" s="8" t="s">
        <v>555</v>
      </c>
      <c r="G271" s="8" t="b">
        <v>0</v>
      </c>
      <c r="H271" s="8" t="s">
        <v>724</v>
      </c>
      <c r="I271" s="8">
        <v>10.0</v>
      </c>
      <c r="J271" s="8">
        <v>0.01</v>
      </c>
      <c r="K271" s="8">
        <v>0.4</v>
      </c>
    </row>
    <row r="272" ht="15.75" customHeight="1">
      <c r="A272" s="7" t="s">
        <v>1475</v>
      </c>
      <c r="B272" s="8" t="s">
        <v>1477</v>
      </c>
      <c r="C272" s="7" t="s">
        <v>809</v>
      </c>
      <c r="D272" s="12" t="s">
        <v>693</v>
      </c>
      <c r="E272" s="13" t="s">
        <v>41</v>
      </c>
      <c r="F272" s="8" t="s">
        <v>695</v>
      </c>
      <c r="G272" s="8" t="b">
        <v>0</v>
      </c>
      <c r="I272" s="8">
        <v>10.0</v>
      </c>
      <c r="J272" s="8">
        <v>0.01</v>
      </c>
      <c r="K272" s="8">
        <v>0.0</v>
      </c>
    </row>
    <row r="273" ht="15.75" customHeight="1">
      <c r="A273" s="7" t="s">
        <v>1480</v>
      </c>
      <c r="B273" s="8" t="s">
        <v>1482</v>
      </c>
      <c r="C273" s="7" t="s">
        <v>66</v>
      </c>
      <c r="D273" s="12" t="s">
        <v>39</v>
      </c>
      <c r="E273" s="13" t="s">
        <v>22</v>
      </c>
      <c r="F273" s="8" t="s">
        <v>42</v>
      </c>
      <c r="G273" s="8" t="b">
        <v>0</v>
      </c>
      <c r="H273" s="8" t="s">
        <v>1484</v>
      </c>
      <c r="I273" s="8">
        <v>10.0</v>
      </c>
      <c r="J273" s="8">
        <v>0.01</v>
      </c>
      <c r="K273" s="8">
        <v>1.4</v>
      </c>
    </row>
    <row r="274" ht="15.75" customHeight="1">
      <c r="A274" s="7" t="s">
        <v>1485</v>
      </c>
      <c r="B274" s="8" t="s">
        <v>1487</v>
      </c>
      <c r="C274" s="7" t="s">
        <v>66</v>
      </c>
      <c r="D274" s="12" t="s">
        <v>39</v>
      </c>
      <c r="E274" s="13" t="s">
        <v>22</v>
      </c>
      <c r="F274" s="8" t="s">
        <v>42</v>
      </c>
      <c r="G274" s="8" t="b">
        <v>0</v>
      </c>
      <c r="H274" s="8" t="s">
        <v>1488</v>
      </c>
      <c r="I274" s="8">
        <v>10.0</v>
      </c>
      <c r="J274" s="8">
        <v>0.01</v>
      </c>
      <c r="K274" s="8">
        <v>2.3</v>
      </c>
    </row>
    <row r="275" ht="15.75" customHeight="1">
      <c r="A275" s="7" t="s">
        <v>1490</v>
      </c>
      <c r="B275" s="8" t="s">
        <v>1492</v>
      </c>
      <c r="C275" s="7" t="s">
        <v>811</v>
      </c>
      <c r="D275" s="12" t="s">
        <v>72</v>
      </c>
      <c r="E275" s="13" t="s">
        <v>41</v>
      </c>
      <c r="F275" s="8" t="s">
        <v>74</v>
      </c>
      <c r="G275" s="8" t="b">
        <v>0</v>
      </c>
      <c r="H275" s="8" t="s">
        <v>1494</v>
      </c>
      <c r="I275" s="8">
        <v>10.0</v>
      </c>
      <c r="J275" s="8">
        <v>0.01</v>
      </c>
      <c r="K275" s="8">
        <v>0.0</v>
      </c>
    </row>
    <row r="276" ht="15.75" customHeight="1">
      <c r="A276" s="7" t="s">
        <v>1496</v>
      </c>
      <c r="B276" s="8" t="s">
        <v>1498</v>
      </c>
      <c r="C276" s="7" t="s">
        <v>793</v>
      </c>
      <c r="D276" s="12" t="s">
        <v>39</v>
      </c>
      <c r="E276" s="13" t="s">
        <v>41</v>
      </c>
      <c r="F276" s="8" t="s">
        <v>42</v>
      </c>
      <c r="G276" s="8" t="b">
        <v>0</v>
      </c>
      <c r="H276" s="8" t="s">
        <v>1501</v>
      </c>
      <c r="I276" s="8">
        <v>10.0</v>
      </c>
      <c r="J276" s="8">
        <v>0.01</v>
      </c>
      <c r="K276" s="8">
        <v>0.0</v>
      </c>
    </row>
    <row r="277" ht="15.75" customHeight="1">
      <c r="A277" s="7" t="s">
        <v>1502</v>
      </c>
      <c r="B277" s="8" t="s">
        <v>1505</v>
      </c>
      <c r="C277" s="7" t="s">
        <v>786</v>
      </c>
      <c r="D277" s="12" t="s">
        <v>39</v>
      </c>
      <c r="E277" s="13" t="s">
        <v>41</v>
      </c>
      <c r="F277" s="8" t="s">
        <v>42</v>
      </c>
      <c r="G277" s="8" t="b">
        <v>0</v>
      </c>
      <c r="H277" s="8" t="s">
        <v>1507</v>
      </c>
      <c r="I277" s="8">
        <v>10.0</v>
      </c>
      <c r="J277" s="8">
        <v>0.01</v>
      </c>
      <c r="K277" s="8">
        <v>0.2</v>
      </c>
    </row>
    <row r="278" ht="15.75" customHeight="1">
      <c r="A278" s="7" t="s">
        <v>1509</v>
      </c>
      <c r="B278" s="8" t="s">
        <v>1512</v>
      </c>
      <c r="C278" s="7" t="s">
        <v>815</v>
      </c>
      <c r="D278" s="12" t="s">
        <v>39</v>
      </c>
      <c r="E278" s="13" t="s">
        <v>73</v>
      </c>
      <c r="F278" s="8" t="s">
        <v>42</v>
      </c>
      <c r="G278" s="8" t="b">
        <v>0</v>
      </c>
      <c r="H278" s="8" t="s">
        <v>1513</v>
      </c>
      <c r="I278" s="8">
        <v>10.0</v>
      </c>
      <c r="J278" s="8">
        <v>0.01</v>
      </c>
      <c r="K278" s="8">
        <v>0.2</v>
      </c>
    </row>
    <row r="279" ht="15.75" customHeight="1">
      <c r="A279" s="7" t="s">
        <v>1515</v>
      </c>
      <c r="B279" s="8" t="s">
        <v>1517</v>
      </c>
      <c r="C279" s="7" t="s">
        <v>52</v>
      </c>
      <c r="D279" s="12" t="s">
        <v>39</v>
      </c>
      <c r="E279" s="13" t="s">
        <v>22</v>
      </c>
      <c r="F279" s="8" t="s">
        <v>42</v>
      </c>
      <c r="G279" s="8" t="b">
        <v>0</v>
      </c>
      <c r="H279" s="8" t="s">
        <v>1519</v>
      </c>
      <c r="I279" s="8">
        <v>10.0</v>
      </c>
      <c r="J279" s="8">
        <v>0.01</v>
      </c>
      <c r="K279" s="8">
        <v>0.1</v>
      </c>
    </row>
    <row r="280" ht="15.75" customHeight="1">
      <c r="A280" s="7" t="s">
        <v>1520</v>
      </c>
      <c r="B280" s="8" t="s">
        <v>1517</v>
      </c>
      <c r="C280" s="7" t="s">
        <v>52</v>
      </c>
      <c r="D280" s="12" t="s">
        <v>39</v>
      </c>
      <c r="E280" s="13" t="s">
        <v>22</v>
      </c>
      <c r="F280" s="8" t="s">
        <v>42</v>
      </c>
      <c r="G280" s="8" t="b">
        <v>0</v>
      </c>
      <c r="H280" s="8" t="s">
        <v>1519</v>
      </c>
      <c r="I280" s="8">
        <v>10.0</v>
      </c>
      <c r="J280" s="8">
        <v>0.01</v>
      </c>
      <c r="K280" s="8">
        <v>0.0</v>
      </c>
    </row>
    <row r="281" ht="15.75" customHeight="1">
      <c r="A281" s="7" t="s">
        <v>1523</v>
      </c>
      <c r="B281" s="8" t="s">
        <v>1526</v>
      </c>
      <c r="C281" s="7" t="s">
        <v>133</v>
      </c>
      <c r="D281" s="12" t="s">
        <v>39</v>
      </c>
      <c r="E281" s="13" t="s">
        <v>22</v>
      </c>
      <c r="F281" s="8" t="s">
        <v>42</v>
      </c>
      <c r="G281" s="8" t="b">
        <v>0</v>
      </c>
      <c r="H281" s="8" t="s">
        <v>1527</v>
      </c>
      <c r="I281" s="8">
        <v>10.0</v>
      </c>
      <c r="J281" s="8">
        <v>0.01</v>
      </c>
      <c r="K281" s="8">
        <v>1.4</v>
      </c>
    </row>
    <row r="282" ht="15.75" customHeight="1">
      <c r="A282" s="7" t="s">
        <v>1528</v>
      </c>
      <c r="B282" s="8" t="s">
        <v>1530</v>
      </c>
      <c r="C282" s="7" t="s">
        <v>818</v>
      </c>
      <c r="D282" s="12" t="s">
        <v>39</v>
      </c>
      <c r="E282" s="13" t="s">
        <v>41</v>
      </c>
      <c r="F282" s="8" t="s">
        <v>42</v>
      </c>
      <c r="G282" s="8" t="b">
        <v>0</v>
      </c>
      <c r="H282" s="8" t="s">
        <v>820</v>
      </c>
      <c r="I282" s="8">
        <v>10.0</v>
      </c>
      <c r="J282" s="8">
        <v>0.01</v>
      </c>
      <c r="K282" s="8">
        <v>0.1</v>
      </c>
    </row>
    <row r="283" ht="15.75" customHeight="1">
      <c r="A283" s="7" t="s">
        <v>1533</v>
      </c>
      <c r="B283" s="8" t="s">
        <v>1536</v>
      </c>
      <c r="C283" s="8" t="s">
        <v>35</v>
      </c>
      <c r="D283" s="12" t="s">
        <v>39</v>
      </c>
      <c r="E283" s="13" t="s">
        <v>22</v>
      </c>
      <c r="F283" s="8" t="s">
        <v>42</v>
      </c>
      <c r="G283" s="8" t="b">
        <v>0</v>
      </c>
      <c r="H283" s="8" t="s">
        <v>1538</v>
      </c>
      <c r="I283" s="8">
        <v>10.0</v>
      </c>
      <c r="J283" s="8">
        <v>0.01</v>
      </c>
      <c r="K283" s="8">
        <v>1.4</v>
      </c>
    </row>
    <row r="284" ht="15.75" customHeight="1">
      <c r="A284" s="7" t="s">
        <v>1539</v>
      </c>
      <c r="B284" s="8" t="s">
        <v>1542</v>
      </c>
      <c r="C284" s="7" t="s">
        <v>486</v>
      </c>
      <c r="D284" s="12" t="s">
        <v>39</v>
      </c>
      <c r="E284" s="13" t="s">
        <v>41</v>
      </c>
      <c r="F284" s="8" t="s">
        <v>42</v>
      </c>
      <c r="G284" s="8" t="b">
        <v>0</v>
      </c>
      <c r="H284" s="8" t="s">
        <v>1543</v>
      </c>
      <c r="I284" s="8">
        <v>10.0</v>
      </c>
      <c r="J284" s="8">
        <v>0.01</v>
      </c>
      <c r="K284" s="8">
        <v>0.0</v>
      </c>
    </row>
    <row r="285" ht="15.75" customHeight="1">
      <c r="A285" s="7" t="s">
        <v>1545</v>
      </c>
      <c r="B285" s="8" t="s">
        <v>1547</v>
      </c>
      <c r="C285" s="7" t="s">
        <v>829</v>
      </c>
      <c r="D285" s="12" t="s">
        <v>39</v>
      </c>
      <c r="E285" s="13" t="s">
        <v>41</v>
      </c>
      <c r="F285" s="8" t="s">
        <v>42</v>
      </c>
      <c r="G285" s="8" t="b">
        <v>0</v>
      </c>
      <c r="H285" s="8" t="s">
        <v>1550</v>
      </c>
      <c r="I285" s="8">
        <v>10.0</v>
      </c>
      <c r="J285" s="8">
        <v>0.01</v>
      </c>
      <c r="K285" s="8">
        <v>1.0</v>
      </c>
    </row>
    <row r="286" ht="15.75" customHeight="1">
      <c r="A286" s="7" t="s">
        <v>1551</v>
      </c>
      <c r="B286" s="8" t="s">
        <v>1553</v>
      </c>
      <c r="C286" s="7" t="s">
        <v>382</v>
      </c>
      <c r="D286" s="12" t="s">
        <v>39</v>
      </c>
      <c r="E286" s="13" t="s">
        <v>41</v>
      </c>
      <c r="F286" s="8" t="s">
        <v>42</v>
      </c>
      <c r="G286" s="8" t="b">
        <v>0</v>
      </c>
      <c r="H286" s="8" t="s">
        <v>1556</v>
      </c>
      <c r="I286" s="8">
        <v>10.0</v>
      </c>
      <c r="J286" s="8">
        <v>0.01</v>
      </c>
      <c r="K286" s="8">
        <v>1.1</v>
      </c>
    </row>
    <row r="287" ht="15.75" customHeight="1">
      <c r="A287" s="7" t="s">
        <v>1557</v>
      </c>
      <c r="B287" s="8" t="s">
        <v>1560</v>
      </c>
      <c r="C287" s="7" t="s">
        <v>382</v>
      </c>
      <c r="D287" s="12" t="s">
        <v>39</v>
      </c>
      <c r="E287" s="13" t="s">
        <v>41</v>
      </c>
      <c r="F287" s="8" t="s">
        <v>42</v>
      </c>
      <c r="G287" s="8" t="b">
        <v>0</v>
      </c>
      <c r="H287" s="8" t="s">
        <v>1561</v>
      </c>
      <c r="I287" s="8">
        <v>10.0</v>
      </c>
      <c r="J287" s="8">
        <v>0.01</v>
      </c>
      <c r="K287" s="8">
        <v>0.6</v>
      </c>
    </row>
    <row r="288" ht="15.75" customHeight="1">
      <c r="A288" s="7" t="s">
        <v>1562</v>
      </c>
      <c r="B288" s="8" t="s">
        <v>1565</v>
      </c>
      <c r="C288" s="8" t="s">
        <v>352</v>
      </c>
      <c r="D288" s="12" t="s">
        <v>39</v>
      </c>
      <c r="E288" s="13" t="s">
        <v>41</v>
      </c>
      <c r="F288" s="8" t="s">
        <v>42</v>
      </c>
      <c r="G288" s="8" t="b">
        <v>0</v>
      </c>
      <c r="H288" s="8" t="s">
        <v>1566</v>
      </c>
      <c r="I288" s="8">
        <v>10.0</v>
      </c>
      <c r="J288" s="8">
        <v>0.01</v>
      </c>
      <c r="K288" s="8">
        <v>1.5</v>
      </c>
    </row>
    <row r="289" ht="15.75" customHeight="1">
      <c r="A289" s="7" t="s">
        <v>1568</v>
      </c>
      <c r="B289" s="8" t="s">
        <v>1570</v>
      </c>
      <c r="C289" s="7" t="s">
        <v>837</v>
      </c>
      <c r="D289" s="12" t="s">
        <v>39</v>
      </c>
      <c r="E289" s="13" t="s">
        <v>41</v>
      </c>
      <c r="F289" s="8" t="s">
        <v>42</v>
      </c>
      <c r="G289" s="8" t="b">
        <v>0</v>
      </c>
      <c r="H289" s="8" t="s">
        <v>1573</v>
      </c>
      <c r="I289" s="8">
        <v>10.0</v>
      </c>
      <c r="J289" s="8">
        <v>0.01</v>
      </c>
      <c r="K289" s="8">
        <v>0.3</v>
      </c>
    </row>
    <row r="290" ht="15.75" customHeight="1">
      <c r="A290" s="7" t="s">
        <v>1574</v>
      </c>
      <c r="B290" s="8" t="s">
        <v>1577</v>
      </c>
      <c r="C290" s="7" t="s">
        <v>71</v>
      </c>
      <c r="D290" s="12" t="s">
        <v>1425</v>
      </c>
      <c r="E290" s="13" t="s">
        <v>76</v>
      </c>
      <c r="F290" s="8" t="s">
        <v>1426</v>
      </c>
      <c r="G290" s="8" t="b">
        <v>0</v>
      </c>
      <c r="H290" s="8" t="s">
        <v>1578</v>
      </c>
      <c r="I290" s="8">
        <v>10.0</v>
      </c>
      <c r="J290" s="8">
        <v>0.01</v>
      </c>
      <c r="K290" s="8">
        <v>1.2</v>
      </c>
    </row>
    <row r="291" ht="15.75" customHeight="1">
      <c r="A291" s="7" t="s">
        <v>1579</v>
      </c>
      <c r="B291" s="8" t="s">
        <v>1581</v>
      </c>
      <c r="C291" s="7" t="s">
        <v>71</v>
      </c>
      <c r="D291" s="12" t="s">
        <v>1425</v>
      </c>
      <c r="E291" s="13" t="s">
        <v>76</v>
      </c>
      <c r="F291" s="8" t="s">
        <v>1426</v>
      </c>
      <c r="G291" s="8" t="b">
        <v>0</v>
      </c>
      <c r="H291" s="8" t="s">
        <v>1582</v>
      </c>
      <c r="I291" s="8">
        <v>10.0</v>
      </c>
      <c r="J291" s="8">
        <v>0.01</v>
      </c>
      <c r="K291" s="8">
        <v>1.4</v>
      </c>
    </row>
    <row r="292" ht="15.75" customHeight="1">
      <c r="A292" s="7" t="s">
        <v>1583</v>
      </c>
      <c r="B292" s="8" t="s">
        <v>1585</v>
      </c>
      <c r="C292" s="7" t="s">
        <v>201</v>
      </c>
      <c r="D292" s="12" t="s">
        <v>39</v>
      </c>
      <c r="E292" s="13" t="s">
        <v>22</v>
      </c>
      <c r="F292" s="8" t="s">
        <v>42</v>
      </c>
      <c r="G292" s="8" t="b">
        <v>0</v>
      </c>
      <c r="H292" s="8" t="s">
        <v>1586</v>
      </c>
      <c r="I292" s="8">
        <v>10.0</v>
      </c>
      <c r="J292" s="8">
        <v>0.01</v>
      </c>
      <c r="K292" s="8">
        <v>0.6</v>
      </c>
    </row>
    <row r="293" ht="15.75" customHeight="1">
      <c r="A293" s="7" t="s">
        <v>1588</v>
      </c>
      <c r="B293" s="8" t="s">
        <v>1590</v>
      </c>
      <c r="C293" s="7" t="s">
        <v>526</v>
      </c>
      <c r="D293" s="12" t="s">
        <v>190</v>
      </c>
      <c r="E293" s="13" t="s">
        <v>73</v>
      </c>
      <c r="F293" s="8" t="s">
        <v>191</v>
      </c>
      <c r="G293" s="8" t="b">
        <v>0</v>
      </c>
      <c r="H293" s="8" t="s">
        <v>1592</v>
      </c>
      <c r="I293" s="8">
        <v>10.0</v>
      </c>
      <c r="J293" s="8">
        <v>0.01</v>
      </c>
      <c r="K293" s="8">
        <v>0.0</v>
      </c>
    </row>
    <row r="294" ht="15.75" customHeight="1">
      <c r="A294" s="7" t="s">
        <v>1593</v>
      </c>
      <c r="B294" s="8" t="s">
        <v>1596</v>
      </c>
      <c r="C294" s="7" t="s">
        <v>445</v>
      </c>
      <c r="D294" s="12" t="s">
        <v>39</v>
      </c>
      <c r="E294" s="13" t="s">
        <v>22</v>
      </c>
      <c r="F294" s="8" t="s">
        <v>42</v>
      </c>
      <c r="G294" s="8" t="b">
        <v>0</v>
      </c>
      <c r="H294" s="8" t="s">
        <v>1598</v>
      </c>
      <c r="I294" s="8">
        <v>10.0</v>
      </c>
      <c r="J294" s="8">
        <v>0.01</v>
      </c>
      <c r="K294" s="8">
        <v>2.0</v>
      </c>
    </row>
    <row r="295" ht="15.75" customHeight="1">
      <c r="A295" s="7" t="s">
        <v>1599</v>
      </c>
      <c r="B295" s="8" t="s">
        <v>1601</v>
      </c>
      <c r="C295" s="7" t="s">
        <v>30</v>
      </c>
      <c r="D295" s="12" t="s">
        <v>72</v>
      </c>
      <c r="E295" s="13" t="s">
        <v>41</v>
      </c>
      <c r="F295" s="8" t="s">
        <v>74</v>
      </c>
      <c r="G295" s="8" t="b">
        <v>0</v>
      </c>
      <c r="H295" s="8" t="s">
        <v>1602</v>
      </c>
      <c r="I295" s="8">
        <v>10.0</v>
      </c>
      <c r="J295" s="8">
        <v>0.01</v>
      </c>
      <c r="K295" s="8">
        <v>0.0</v>
      </c>
    </row>
    <row r="296" ht="15.75" customHeight="1">
      <c r="A296" s="7" t="s">
        <v>1604</v>
      </c>
      <c r="B296" s="8" t="s">
        <v>1606</v>
      </c>
      <c r="C296" s="7" t="s">
        <v>841</v>
      </c>
      <c r="D296" s="12" t="s">
        <v>693</v>
      </c>
      <c r="E296" s="13" t="s">
        <v>190</v>
      </c>
      <c r="F296" s="8" t="s">
        <v>695</v>
      </c>
      <c r="G296" s="8" t="b">
        <v>0</v>
      </c>
      <c r="H296" s="8" t="s">
        <v>1609</v>
      </c>
      <c r="I296" s="8">
        <v>10.0</v>
      </c>
      <c r="J296" s="8">
        <v>0.01</v>
      </c>
      <c r="K296" s="8">
        <v>0.1</v>
      </c>
    </row>
    <row r="297" ht="15.75" customHeight="1">
      <c r="A297" s="7" t="s">
        <v>1610</v>
      </c>
      <c r="B297" s="8" t="s">
        <v>1612</v>
      </c>
      <c r="C297" s="7" t="s">
        <v>861</v>
      </c>
      <c r="D297" s="12" t="s">
        <v>39</v>
      </c>
      <c r="E297" s="13" t="s">
        <v>41</v>
      </c>
      <c r="F297" s="8" t="s">
        <v>42</v>
      </c>
      <c r="G297" s="8" t="b">
        <v>0</v>
      </c>
      <c r="I297" s="8">
        <v>9.0</v>
      </c>
      <c r="J297" s="8">
        <v>0.01</v>
      </c>
      <c r="K297" s="8">
        <v>0.0</v>
      </c>
    </row>
    <row r="298" ht="15.75" customHeight="1">
      <c r="A298" s="7" t="s">
        <v>1614</v>
      </c>
      <c r="B298" s="8" t="s">
        <v>1617</v>
      </c>
      <c r="C298" s="7" t="s">
        <v>864</v>
      </c>
      <c r="D298" s="12" t="s">
        <v>39</v>
      </c>
      <c r="E298" s="13" t="s">
        <v>41</v>
      </c>
      <c r="F298" s="8" t="s">
        <v>42</v>
      </c>
      <c r="G298" s="8" t="b">
        <v>0</v>
      </c>
      <c r="H298" s="8" t="s">
        <v>1619</v>
      </c>
      <c r="I298" s="8">
        <v>9.0</v>
      </c>
      <c r="J298" s="8">
        <v>0.01</v>
      </c>
      <c r="K298" s="8">
        <v>0.89</v>
      </c>
    </row>
    <row r="299" ht="15.75" customHeight="1">
      <c r="A299" s="7" t="s">
        <v>1621</v>
      </c>
      <c r="B299" s="8" t="s">
        <v>1623</v>
      </c>
      <c r="C299" s="7" t="s">
        <v>859</v>
      </c>
      <c r="D299" s="12" t="s">
        <v>21</v>
      </c>
      <c r="E299" s="13" t="s">
        <v>73</v>
      </c>
      <c r="F299" s="8" t="s">
        <v>24</v>
      </c>
      <c r="G299" s="8" t="b">
        <v>0</v>
      </c>
      <c r="I299" s="8">
        <v>9.0</v>
      </c>
      <c r="J299" s="8">
        <v>0.01</v>
      </c>
      <c r="K299" s="8">
        <v>0.0</v>
      </c>
    </row>
    <row r="300" ht="15.75" customHeight="1">
      <c r="A300" s="7" t="s">
        <v>1625</v>
      </c>
      <c r="B300" s="8" t="s">
        <v>1628</v>
      </c>
      <c r="C300" s="7" t="s">
        <v>845</v>
      </c>
      <c r="D300" s="12" t="s">
        <v>39</v>
      </c>
      <c r="E300" s="13" t="s">
        <v>41</v>
      </c>
      <c r="F300" s="8" t="s">
        <v>42</v>
      </c>
      <c r="G300" s="8" t="b">
        <v>0</v>
      </c>
      <c r="H300" s="8" t="s">
        <v>1630</v>
      </c>
      <c r="I300" s="8">
        <v>9.0</v>
      </c>
      <c r="J300" s="8">
        <v>0.01</v>
      </c>
      <c r="K300" s="8">
        <v>2.33</v>
      </c>
    </row>
    <row r="301" ht="15.75" customHeight="1">
      <c r="A301" s="7" t="s">
        <v>1632</v>
      </c>
      <c r="B301" s="8" t="s">
        <v>1633</v>
      </c>
      <c r="C301" s="7" t="s">
        <v>855</v>
      </c>
      <c r="D301" s="12" t="s">
        <v>554</v>
      </c>
      <c r="E301" s="13" t="s">
        <v>41</v>
      </c>
      <c r="F301" s="8" t="s">
        <v>555</v>
      </c>
      <c r="G301" s="8" t="b">
        <v>0</v>
      </c>
      <c r="I301" s="8">
        <v>9.0</v>
      </c>
      <c r="J301" s="8">
        <v>0.01</v>
      </c>
      <c r="K301" s="8">
        <v>1.11</v>
      </c>
    </row>
    <row r="302" ht="15.75" customHeight="1">
      <c r="A302" s="7" t="s">
        <v>1636</v>
      </c>
      <c r="B302" s="8" t="s">
        <v>1638</v>
      </c>
      <c r="C302" s="7" t="s">
        <v>15</v>
      </c>
      <c r="D302" s="12" t="s">
        <v>21</v>
      </c>
      <c r="E302" s="13" t="s">
        <v>22</v>
      </c>
      <c r="F302" s="8" t="s">
        <v>24</v>
      </c>
      <c r="G302" s="8" t="b">
        <v>0</v>
      </c>
      <c r="H302" s="8" t="s">
        <v>186</v>
      </c>
      <c r="I302" s="8">
        <v>9.0</v>
      </c>
      <c r="J302" s="8">
        <v>0.01</v>
      </c>
      <c r="K302" s="8">
        <v>0.11</v>
      </c>
    </row>
    <row r="303" ht="15.75" customHeight="1">
      <c r="A303" s="7" t="s">
        <v>1640</v>
      </c>
      <c r="B303" s="8" t="s">
        <v>1642</v>
      </c>
      <c r="C303" s="7" t="s">
        <v>15</v>
      </c>
      <c r="D303" s="12" t="s">
        <v>21</v>
      </c>
      <c r="E303" s="13" t="s">
        <v>22</v>
      </c>
      <c r="F303" s="8" t="s">
        <v>24</v>
      </c>
      <c r="G303" s="8" t="b">
        <v>0</v>
      </c>
      <c r="H303" s="8" t="s">
        <v>1644</v>
      </c>
      <c r="I303" s="8">
        <v>9.0</v>
      </c>
      <c r="J303" s="8">
        <v>0.01</v>
      </c>
      <c r="K303" s="8">
        <v>0.11</v>
      </c>
    </row>
    <row r="304" ht="15.75" customHeight="1">
      <c r="A304" s="7" t="s">
        <v>1646</v>
      </c>
      <c r="C304" s="7" t="s">
        <v>869</v>
      </c>
      <c r="D304" s="12" t="s">
        <v>554</v>
      </c>
      <c r="E304" s="13" t="s">
        <v>41</v>
      </c>
      <c r="F304" s="8" t="s">
        <v>555</v>
      </c>
      <c r="H304" s="8" t="s">
        <v>1246</v>
      </c>
      <c r="I304" s="8">
        <v>9.0</v>
      </c>
      <c r="J304" s="8">
        <v>0.01</v>
      </c>
      <c r="K304" s="8">
        <v>0.0</v>
      </c>
    </row>
    <row r="305" ht="15.75" customHeight="1">
      <c r="A305" s="7" t="s">
        <v>1651</v>
      </c>
      <c r="B305" s="8" t="s">
        <v>1653</v>
      </c>
      <c r="C305" s="7" t="s">
        <v>281</v>
      </c>
      <c r="D305" s="12" t="s">
        <v>39</v>
      </c>
      <c r="E305" s="13" t="s">
        <v>41</v>
      </c>
      <c r="F305" s="8" t="s">
        <v>42</v>
      </c>
      <c r="G305" s="8" t="b">
        <v>0</v>
      </c>
      <c r="H305" s="8" t="s">
        <v>1655</v>
      </c>
      <c r="I305" s="8">
        <v>9.0</v>
      </c>
      <c r="J305" s="8">
        <v>0.01</v>
      </c>
      <c r="K305" s="8">
        <v>1.33</v>
      </c>
    </row>
    <row r="306" ht="15.75" customHeight="1">
      <c r="A306" s="7" t="s">
        <v>1657</v>
      </c>
      <c r="B306" s="8" t="s">
        <v>1659</v>
      </c>
      <c r="C306" s="8" t="s">
        <v>872</v>
      </c>
      <c r="D306" s="12" t="s">
        <v>39</v>
      </c>
      <c r="E306" s="13" t="s">
        <v>41</v>
      </c>
      <c r="F306" s="8" t="s">
        <v>42</v>
      </c>
      <c r="G306" s="8" t="b">
        <v>0</v>
      </c>
      <c r="H306" s="8" t="s">
        <v>1661</v>
      </c>
      <c r="I306" s="8">
        <v>9.0</v>
      </c>
      <c r="J306" s="8">
        <v>0.01</v>
      </c>
      <c r="K306" s="8">
        <v>0.11</v>
      </c>
    </row>
    <row r="307" ht="15.75" customHeight="1">
      <c r="A307" s="7" t="s">
        <v>1662</v>
      </c>
      <c r="B307" s="8" t="s">
        <v>1664</v>
      </c>
      <c r="C307" s="7" t="s">
        <v>26</v>
      </c>
      <c r="D307" s="12" t="s">
        <v>21</v>
      </c>
      <c r="E307" s="13" t="s">
        <v>41</v>
      </c>
      <c r="F307" s="8" t="s">
        <v>24</v>
      </c>
      <c r="G307" s="8" t="b">
        <v>0</v>
      </c>
      <c r="H307" s="8" t="s">
        <v>1666</v>
      </c>
      <c r="I307" s="8">
        <v>9.0</v>
      </c>
      <c r="J307" s="8">
        <v>0.01</v>
      </c>
      <c r="K307" s="8">
        <v>0.44</v>
      </c>
    </row>
    <row r="308" ht="15.75" customHeight="1">
      <c r="A308" s="7" t="s">
        <v>1667</v>
      </c>
      <c r="B308" s="8" t="s">
        <v>1668</v>
      </c>
      <c r="C308" s="7" t="s">
        <v>133</v>
      </c>
      <c r="D308" s="12" t="s">
        <v>39</v>
      </c>
      <c r="E308" s="13" t="s">
        <v>22</v>
      </c>
      <c r="F308" s="8" t="s">
        <v>42</v>
      </c>
      <c r="G308" s="8" t="b">
        <v>0</v>
      </c>
      <c r="H308" s="8" t="s">
        <v>1669</v>
      </c>
      <c r="I308" s="8">
        <v>9.0</v>
      </c>
      <c r="J308" s="8">
        <v>0.01</v>
      </c>
      <c r="K308" s="8">
        <v>0.89</v>
      </c>
    </row>
    <row r="309" ht="15.75" customHeight="1">
      <c r="A309" s="7" t="s">
        <v>1670</v>
      </c>
      <c r="B309" s="8" t="s">
        <v>1672</v>
      </c>
      <c r="C309" s="7" t="s">
        <v>133</v>
      </c>
      <c r="D309" s="12" t="s">
        <v>39</v>
      </c>
      <c r="E309" s="13" t="s">
        <v>22</v>
      </c>
      <c r="F309" s="8" t="s">
        <v>42</v>
      </c>
      <c r="G309" s="8" t="b">
        <v>0</v>
      </c>
      <c r="H309" s="8" t="s">
        <v>1674</v>
      </c>
      <c r="I309" s="8">
        <v>9.0</v>
      </c>
      <c r="J309" s="8">
        <v>0.01</v>
      </c>
      <c r="K309" s="8">
        <v>1.33</v>
      </c>
    </row>
    <row r="310" ht="15.75" customHeight="1">
      <c r="A310" s="7" t="s">
        <v>1675</v>
      </c>
      <c r="B310" s="8" t="s">
        <v>1678</v>
      </c>
      <c r="C310" s="7" t="s">
        <v>728</v>
      </c>
      <c r="D310" s="12" t="s">
        <v>693</v>
      </c>
      <c r="E310" s="13" t="s">
        <v>41</v>
      </c>
      <c r="F310" s="8" t="s">
        <v>695</v>
      </c>
      <c r="G310" s="8" t="b">
        <v>0</v>
      </c>
      <c r="I310" s="8">
        <v>9.0</v>
      </c>
      <c r="J310" s="8">
        <v>0.01</v>
      </c>
      <c r="K310" s="8">
        <v>1.89</v>
      </c>
    </row>
    <row r="311" ht="15.75" customHeight="1">
      <c r="A311" s="7" t="s">
        <v>1681</v>
      </c>
      <c r="B311" s="8" t="s">
        <v>1683</v>
      </c>
      <c r="C311" s="7" t="s">
        <v>138</v>
      </c>
      <c r="D311" s="12" t="s">
        <v>21</v>
      </c>
      <c r="E311" s="13" t="s">
        <v>41</v>
      </c>
      <c r="F311" s="8" t="s">
        <v>24</v>
      </c>
      <c r="G311" s="8" t="b">
        <v>0</v>
      </c>
      <c r="H311" s="8" t="s">
        <v>1685</v>
      </c>
      <c r="I311" s="8">
        <v>9.0</v>
      </c>
      <c r="J311" s="8">
        <v>0.01</v>
      </c>
      <c r="K311" s="8">
        <v>0.11</v>
      </c>
    </row>
    <row r="312" ht="15.75" customHeight="1">
      <c r="A312" s="7" t="s">
        <v>1686</v>
      </c>
      <c r="B312" s="8" t="s">
        <v>1688</v>
      </c>
      <c r="C312" s="7" t="s">
        <v>99</v>
      </c>
      <c r="D312" s="12" t="s">
        <v>21</v>
      </c>
      <c r="E312" s="13" t="s">
        <v>76</v>
      </c>
      <c r="F312" s="8" t="s">
        <v>24</v>
      </c>
      <c r="G312" s="8" t="b">
        <v>0</v>
      </c>
      <c r="H312" s="8" t="s">
        <v>1690</v>
      </c>
      <c r="I312" s="8">
        <v>9.0</v>
      </c>
      <c r="J312" s="8">
        <v>0.01</v>
      </c>
      <c r="K312" s="8">
        <v>0.0</v>
      </c>
    </row>
    <row r="313" ht="15.75" customHeight="1">
      <c r="A313" s="7" t="s">
        <v>1691</v>
      </c>
      <c r="B313" s="8" t="s">
        <v>1693</v>
      </c>
      <c r="C313" s="8" t="s">
        <v>35</v>
      </c>
      <c r="D313" s="12" t="s">
        <v>39</v>
      </c>
      <c r="E313" s="13" t="s">
        <v>22</v>
      </c>
      <c r="F313" s="8" t="s">
        <v>42</v>
      </c>
      <c r="G313" s="8" t="b">
        <v>0</v>
      </c>
      <c r="H313" s="8" t="s">
        <v>1695</v>
      </c>
      <c r="I313" s="8">
        <v>9.0</v>
      </c>
      <c r="J313" s="8">
        <v>0.01</v>
      </c>
      <c r="K313" s="8">
        <v>0.11</v>
      </c>
    </row>
    <row r="314" ht="15.75" customHeight="1">
      <c r="A314" s="7" t="s">
        <v>1697</v>
      </c>
      <c r="B314" s="8" t="s">
        <v>1698</v>
      </c>
      <c r="C314" s="7" t="s">
        <v>888</v>
      </c>
      <c r="D314" s="12" t="s">
        <v>21</v>
      </c>
      <c r="E314" s="13" t="s">
        <v>73</v>
      </c>
      <c r="F314" s="8" t="s">
        <v>24</v>
      </c>
      <c r="G314" s="8" t="b">
        <v>0</v>
      </c>
      <c r="I314" s="8">
        <v>9.0</v>
      </c>
      <c r="J314" s="8">
        <v>0.01</v>
      </c>
      <c r="K314" s="8">
        <v>0.0</v>
      </c>
    </row>
    <row r="315" ht="15.75" customHeight="1">
      <c r="A315" s="7" t="s">
        <v>1700</v>
      </c>
      <c r="B315" s="8" t="s">
        <v>1702</v>
      </c>
      <c r="C315" s="7" t="s">
        <v>891</v>
      </c>
      <c r="D315" s="12" t="s">
        <v>39</v>
      </c>
      <c r="E315" s="13" t="s">
        <v>76</v>
      </c>
      <c r="F315" s="8" t="s">
        <v>42</v>
      </c>
      <c r="G315" s="8" t="b">
        <v>0</v>
      </c>
      <c r="H315" s="8" t="s">
        <v>1705</v>
      </c>
      <c r="I315" s="8">
        <v>9.0</v>
      </c>
      <c r="J315" s="8">
        <v>0.01</v>
      </c>
      <c r="K315" s="8">
        <v>0.11</v>
      </c>
    </row>
    <row r="316" ht="15.75" customHeight="1">
      <c r="A316" s="7" t="s">
        <v>1706</v>
      </c>
      <c r="B316" s="8" t="s">
        <v>1708</v>
      </c>
      <c r="C316" s="7" t="s">
        <v>577</v>
      </c>
      <c r="D316" s="12" t="s">
        <v>39</v>
      </c>
      <c r="E316" s="13" t="s">
        <v>41</v>
      </c>
      <c r="F316" s="8" t="s">
        <v>42</v>
      </c>
      <c r="G316" s="8" t="b">
        <v>0</v>
      </c>
      <c r="H316" s="8" t="s">
        <v>1710</v>
      </c>
      <c r="I316" s="8">
        <v>9.0</v>
      </c>
      <c r="J316" s="8">
        <v>0.01</v>
      </c>
      <c r="K316" s="8">
        <v>0.11</v>
      </c>
    </row>
    <row r="317" ht="15.75" customHeight="1">
      <c r="A317" s="7" t="s">
        <v>1712</v>
      </c>
      <c r="B317" s="8" t="s">
        <v>1714</v>
      </c>
      <c r="C317" s="7" t="s">
        <v>853</v>
      </c>
      <c r="D317" s="12" t="s">
        <v>766</v>
      </c>
      <c r="E317" s="13" t="s">
        <v>41</v>
      </c>
      <c r="F317" s="8" t="s">
        <v>767</v>
      </c>
      <c r="G317" s="8" t="b">
        <v>0</v>
      </c>
      <c r="H317" s="8" t="s">
        <v>498</v>
      </c>
      <c r="I317" s="8">
        <v>9.0</v>
      </c>
      <c r="J317" s="8">
        <v>0.01</v>
      </c>
      <c r="K317" s="8">
        <v>1.33</v>
      </c>
    </row>
    <row r="318" ht="15.75" customHeight="1">
      <c r="A318" s="7" t="s">
        <v>1717</v>
      </c>
      <c r="B318" s="8" t="s">
        <v>1718</v>
      </c>
      <c r="C318" s="7" t="s">
        <v>825</v>
      </c>
      <c r="D318" s="12" t="s">
        <v>39</v>
      </c>
      <c r="E318" s="13" t="s">
        <v>41</v>
      </c>
      <c r="F318" s="8" t="s">
        <v>42</v>
      </c>
      <c r="G318" s="8" t="b">
        <v>0</v>
      </c>
      <c r="H318" s="8" t="s">
        <v>1720</v>
      </c>
      <c r="I318" s="8">
        <v>9.0</v>
      </c>
      <c r="J318" s="8">
        <v>0.01</v>
      </c>
      <c r="K318" s="8">
        <v>1.22</v>
      </c>
    </row>
    <row r="319" ht="15.75" customHeight="1">
      <c r="A319" s="7" t="s">
        <v>1722</v>
      </c>
      <c r="B319" s="8" t="s">
        <v>1725</v>
      </c>
      <c r="C319" s="7" t="s">
        <v>898</v>
      </c>
      <c r="D319" s="12" t="s">
        <v>21</v>
      </c>
      <c r="E319" s="13" t="s">
        <v>73</v>
      </c>
      <c r="F319" s="8" t="s">
        <v>24</v>
      </c>
      <c r="G319" s="8" t="b">
        <v>0</v>
      </c>
      <c r="H319" s="8" t="s">
        <v>1727</v>
      </c>
      <c r="I319" s="8">
        <v>9.0</v>
      </c>
      <c r="J319" s="8">
        <v>0.01</v>
      </c>
      <c r="K319" s="8">
        <v>0.22</v>
      </c>
    </row>
    <row r="320" ht="15.75" customHeight="1">
      <c r="A320" s="8" t="s">
        <v>1729</v>
      </c>
      <c r="C320" s="7" t="s">
        <v>356</v>
      </c>
      <c r="D320" s="12" t="s">
        <v>190</v>
      </c>
      <c r="E320" s="13" t="s">
        <v>41</v>
      </c>
      <c r="F320" s="8" t="s">
        <v>191</v>
      </c>
      <c r="H320" s="8" t="s">
        <v>1246</v>
      </c>
      <c r="I320" s="8">
        <v>9.0</v>
      </c>
      <c r="J320" s="8">
        <v>0.01</v>
      </c>
      <c r="K320" s="8">
        <v>0.0</v>
      </c>
    </row>
    <row r="321" ht="15.75" customHeight="1">
      <c r="A321" s="7" t="s">
        <v>1730</v>
      </c>
      <c r="B321" s="8" t="s">
        <v>1732</v>
      </c>
      <c r="C321" s="7" t="s">
        <v>850</v>
      </c>
      <c r="D321" s="12" t="s">
        <v>190</v>
      </c>
      <c r="E321" s="13" t="s">
        <v>41</v>
      </c>
      <c r="F321" s="8" t="s">
        <v>191</v>
      </c>
      <c r="G321" s="8" t="b">
        <v>0</v>
      </c>
      <c r="H321" s="8" t="s">
        <v>1735</v>
      </c>
      <c r="I321" s="8">
        <v>9.0</v>
      </c>
      <c r="J321" s="8">
        <v>0.01</v>
      </c>
      <c r="K321" s="8">
        <v>2.0</v>
      </c>
    </row>
    <row r="322" ht="15.75" customHeight="1">
      <c r="A322" s="7" t="s">
        <v>1736</v>
      </c>
      <c r="B322" s="8" t="s">
        <v>1738</v>
      </c>
      <c r="C322" s="7" t="s">
        <v>906</v>
      </c>
      <c r="D322" s="12" t="s">
        <v>39</v>
      </c>
      <c r="E322" s="13" t="s">
        <v>41</v>
      </c>
      <c r="F322" s="8" t="s">
        <v>42</v>
      </c>
      <c r="G322" s="8" t="b">
        <v>0</v>
      </c>
      <c r="H322" s="8" t="s">
        <v>1741</v>
      </c>
      <c r="I322" s="8">
        <v>9.0</v>
      </c>
      <c r="J322" s="8">
        <v>0.01</v>
      </c>
      <c r="K322" s="8">
        <v>0.11</v>
      </c>
    </row>
    <row r="323" ht="15.75" customHeight="1">
      <c r="A323" s="7" t="s">
        <v>1742</v>
      </c>
      <c r="B323" s="8" t="s">
        <v>1744</v>
      </c>
      <c r="C323" s="7" t="s">
        <v>30</v>
      </c>
      <c r="D323" s="12" t="s">
        <v>21</v>
      </c>
      <c r="E323" s="13" t="s">
        <v>41</v>
      </c>
      <c r="F323" s="8" t="s">
        <v>24</v>
      </c>
      <c r="G323" s="8" t="b">
        <v>0</v>
      </c>
      <c r="H323" s="8" t="s">
        <v>186</v>
      </c>
      <c r="I323" s="8">
        <v>9.0</v>
      </c>
      <c r="J323" s="8">
        <v>0.01</v>
      </c>
      <c r="K323" s="8">
        <v>0.22</v>
      </c>
    </row>
    <row r="324" ht="15.75" customHeight="1">
      <c r="A324" s="7" t="s">
        <v>1746</v>
      </c>
      <c r="B324" s="8" t="s">
        <v>1748</v>
      </c>
      <c r="C324" s="7" t="s">
        <v>909</v>
      </c>
      <c r="D324" s="12" t="s">
        <v>39</v>
      </c>
      <c r="E324" s="13" t="s">
        <v>41</v>
      </c>
      <c r="F324" s="8" t="s">
        <v>42</v>
      </c>
      <c r="G324" s="8" t="b">
        <v>0</v>
      </c>
      <c r="H324" s="8" t="s">
        <v>1751</v>
      </c>
      <c r="I324" s="8">
        <v>9.0</v>
      </c>
      <c r="J324" s="8">
        <v>0.01</v>
      </c>
      <c r="K324" s="8">
        <v>0.33</v>
      </c>
    </row>
    <row r="325" ht="15.75" customHeight="1">
      <c r="A325" s="7" t="s">
        <v>1752</v>
      </c>
      <c r="B325" s="8" t="s">
        <v>1755</v>
      </c>
      <c r="C325" s="7" t="s">
        <v>349</v>
      </c>
      <c r="D325" s="12" t="s">
        <v>39</v>
      </c>
      <c r="E325" s="13" t="s">
        <v>41</v>
      </c>
      <c r="F325" s="8" t="s">
        <v>42</v>
      </c>
      <c r="G325" s="8" t="b">
        <v>0</v>
      </c>
      <c r="H325" s="8" t="s">
        <v>1756</v>
      </c>
      <c r="I325" s="8">
        <v>9.0</v>
      </c>
      <c r="J325" s="8">
        <v>0.01</v>
      </c>
      <c r="K325" s="8">
        <v>1.0</v>
      </c>
    </row>
    <row r="326" ht="15.75" customHeight="1">
      <c r="A326" s="7" t="s">
        <v>1758</v>
      </c>
      <c r="B326" s="8" t="s">
        <v>1760</v>
      </c>
      <c r="C326" s="8" t="s">
        <v>270</v>
      </c>
      <c r="D326" s="12" t="s">
        <v>39</v>
      </c>
      <c r="E326" s="13" t="s">
        <v>41</v>
      </c>
      <c r="F326" s="8" t="s">
        <v>42</v>
      </c>
      <c r="G326" s="8" t="b">
        <v>0</v>
      </c>
      <c r="H326" s="8" t="s">
        <v>1762</v>
      </c>
      <c r="I326" s="8">
        <v>9.0</v>
      </c>
      <c r="J326" s="8">
        <v>0.01</v>
      </c>
      <c r="K326" s="8">
        <v>0.0</v>
      </c>
    </row>
    <row r="327" ht="15.75" customHeight="1">
      <c r="A327" s="7" t="s">
        <v>1763</v>
      </c>
      <c r="C327" s="7" t="s">
        <v>200</v>
      </c>
      <c r="D327" s="12" t="s">
        <v>190</v>
      </c>
      <c r="E327" s="13" t="s">
        <v>190</v>
      </c>
      <c r="F327" s="8" t="s">
        <v>191</v>
      </c>
      <c r="H327" s="8" t="s">
        <v>1246</v>
      </c>
      <c r="I327" s="8">
        <v>8.0</v>
      </c>
      <c r="J327" s="8">
        <v>0.01</v>
      </c>
      <c r="K327" s="8">
        <v>0.0</v>
      </c>
    </row>
    <row r="328" ht="15.75" customHeight="1">
      <c r="A328" s="7" t="s">
        <v>1766</v>
      </c>
      <c r="B328" s="8" t="s">
        <v>1768</v>
      </c>
      <c r="C328" s="7" t="s">
        <v>503</v>
      </c>
      <c r="D328" s="12" t="s">
        <v>39</v>
      </c>
      <c r="E328" s="13" t="s">
        <v>41</v>
      </c>
      <c r="F328" s="8" t="s">
        <v>42</v>
      </c>
      <c r="G328" s="8" t="b">
        <v>0</v>
      </c>
      <c r="I328" s="8">
        <v>8.0</v>
      </c>
      <c r="J328" s="8">
        <v>0.01</v>
      </c>
      <c r="K328" s="8">
        <v>0.0</v>
      </c>
    </row>
    <row r="329" ht="15.75" customHeight="1">
      <c r="A329" s="7" t="s">
        <v>1769</v>
      </c>
      <c r="B329" s="8" t="s">
        <v>1772</v>
      </c>
      <c r="C329" s="7" t="s">
        <v>946</v>
      </c>
      <c r="D329" s="12" t="s">
        <v>693</v>
      </c>
      <c r="E329" s="13" t="s">
        <v>753</v>
      </c>
      <c r="F329" s="8" t="s">
        <v>695</v>
      </c>
      <c r="G329" s="8" t="b">
        <v>0</v>
      </c>
      <c r="I329" s="8">
        <v>8.0</v>
      </c>
      <c r="J329" s="8">
        <v>0.01</v>
      </c>
      <c r="K329" s="8">
        <v>2.0</v>
      </c>
    </row>
    <row r="330" ht="15.75" customHeight="1">
      <c r="A330" s="7" t="s">
        <v>1775</v>
      </c>
      <c r="B330" s="8" t="s">
        <v>1777</v>
      </c>
      <c r="C330" s="7" t="s">
        <v>948</v>
      </c>
      <c r="D330" s="12" t="s">
        <v>39</v>
      </c>
      <c r="E330" s="13" t="s">
        <v>41</v>
      </c>
      <c r="F330" s="8" t="s">
        <v>42</v>
      </c>
      <c r="G330" s="8" t="b">
        <v>0</v>
      </c>
      <c r="H330" s="8" t="s">
        <v>1780</v>
      </c>
      <c r="I330" s="8">
        <v>8.0</v>
      </c>
      <c r="J330" s="8">
        <v>0.01</v>
      </c>
      <c r="K330" s="8">
        <v>0.0</v>
      </c>
    </row>
    <row r="331" ht="15.75" customHeight="1">
      <c r="A331" s="7" t="s">
        <v>1781</v>
      </c>
      <c r="B331" s="8" t="s">
        <v>1784</v>
      </c>
      <c r="C331" s="7" t="s">
        <v>919</v>
      </c>
      <c r="D331" s="12" t="s">
        <v>39</v>
      </c>
      <c r="E331" s="13" t="s">
        <v>41</v>
      </c>
      <c r="F331" s="8" t="s">
        <v>42</v>
      </c>
      <c r="G331" s="8" t="b">
        <v>0</v>
      </c>
      <c r="H331" s="8" t="s">
        <v>1786</v>
      </c>
      <c r="I331" s="8">
        <v>8.0</v>
      </c>
      <c r="J331" s="8">
        <v>0.01</v>
      </c>
      <c r="K331" s="8">
        <v>1.13</v>
      </c>
    </row>
    <row r="332" ht="15.75" customHeight="1">
      <c r="A332" s="7" t="s">
        <v>1787</v>
      </c>
      <c r="B332" s="8" t="s">
        <v>357</v>
      </c>
      <c r="C332" s="7" t="s">
        <v>15</v>
      </c>
      <c r="D332" s="12" t="s">
        <v>72</v>
      </c>
      <c r="E332" s="13" t="s">
        <v>22</v>
      </c>
      <c r="F332" s="8" t="s">
        <v>74</v>
      </c>
      <c r="G332" s="8" t="b">
        <v>0</v>
      </c>
      <c r="H332" s="8" t="s">
        <v>1790</v>
      </c>
      <c r="I332" s="8">
        <v>8.0</v>
      </c>
      <c r="J332" s="8">
        <v>0.01</v>
      </c>
      <c r="K332" s="8">
        <v>0.0</v>
      </c>
    </row>
    <row r="333" ht="15.75" customHeight="1">
      <c r="A333" s="7" t="s">
        <v>1791</v>
      </c>
      <c r="B333" s="8" t="s">
        <v>1794</v>
      </c>
      <c r="C333" s="7" t="s">
        <v>15</v>
      </c>
      <c r="D333" s="12" t="s">
        <v>21</v>
      </c>
      <c r="E333" s="13" t="s">
        <v>22</v>
      </c>
      <c r="F333" s="8" t="s">
        <v>24</v>
      </c>
      <c r="G333" s="8" t="b">
        <v>0</v>
      </c>
      <c r="H333" s="8" t="s">
        <v>1795</v>
      </c>
      <c r="I333" s="8">
        <v>8.0</v>
      </c>
      <c r="J333" s="8">
        <v>0.01</v>
      </c>
      <c r="K333" s="8">
        <v>0.13</v>
      </c>
    </row>
    <row r="334" ht="15.75" customHeight="1">
      <c r="A334" s="7" t="s">
        <v>1797</v>
      </c>
      <c r="B334" s="8" t="s">
        <v>1799</v>
      </c>
      <c r="C334" s="7" t="s">
        <v>161</v>
      </c>
      <c r="D334" s="12" t="s">
        <v>39</v>
      </c>
      <c r="E334" s="13" t="s">
        <v>22</v>
      </c>
      <c r="F334" s="8" t="s">
        <v>42</v>
      </c>
      <c r="G334" s="8" t="b">
        <v>0</v>
      </c>
      <c r="H334" s="8" t="s">
        <v>1800</v>
      </c>
      <c r="I334" s="8">
        <v>8.0</v>
      </c>
      <c r="J334" s="8">
        <v>0.01</v>
      </c>
      <c r="K334" s="8">
        <v>0.75</v>
      </c>
    </row>
    <row r="335" ht="15.75" customHeight="1">
      <c r="A335" s="7" t="s">
        <v>1802</v>
      </c>
      <c r="B335" s="8" t="s">
        <v>1805</v>
      </c>
      <c r="C335" s="8" t="s">
        <v>621</v>
      </c>
      <c r="D335" s="12" t="s">
        <v>39</v>
      </c>
      <c r="E335" s="13" t="s">
        <v>41</v>
      </c>
      <c r="F335" s="8" t="s">
        <v>42</v>
      </c>
      <c r="G335" s="8" t="b">
        <v>0</v>
      </c>
      <c r="H335" s="8" t="s">
        <v>1806</v>
      </c>
      <c r="I335" s="8">
        <v>8.0</v>
      </c>
      <c r="J335" s="8">
        <v>0.01</v>
      </c>
      <c r="K335" s="8">
        <v>2.0</v>
      </c>
    </row>
    <row r="336" ht="15.75" customHeight="1">
      <c r="A336" s="7" t="s">
        <v>1808</v>
      </c>
      <c r="B336" s="8" t="s">
        <v>1809</v>
      </c>
      <c r="C336" s="7" t="s">
        <v>99</v>
      </c>
      <c r="D336" s="12" t="s">
        <v>21</v>
      </c>
      <c r="E336" s="13" t="s">
        <v>76</v>
      </c>
      <c r="F336" s="8" t="s">
        <v>24</v>
      </c>
      <c r="G336" s="8" t="b">
        <v>0</v>
      </c>
      <c r="H336" s="8" t="s">
        <v>1811</v>
      </c>
      <c r="I336" s="8">
        <v>8.0</v>
      </c>
      <c r="J336" s="8">
        <v>0.01</v>
      </c>
      <c r="K336" s="8">
        <v>0.0</v>
      </c>
    </row>
    <row r="337" ht="15.75" customHeight="1">
      <c r="A337" s="7" t="s">
        <v>1812</v>
      </c>
      <c r="B337" s="8" t="s">
        <v>1815</v>
      </c>
      <c r="C337" s="7" t="s">
        <v>99</v>
      </c>
      <c r="D337" s="12" t="s">
        <v>21</v>
      </c>
      <c r="E337" s="13" t="s">
        <v>76</v>
      </c>
      <c r="F337" s="8" t="s">
        <v>24</v>
      </c>
      <c r="G337" s="8" t="b">
        <v>0</v>
      </c>
      <c r="H337" s="8" t="s">
        <v>214</v>
      </c>
      <c r="I337" s="8">
        <v>8.0</v>
      </c>
      <c r="J337" s="8">
        <v>0.01</v>
      </c>
      <c r="K337" s="8">
        <v>0.5</v>
      </c>
    </row>
    <row r="338" ht="15.75" customHeight="1">
      <c r="A338" s="7" t="s">
        <v>1816</v>
      </c>
      <c r="B338" s="8" t="s">
        <v>1818</v>
      </c>
      <c r="C338" s="7" t="s">
        <v>99</v>
      </c>
      <c r="D338" s="12" t="s">
        <v>21</v>
      </c>
      <c r="E338" s="13" t="s">
        <v>76</v>
      </c>
      <c r="F338" s="8" t="s">
        <v>24</v>
      </c>
      <c r="G338" s="8" t="b">
        <v>0</v>
      </c>
      <c r="H338" s="8" t="s">
        <v>1820</v>
      </c>
      <c r="I338" s="8">
        <v>8.0</v>
      </c>
      <c r="J338" s="8">
        <v>0.01</v>
      </c>
      <c r="K338" s="8">
        <v>0.0</v>
      </c>
    </row>
    <row r="339" ht="15.75" customHeight="1">
      <c r="A339" s="7" t="s">
        <v>1822</v>
      </c>
      <c r="B339" s="8" t="s">
        <v>1823</v>
      </c>
      <c r="C339" s="7" t="s">
        <v>956</v>
      </c>
      <c r="D339" s="12" t="s">
        <v>39</v>
      </c>
      <c r="E339" s="13" t="s">
        <v>190</v>
      </c>
      <c r="F339" s="8" t="s">
        <v>42</v>
      </c>
      <c r="G339" s="8" t="b">
        <v>0</v>
      </c>
      <c r="H339" s="8" t="s">
        <v>1826</v>
      </c>
      <c r="I339" s="8">
        <v>8.0</v>
      </c>
      <c r="J339" s="8">
        <v>0.01</v>
      </c>
      <c r="K339" s="8">
        <v>2.38</v>
      </c>
    </row>
    <row r="340" ht="15.75" customHeight="1">
      <c r="A340" s="7" t="s">
        <v>1827</v>
      </c>
      <c r="B340" s="8" t="s">
        <v>1830</v>
      </c>
      <c r="C340" s="7" t="s">
        <v>453</v>
      </c>
      <c r="D340" s="12" t="s">
        <v>39</v>
      </c>
      <c r="E340" s="13" t="s">
        <v>190</v>
      </c>
      <c r="F340" s="8" t="s">
        <v>42</v>
      </c>
      <c r="G340" s="8" t="b">
        <v>0</v>
      </c>
      <c r="H340" s="8" t="s">
        <v>1831</v>
      </c>
      <c r="I340" s="8">
        <v>8.0</v>
      </c>
      <c r="J340" s="8">
        <v>0.01</v>
      </c>
      <c r="K340" s="8">
        <v>0.25</v>
      </c>
    </row>
    <row r="341" ht="15.75" customHeight="1">
      <c r="A341" s="7" t="s">
        <v>1832</v>
      </c>
      <c r="B341" s="8" t="s">
        <v>1834</v>
      </c>
      <c r="C341" s="7" t="s">
        <v>961</v>
      </c>
      <c r="D341" s="12" t="s">
        <v>554</v>
      </c>
      <c r="E341" s="13" t="s">
        <v>41</v>
      </c>
      <c r="F341" s="8" t="s">
        <v>555</v>
      </c>
      <c r="G341" s="8" t="b">
        <v>0</v>
      </c>
      <c r="I341" s="8">
        <v>8.0</v>
      </c>
      <c r="J341" s="8">
        <v>0.01</v>
      </c>
      <c r="K341" s="8">
        <v>0.5</v>
      </c>
    </row>
    <row r="342" ht="15.75" customHeight="1">
      <c r="A342" s="7" t="s">
        <v>1837</v>
      </c>
      <c r="B342" s="8" t="s">
        <v>1839</v>
      </c>
      <c r="C342" s="7" t="s">
        <v>617</v>
      </c>
      <c r="D342" s="12" t="s">
        <v>104</v>
      </c>
      <c r="E342" s="13" t="s">
        <v>22</v>
      </c>
      <c r="F342" s="8" t="s">
        <v>106</v>
      </c>
      <c r="G342" s="8" t="b">
        <v>0</v>
      </c>
      <c r="H342" s="8" t="s">
        <v>1841</v>
      </c>
      <c r="I342" s="8">
        <v>8.0</v>
      </c>
      <c r="J342" s="8">
        <v>0.01</v>
      </c>
      <c r="K342" s="8">
        <v>0.5</v>
      </c>
    </row>
    <row r="343" ht="15.75" customHeight="1">
      <c r="A343" s="7" t="s">
        <v>1842</v>
      </c>
      <c r="B343" s="8" t="s">
        <v>1845</v>
      </c>
      <c r="C343" s="7" t="s">
        <v>85</v>
      </c>
      <c r="D343" s="12" t="s">
        <v>39</v>
      </c>
      <c r="E343" s="13" t="s">
        <v>22</v>
      </c>
      <c r="F343" s="8" t="s">
        <v>42</v>
      </c>
      <c r="G343" s="8" t="b">
        <v>0</v>
      </c>
      <c r="H343" s="8" t="s">
        <v>1847</v>
      </c>
      <c r="I343" s="8">
        <v>8.0</v>
      </c>
      <c r="J343" s="8">
        <v>0.01</v>
      </c>
      <c r="K343" s="8">
        <v>0.0</v>
      </c>
    </row>
    <row r="344" ht="15.75" customHeight="1">
      <c r="A344" s="7" t="s">
        <v>1849</v>
      </c>
      <c r="B344" s="8" t="s">
        <v>1850</v>
      </c>
      <c r="C344" s="7" t="s">
        <v>967</v>
      </c>
      <c r="D344" s="12" t="s">
        <v>39</v>
      </c>
      <c r="E344" s="13" t="s">
        <v>41</v>
      </c>
      <c r="F344" s="8" t="s">
        <v>42</v>
      </c>
      <c r="G344" s="8" t="b">
        <v>0</v>
      </c>
      <c r="H344" s="8" t="s">
        <v>969</v>
      </c>
      <c r="I344" s="8">
        <v>8.0</v>
      </c>
      <c r="J344" s="8">
        <v>0.01</v>
      </c>
      <c r="K344" s="8">
        <v>0.25</v>
      </c>
    </row>
    <row r="345" ht="15.75" customHeight="1">
      <c r="A345" s="7" t="s">
        <v>1852</v>
      </c>
      <c r="B345" s="8" t="s">
        <v>1854</v>
      </c>
      <c r="C345" s="7" t="s">
        <v>971</v>
      </c>
      <c r="D345" s="12" t="s">
        <v>39</v>
      </c>
      <c r="E345" s="13" t="s">
        <v>41</v>
      </c>
      <c r="F345" s="8" t="s">
        <v>42</v>
      </c>
      <c r="G345" s="8" t="b">
        <v>0</v>
      </c>
      <c r="H345" s="8" t="s">
        <v>1857</v>
      </c>
      <c r="I345" s="8">
        <v>8.0</v>
      </c>
      <c r="J345" s="8">
        <v>0.01</v>
      </c>
      <c r="K345" s="8">
        <v>0.38</v>
      </c>
    </row>
    <row r="346" ht="15.75" customHeight="1">
      <c r="A346" s="7" t="s">
        <v>1858</v>
      </c>
      <c r="B346" s="8" t="s">
        <v>1860</v>
      </c>
      <c r="C346" s="7" t="s">
        <v>901</v>
      </c>
      <c r="D346" s="12" t="s">
        <v>39</v>
      </c>
      <c r="E346" s="13" t="s">
        <v>41</v>
      </c>
      <c r="F346" s="8" t="s">
        <v>42</v>
      </c>
      <c r="G346" s="8" t="b">
        <v>0</v>
      </c>
      <c r="H346" s="8" t="s">
        <v>1863</v>
      </c>
      <c r="I346" s="8">
        <v>8.0</v>
      </c>
      <c r="J346" s="8">
        <v>0.01</v>
      </c>
      <c r="K346" s="8">
        <v>0.75</v>
      </c>
    </row>
    <row r="347" ht="15.75" customHeight="1">
      <c r="A347" s="7" t="s">
        <v>1864</v>
      </c>
      <c r="B347" s="8" t="s">
        <v>1866</v>
      </c>
      <c r="C347" s="7" t="s">
        <v>979</v>
      </c>
      <c r="D347" s="12" t="s">
        <v>39</v>
      </c>
      <c r="E347" s="13" t="s">
        <v>41</v>
      </c>
      <c r="F347" s="8" t="s">
        <v>42</v>
      </c>
      <c r="G347" s="8" t="b">
        <v>0</v>
      </c>
      <c r="H347" s="8" t="s">
        <v>1869</v>
      </c>
      <c r="I347" s="8">
        <v>8.0</v>
      </c>
      <c r="J347" s="8">
        <v>0.01</v>
      </c>
      <c r="K347" s="8">
        <v>2.0</v>
      </c>
    </row>
    <row r="348" ht="15.75" customHeight="1">
      <c r="A348" s="7" t="s">
        <v>1870</v>
      </c>
      <c r="B348" s="8" t="s">
        <v>1872</v>
      </c>
      <c r="C348" s="8" t="s">
        <v>352</v>
      </c>
      <c r="D348" s="12" t="s">
        <v>39</v>
      </c>
      <c r="E348" s="13" t="s">
        <v>41</v>
      </c>
      <c r="F348" s="8" t="s">
        <v>42</v>
      </c>
      <c r="G348" s="8" t="b">
        <v>0</v>
      </c>
      <c r="H348" s="8" t="s">
        <v>1874</v>
      </c>
      <c r="I348" s="8">
        <v>8.0</v>
      </c>
      <c r="J348" s="8">
        <v>0.01</v>
      </c>
      <c r="K348" s="8">
        <v>1.75</v>
      </c>
    </row>
    <row r="349" ht="15.75" customHeight="1">
      <c r="A349" s="7" t="s">
        <v>1875</v>
      </c>
      <c r="B349" s="8" t="s">
        <v>1877</v>
      </c>
      <c r="C349" s="7" t="s">
        <v>833</v>
      </c>
      <c r="D349" s="12" t="s">
        <v>39</v>
      </c>
      <c r="E349" s="13" t="s">
        <v>41</v>
      </c>
      <c r="F349" s="8" t="s">
        <v>42</v>
      </c>
      <c r="G349" s="8" t="b">
        <v>0</v>
      </c>
      <c r="H349" s="8" t="s">
        <v>1879</v>
      </c>
      <c r="I349" s="8">
        <v>8.0</v>
      </c>
      <c r="J349" s="8">
        <v>0.01</v>
      </c>
      <c r="K349" s="8">
        <v>0.0</v>
      </c>
    </row>
    <row r="350" ht="15.75" customHeight="1">
      <c r="A350" s="7" t="s">
        <v>1881</v>
      </c>
      <c r="B350" s="8" t="s">
        <v>1883</v>
      </c>
      <c r="C350" s="7" t="s">
        <v>982</v>
      </c>
      <c r="D350" s="12" t="s">
        <v>693</v>
      </c>
      <c r="E350" s="13" t="s">
        <v>753</v>
      </c>
      <c r="F350" s="8" t="s">
        <v>695</v>
      </c>
      <c r="G350" s="8" t="b">
        <v>0</v>
      </c>
      <c r="H350" s="8" t="s">
        <v>792</v>
      </c>
      <c r="I350" s="8">
        <v>8.0</v>
      </c>
      <c r="J350" s="8">
        <v>0.01</v>
      </c>
      <c r="K350" s="8">
        <v>0.75</v>
      </c>
    </row>
    <row r="351" ht="15.75" customHeight="1">
      <c r="A351" s="7" t="s">
        <v>1886</v>
      </c>
      <c r="B351" s="8" t="s">
        <v>1888</v>
      </c>
      <c r="C351" s="7" t="s">
        <v>71</v>
      </c>
      <c r="D351" s="12" t="s">
        <v>1425</v>
      </c>
      <c r="E351" s="13" t="s">
        <v>76</v>
      </c>
      <c r="F351" s="8" t="s">
        <v>1426</v>
      </c>
      <c r="G351" s="8" t="b">
        <v>0</v>
      </c>
      <c r="H351" s="8" t="s">
        <v>1890</v>
      </c>
      <c r="I351" s="8">
        <v>8.0</v>
      </c>
      <c r="J351" s="8">
        <v>0.01</v>
      </c>
      <c r="K351" s="8">
        <v>3.63</v>
      </c>
    </row>
    <row r="352" ht="15.75" customHeight="1">
      <c r="A352" s="7" t="s">
        <v>1891</v>
      </c>
      <c r="B352" s="8" t="s">
        <v>1893</v>
      </c>
      <c r="C352" s="7" t="s">
        <v>937</v>
      </c>
      <c r="D352" s="12" t="s">
        <v>39</v>
      </c>
      <c r="E352" s="13" t="s">
        <v>41</v>
      </c>
      <c r="F352" s="8" t="s">
        <v>42</v>
      </c>
      <c r="G352" s="8" t="b">
        <v>0</v>
      </c>
      <c r="H352" s="8" t="s">
        <v>940</v>
      </c>
      <c r="I352" s="8">
        <v>8.0</v>
      </c>
      <c r="J352" s="8">
        <v>0.01</v>
      </c>
      <c r="K352" s="8">
        <v>1.13</v>
      </c>
    </row>
    <row r="353" ht="15.75" customHeight="1">
      <c r="A353" s="7" t="s">
        <v>1896</v>
      </c>
      <c r="B353" s="8" t="s">
        <v>1899</v>
      </c>
      <c r="C353" s="7" t="s">
        <v>445</v>
      </c>
      <c r="D353" s="12" t="s">
        <v>39</v>
      </c>
      <c r="E353" s="13" t="s">
        <v>22</v>
      </c>
      <c r="F353" s="8" t="s">
        <v>42</v>
      </c>
      <c r="G353" s="8" t="b">
        <v>0</v>
      </c>
      <c r="H353" s="8" t="s">
        <v>1900</v>
      </c>
      <c r="I353" s="8">
        <v>8.0</v>
      </c>
      <c r="J353" s="8">
        <v>0.01</v>
      </c>
      <c r="K353" s="8">
        <v>0.13</v>
      </c>
    </row>
    <row r="354" ht="15.75" customHeight="1">
      <c r="A354" s="7" t="s">
        <v>1901</v>
      </c>
      <c r="B354" s="8" t="s">
        <v>1903</v>
      </c>
      <c r="C354" s="7" t="s">
        <v>30</v>
      </c>
      <c r="D354" s="12" t="s">
        <v>21</v>
      </c>
      <c r="E354" s="13" t="s">
        <v>41</v>
      </c>
      <c r="F354" s="8" t="s">
        <v>24</v>
      </c>
      <c r="G354" s="8" t="b">
        <v>0</v>
      </c>
      <c r="H354" s="8" t="s">
        <v>890</v>
      </c>
      <c r="I354" s="8">
        <v>8.0</v>
      </c>
      <c r="J354" s="8">
        <v>0.01</v>
      </c>
      <c r="K354" s="8">
        <v>0.0</v>
      </c>
    </row>
    <row r="355" ht="15.75" customHeight="1">
      <c r="A355" s="7" t="s">
        <v>1904</v>
      </c>
      <c r="B355" s="8" t="s">
        <v>1906</v>
      </c>
      <c r="C355" s="7" t="s">
        <v>926</v>
      </c>
      <c r="D355" s="12" t="s">
        <v>39</v>
      </c>
      <c r="E355" s="13" t="s">
        <v>41</v>
      </c>
      <c r="F355" s="8" t="s">
        <v>42</v>
      </c>
      <c r="G355" s="8" t="b">
        <v>0</v>
      </c>
      <c r="H355" s="8" t="s">
        <v>1909</v>
      </c>
      <c r="I355" s="8">
        <v>8.0</v>
      </c>
      <c r="J355" s="8">
        <v>0.01</v>
      </c>
      <c r="K355" s="8">
        <v>1.38</v>
      </c>
    </row>
    <row r="356" ht="15.75" customHeight="1">
      <c r="A356" s="7" t="s">
        <v>1910</v>
      </c>
      <c r="B356" s="8" t="s">
        <v>1913</v>
      </c>
      <c r="C356" s="7" t="s">
        <v>188</v>
      </c>
      <c r="D356" s="12" t="s">
        <v>39</v>
      </c>
      <c r="E356" s="13" t="s">
        <v>22</v>
      </c>
      <c r="F356" s="8" t="s">
        <v>42</v>
      </c>
      <c r="G356" s="8" t="b">
        <v>0</v>
      </c>
      <c r="H356" s="8" t="s">
        <v>1914</v>
      </c>
      <c r="I356" s="8">
        <v>8.0</v>
      </c>
      <c r="J356" s="8">
        <v>0.01</v>
      </c>
      <c r="K356" s="8">
        <v>1.0</v>
      </c>
    </row>
    <row r="357" ht="15.75" customHeight="1">
      <c r="A357" s="7" t="s">
        <v>1915</v>
      </c>
      <c r="B357" s="8" t="s">
        <v>1918</v>
      </c>
      <c r="C357" s="7" t="s">
        <v>188</v>
      </c>
      <c r="D357" s="12" t="s">
        <v>39</v>
      </c>
      <c r="E357" s="13" t="s">
        <v>22</v>
      </c>
      <c r="F357" s="8" t="s">
        <v>42</v>
      </c>
      <c r="G357" s="8" t="b">
        <v>0</v>
      </c>
      <c r="H357" s="8" t="s">
        <v>1919</v>
      </c>
      <c r="I357" s="8">
        <v>8.0</v>
      </c>
      <c r="J357" s="8">
        <v>0.01</v>
      </c>
      <c r="K357" s="8">
        <v>1.25</v>
      </c>
    </row>
    <row r="358" ht="15.75" customHeight="1">
      <c r="A358" s="7" t="s">
        <v>1920</v>
      </c>
      <c r="B358" s="8" t="s">
        <v>1922</v>
      </c>
      <c r="C358" s="7" t="s">
        <v>998</v>
      </c>
      <c r="D358" s="12" t="s">
        <v>39</v>
      </c>
      <c r="E358" s="13" t="s">
        <v>41</v>
      </c>
      <c r="F358" s="8" t="s">
        <v>42</v>
      </c>
      <c r="G358" s="8" t="b">
        <v>0</v>
      </c>
      <c r="H358" s="8" t="s">
        <v>1000</v>
      </c>
      <c r="I358" s="8">
        <v>7.0</v>
      </c>
      <c r="J358" s="8">
        <v>0.01</v>
      </c>
      <c r="K358" s="8">
        <v>0.0</v>
      </c>
    </row>
    <row r="359" ht="15.75" customHeight="1">
      <c r="A359" s="7" t="s">
        <v>1925</v>
      </c>
      <c r="B359" s="8" t="s">
        <v>1927</v>
      </c>
      <c r="C359" s="7" t="s">
        <v>762</v>
      </c>
      <c r="D359" s="12" t="s">
        <v>72</v>
      </c>
      <c r="E359" s="13" t="s">
        <v>41</v>
      </c>
      <c r="F359" s="8" t="s">
        <v>74</v>
      </c>
      <c r="G359" s="8" t="b">
        <v>0</v>
      </c>
      <c r="H359" s="8" t="s">
        <v>1928</v>
      </c>
      <c r="I359" s="8">
        <v>7.0</v>
      </c>
      <c r="J359" s="8">
        <v>0.01</v>
      </c>
      <c r="K359" s="8">
        <v>0.0</v>
      </c>
    </row>
    <row r="360" ht="15.75" customHeight="1">
      <c r="A360" s="7" t="s">
        <v>1929</v>
      </c>
      <c r="B360" s="8" t="s">
        <v>1931</v>
      </c>
      <c r="C360" s="7" t="s">
        <v>993</v>
      </c>
      <c r="D360" s="12" t="s">
        <v>39</v>
      </c>
      <c r="E360" s="13" t="s">
        <v>41</v>
      </c>
      <c r="F360" s="8" t="s">
        <v>42</v>
      </c>
      <c r="G360" s="8" t="b">
        <v>0</v>
      </c>
      <c r="H360" s="8" t="s">
        <v>1933</v>
      </c>
      <c r="I360" s="8">
        <v>7.0</v>
      </c>
      <c r="J360" s="8">
        <v>0.01</v>
      </c>
      <c r="K360" s="8">
        <v>2.14</v>
      </c>
    </row>
    <row r="361" ht="15.75" customHeight="1">
      <c r="A361" s="7" t="s">
        <v>1935</v>
      </c>
      <c r="B361" s="8" t="s">
        <v>457</v>
      </c>
      <c r="C361" s="7" t="s">
        <v>15</v>
      </c>
      <c r="D361" s="12" t="s">
        <v>21</v>
      </c>
      <c r="E361" s="13" t="s">
        <v>22</v>
      </c>
      <c r="F361" s="8" t="s">
        <v>24</v>
      </c>
      <c r="G361" s="8" t="b">
        <v>0</v>
      </c>
      <c r="H361" s="8" t="s">
        <v>1937</v>
      </c>
      <c r="I361" s="8">
        <v>7.0</v>
      </c>
      <c r="J361" s="8">
        <v>0.01</v>
      </c>
      <c r="K361" s="8">
        <v>0.0</v>
      </c>
    </row>
    <row r="362" ht="15.75" customHeight="1">
      <c r="A362" s="7" t="s">
        <v>1938</v>
      </c>
      <c r="B362" s="8" t="s">
        <v>457</v>
      </c>
      <c r="C362" s="7" t="s">
        <v>15</v>
      </c>
      <c r="D362" s="12" t="s">
        <v>21</v>
      </c>
      <c r="E362" s="13" t="s">
        <v>22</v>
      </c>
      <c r="F362" s="8" t="s">
        <v>24</v>
      </c>
      <c r="G362" s="8" t="b">
        <v>0</v>
      </c>
      <c r="H362" s="8" t="s">
        <v>1941</v>
      </c>
      <c r="I362" s="8">
        <v>7.0</v>
      </c>
      <c r="J362" s="8">
        <v>0.01</v>
      </c>
      <c r="K362" s="8">
        <v>0.43</v>
      </c>
    </row>
    <row r="363" ht="15.75" customHeight="1">
      <c r="A363" s="7" t="s">
        <v>1942</v>
      </c>
      <c r="B363" s="8" t="s">
        <v>1945</v>
      </c>
      <c r="C363" s="7" t="s">
        <v>26</v>
      </c>
      <c r="D363" s="12" t="s">
        <v>693</v>
      </c>
      <c r="E363" s="13" t="s">
        <v>41</v>
      </c>
      <c r="F363" s="8" t="s">
        <v>695</v>
      </c>
      <c r="G363" s="8" t="b">
        <v>0</v>
      </c>
      <c r="H363" s="8" t="s">
        <v>1946</v>
      </c>
      <c r="I363" s="8">
        <v>7.0</v>
      </c>
      <c r="J363" s="8">
        <v>0.01</v>
      </c>
      <c r="K363" s="8">
        <v>1.29</v>
      </c>
    </row>
    <row r="364" ht="15.75" customHeight="1">
      <c r="A364" s="7" t="s">
        <v>1948</v>
      </c>
      <c r="B364" s="8" t="s">
        <v>1951</v>
      </c>
      <c r="C364" s="7" t="s">
        <v>1013</v>
      </c>
      <c r="D364" s="12" t="s">
        <v>693</v>
      </c>
      <c r="E364" s="13" t="s">
        <v>753</v>
      </c>
      <c r="F364" s="8" t="s">
        <v>695</v>
      </c>
      <c r="G364" s="8" t="b">
        <v>0</v>
      </c>
      <c r="H364" s="8" t="s">
        <v>1955</v>
      </c>
      <c r="I364" s="8">
        <v>7.0</v>
      </c>
      <c r="J364" s="8">
        <v>0.01</v>
      </c>
      <c r="K364" s="8">
        <v>0.0</v>
      </c>
    </row>
    <row r="365" ht="15.75" customHeight="1">
      <c r="A365" s="7" t="s">
        <v>1956</v>
      </c>
      <c r="B365" s="8" t="s">
        <v>1957</v>
      </c>
      <c r="C365" s="7" t="s">
        <v>1017</v>
      </c>
      <c r="D365" s="12" t="s">
        <v>39</v>
      </c>
      <c r="E365" s="13" t="s">
        <v>41</v>
      </c>
      <c r="F365" s="8" t="s">
        <v>42</v>
      </c>
      <c r="G365" s="8" t="b">
        <v>0</v>
      </c>
      <c r="H365" s="8" t="s">
        <v>1959</v>
      </c>
      <c r="I365" s="8">
        <v>7.0</v>
      </c>
      <c r="J365" s="8">
        <v>0.01</v>
      </c>
      <c r="K365" s="8">
        <v>0.0</v>
      </c>
    </row>
    <row r="366" ht="15.75" customHeight="1">
      <c r="A366" s="7" t="s">
        <v>1960</v>
      </c>
      <c r="B366" s="8" t="s">
        <v>1961</v>
      </c>
      <c r="C366" s="7" t="s">
        <v>1021</v>
      </c>
      <c r="D366" s="12" t="s">
        <v>39</v>
      </c>
      <c r="E366" s="13" t="s">
        <v>41</v>
      </c>
      <c r="F366" s="8" t="s">
        <v>42</v>
      </c>
      <c r="G366" s="8" t="b">
        <v>0</v>
      </c>
      <c r="H366" s="8" t="s">
        <v>1962</v>
      </c>
      <c r="I366" s="8">
        <v>7.0</v>
      </c>
      <c r="J366" s="8">
        <v>0.01</v>
      </c>
      <c r="K366" s="8">
        <v>0.43</v>
      </c>
    </row>
    <row r="367" ht="15.75" customHeight="1">
      <c r="A367" s="7" t="s">
        <v>1963</v>
      </c>
      <c r="B367" s="8" t="s">
        <v>1965</v>
      </c>
      <c r="C367" s="7" t="s">
        <v>924</v>
      </c>
      <c r="D367" s="12" t="s">
        <v>766</v>
      </c>
      <c r="E367" s="13" t="s">
        <v>22</v>
      </c>
      <c r="F367" s="8" t="s">
        <v>767</v>
      </c>
      <c r="G367" s="8" t="b">
        <v>0</v>
      </c>
      <c r="H367" s="8" t="s">
        <v>1966</v>
      </c>
      <c r="I367" s="8">
        <v>7.0</v>
      </c>
      <c r="J367" s="8">
        <v>0.01</v>
      </c>
      <c r="K367" s="8">
        <v>1.43</v>
      </c>
    </row>
    <row r="368" ht="15.75" customHeight="1">
      <c r="A368" s="7" t="s">
        <v>1967</v>
      </c>
      <c r="B368" s="8" t="s">
        <v>1970</v>
      </c>
      <c r="C368" s="7" t="s">
        <v>707</v>
      </c>
      <c r="D368" s="12" t="s">
        <v>104</v>
      </c>
      <c r="E368" s="13" t="s">
        <v>41</v>
      </c>
      <c r="F368" s="8" t="s">
        <v>106</v>
      </c>
      <c r="G368" s="8" t="b">
        <v>0</v>
      </c>
      <c r="H368" s="8" t="s">
        <v>1971</v>
      </c>
      <c r="I368" s="8">
        <v>7.0</v>
      </c>
      <c r="J368" s="8">
        <v>0.01</v>
      </c>
      <c r="K368" s="8">
        <v>0.86</v>
      </c>
    </row>
    <row r="369" ht="15.75" customHeight="1">
      <c r="A369" s="7" t="s">
        <v>1973</v>
      </c>
      <c r="B369" s="8" t="s">
        <v>1975</v>
      </c>
      <c r="C369" s="8" t="s">
        <v>35</v>
      </c>
      <c r="D369" s="12" t="s">
        <v>39</v>
      </c>
      <c r="E369" s="13" t="s">
        <v>22</v>
      </c>
      <c r="F369" s="8" t="s">
        <v>42</v>
      </c>
      <c r="G369" s="8" t="b">
        <v>0</v>
      </c>
      <c r="H369" s="8" t="s">
        <v>1976</v>
      </c>
      <c r="I369" s="8">
        <v>7.0</v>
      </c>
      <c r="J369" s="8">
        <v>0.01</v>
      </c>
      <c r="K369" s="8">
        <v>0.14</v>
      </c>
    </row>
    <row r="370" ht="15.75" customHeight="1">
      <c r="A370" s="7" t="s">
        <v>1977</v>
      </c>
      <c r="B370" s="8" t="s">
        <v>1979</v>
      </c>
      <c r="C370" s="7" t="s">
        <v>617</v>
      </c>
      <c r="D370" s="12" t="s">
        <v>766</v>
      </c>
      <c r="E370" s="13" t="s">
        <v>22</v>
      </c>
      <c r="F370" s="8" t="s">
        <v>767</v>
      </c>
      <c r="G370" s="8" t="b">
        <v>0</v>
      </c>
      <c r="H370" s="8" t="s">
        <v>1792</v>
      </c>
      <c r="I370" s="8">
        <v>7.0</v>
      </c>
      <c r="J370" s="8">
        <v>0.01</v>
      </c>
      <c r="K370" s="8">
        <v>1.14</v>
      </c>
    </row>
    <row r="371" ht="15.75" customHeight="1">
      <c r="A371" s="7" t="s">
        <v>1981</v>
      </c>
      <c r="B371" s="8" t="s">
        <v>1983</v>
      </c>
      <c r="C371" s="7" t="s">
        <v>617</v>
      </c>
      <c r="D371" s="12" t="s">
        <v>766</v>
      </c>
      <c r="E371" s="13" t="s">
        <v>22</v>
      </c>
      <c r="F371" s="8" t="s">
        <v>767</v>
      </c>
      <c r="G371" s="8" t="b">
        <v>0</v>
      </c>
      <c r="H371" s="8" t="s">
        <v>1792</v>
      </c>
      <c r="I371" s="8">
        <v>7.0</v>
      </c>
      <c r="J371" s="8">
        <v>0.01</v>
      </c>
      <c r="K371" s="8">
        <v>1.29</v>
      </c>
    </row>
    <row r="372" ht="15.75" customHeight="1">
      <c r="A372" s="7" t="s">
        <v>1984</v>
      </c>
      <c r="B372" s="8" t="s">
        <v>1987</v>
      </c>
      <c r="C372" s="7" t="s">
        <v>895</v>
      </c>
      <c r="D372" s="12" t="s">
        <v>39</v>
      </c>
      <c r="E372" s="13" t="s">
        <v>41</v>
      </c>
      <c r="F372" s="8" t="s">
        <v>42</v>
      </c>
      <c r="G372" s="8" t="b">
        <v>0</v>
      </c>
      <c r="H372" s="8" t="s">
        <v>1989</v>
      </c>
      <c r="I372" s="8">
        <v>7.0</v>
      </c>
      <c r="J372" s="8">
        <v>0.01</v>
      </c>
      <c r="K372" s="8">
        <v>0.29</v>
      </c>
    </row>
    <row r="373" ht="15.75" customHeight="1">
      <c r="A373" s="7" t="s">
        <v>1990</v>
      </c>
      <c r="B373" s="8" t="s">
        <v>1992</v>
      </c>
      <c r="C373" s="8" t="s">
        <v>361</v>
      </c>
      <c r="D373" s="12" t="s">
        <v>39</v>
      </c>
      <c r="E373" s="13" t="s">
        <v>41</v>
      </c>
      <c r="F373" s="8" t="s">
        <v>42</v>
      </c>
      <c r="G373" s="8" t="b">
        <v>0</v>
      </c>
      <c r="H373" s="8" t="s">
        <v>1993</v>
      </c>
      <c r="I373" s="8">
        <v>7.0</v>
      </c>
      <c r="J373" s="8">
        <v>0.01</v>
      </c>
      <c r="K373" s="8">
        <v>0.0</v>
      </c>
    </row>
    <row r="374" ht="15.75" customHeight="1">
      <c r="A374" s="7" t="s">
        <v>1994</v>
      </c>
      <c r="B374" s="8" t="s">
        <v>1996</v>
      </c>
      <c r="C374" s="8" t="s">
        <v>361</v>
      </c>
      <c r="D374" s="12" t="s">
        <v>39</v>
      </c>
      <c r="E374" s="13" t="s">
        <v>41</v>
      </c>
      <c r="F374" s="8" t="s">
        <v>42</v>
      </c>
      <c r="G374" s="8" t="b">
        <v>0</v>
      </c>
      <c r="H374" s="8" t="s">
        <v>1997</v>
      </c>
      <c r="I374" s="8">
        <v>7.0</v>
      </c>
      <c r="J374" s="8">
        <v>0.01</v>
      </c>
      <c r="K374" s="8">
        <v>1.0</v>
      </c>
    </row>
    <row r="375" ht="15.75" customHeight="1">
      <c r="A375" s="7" t="s">
        <v>1998</v>
      </c>
      <c r="B375" s="8" t="s">
        <v>2000</v>
      </c>
      <c r="C375" s="7" t="s">
        <v>975</v>
      </c>
      <c r="D375" s="12" t="s">
        <v>39</v>
      </c>
      <c r="E375" s="13" t="s">
        <v>41</v>
      </c>
      <c r="F375" s="8" t="s">
        <v>42</v>
      </c>
      <c r="G375" s="8" t="b">
        <v>0</v>
      </c>
      <c r="H375" s="8" t="s">
        <v>2002</v>
      </c>
      <c r="I375" s="8">
        <v>7.0</v>
      </c>
      <c r="J375" s="8">
        <v>0.01</v>
      </c>
      <c r="K375" s="8">
        <v>1.29</v>
      </c>
    </row>
    <row r="376" ht="15.75" customHeight="1">
      <c r="A376" s="7" t="s">
        <v>2003</v>
      </c>
      <c r="B376" s="8" t="s">
        <v>2004</v>
      </c>
      <c r="C376" s="7" t="s">
        <v>421</v>
      </c>
      <c r="D376" s="12" t="s">
        <v>39</v>
      </c>
      <c r="E376" s="13" t="s">
        <v>22</v>
      </c>
      <c r="F376" s="8" t="s">
        <v>42</v>
      </c>
      <c r="G376" s="8" t="b">
        <v>0</v>
      </c>
      <c r="H376" s="8" t="s">
        <v>2006</v>
      </c>
      <c r="I376" s="8">
        <v>7.0</v>
      </c>
      <c r="J376" s="8">
        <v>0.01</v>
      </c>
      <c r="K376" s="8">
        <v>1.43</v>
      </c>
    </row>
    <row r="377" ht="15.75" customHeight="1">
      <c r="A377" s="7" t="s">
        <v>2007</v>
      </c>
      <c r="B377" s="8" t="s">
        <v>2009</v>
      </c>
      <c r="C377" s="7" t="s">
        <v>1029</v>
      </c>
      <c r="D377" s="12" t="s">
        <v>104</v>
      </c>
      <c r="E377" s="13" t="s">
        <v>41</v>
      </c>
      <c r="F377" s="8" t="s">
        <v>106</v>
      </c>
      <c r="G377" s="8" t="b">
        <v>0</v>
      </c>
      <c r="H377" s="8" t="s">
        <v>2011</v>
      </c>
      <c r="I377" s="8">
        <v>7.0</v>
      </c>
      <c r="J377" s="8">
        <v>0.01</v>
      </c>
      <c r="K377" s="8">
        <v>1.0</v>
      </c>
    </row>
    <row r="378" ht="15.75" customHeight="1">
      <c r="A378" s="7" t="s">
        <v>2012</v>
      </c>
      <c r="B378" s="8" t="s">
        <v>2015</v>
      </c>
      <c r="C378" s="8" t="s">
        <v>1033</v>
      </c>
      <c r="D378" s="12" t="s">
        <v>39</v>
      </c>
      <c r="E378" s="13" t="s">
        <v>41</v>
      </c>
      <c r="F378" s="8" t="s">
        <v>42</v>
      </c>
      <c r="G378" s="8" t="b">
        <v>0</v>
      </c>
      <c r="H378" s="8" t="s">
        <v>2016</v>
      </c>
      <c r="I378" s="8">
        <v>7.0</v>
      </c>
      <c r="J378" s="8">
        <v>0.01</v>
      </c>
      <c r="K378" s="8">
        <v>0.71</v>
      </c>
    </row>
    <row r="379" ht="15.75" customHeight="1">
      <c r="A379" s="7" t="s">
        <v>2017</v>
      </c>
      <c r="B379" s="8" t="s">
        <v>2020</v>
      </c>
      <c r="C379" s="7" t="s">
        <v>71</v>
      </c>
      <c r="D379" s="12" t="s">
        <v>1425</v>
      </c>
      <c r="E379" s="13" t="s">
        <v>76</v>
      </c>
      <c r="F379" s="8" t="s">
        <v>1426</v>
      </c>
      <c r="G379" s="8" t="b">
        <v>0</v>
      </c>
      <c r="H379" s="8" t="s">
        <v>2021</v>
      </c>
      <c r="I379" s="8">
        <v>7.0</v>
      </c>
      <c r="J379" s="8">
        <v>0.01</v>
      </c>
      <c r="K379" s="8">
        <v>1.43</v>
      </c>
    </row>
    <row r="380" ht="15.75" customHeight="1">
      <c r="A380" s="7" t="s">
        <v>2022</v>
      </c>
      <c r="B380" s="8" t="s">
        <v>2024</v>
      </c>
      <c r="C380" s="7" t="s">
        <v>71</v>
      </c>
      <c r="D380" s="12" t="s">
        <v>1425</v>
      </c>
      <c r="E380" s="13" t="s">
        <v>76</v>
      </c>
      <c r="F380" s="8" t="s">
        <v>1426</v>
      </c>
      <c r="G380" s="8" t="b">
        <v>0</v>
      </c>
      <c r="H380" s="8" t="s">
        <v>2025</v>
      </c>
      <c r="I380" s="8">
        <v>7.0</v>
      </c>
      <c r="J380" s="8">
        <v>0.01</v>
      </c>
      <c r="K380" s="8">
        <v>2.0</v>
      </c>
    </row>
    <row r="381" ht="15.75" customHeight="1">
      <c r="A381" s="7" t="s">
        <v>2026</v>
      </c>
      <c r="B381" s="8" t="s">
        <v>2029</v>
      </c>
      <c r="C381" s="7" t="s">
        <v>71</v>
      </c>
      <c r="D381" s="12" t="s">
        <v>1425</v>
      </c>
      <c r="E381" s="13" t="s">
        <v>76</v>
      </c>
      <c r="F381" s="8" t="s">
        <v>1426</v>
      </c>
      <c r="G381" s="8" t="b">
        <v>0</v>
      </c>
      <c r="H381" s="8" t="s">
        <v>2030</v>
      </c>
      <c r="I381" s="8">
        <v>7.0</v>
      </c>
      <c r="J381" s="8">
        <v>0.01</v>
      </c>
      <c r="K381" s="8">
        <v>1.14</v>
      </c>
    </row>
    <row r="382" ht="15.75" customHeight="1">
      <c r="A382" s="7" t="s">
        <v>2031</v>
      </c>
      <c r="B382" s="8" t="s">
        <v>2033</v>
      </c>
      <c r="C382" s="7" t="s">
        <v>201</v>
      </c>
      <c r="D382" s="12" t="s">
        <v>2034</v>
      </c>
      <c r="E382" s="13" t="s">
        <v>22</v>
      </c>
      <c r="F382" s="8" t="s">
        <v>2035</v>
      </c>
      <c r="G382" s="8" t="b">
        <v>0</v>
      </c>
      <c r="H382" s="8" t="s">
        <v>2036</v>
      </c>
      <c r="I382" s="8">
        <v>7.0</v>
      </c>
      <c r="J382" s="8">
        <v>0.01</v>
      </c>
      <c r="K382" s="8">
        <v>1.14</v>
      </c>
    </row>
    <row r="383" ht="15.75" customHeight="1">
      <c r="A383" s="7" t="s">
        <v>2037</v>
      </c>
      <c r="B383" s="8" t="s">
        <v>2039</v>
      </c>
      <c r="C383" s="7" t="s">
        <v>30</v>
      </c>
      <c r="D383" s="12" t="s">
        <v>21</v>
      </c>
      <c r="E383" s="13" t="s">
        <v>41</v>
      </c>
      <c r="F383" s="8" t="s">
        <v>24</v>
      </c>
      <c r="G383" s="8" t="b">
        <v>0</v>
      </c>
      <c r="H383" s="8" t="s">
        <v>442</v>
      </c>
      <c r="I383" s="8">
        <v>7.0</v>
      </c>
      <c r="J383" s="8">
        <v>0.01</v>
      </c>
      <c r="K383" s="8">
        <v>0.0</v>
      </c>
    </row>
    <row r="384" ht="15.75" customHeight="1">
      <c r="A384" s="7" t="s">
        <v>2041</v>
      </c>
      <c r="B384" s="8" t="s">
        <v>2042</v>
      </c>
      <c r="C384" s="7" t="s">
        <v>1040</v>
      </c>
      <c r="D384" s="12" t="s">
        <v>554</v>
      </c>
      <c r="E384" s="13" t="s">
        <v>41</v>
      </c>
      <c r="F384" s="8" t="s">
        <v>555</v>
      </c>
      <c r="G384" s="8" t="b">
        <v>0</v>
      </c>
      <c r="H384" s="8" t="s">
        <v>1044</v>
      </c>
      <c r="I384" s="8">
        <v>7.0</v>
      </c>
      <c r="J384" s="8">
        <v>0.01</v>
      </c>
      <c r="K384" s="8">
        <v>0.0</v>
      </c>
    </row>
    <row r="385" ht="15.75" customHeight="1">
      <c r="A385" s="7" t="s">
        <v>2045</v>
      </c>
      <c r="B385" s="8" t="s">
        <v>2047</v>
      </c>
      <c r="C385" s="7" t="s">
        <v>985</v>
      </c>
      <c r="D385" s="12" t="s">
        <v>21</v>
      </c>
      <c r="E385" s="13" t="s">
        <v>73</v>
      </c>
      <c r="F385" s="8" t="s">
        <v>24</v>
      </c>
      <c r="G385" s="8" t="b">
        <v>0</v>
      </c>
      <c r="H385" s="8" t="s">
        <v>2050</v>
      </c>
      <c r="I385" s="8">
        <v>7.0</v>
      </c>
      <c r="J385" s="8">
        <v>0.01</v>
      </c>
      <c r="K385" s="8">
        <v>0.29</v>
      </c>
    </row>
    <row r="386" ht="15.75" customHeight="1">
      <c r="A386" s="7" t="s">
        <v>2051</v>
      </c>
      <c r="B386" s="8" t="s">
        <v>2052</v>
      </c>
      <c r="C386" s="7" t="s">
        <v>685</v>
      </c>
      <c r="D386" s="12" t="s">
        <v>554</v>
      </c>
      <c r="E386" s="13" t="s">
        <v>22</v>
      </c>
      <c r="F386" s="8" t="s">
        <v>555</v>
      </c>
      <c r="G386" s="8" t="b">
        <v>0</v>
      </c>
      <c r="H386" s="8" t="s">
        <v>2054</v>
      </c>
      <c r="I386" s="8">
        <v>7.0</v>
      </c>
      <c r="J386" s="8">
        <v>0.01</v>
      </c>
      <c r="K386" s="8">
        <v>1.29</v>
      </c>
    </row>
    <row r="387" ht="15.75" customHeight="1">
      <c r="A387" s="7" t="s">
        <v>2055</v>
      </c>
      <c r="B387" s="8" t="s">
        <v>2058</v>
      </c>
      <c r="C387" s="7" t="s">
        <v>286</v>
      </c>
      <c r="D387" s="12" t="s">
        <v>39</v>
      </c>
      <c r="E387" s="13" t="s">
        <v>73</v>
      </c>
      <c r="F387" s="8" t="s">
        <v>42</v>
      </c>
      <c r="G387" s="8" t="b">
        <v>0</v>
      </c>
      <c r="H387" s="8" t="s">
        <v>2059</v>
      </c>
      <c r="I387" s="8">
        <v>7.0</v>
      </c>
      <c r="J387" s="8">
        <v>0.01</v>
      </c>
      <c r="K387" s="8">
        <v>0.57</v>
      </c>
    </row>
    <row r="388" ht="15.75" customHeight="1">
      <c r="A388" s="7" t="s">
        <v>2060</v>
      </c>
      <c r="B388" s="8" t="s">
        <v>2063</v>
      </c>
      <c r="C388" s="7" t="s">
        <v>747</v>
      </c>
      <c r="D388" s="12" t="s">
        <v>693</v>
      </c>
      <c r="E388" s="13" t="s">
        <v>753</v>
      </c>
      <c r="F388" s="8" t="s">
        <v>695</v>
      </c>
      <c r="G388" s="8" t="b">
        <v>0</v>
      </c>
      <c r="H388" s="8" t="s">
        <v>2065</v>
      </c>
      <c r="I388" s="8">
        <v>7.0</v>
      </c>
      <c r="J388" s="8">
        <v>0.01</v>
      </c>
      <c r="K388" s="8">
        <v>2.14</v>
      </c>
    </row>
    <row r="389" ht="15.75" customHeight="1">
      <c r="A389" s="7" t="s">
        <v>2067</v>
      </c>
      <c r="B389" s="8" t="s">
        <v>2068</v>
      </c>
      <c r="C389" s="7" t="s">
        <v>102</v>
      </c>
      <c r="D389" s="12" t="s">
        <v>560</v>
      </c>
      <c r="E389" s="13" t="s">
        <v>22</v>
      </c>
      <c r="F389" s="8" t="s">
        <v>561</v>
      </c>
      <c r="G389" s="8" t="b">
        <v>0</v>
      </c>
      <c r="H389" s="8" t="s">
        <v>2070</v>
      </c>
      <c r="I389" s="8">
        <v>7.0</v>
      </c>
      <c r="J389" s="8">
        <v>0.01</v>
      </c>
      <c r="K389" s="8">
        <v>0.71</v>
      </c>
    </row>
    <row r="390" ht="15.75" customHeight="1">
      <c r="A390" s="7" t="s">
        <v>2071</v>
      </c>
      <c r="B390" s="8" t="s">
        <v>2073</v>
      </c>
      <c r="C390" s="7" t="s">
        <v>1047</v>
      </c>
      <c r="D390" s="12" t="s">
        <v>766</v>
      </c>
      <c r="E390" s="13" t="s">
        <v>41</v>
      </c>
      <c r="F390" s="8" t="s">
        <v>767</v>
      </c>
      <c r="G390" s="8" t="b">
        <v>0</v>
      </c>
      <c r="I390" s="8">
        <v>7.0</v>
      </c>
      <c r="J390" s="8">
        <v>0.01</v>
      </c>
      <c r="K390" s="8">
        <v>0.86</v>
      </c>
    </row>
    <row r="391" ht="15.75" customHeight="1">
      <c r="A391" s="7" t="s">
        <v>2075</v>
      </c>
      <c r="B391" s="8" t="s">
        <v>2077</v>
      </c>
      <c r="C391" s="7" t="s">
        <v>463</v>
      </c>
      <c r="D391" s="12" t="s">
        <v>39</v>
      </c>
      <c r="E391" s="13" t="s">
        <v>73</v>
      </c>
      <c r="F391" s="8" t="s">
        <v>42</v>
      </c>
      <c r="G391" s="8" t="b">
        <v>0</v>
      </c>
      <c r="H391" s="8" t="s">
        <v>2079</v>
      </c>
      <c r="I391" s="8">
        <v>7.0</v>
      </c>
      <c r="J391" s="8">
        <v>0.01</v>
      </c>
      <c r="K391" s="8">
        <v>0.29</v>
      </c>
    </row>
    <row r="392" ht="15.75" customHeight="1">
      <c r="A392" s="7" t="s">
        <v>2080</v>
      </c>
      <c r="B392" s="8" t="s">
        <v>2082</v>
      </c>
      <c r="C392" s="7" t="s">
        <v>700</v>
      </c>
      <c r="D392" s="12" t="s">
        <v>39</v>
      </c>
      <c r="E392" s="13" t="s">
        <v>41</v>
      </c>
      <c r="F392" s="8" t="s">
        <v>42</v>
      </c>
      <c r="G392" s="8" t="b">
        <v>0</v>
      </c>
      <c r="H392" s="8" t="s">
        <v>2085</v>
      </c>
      <c r="I392" s="8">
        <v>6.0</v>
      </c>
      <c r="J392" s="8">
        <v>0.01</v>
      </c>
      <c r="K392" s="8">
        <v>3.17</v>
      </c>
    </row>
    <row r="393" ht="15.75" customHeight="1">
      <c r="A393" s="7" t="s">
        <v>2086</v>
      </c>
      <c r="B393" s="8" t="s">
        <v>2088</v>
      </c>
      <c r="C393" s="7" t="s">
        <v>1055</v>
      </c>
      <c r="D393" s="12" t="s">
        <v>39</v>
      </c>
      <c r="E393" s="13" t="s">
        <v>41</v>
      </c>
      <c r="F393" s="8" t="s">
        <v>42</v>
      </c>
      <c r="G393" s="8" t="b">
        <v>0</v>
      </c>
      <c r="H393" s="8" t="s">
        <v>2089</v>
      </c>
      <c r="I393" s="8">
        <v>6.0</v>
      </c>
      <c r="J393" s="8">
        <v>0.01</v>
      </c>
      <c r="K393" s="8">
        <v>0.0</v>
      </c>
    </row>
    <row r="394" ht="15.75" customHeight="1">
      <c r="A394" s="7" t="s">
        <v>2091</v>
      </c>
      <c r="B394" s="8" t="s">
        <v>2092</v>
      </c>
      <c r="C394" s="7" t="s">
        <v>40</v>
      </c>
      <c r="D394" s="12" t="s">
        <v>21</v>
      </c>
      <c r="E394" s="13" t="s">
        <v>41</v>
      </c>
      <c r="F394" s="8" t="s">
        <v>24</v>
      </c>
      <c r="G394" s="8" t="b">
        <v>0</v>
      </c>
      <c r="H394" s="8" t="s">
        <v>2094</v>
      </c>
      <c r="I394" s="8">
        <v>6.0</v>
      </c>
      <c r="J394" s="8">
        <v>0.01</v>
      </c>
      <c r="K394" s="8">
        <v>0.0</v>
      </c>
    </row>
    <row r="395" ht="15.75" customHeight="1">
      <c r="A395" s="7" t="s">
        <v>2095</v>
      </c>
      <c r="B395" s="8" t="s">
        <v>2098</v>
      </c>
      <c r="C395" s="7" t="s">
        <v>40</v>
      </c>
      <c r="D395" s="12" t="s">
        <v>21</v>
      </c>
      <c r="E395" s="13" t="s">
        <v>41</v>
      </c>
      <c r="F395" s="8" t="s">
        <v>24</v>
      </c>
      <c r="G395" s="8" t="b">
        <v>0</v>
      </c>
      <c r="H395" s="8" t="s">
        <v>2099</v>
      </c>
      <c r="I395" s="8">
        <v>6.0</v>
      </c>
      <c r="J395" s="8">
        <v>0.01</v>
      </c>
      <c r="K395" s="8">
        <v>0.0</v>
      </c>
    </row>
    <row r="396" ht="15.75" customHeight="1">
      <c r="A396" s="7" t="s">
        <v>2100</v>
      </c>
      <c r="B396" s="8" t="s">
        <v>2103</v>
      </c>
      <c r="C396" s="7" t="s">
        <v>1003</v>
      </c>
      <c r="D396" s="12" t="s">
        <v>39</v>
      </c>
      <c r="E396" s="13" t="s">
        <v>41</v>
      </c>
      <c r="F396" s="8" t="s">
        <v>42</v>
      </c>
      <c r="G396" s="8" t="b">
        <v>0</v>
      </c>
      <c r="H396" s="8" t="s">
        <v>2104</v>
      </c>
      <c r="I396" s="8">
        <v>6.0</v>
      </c>
      <c r="J396" s="8">
        <v>0.01</v>
      </c>
      <c r="K396" s="8">
        <v>1.17</v>
      </c>
    </row>
    <row r="397" ht="15.75" customHeight="1">
      <c r="A397" s="7" t="s">
        <v>2106</v>
      </c>
      <c r="C397" s="7" t="s">
        <v>1059</v>
      </c>
      <c r="D397" s="12" t="s">
        <v>554</v>
      </c>
      <c r="E397" s="13" t="s">
        <v>41</v>
      </c>
      <c r="F397" s="8" t="s">
        <v>555</v>
      </c>
      <c r="H397" s="8" t="s">
        <v>1246</v>
      </c>
      <c r="I397" s="8">
        <v>6.0</v>
      </c>
      <c r="J397" s="8">
        <v>0.01</v>
      </c>
      <c r="K397" s="8">
        <v>2.83</v>
      </c>
    </row>
    <row r="398" ht="15.75" customHeight="1">
      <c r="A398" s="7" t="s">
        <v>2111</v>
      </c>
      <c r="B398" s="8" t="s">
        <v>2113</v>
      </c>
      <c r="C398" s="7" t="s">
        <v>1063</v>
      </c>
      <c r="D398" s="12" t="s">
        <v>554</v>
      </c>
      <c r="E398" s="13" t="s">
        <v>41</v>
      </c>
      <c r="F398" s="8" t="s">
        <v>555</v>
      </c>
      <c r="G398" s="8" t="b">
        <v>0</v>
      </c>
      <c r="I398" s="8">
        <v>6.0</v>
      </c>
      <c r="J398" s="8">
        <v>0.01</v>
      </c>
      <c r="K398" s="8">
        <v>1.0</v>
      </c>
    </row>
    <row r="399" ht="15.75" customHeight="1">
      <c r="A399" s="7" t="s">
        <v>2115</v>
      </c>
      <c r="B399" s="8" t="s">
        <v>2117</v>
      </c>
      <c r="C399" s="7" t="s">
        <v>512</v>
      </c>
      <c r="D399" s="12" t="s">
        <v>693</v>
      </c>
      <c r="E399" s="13" t="s">
        <v>73</v>
      </c>
      <c r="F399" s="8" t="s">
        <v>695</v>
      </c>
      <c r="G399" s="8" t="b">
        <v>0</v>
      </c>
      <c r="I399" s="8">
        <v>6.0</v>
      </c>
      <c r="J399" s="8">
        <v>0.01</v>
      </c>
      <c r="K399" s="8">
        <v>2.33</v>
      </c>
    </row>
    <row r="400" ht="15.75" customHeight="1">
      <c r="A400" s="7" t="s">
        <v>2118</v>
      </c>
      <c r="B400" s="8" t="s">
        <v>2120</v>
      </c>
      <c r="C400" s="7" t="s">
        <v>628</v>
      </c>
      <c r="D400" s="12" t="s">
        <v>39</v>
      </c>
      <c r="E400" s="13" t="s">
        <v>73</v>
      </c>
      <c r="F400" s="8" t="s">
        <v>42</v>
      </c>
      <c r="G400" s="8" t="b">
        <v>0</v>
      </c>
      <c r="H400" s="8" t="s">
        <v>2122</v>
      </c>
      <c r="I400" s="8">
        <v>6.0</v>
      </c>
      <c r="J400" s="8">
        <v>0.01</v>
      </c>
      <c r="K400" s="8">
        <v>2.5</v>
      </c>
    </row>
    <row r="401" ht="15.75" customHeight="1">
      <c r="A401" s="7" t="s">
        <v>2123</v>
      </c>
      <c r="B401" s="8" t="s">
        <v>2125</v>
      </c>
      <c r="C401" s="7" t="s">
        <v>403</v>
      </c>
      <c r="D401" s="12" t="s">
        <v>21</v>
      </c>
      <c r="E401" s="13" t="s">
        <v>753</v>
      </c>
      <c r="F401" s="8" t="s">
        <v>24</v>
      </c>
      <c r="G401" s="8" t="b">
        <v>1</v>
      </c>
      <c r="H401" s="8" t="s">
        <v>2126</v>
      </c>
      <c r="I401" s="8">
        <v>6.0</v>
      </c>
      <c r="J401" s="8">
        <v>0.01</v>
      </c>
      <c r="K401" s="8">
        <v>0.0</v>
      </c>
    </row>
    <row r="402" ht="15.75" customHeight="1">
      <c r="A402" s="7" t="s">
        <v>2127</v>
      </c>
      <c r="B402" s="8" t="s">
        <v>189</v>
      </c>
      <c r="C402" s="7" t="s">
        <v>15</v>
      </c>
      <c r="D402" s="12" t="s">
        <v>21</v>
      </c>
      <c r="E402" s="13" t="s">
        <v>22</v>
      </c>
      <c r="F402" s="8" t="s">
        <v>24</v>
      </c>
      <c r="G402" s="8" t="b">
        <v>0</v>
      </c>
      <c r="H402" s="8" t="s">
        <v>2129</v>
      </c>
      <c r="I402" s="8">
        <v>6.0</v>
      </c>
      <c r="J402" s="8">
        <v>0.01</v>
      </c>
      <c r="K402" s="8">
        <v>0.0</v>
      </c>
    </row>
    <row r="403" ht="15.75" customHeight="1">
      <c r="A403" s="7" t="s">
        <v>2131</v>
      </c>
      <c r="B403" s="8" t="s">
        <v>2133</v>
      </c>
      <c r="C403" s="7" t="s">
        <v>281</v>
      </c>
      <c r="D403" s="12" t="s">
        <v>39</v>
      </c>
      <c r="E403" s="13" t="s">
        <v>41</v>
      </c>
      <c r="F403" s="8" t="s">
        <v>42</v>
      </c>
      <c r="G403" s="8" t="b">
        <v>0</v>
      </c>
      <c r="H403" s="8" t="s">
        <v>2134</v>
      </c>
      <c r="I403" s="8">
        <v>6.0</v>
      </c>
      <c r="J403" s="8">
        <v>0.01</v>
      </c>
      <c r="K403" s="8">
        <v>1.33</v>
      </c>
    </row>
    <row r="404" ht="15.75" customHeight="1">
      <c r="A404" s="7" t="s">
        <v>2135</v>
      </c>
      <c r="B404" s="8" t="s">
        <v>2137</v>
      </c>
      <c r="C404" s="7" t="s">
        <v>1074</v>
      </c>
      <c r="D404" s="12" t="s">
        <v>766</v>
      </c>
      <c r="E404" s="13" t="s">
        <v>41</v>
      </c>
      <c r="F404" s="8" t="s">
        <v>767</v>
      </c>
      <c r="G404" s="8" t="b">
        <v>0</v>
      </c>
      <c r="H404" s="8" t="s">
        <v>1077</v>
      </c>
      <c r="I404" s="8">
        <v>6.0</v>
      </c>
      <c r="J404" s="8">
        <v>0.01</v>
      </c>
      <c r="K404" s="8">
        <v>1.83</v>
      </c>
    </row>
    <row r="405" ht="15.75" customHeight="1">
      <c r="A405" s="7" t="s">
        <v>2139</v>
      </c>
      <c r="B405" s="8" t="s">
        <v>2141</v>
      </c>
      <c r="C405" s="7" t="s">
        <v>26</v>
      </c>
      <c r="D405" s="12" t="s">
        <v>72</v>
      </c>
      <c r="E405" s="13" t="s">
        <v>41</v>
      </c>
      <c r="F405" s="8" t="s">
        <v>74</v>
      </c>
      <c r="G405" s="8" t="b">
        <v>0</v>
      </c>
      <c r="H405" s="8" t="s">
        <v>2142</v>
      </c>
      <c r="I405" s="8">
        <v>6.0</v>
      </c>
      <c r="J405" s="8">
        <v>0.01</v>
      </c>
      <c r="K405" s="8">
        <v>0.0</v>
      </c>
    </row>
    <row r="406" ht="15.75" customHeight="1">
      <c r="A406" s="7" t="s">
        <v>2144</v>
      </c>
      <c r="B406" s="8" t="s">
        <v>2145</v>
      </c>
      <c r="C406" s="7" t="s">
        <v>1080</v>
      </c>
      <c r="D406" s="12" t="s">
        <v>693</v>
      </c>
      <c r="E406" s="13" t="s">
        <v>753</v>
      </c>
      <c r="F406" s="8" t="s">
        <v>695</v>
      </c>
      <c r="G406" s="8" t="b">
        <v>0</v>
      </c>
      <c r="H406" s="8" t="s">
        <v>2147</v>
      </c>
      <c r="I406" s="8">
        <v>6.0</v>
      </c>
      <c r="J406" s="8">
        <v>0.01</v>
      </c>
      <c r="K406" s="8">
        <v>1.17</v>
      </c>
    </row>
    <row r="407" ht="15.75" customHeight="1">
      <c r="A407" s="7" t="s">
        <v>2148</v>
      </c>
      <c r="B407" s="8" t="s">
        <v>2149</v>
      </c>
      <c r="C407" s="7" t="s">
        <v>884</v>
      </c>
      <c r="D407" s="12" t="s">
        <v>39</v>
      </c>
      <c r="E407" s="13" t="s">
        <v>41</v>
      </c>
      <c r="F407" s="8" t="s">
        <v>42</v>
      </c>
      <c r="G407" s="8" t="b">
        <v>0</v>
      </c>
      <c r="H407" s="8" t="s">
        <v>2151</v>
      </c>
      <c r="I407" s="8">
        <v>6.0</v>
      </c>
      <c r="J407" s="8">
        <v>0.01</v>
      </c>
      <c r="K407" s="8">
        <v>0.5</v>
      </c>
    </row>
    <row r="408" ht="15.75" customHeight="1">
      <c r="A408" s="7" t="s">
        <v>2152</v>
      </c>
      <c r="B408" s="8" t="s">
        <v>2154</v>
      </c>
      <c r="C408" s="7" t="s">
        <v>1085</v>
      </c>
      <c r="D408" s="12" t="s">
        <v>39</v>
      </c>
      <c r="E408" s="13" t="s">
        <v>41</v>
      </c>
      <c r="F408" s="8" t="s">
        <v>42</v>
      </c>
      <c r="G408" s="8" t="b">
        <v>0</v>
      </c>
      <c r="H408" s="8" t="s">
        <v>2156</v>
      </c>
      <c r="I408" s="8">
        <v>6.0</v>
      </c>
      <c r="J408" s="8">
        <v>0.01</v>
      </c>
      <c r="K408" s="8">
        <v>0.0</v>
      </c>
    </row>
    <row r="409" ht="15.75" customHeight="1">
      <c r="A409" s="7" t="s">
        <v>2157</v>
      </c>
      <c r="B409" s="8" t="s">
        <v>2159</v>
      </c>
      <c r="C409" s="7" t="s">
        <v>1090</v>
      </c>
      <c r="D409" s="12" t="s">
        <v>39</v>
      </c>
      <c r="E409" s="13" t="s">
        <v>753</v>
      </c>
      <c r="F409" s="8" t="s">
        <v>42</v>
      </c>
      <c r="G409" s="8" t="b">
        <v>0</v>
      </c>
      <c r="I409" s="8">
        <v>6.0</v>
      </c>
      <c r="J409" s="8">
        <v>0.01</v>
      </c>
      <c r="K409" s="8">
        <v>0.0</v>
      </c>
    </row>
    <row r="410" ht="15.75" customHeight="1">
      <c r="A410" s="7" t="s">
        <v>2161</v>
      </c>
      <c r="B410" s="8" t="s">
        <v>2163</v>
      </c>
      <c r="C410" s="7" t="s">
        <v>1093</v>
      </c>
      <c r="D410" s="12" t="s">
        <v>72</v>
      </c>
      <c r="E410" s="13" t="s">
        <v>41</v>
      </c>
      <c r="F410" s="8" t="s">
        <v>74</v>
      </c>
      <c r="G410" s="8" t="b">
        <v>0</v>
      </c>
      <c r="H410" s="8" t="s">
        <v>2165</v>
      </c>
      <c r="I410" s="8">
        <v>6.0</v>
      </c>
      <c r="J410" s="8">
        <v>0.01</v>
      </c>
      <c r="K410" s="8">
        <v>0.0</v>
      </c>
    </row>
    <row r="411" ht="15.75" customHeight="1">
      <c r="A411" s="7" t="s">
        <v>2166</v>
      </c>
      <c r="B411" s="8" t="s">
        <v>2168</v>
      </c>
      <c r="C411" s="7" t="s">
        <v>1098</v>
      </c>
      <c r="D411" s="12" t="s">
        <v>39</v>
      </c>
      <c r="E411" s="13" t="s">
        <v>41</v>
      </c>
      <c r="F411" s="8" t="s">
        <v>42</v>
      </c>
      <c r="G411" s="8" t="b">
        <v>0</v>
      </c>
      <c r="H411" s="8" t="s">
        <v>2171</v>
      </c>
      <c r="I411" s="8">
        <v>6.0</v>
      </c>
      <c r="J411" s="8">
        <v>0.01</v>
      </c>
      <c r="K411" s="8">
        <v>1.83</v>
      </c>
    </row>
    <row r="412" ht="15.75" customHeight="1">
      <c r="A412" s="7" t="s">
        <v>2172</v>
      </c>
      <c r="B412" s="8" t="s">
        <v>2175</v>
      </c>
      <c r="C412" s="7" t="s">
        <v>989</v>
      </c>
      <c r="D412" s="12" t="s">
        <v>39</v>
      </c>
      <c r="E412" s="13" t="s">
        <v>190</v>
      </c>
      <c r="F412" s="8" t="s">
        <v>42</v>
      </c>
      <c r="G412" s="8" t="b">
        <v>0</v>
      </c>
      <c r="H412" s="8" t="s">
        <v>2176</v>
      </c>
      <c r="I412" s="8">
        <v>6.0</v>
      </c>
      <c r="J412" s="8">
        <v>0.01</v>
      </c>
      <c r="K412" s="8">
        <v>2.33</v>
      </c>
    </row>
    <row r="413" ht="15.75" customHeight="1">
      <c r="A413" s="7" t="s">
        <v>2178</v>
      </c>
      <c r="B413" s="8" t="s">
        <v>2180</v>
      </c>
      <c r="C413" s="7" t="s">
        <v>85</v>
      </c>
      <c r="D413" s="12" t="s">
        <v>766</v>
      </c>
      <c r="E413" s="13" t="s">
        <v>22</v>
      </c>
      <c r="F413" s="8" t="s">
        <v>767</v>
      </c>
      <c r="G413" s="8" t="b">
        <v>0</v>
      </c>
      <c r="H413" s="8" t="s">
        <v>498</v>
      </c>
      <c r="I413" s="8">
        <v>6.0</v>
      </c>
      <c r="J413" s="8">
        <v>0.01</v>
      </c>
      <c r="K413" s="8">
        <v>0.0</v>
      </c>
    </row>
    <row r="414" ht="15.75" customHeight="1">
      <c r="A414" s="7" t="s">
        <v>2181</v>
      </c>
      <c r="B414" s="8" t="s">
        <v>2183</v>
      </c>
      <c r="C414" s="7" t="s">
        <v>298</v>
      </c>
      <c r="D414" s="12" t="s">
        <v>554</v>
      </c>
      <c r="E414" s="13" t="s">
        <v>22</v>
      </c>
      <c r="F414" s="8" t="s">
        <v>555</v>
      </c>
      <c r="G414" s="8" t="b">
        <v>0</v>
      </c>
      <c r="H414" s="8" t="s">
        <v>2184</v>
      </c>
      <c r="I414" s="8">
        <v>6.0</v>
      </c>
      <c r="J414" s="8">
        <v>0.01</v>
      </c>
      <c r="K414" s="8">
        <v>0.67</v>
      </c>
    </row>
    <row r="415" ht="15.75" customHeight="1">
      <c r="A415" s="7" t="s">
        <v>2186</v>
      </c>
      <c r="B415" s="8" t="s">
        <v>2188</v>
      </c>
      <c r="C415" s="7" t="s">
        <v>126</v>
      </c>
      <c r="D415" s="12" t="s">
        <v>39</v>
      </c>
      <c r="E415" s="13" t="s">
        <v>41</v>
      </c>
      <c r="F415" s="8" t="s">
        <v>42</v>
      </c>
      <c r="G415" s="8" t="b">
        <v>0</v>
      </c>
      <c r="H415" s="8" t="s">
        <v>2190</v>
      </c>
      <c r="I415" s="8">
        <v>6.0</v>
      </c>
      <c r="J415" s="8">
        <v>0.01</v>
      </c>
      <c r="K415" s="8">
        <v>0.17</v>
      </c>
    </row>
    <row r="416" ht="15.75" customHeight="1">
      <c r="A416" s="7" t="s">
        <v>2191</v>
      </c>
      <c r="B416" s="8" t="s">
        <v>2193</v>
      </c>
      <c r="C416" s="7" t="s">
        <v>536</v>
      </c>
      <c r="D416" s="12" t="s">
        <v>39</v>
      </c>
      <c r="E416" s="13" t="s">
        <v>41</v>
      </c>
      <c r="F416" s="8" t="s">
        <v>42</v>
      </c>
      <c r="G416" s="8" t="b">
        <v>0</v>
      </c>
      <c r="H416" s="8" t="s">
        <v>2195</v>
      </c>
      <c r="I416" s="8">
        <v>6.0</v>
      </c>
      <c r="J416" s="8">
        <v>0.01</v>
      </c>
      <c r="K416" s="8">
        <v>0.83</v>
      </c>
    </row>
    <row r="417" ht="15.75" customHeight="1">
      <c r="A417" s="7" t="s">
        <v>2196</v>
      </c>
      <c r="C417" s="8" t="s">
        <v>821</v>
      </c>
      <c r="D417" s="12" t="s">
        <v>39</v>
      </c>
      <c r="E417" s="13" t="s">
        <v>190</v>
      </c>
      <c r="F417" s="8" t="s">
        <v>42</v>
      </c>
      <c r="G417" s="8" t="b">
        <v>0</v>
      </c>
      <c r="H417" s="8" t="s">
        <v>2197</v>
      </c>
      <c r="I417" s="8">
        <v>6.0</v>
      </c>
      <c r="J417" s="8">
        <v>0.01</v>
      </c>
      <c r="K417" s="8">
        <v>0.0</v>
      </c>
    </row>
    <row r="418" ht="15.75" customHeight="1">
      <c r="A418" s="7" t="s">
        <v>2199</v>
      </c>
      <c r="B418" s="8" t="s">
        <v>2200</v>
      </c>
      <c r="C418" s="7" t="s">
        <v>1103</v>
      </c>
      <c r="D418" s="12" t="s">
        <v>39</v>
      </c>
      <c r="E418" s="13" t="s">
        <v>41</v>
      </c>
      <c r="F418" s="8" t="s">
        <v>42</v>
      </c>
      <c r="G418" s="8" t="b">
        <v>0</v>
      </c>
      <c r="H418" s="8" t="s">
        <v>2202</v>
      </c>
      <c r="I418" s="8">
        <v>6.0</v>
      </c>
      <c r="J418" s="8">
        <v>0.01</v>
      </c>
      <c r="K418" s="8">
        <v>0.0</v>
      </c>
    </row>
    <row r="419" ht="15.75" customHeight="1">
      <c r="A419" s="7" t="s">
        <v>2203</v>
      </c>
      <c r="B419" s="8" t="s">
        <v>2204</v>
      </c>
      <c r="C419" s="8" t="s">
        <v>1107</v>
      </c>
      <c r="D419" s="12" t="s">
        <v>39</v>
      </c>
      <c r="E419" s="13" t="s">
        <v>41</v>
      </c>
      <c r="F419" s="8" t="s">
        <v>42</v>
      </c>
      <c r="G419" s="8" t="b">
        <v>0</v>
      </c>
      <c r="H419" s="8" t="s">
        <v>1108</v>
      </c>
      <c r="I419" s="8">
        <v>6.0</v>
      </c>
      <c r="J419" s="8">
        <v>0.01</v>
      </c>
      <c r="K419" s="8">
        <v>0.0</v>
      </c>
    </row>
    <row r="420" ht="15.75" customHeight="1">
      <c r="A420" s="7" t="s">
        <v>2206</v>
      </c>
      <c r="B420" s="8" t="s">
        <v>2208</v>
      </c>
      <c r="C420" s="7" t="s">
        <v>1110</v>
      </c>
      <c r="D420" s="12" t="s">
        <v>39</v>
      </c>
      <c r="E420" s="13" t="s">
        <v>41</v>
      </c>
      <c r="F420" s="8" t="s">
        <v>42</v>
      </c>
      <c r="G420" s="8" t="b">
        <v>0</v>
      </c>
      <c r="H420" s="8" t="s">
        <v>2209</v>
      </c>
      <c r="I420" s="8">
        <v>6.0</v>
      </c>
      <c r="J420" s="8">
        <v>0.01</v>
      </c>
      <c r="K420" s="8">
        <v>0.33</v>
      </c>
    </row>
    <row r="421" ht="15.75" customHeight="1">
      <c r="A421" s="7" t="s">
        <v>2210</v>
      </c>
      <c r="B421" s="8" t="s">
        <v>2213</v>
      </c>
      <c r="C421" s="7" t="s">
        <v>71</v>
      </c>
      <c r="D421" s="12" t="s">
        <v>1425</v>
      </c>
      <c r="E421" s="13" t="s">
        <v>76</v>
      </c>
      <c r="F421" s="8" t="s">
        <v>1426</v>
      </c>
      <c r="G421" s="8" t="b">
        <v>0</v>
      </c>
      <c r="H421" s="8" t="s">
        <v>2214</v>
      </c>
      <c r="I421" s="8">
        <v>6.0</v>
      </c>
      <c r="J421" s="8">
        <v>0.01</v>
      </c>
      <c r="K421" s="8">
        <v>1.17</v>
      </c>
    </row>
    <row r="422" ht="15.75" customHeight="1">
      <c r="A422" s="7" t="s">
        <v>2215</v>
      </c>
      <c r="B422" s="8" t="s">
        <v>2218</v>
      </c>
      <c r="C422" s="7" t="s">
        <v>65</v>
      </c>
      <c r="D422" s="12" t="s">
        <v>39</v>
      </c>
      <c r="E422" s="13" t="s">
        <v>22</v>
      </c>
      <c r="F422" s="8" t="s">
        <v>42</v>
      </c>
      <c r="G422" s="8" t="b">
        <v>0</v>
      </c>
      <c r="H422" s="8" t="s">
        <v>2219</v>
      </c>
      <c r="I422" s="8">
        <v>6.0</v>
      </c>
      <c r="J422" s="8">
        <v>0.01</v>
      </c>
      <c r="K422" s="8">
        <v>0.0</v>
      </c>
    </row>
    <row r="423" ht="15.75" customHeight="1">
      <c r="A423" s="7" t="s">
        <v>2220</v>
      </c>
      <c r="B423" s="8" t="s">
        <v>2222</v>
      </c>
      <c r="C423" s="7" t="s">
        <v>105</v>
      </c>
      <c r="D423" s="12" t="s">
        <v>39</v>
      </c>
      <c r="E423" s="13" t="s">
        <v>22</v>
      </c>
      <c r="F423" s="8" t="s">
        <v>42</v>
      </c>
      <c r="G423" s="8" t="b">
        <v>0</v>
      </c>
      <c r="H423" s="8" t="s">
        <v>2223</v>
      </c>
      <c r="I423" s="8">
        <v>6.0</v>
      </c>
      <c r="J423" s="8">
        <v>0.01</v>
      </c>
      <c r="K423" s="8">
        <v>0.83</v>
      </c>
    </row>
    <row r="424" ht="15.75" customHeight="1">
      <c r="A424" s="7" t="s">
        <v>2225</v>
      </c>
      <c r="B424" s="8" t="s">
        <v>2226</v>
      </c>
      <c r="C424" s="7" t="s">
        <v>942</v>
      </c>
      <c r="D424" s="12" t="s">
        <v>39</v>
      </c>
      <c r="E424" s="13" t="s">
        <v>190</v>
      </c>
      <c r="F424" s="8" t="s">
        <v>42</v>
      </c>
      <c r="G424" s="8" t="b">
        <v>0</v>
      </c>
      <c r="H424" s="8" t="s">
        <v>2229</v>
      </c>
      <c r="I424" s="8">
        <v>6.0</v>
      </c>
      <c r="J424" s="8">
        <v>0.01</v>
      </c>
      <c r="K424" s="8">
        <v>0.17</v>
      </c>
    </row>
    <row r="425" ht="15.75" customHeight="1">
      <c r="A425" s="7" t="s">
        <v>2230</v>
      </c>
      <c r="B425" s="8" t="s">
        <v>2232</v>
      </c>
      <c r="C425" s="7" t="s">
        <v>156</v>
      </c>
      <c r="D425" s="12" t="s">
        <v>39</v>
      </c>
      <c r="E425" s="13" t="s">
        <v>41</v>
      </c>
      <c r="F425" s="8" t="s">
        <v>42</v>
      </c>
      <c r="G425" s="8" t="b">
        <v>0</v>
      </c>
      <c r="H425" s="8" t="s">
        <v>2234</v>
      </c>
      <c r="I425" s="8">
        <v>6.0</v>
      </c>
      <c r="J425" s="8">
        <v>0.01</v>
      </c>
      <c r="K425" s="8">
        <v>1.33</v>
      </c>
    </row>
    <row r="426" ht="15.75" customHeight="1">
      <c r="A426" s="7" t="s">
        <v>2236</v>
      </c>
      <c r="B426" s="8" t="s">
        <v>2237</v>
      </c>
      <c r="C426" s="7" t="s">
        <v>156</v>
      </c>
      <c r="D426" s="12" t="s">
        <v>39</v>
      </c>
      <c r="E426" s="13" t="s">
        <v>41</v>
      </c>
      <c r="F426" s="8" t="s">
        <v>42</v>
      </c>
      <c r="G426" s="8" t="b">
        <v>0</v>
      </c>
      <c r="H426" s="8" t="s">
        <v>2238</v>
      </c>
      <c r="I426" s="8">
        <v>6.0</v>
      </c>
      <c r="J426" s="8">
        <v>0.01</v>
      </c>
      <c r="K426" s="8">
        <v>0.0</v>
      </c>
    </row>
    <row r="427" ht="15.75" customHeight="1">
      <c r="A427" s="7" t="s">
        <v>2240</v>
      </c>
      <c r="B427" s="8" t="s">
        <v>2241</v>
      </c>
      <c r="C427" s="7" t="s">
        <v>532</v>
      </c>
      <c r="D427" s="12" t="s">
        <v>39</v>
      </c>
      <c r="E427" s="13" t="s">
        <v>41</v>
      </c>
      <c r="F427" s="8" t="s">
        <v>42</v>
      </c>
      <c r="G427" s="8" t="b">
        <v>0</v>
      </c>
      <c r="H427" s="8" t="s">
        <v>2243</v>
      </c>
      <c r="I427" s="8">
        <v>6.0</v>
      </c>
      <c r="J427" s="8">
        <v>0.01</v>
      </c>
      <c r="K427" s="8">
        <v>0.17</v>
      </c>
    </row>
    <row r="428" ht="15.75" customHeight="1">
      <c r="A428" s="7" t="s">
        <v>2244</v>
      </c>
      <c r="B428" s="8" t="s">
        <v>2247</v>
      </c>
      <c r="C428" s="7" t="s">
        <v>1123</v>
      </c>
      <c r="D428" s="12" t="s">
        <v>554</v>
      </c>
      <c r="E428" s="13" t="s">
        <v>41</v>
      </c>
      <c r="F428" s="8" t="s">
        <v>555</v>
      </c>
      <c r="G428" s="8" t="b">
        <v>0</v>
      </c>
      <c r="I428" s="8">
        <v>6.0</v>
      </c>
      <c r="J428" s="8">
        <v>0.01</v>
      </c>
      <c r="K428" s="8">
        <v>0.67</v>
      </c>
    </row>
    <row r="429" ht="15.75" customHeight="1">
      <c r="A429" s="7" t="s">
        <v>2249</v>
      </c>
      <c r="B429" s="8" t="s">
        <v>2251</v>
      </c>
      <c r="C429" s="7" t="s">
        <v>714</v>
      </c>
      <c r="D429" s="12" t="s">
        <v>766</v>
      </c>
      <c r="E429" s="13" t="s">
        <v>22</v>
      </c>
      <c r="F429" s="8" t="s">
        <v>767</v>
      </c>
      <c r="G429" s="8" t="b">
        <v>0</v>
      </c>
      <c r="H429" s="8" t="s">
        <v>2254</v>
      </c>
      <c r="I429" s="8">
        <v>6.0</v>
      </c>
      <c r="J429" s="8">
        <v>0.01</v>
      </c>
      <c r="K429" s="8">
        <v>0.83</v>
      </c>
    </row>
    <row r="430" ht="15.75" customHeight="1">
      <c r="A430" s="7" t="s">
        <v>2256</v>
      </c>
      <c r="B430" s="8" t="s">
        <v>2258</v>
      </c>
      <c r="C430" s="7" t="s">
        <v>20</v>
      </c>
      <c r="D430" s="12" t="s">
        <v>39</v>
      </c>
      <c r="E430" s="13" t="s">
        <v>22</v>
      </c>
      <c r="F430" s="8" t="s">
        <v>42</v>
      </c>
      <c r="G430" s="8" t="b">
        <v>0</v>
      </c>
      <c r="H430" s="8" t="s">
        <v>2260</v>
      </c>
      <c r="I430" s="8">
        <v>6.0</v>
      </c>
      <c r="J430" s="8">
        <v>0.01</v>
      </c>
      <c r="K430" s="8">
        <v>0.67</v>
      </c>
    </row>
    <row r="431" ht="15.75" customHeight="1">
      <c r="A431" s="7" t="s">
        <v>2261</v>
      </c>
      <c r="B431" s="8" t="s">
        <v>2263</v>
      </c>
      <c r="C431" s="7" t="s">
        <v>20</v>
      </c>
      <c r="D431" s="12" t="s">
        <v>39</v>
      </c>
      <c r="E431" s="13" t="s">
        <v>22</v>
      </c>
      <c r="F431" s="8" t="s">
        <v>42</v>
      </c>
      <c r="G431" s="8" t="b">
        <v>0</v>
      </c>
      <c r="H431" s="8" t="s">
        <v>2265</v>
      </c>
      <c r="I431" s="8">
        <v>6.0</v>
      </c>
      <c r="J431" s="8">
        <v>0.01</v>
      </c>
      <c r="K431" s="8">
        <v>0.0</v>
      </c>
    </row>
    <row r="432" ht="15.75" customHeight="1">
      <c r="A432" s="7" t="s">
        <v>2266</v>
      </c>
      <c r="B432" s="8" t="s">
        <v>2268</v>
      </c>
      <c r="C432" s="7" t="s">
        <v>704</v>
      </c>
      <c r="D432" s="12" t="s">
        <v>39</v>
      </c>
      <c r="E432" s="13" t="s">
        <v>73</v>
      </c>
      <c r="F432" s="8" t="s">
        <v>42</v>
      </c>
      <c r="G432" s="8" t="b">
        <v>0</v>
      </c>
      <c r="H432" s="8" t="s">
        <v>2270</v>
      </c>
      <c r="I432" s="8">
        <v>6.0</v>
      </c>
      <c r="J432" s="8">
        <v>0.01</v>
      </c>
      <c r="K432" s="8">
        <v>0.33</v>
      </c>
    </row>
    <row r="433" ht="15.75" customHeight="1">
      <c r="A433" s="7" t="s">
        <v>2271</v>
      </c>
      <c r="B433" s="8" t="s">
        <v>2274</v>
      </c>
      <c r="C433" s="7" t="s">
        <v>700</v>
      </c>
      <c r="D433" s="12" t="s">
        <v>39</v>
      </c>
      <c r="E433" s="13" t="s">
        <v>41</v>
      </c>
      <c r="F433" s="8" t="s">
        <v>42</v>
      </c>
      <c r="G433" s="8" t="b">
        <v>0</v>
      </c>
      <c r="H433" s="8" t="s">
        <v>2276</v>
      </c>
      <c r="I433" s="8">
        <v>5.0</v>
      </c>
      <c r="J433" s="8">
        <v>0.0</v>
      </c>
      <c r="K433" s="8">
        <v>1.6</v>
      </c>
    </row>
    <row r="434" ht="15.75" customHeight="1">
      <c r="A434" s="7" t="s">
        <v>2277</v>
      </c>
      <c r="B434" s="8" t="s">
        <v>2280</v>
      </c>
      <c r="C434" s="7" t="s">
        <v>377</v>
      </c>
      <c r="D434" s="12" t="s">
        <v>21</v>
      </c>
      <c r="E434" s="13" t="s">
        <v>73</v>
      </c>
      <c r="F434" s="8" t="s">
        <v>24</v>
      </c>
      <c r="G434" s="8" t="b">
        <v>0</v>
      </c>
      <c r="H434" s="8" t="s">
        <v>2281</v>
      </c>
      <c r="I434" s="8">
        <v>5.0</v>
      </c>
      <c r="J434" s="8">
        <v>0.0</v>
      </c>
      <c r="K434" s="8">
        <v>1.0</v>
      </c>
    </row>
    <row r="435" ht="15.75" customHeight="1">
      <c r="A435" s="7" t="s">
        <v>2282</v>
      </c>
      <c r="B435" s="8" t="s">
        <v>2284</v>
      </c>
      <c r="C435" s="8" t="s">
        <v>1151</v>
      </c>
      <c r="D435" s="12" t="s">
        <v>39</v>
      </c>
      <c r="E435" s="13" t="s">
        <v>73</v>
      </c>
      <c r="F435" s="8" t="s">
        <v>42</v>
      </c>
      <c r="G435" s="8" t="b">
        <v>0</v>
      </c>
      <c r="H435" s="8" t="s">
        <v>2285</v>
      </c>
      <c r="I435" s="8">
        <v>5.0</v>
      </c>
      <c r="J435" s="8">
        <v>0.0</v>
      </c>
      <c r="K435" s="8">
        <v>0.0</v>
      </c>
    </row>
    <row r="436" ht="15.75" customHeight="1">
      <c r="A436" s="7" t="s">
        <v>2286</v>
      </c>
      <c r="B436" s="8" t="s">
        <v>2289</v>
      </c>
      <c r="C436" s="7" t="s">
        <v>313</v>
      </c>
      <c r="D436" s="12" t="s">
        <v>21</v>
      </c>
      <c r="E436" s="13" t="s">
        <v>73</v>
      </c>
      <c r="F436" s="8" t="s">
        <v>24</v>
      </c>
      <c r="G436" s="8" t="b">
        <v>0</v>
      </c>
      <c r="H436" s="8" t="s">
        <v>2291</v>
      </c>
      <c r="I436" s="8">
        <v>5.0</v>
      </c>
      <c r="J436" s="8">
        <v>0.0</v>
      </c>
      <c r="K436" s="8">
        <v>1.2</v>
      </c>
    </row>
    <row r="437" ht="15.75" customHeight="1">
      <c r="A437" s="7" t="s">
        <v>2292</v>
      </c>
      <c r="B437" s="8" t="s">
        <v>2294</v>
      </c>
      <c r="C437" s="7" t="s">
        <v>1154</v>
      </c>
      <c r="D437" s="12" t="s">
        <v>693</v>
      </c>
      <c r="E437" s="13" t="s">
        <v>41</v>
      </c>
      <c r="F437" s="8" t="s">
        <v>695</v>
      </c>
      <c r="G437" s="8" t="b">
        <v>0</v>
      </c>
      <c r="I437" s="8">
        <v>5.0</v>
      </c>
      <c r="J437" s="8">
        <v>0.0</v>
      </c>
      <c r="K437" s="8">
        <v>0.0</v>
      </c>
    </row>
    <row r="438" ht="15.75" customHeight="1">
      <c r="A438" s="7" t="s">
        <v>2296</v>
      </c>
      <c r="B438" s="8" t="s">
        <v>2298</v>
      </c>
      <c r="C438" s="7" t="s">
        <v>1158</v>
      </c>
      <c r="D438" s="12" t="s">
        <v>39</v>
      </c>
      <c r="E438" s="13" t="s">
        <v>41</v>
      </c>
      <c r="F438" s="8" t="s">
        <v>42</v>
      </c>
      <c r="G438" s="8" t="b">
        <v>0</v>
      </c>
      <c r="H438" s="8" t="s">
        <v>2301</v>
      </c>
      <c r="I438" s="8">
        <v>5.0</v>
      </c>
      <c r="J438" s="8">
        <v>0.0</v>
      </c>
      <c r="K438" s="8">
        <v>0.0</v>
      </c>
    </row>
    <row r="439" ht="15.75" customHeight="1">
      <c r="A439" s="7" t="s">
        <v>2302</v>
      </c>
      <c r="B439" s="8" t="s">
        <v>2303</v>
      </c>
      <c r="C439" s="7" t="s">
        <v>512</v>
      </c>
      <c r="D439" s="12" t="s">
        <v>693</v>
      </c>
      <c r="E439" s="13" t="s">
        <v>73</v>
      </c>
      <c r="F439" s="8" t="s">
        <v>695</v>
      </c>
      <c r="G439" s="8" t="b">
        <v>0</v>
      </c>
      <c r="I439" s="8">
        <v>5.0</v>
      </c>
      <c r="J439" s="8">
        <v>0.0</v>
      </c>
      <c r="K439" s="8">
        <v>2.0</v>
      </c>
    </row>
    <row r="440" ht="15.75" customHeight="1">
      <c r="A440" s="7" t="s">
        <v>2305</v>
      </c>
      <c r="B440" s="8" t="s">
        <v>2306</v>
      </c>
      <c r="C440" s="7" t="s">
        <v>952</v>
      </c>
      <c r="D440" s="12" t="s">
        <v>39</v>
      </c>
      <c r="E440" s="13" t="s">
        <v>190</v>
      </c>
      <c r="F440" s="8" t="s">
        <v>42</v>
      </c>
      <c r="G440" s="8" t="b">
        <v>0</v>
      </c>
      <c r="H440" s="8" t="s">
        <v>724</v>
      </c>
      <c r="I440" s="8">
        <v>5.0</v>
      </c>
      <c r="J440" s="8">
        <v>0.0</v>
      </c>
      <c r="K440" s="8">
        <v>0.0</v>
      </c>
    </row>
    <row r="441" ht="15.75" customHeight="1">
      <c r="A441" s="7" t="s">
        <v>2308</v>
      </c>
      <c r="B441" s="8" t="s">
        <v>2309</v>
      </c>
      <c r="C441" s="7" t="s">
        <v>1163</v>
      </c>
      <c r="D441" s="12" t="s">
        <v>39</v>
      </c>
      <c r="E441" s="13" t="s">
        <v>41</v>
      </c>
      <c r="F441" s="8" t="s">
        <v>42</v>
      </c>
      <c r="G441" s="8" t="b">
        <v>0</v>
      </c>
      <c r="H441" s="8" t="s">
        <v>2311</v>
      </c>
      <c r="I441" s="8">
        <v>5.0</v>
      </c>
      <c r="J441" s="8">
        <v>0.0</v>
      </c>
      <c r="K441" s="8">
        <v>0.8</v>
      </c>
    </row>
    <row r="442" ht="15.75" customHeight="1">
      <c r="A442" s="7" t="s">
        <v>2313</v>
      </c>
      <c r="B442" s="8" t="s">
        <v>2315</v>
      </c>
      <c r="C442" s="7" t="s">
        <v>717</v>
      </c>
      <c r="D442" s="12" t="s">
        <v>693</v>
      </c>
      <c r="E442" s="13" t="s">
        <v>753</v>
      </c>
      <c r="F442" s="8" t="s">
        <v>695</v>
      </c>
      <c r="G442" s="8" t="b">
        <v>0</v>
      </c>
      <c r="H442" s="8" t="s">
        <v>2317</v>
      </c>
      <c r="I442" s="8">
        <v>5.0</v>
      </c>
      <c r="J442" s="8">
        <v>0.0</v>
      </c>
      <c r="K442" s="8">
        <v>2.6</v>
      </c>
    </row>
    <row r="443" ht="15.75" customHeight="1">
      <c r="A443" s="7" t="s">
        <v>2319</v>
      </c>
      <c r="B443" s="8" t="s">
        <v>2321</v>
      </c>
      <c r="C443" s="7" t="s">
        <v>717</v>
      </c>
      <c r="D443" s="12" t="s">
        <v>693</v>
      </c>
      <c r="E443" s="13" t="s">
        <v>753</v>
      </c>
      <c r="F443" s="8" t="s">
        <v>695</v>
      </c>
      <c r="G443" s="8" t="b">
        <v>0</v>
      </c>
      <c r="I443" s="8">
        <v>5.0</v>
      </c>
      <c r="J443" s="8">
        <v>0.0</v>
      </c>
      <c r="K443" s="8">
        <v>2.0</v>
      </c>
    </row>
    <row r="444" ht="15.75" customHeight="1">
      <c r="A444" s="7" t="s">
        <v>2322</v>
      </c>
      <c r="B444" s="8" t="s">
        <v>2324</v>
      </c>
      <c r="C444" s="7" t="s">
        <v>1069</v>
      </c>
      <c r="D444" s="12" t="s">
        <v>766</v>
      </c>
      <c r="E444" s="13" t="s">
        <v>22</v>
      </c>
      <c r="F444" s="8" t="s">
        <v>767</v>
      </c>
      <c r="G444" s="8" t="b">
        <v>0</v>
      </c>
      <c r="H444" s="8" t="s">
        <v>1071</v>
      </c>
      <c r="I444" s="8">
        <v>5.0</v>
      </c>
      <c r="J444" s="8">
        <v>0.0</v>
      </c>
      <c r="K444" s="8">
        <v>1.2</v>
      </c>
    </row>
    <row r="445" ht="15.75" customHeight="1">
      <c r="A445" s="7" t="s">
        <v>2326</v>
      </c>
      <c r="B445" s="8" t="s">
        <v>2328</v>
      </c>
      <c r="C445" s="7" t="s">
        <v>290</v>
      </c>
      <c r="D445" s="12" t="s">
        <v>39</v>
      </c>
      <c r="E445" s="13" t="s">
        <v>41</v>
      </c>
      <c r="F445" s="8" t="s">
        <v>42</v>
      </c>
      <c r="G445" s="8" t="b">
        <v>0</v>
      </c>
      <c r="I445" s="8">
        <v>5.0</v>
      </c>
      <c r="J445" s="8">
        <v>0.0</v>
      </c>
      <c r="K445" s="8">
        <v>0.8</v>
      </c>
    </row>
    <row r="446" ht="15.75" customHeight="1">
      <c r="A446" s="7" t="s">
        <v>2330</v>
      </c>
      <c r="B446" s="8" t="s">
        <v>2333</v>
      </c>
      <c r="C446" s="7" t="s">
        <v>15</v>
      </c>
      <c r="D446" s="12" t="s">
        <v>21</v>
      </c>
      <c r="E446" s="13" t="s">
        <v>22</v>
      </c>
      <c r="F446" s="8" t="s">
        <v>24</v>
      </c>
      <c r="G446" s="8" t="b">
        <v>0</v>
      </c>
      <c r="H446" s="8" t="s">
        <v>2334</v>
      </c>
      <c r="I446" s="8">
        <v>5.0</v>
      </c>
      <c r="J446" s="8">
        <v>0.0</v>
      </c>
      <c r="K446" s="8">
        <v>0.2</v>
      </c>
    </row>
    <row r="447" ht="15.75" customHeight="1">
      <c r="A447" s="7" t="s">
        <v>2335</v>
      </c>
      <c r="B447" s="8" t="s">
        <v>2337</v>
      </c>
      <c r="C447" s="7" t="s">
        <v>15</v>
      </c>
      <c r="D447" s="12" t="s">
        <v>21</v>
      </c>
      <c r="E447" s="13" t="s">
        <v>22</v>
      </c>
      <c r="F447" s="8" t="s">
        <v>24</v>
      </c>
      <c r="G447" s="8" t="b">
        <v>0</v>
      </c>
      <c r="H447" s="8" t="s">
        <v>2338</v>
      </c>
      <c r="I447" s="8">
        <v>5.0</v>
      </c>
      <c r="J447" s="8">
        <v>0.0</v>
      </c>
      <c r="K447" s="8">
        <v>0.0</v>
      </c>
    </row>
    <row r="448" ht="15.75" customHeight="1">
      <c r="A448" s="7" t="s">
        <v>2339</v>
      </c>
      <c r="B448" s="8" t="s">
        <v>2341</v>
      </c>
      <c r="C448" s="7" t="s">
        <v>15</v>
      </c>
      <c r="D448" s="12" t="s">
        <v>21</v>
      </c>
      <c r="E448" s="13" t="s">
        <v>22</v>
      </c>
      <c r="F448" s="8" t="s">
        <v>24</v>
      </c>
      <c r="G448" s="8" t="b">
        <v>0</v>
      </c>
      <c r="H448" s="8" t="s">
        <v>1007</v>
      </c>
      <c r="I448" s="8">
        <v>5.0</v>
      </c>
      <c r="J448" s="8">
        <v>0.0</v>
      </c>
      <c r="K448" s="8">
        <v>0.4</v>
      </c>
    </row>
    <row r="449" ht="15.75" customHeight="1">
      <c r="A449" s="7" t="s">
        <v>2342</v>
      </c>
      <c r="B449" s="8" t="s">
        <v>2344</v>
      </c>
      <c r="C449" s="7" t="s">
        <v>15</v>
      </c>
      <c r="D449" s="12" t="s">
        <v>21</v>
      </c>
      <c r="E449" s="13" t="s">
        <v>22</v>
      </c>
      <c r="F449" s="8" t="s">
        <v>24</v>
      </c>
      <c r="G449" s="8" t="b">
        <v>0</v>
      </c>
      <c r="H449" s="8" t="s">
        <v>2345</v>
      </c>
      <c r="I449" s="8">
        <v>5.0</v>
      </c>
      <c r="J449" s="8">
        <v>0.0</v>
      </c>
      <c r="K449" s="8">
        <v>0.0</v>
      </c>
    </row>
    <row r="450" ht="15.75" customHeight="1">
      <c r="A450" s="7" t="s">
        <v>2347</v>
      </c>
      <c r="B450" s="8" t="s">
        <v>2349</v>
      </c>
      <c r="C450" s="7" t="s">
        <v>15</v>
      </c>
      <c r="D450" s="12" t="s">
        <v>72</v>
      </c>
      <c r="E450" s="13" t="s">
        <v>22</v>
      </c>
      <c r="F450" s="8" t="s">
        <v>74</v>
      </c>
      <c r="G450" s="8" t="b">
        <v>0</v>
      </c>
      <c r="H450" s="8" t="s">
        <v>584</v>
      </c>
      <c r="I450" s="8">
        <v>5.0</v>
      </c>
      <c r="J450" s="8">
        <v>0.0</v>
      </c>
      <c r="K450" s="8">
        <v>1.6</v>
      </c>
    </row>
    <row r="451" ht="15.75" customHeight="1">
      <c r="A451" s="7" t="s">
        <v>2351</v>
      </c>
      <c r="B451" s="8" t="s">
        <v>2349</v>
      </c>
      <c r="C451" s="7" t="s">
        <v>15</v>
      </c>
      <c r="D451" s="12" t="s">
        <v>21</v>
      </c>
      <c r="E451" s="13" t="s">
        <v>22</v>
      </c>
      <c r="F451" s="8" t="s">
        <v>24</v>
      </c>
      <c r="G451" s="8" t="b">
        <v>0</v>
      </c>
      <c r="H451" s="8" t="s">
        <v>865</v>
      </c>
      <c r="I451" s="8">
        <v>5.0</v>
      </c>
      <c r="J451" s="8">
        <v>0.0</v>
      </c>
      <c r="K451" s="8">
        <v>0.0</v>
      </c>
    </row>
    <row r="452" ht="15.75" customHeight="1">
      <c r="A452" s="7" t="s">
        <v>2353</v>
      </c>
      <c r="B452" s="8" t="s">
        <v>2354</v>
      </c>
      <c r="C452" s="7" t="s">
        <v>313</v>
      </c>
      <c r="D452" s="12" t="s">
        <v>39</v>
      </c>
      <c r="E452" s="13" t="s">
        <v>73</v>
      </c>
      <c r="F452" s="8" t="s">
        <v>42</v>
      </c>
      <c r="G452" s="8" t="b">
        <v>0</v>
      </c>
      <c r="H452" s="8" t="s">
        <v>2356</v>
      </c>
      <c r="I452" s="8">
        <v>5.0</v>
      </c>
      <c r="J452" s="8">
        <v>0.0</v>
      </c>
      <c r="K452" s="8">
        <v>1.2</v>
      </c>
    </row>
    <row r="453" ht="15.75" customHeight="1">
      <c r="A453" s="7" t="s">
        <v>2357</v>
      </c>
      <c r="B453" s="8" t="s">
        <v>2359</v>
      </c>
      <c r="C453" s="7" t="s">
        <v>158</v>
      </c>
      <c r="D453" s="12" t="s">
        <v>39</v>
      </c>
      <c r="E453" s="13" t="s">
        <v>22</v>
      </c>
      <c r="F453" s="8" t="s">
        <v>42</v>
      </c>
      <c r="G453" s="8" t="b">
        <v>0</v>
      </c>
      <c r="H453" s="8" t="s">
        <v>2360</v>
      </c>
      <c r="I453" s="8">
        <v>5.0</v>
      </c>
      <c r="J453" s="8">
        <v>0.0</v>
      </c>
      <c r="K453" s="8">
        <v>0.8</v>
      </c>
    </row>
    <row r="454" ht="15.75" customHeight="1">
      <c r="A454" s="7" t="s">
        <v>2362</v>
      </c>
      <c r="B454" s="8" t="s">
        <v>2364</v>
      </c>
      <c r="C454" s="7" t="s">
        <v>52</v>
      </c>
      <c r="D454" s="12" t="s">
        <v>39</v>
      </c>
      <c r="E454" s="13" t="s">
        <v>22</v>
      </c>
      <c r="F454" s="8" t="s">
        <v>42</v>
      </c>
      <c r="G454" s="8" t="b">
        <v>0</v>
      </c>
      <c r="H454" s="8" t="s">
        <v>2366</v>
      </c>
      <c r="I454" s="8">
        <v>5.0</v>
      </c>
      <c r="J454" s="8">
        <v>0.0</v>
      </c>
      <c r="K454" s="8">
        <v>1.2</v>
      </c>
    </row>
    <row r="455" ht="15.75" customHeight="1">
      <c r="A455" s="7" t="s">
        <v>2367</v>
      </c>
      <c r="B455" s="8" t="s">
        <v>2370</v>
      </c>
      <c r="C455" s="7" t="s">
        <v>165</v>
      </c>
      <c r="D455" s="12" t="s">
        <v>554</v>
      </c>
      <c r="E455" s="13" t="s">
        <v>22</v>
      </c>
      <c r="F455" s="8" t="s">
        <v>555</v>
      </c>
      <c r="G455" s="8" t="b">
        <v>0</v>
      </c>
      <c r="H455" s="8" t="s">
        <v>2371</v>
      </c>
      <c r="I455" s="8">
        <v>5.0</v>
      </c>
      <c r="J455" s="8">
        <v>0.0</v>
      </c>
      <c r="K455" s="8">
        <v>1.4</v>
      </c>
    </row>
    <row r="456" ht="15.75" customHeight="1">
      <c r="A456" s="7" t="s">
        <v>2372</v>
      </c>
      <c r="B456" s="8" t="s">
        <v>2376</v>
      </c>
      <c r="C456" s="7" t="s">
        <v>133</v>
      </c>
      <c r="D456" s="12" t="s">
        <v>39</v>
      </c>
      <c r="E456" s="13" t="s">
        <v>22</v>
      </c>
      <c r="F456" s="8" t="s">
        <v>42</v>
      </c>
      <c r="G456" s="8" t="b">
        <v>0</v>
      </c>
      <c r="H456" s="8" t="s">
        <v>2378</v>
      </c>
      <c r="I456" s="8">
        <v>5.0</v>
      </c>
      <c r="J456" s="8">
        <v>0.0</v>
      </c>
      <c r="K456" s="8">
        <v>0.0</v>
      </c>
    </row>
    <row r="457" ht="15.75" customHeight="1">
      <c r="A457" s="7" t="s">
        <v>2379</v>
      </c>
      <c r="B457" s="8" t="s">
        <v>2380</v>
      </c>
      <c r="C457" s="7" t="s">
        <v>138</v>
      </c>
      <c r="D457" s="12" t="s">
        <v>21</v>
      </c>
      <c r="E457" s="13" t="s">
        <v>41</v>
      </c>
      <c r="F457" s="8" t="s">
        <v>24</v>
      </c>
      <c r="G457" s="8" t="b">
        <v>0</v>
      </c>
      <c r="H457" s="8" t="s">
        <v>2382</v>
      </c>
      <c r="I457" s="8">
        <v>5.0</v>
      </c>
      <c r="J457" s="8">
        <v>0.0</v>
      </c>
      <c r="K457" s="8">
        <v>1.2</v>
      </c>
    </row>
    <row r="458" ht="15.75" customHeight="1">
      <c r="A458" s="7" t="s">
        <v>2383</v>
      </c>
      <c r="B458" s="8" t="s">
        <v>1384</v>
      </c>
      <c r="C458" s="7" t="s">
        <v>138</v>
      </c>
      <c r="D458" s="12" t="s">
        <v>72</v>
      </c>
      <c r="E458" s="13" t="s">
        <v>41</v>
      </c>
      <c r="F458" s="8" t="s">
        <v>74</v>
      </c>
      <c r="G458" s="8" t="b">
        <v>0</v>
      </c>
      <c r="H458" s="8" t="s">
        <v>2385</v>
      </c>
      <c r="I458" s="8">
        <v>5.0</v>
      </c>
      <c r="J458" s="8">
        <v>0.0</v>
      </c>
      <c r="K458" s="8">
        <v>1.2</v>
      </c>
    </row>
    <row r="459" ht="15.75" customHeight="1">
      <c r="A459" s="7" t="s">
        <v>2387</v>
      </c>
      <c r="B459" s="8" t="s">
        <v>2388</v>
      </c>
      <c r="C459" s="7" t="s">
        <v>924</v>
      </c>
      <c r="D459" s="12" t="s">
        <v>72</v>
      </c>
      <c r="E459" s="13" t="s">
        <v>22</v>
      </c>
      <c r="F459" s="8" t="s">
        <v>74</v>
      </c>
      <c r="G459" s="8" t="b">
        <v>0</v>
      </c>
      <c r="H459" s="8" t="s">
        <v>1966</v>
      </c>
      <c r="I459" s="8">
        <v>5.0</v>
      </c>
      <c r="J459" s="8">
        <v>0.0</v>
      </c>
      <c r="K459" s="8">
        <v>0.4</v>
      </c>
    </row>
    <row r="460" ht="15.75" customHeight="1">
      <c r="A460" s="7" t="s">
        <v>2391</v>
      </c>
      <c r="B460" s="8" t="s">
        <v>2393</v>
      </c>
      <c r="C460" s="7" t="s">
        <v>416</v>
      </c>
      <c r="D460" s="12" t="s">
        <v>39</v>
      </c>
      <c r="E460" s="13" t="s">
        <v>41</v>
      </c>
      <c r="F460" s="8" t="s">
        <v>42</v>
      </c>
      <c r="G460" s="8" t="b">
        <v>0</v>
      </c>
      <c r="H460" s="8" t="s">
        <v>2394</v>
      </c>
      <c r="I460" s="8">
        <v>5.0</v>
      </c>
      <c r="J460" s="8">
        <v>0.0</v>
      </c>
      <c r="K460" s="8">
        <v>0.0</v>
      </c>
    </row>
    <row r="461" ht="15.75" customHeight="1">
      <c r="A461" s="7" t="s">
        <v>2396</v>
      </c>
      <c r="B461" s="8" t="s">
        <v>2398</v>
      </c>
      <c r="C461" s="7" t="s">
        <v>1133</v>
      </c>
      <c r="D461" s="12" t="s">
        <v>766</v>
      </c>
      <c r="E461" s="13" t="s">
        <v>22</v>
      </c>
      <c r="F461" s="8" t="s">
        <v>767</v>
      </c>
      <c r="G461" s="8" t="b">
        <v>0</v>
      </c>
      <c r="H461" s="8" t="s">
        <v>2401</v>
      </c>
      <c r="I461" s="8">
        <v>5.0</v>
      </c>
      <c r="J461" s="8">
        <v>0.0</v>
      </c>
      <c r="K461" s="8">
        <v>1.4</v>
      </c>
    </row>
    <row r="462" ht="15.75" customHeight="1">
      <c r="A462" s="7" t="s">
        <v>2402</v>
      </c>
      <c r="B462" s="8" t="s">
        <v>2405</v>
      </c>
      <c r="C462" s="7" t="s">
        <v>1024</v>
      </c>
      <c r="D462" s="12" t="s">
        <v>39</v>
      </c>
      <c r="E462" s="13" t="s">
        <v>73</v>
      </c>
      <c r="F462" s="8" t="s">
        <v>42</v>
      </c>
      <c r="G462" s="8" t="b">
        <v>0</v>
      </c>
      <c r="H462" s="8" t="s">
        <v>2406</v>
      </c>
      <c r="I462" s="8">
        <v>5.0</v>
      </c>
      <c r="J462" s="8">
        <v>0.0</v>
      </c>
      <c r="K462" s="8">
        <v>0.0</v>
      </c>
    </row>
    <row r="463" ht="15.75" customHeight="1">
      <c r="A463" s="7" t="s">
        <v>2407</v>
      </c>
      <c r="B463" s="8" t="s">
        <v>2409</v>
      </c>
      <c r="C463" s="7" t="s">
        <v>1171</v>
      </c>
      <c r="D463" s="12" t="s">
        <v>39</v>
      </c>
      <c r="E463" s="13" t="s">
        <v>41</v>
      </c>
      <c r="F463" s="8" t="s">
        <v>42</v>
      </c>
      <c r="G463" s="8" t="b">
        <v>0</v>
      </c>
      <c r="I463" s="8">
        <v>5.0</v>
      </c>
      <c r="J463" s="8">
        <v>0.0</v>
      </c>
      <c r="K463" s="8">
        <v>0.0</v>
      </c>
    </row>
    <row r="464" ht="15.75" customHeight="1">
      <c r="A464" s="7" t="s">
        <v>2411</v>
      </c>
      <c r="B464" s="8" t="s">
        <v>2414</v>
      </c>
      <c r="C464" s="7" t="s">
        <v>334</v>
      </c>
      <c r="D464" s="12" t="s">
        <v>39</v>
      </c>
      <c r="E464" s="13" t="s">
        <v>41</v>
      </c>
      <c r="F464" s="8" t="s">
        <v>42</v>
      </c>
      <c r="G464" s="8" t="b">
        <v>0</v>
      </c>
      <c r="H464" s="8" t="s">
        <v>2415</v>
      </c>
      <c r="I464" s="8">
        <v>5.0</v>
      </c>
      <c r="J464" s="8">
        <v>0.0</v>
      </c>
      <c r="K464" s="8">
        <v>0.8</v>
      </c>
    </row>
    <row r="465" ht="15.75" customHeight="1">
      <c r="A465" s="7" t="s">
        <v>2416</v>
      </c>
      <c r="B465" s="8" t="s">
        <v>2419</v>
      </c>
      <c r="C465" s="7" t="s">
        <v>1143</v>
      </c>
      <c r="D465" s="12" t="s">
        <v>190</v>
      </c>
      <c r="E465" s="13" t="s">
        <v>41</v>
      </c>
      <c r="F465" s="8" t="s">
        <v>191</v>
      </c>
      <c r="G465" s="8" t="b">
        <v>0</v>
      </c>
      <c r="H465" s="8" t="s">
        <v>2422</v>
      </c>
      <c r="I465" s="8">
        <v>5.0</v>
      </c>
      <c r="J465" s="8">
        <v>0.0</v>
      </c>
      <c r="K465" s="8">
        <v>1.2</v>
      </c>
    </row>
    <row r="466" ht="15.75" customHeight="1">
      <c r="A466" s="7" t="s">
        <v>2423</v>
      </c>
      <c r="B466" s="8" t="s">
        <v>2426</v>
      </c>
      <c r="C466" s="7" t="s">
        <v>1148</v>
      </c>
      <c r="D466" s="12" t="s">
        <v>72</v>
      </c>
      <c r="E466" s="13" t="s">
        <v>753</v>
      </c>
      <c r="F466" s="8" t="s">
        <v>74</v>
      </c>
      <c r="G466" s="8" t="b">
        <v>0</v>
      </c>
      <c r="H466" s="8" t="s">
        <v>2428</v>
      </c>
      <c r="I466" s="8">
        <v>5.0</v>
      </c>
      <c r="J466" s="8">
        <v>0.0</v>
      </c>
      <c r="K466" s="8">
        <v>0.0</v>
      </c>
    </row>
    <row r="467" ht="15.75" customHeight="1">
      <c r="A467" s="7" t="s">
        <v>2430</v>
      </c>
      <c r="C467" s="7" t="s">
        <v>356</v>
      </c>
      <c r="D467" s="12" t="s">
        <v>190</v>
      </c>
      <c r="E467" s="13" t="s">
        <v>41</v>
      </c>
      <c r="F467" s="8" t="s">
        <v>191</v>
      </c>
      <c r="H467" s="8" t="s">
        <v>1246</v>
      </c>
      <c r="I467" s="8">
        <v>5.0</v>
      </c>
      <c r="J467" s="8">
        <v>0.0</v>
      </c>
      <c r="K467" s="8">
        <v>0.0</v>
      </c>
    </row>
    <row r="468" ht="15.75" customHeight="1">
      <c r="A468" s="7" t="s">
        <v>2436</v>
      </c>
      <c r="B468" s="8" t="s">
        <v>2437</v>
      </c>
      <c r="C468" s="7" t="s">
        <v>264</v>
      </c>
      <c r="D468" s="12" t="s">
        <v>766</v>
      </c>
      <c r="E468" s="13" t="s">
        <v>22</v>
      </c>
      <c r="F468" s="8" t="s">
        <v>767</v>
      </c>
      <c r="G468" s="8" t="b">
        <v>0</v>
      </c>
      <c r="H468" s="8" t="s">
        <v>2439</v>
      </c>
      <c r="I468" s="8">
        <v>5.0</v>
      </c>
      <c r="J468" s="8">
        <v>0.0</v>
      </c>
      <c r="K468" s="8">
        <v>1.8</v>
      </c>
    </row>
    <row r="469" ht="15.75" customHeight="1">
      <c r="A469" s="7" t="s">
        <v>2440</v>
      </c>
      <c r="B469" s="8" t="s">
        <v>2442</v>
      </c>
      <c r="C469" s="7" t="s">
        <v>1174</v>
      </c>
      <c r="D469" s="12" t="s">
        <v>554</v>
      </c>
      <c r="E469" s="13" t="s">
        <v>41</v>
      </c>
      <c r="F469" s="8" t="s">
        <v>555</v>
      </c>
      <c r="G469" s="8" t="b">
        <v>0</v>
      </c>
      <c r="I469" s="8">
        <v>5.0</v>
      </c>
      <c r="J469" s="8">
        <v>0.0</v>
      </c>
      <c r="K469" s="8">
        <v>1.8</v>
      </c>
    </row>
    <row r="470" ht="15.75" customHeight="1">
      <c r="A470" s="7" t="s">
        <v>2444</v>
      </c>
      <c r="B470" s="8" t="s">
        <v>2446</v>
      </c>
      <c r="C470" s="8" t="s">
        <v>352</v>
      </c>
      <c r="D470" s="12" t="s">
        <v>39</v>
      </c>
      <c r="E470" s="13" t="s">
        <v>41</v>
      </c>
      <c r="F470" s="8" t="s">
        <v>42</v>
      </c>
      <c r="G470" s="8" t="b">
        <v>0</v>
      </c>
      <c r="H470" s="8" t="s">
        <v>2447</v>
      </c>
      <c r="I470" s="8">
        <v>5.0</v>
      </c>
      <c r="J470" s="8">
        <v>0.0</v>
      </c>
      <c r="K470" s="8">
        <v>0.0</v>
      </c>
    </row>
    <row r="471" ht="15.75" customHeight="1">
      <c r="A471" s="7" t="s">
        <v>2448</v>
      </c>
      <c r="B471" s="8" t="s">
        <v>2450</v>
      </c>
      <c r="C471" s="7" t="s">
        <v>1177</v>
      </c>
      <c r="D471" s="12" t="s">
        <v>766</v>
      </c>
      <c r="E471" s="13" t="s">
        <v>190</v>
      </c>
      <c r="F471" s="8" t="s">
        <v>767</v>
      </c>
      <c r="G471" s="8" t="b">
        <v>0</v>
      </c>
      <c r="I471" s="8">
        <v>5.0</v>
      </c>
      <c r="J471" s="8">
        <v>0.0</v>
      </c>
      <c r="K471" s="8">
        <v>0.8</v>
      </c>
    </row>
    <row r="472" ht="15.75" customHeight="1">
      <c r="A472" s="7" t="s">
        <v>2453</v>
      </c>
      <c r="B472" s="8" t="s">
        <v>2454</v>
      </c>
      <c r="C472" s="7" t="s">
        <v>71</v>
      </c>
      <c r="D472" s="12" t="s">
        <v>1425</v>
      </c>
      <c r="E472" s="13" t="s">
        <v>76</v>
      </c>
      <c r="F472" s="8" t="s">
        <v>1426</v>
      </c>
      <c r="G472" s="8" t="b">
        <v>0</v>
      </c>
      <c r="H472" s="8" t="s">
        <v>2456</v>
      </c>
      <c r="I472" s="8">
        <v>5.0</v>
      </c>
      <c r="J472" s="8">
        <v>0.0</v>
      </c>
      <c r="K472" s="8">
        <v>2.8</v>
      </c>
    </row>
    <row r="473" ht="15.75" customHeight="1">
      <c r="A473" s="7" t="s">
        <v>2457</v>
      </c>
      <c r="B473" s="8" t="s">
        <v>2459</v>
      </c>
      <c r="C473" s="7" t="s">
        <v>71</v>
      </c>
      <c r="D473" s="12" t="s">
        <v>1425</v>
      </c>
      <c r="E473" s="13" t="s">
        <v>76</v>
      </c>
      <c r="F473" s="8" t="s">
        <v>1426</v>
      </c>
      <c r="G473" s="8" t="b">
        <v>0</v>
      </c>
      <c r="H473" s="8" t="s">
        <v>2460</v>
      </c>
      <c r="I473" s="8">
        <v>5.0</v>
      </c>
      <c r="J473" s="8">
        <v>0.0</v>
      </c>
      <c r="K473" s="8">
        <v>1.0</v>
      </c>
    </row>
    <row r="474" ht="15.75" customHeight="1">
      <c r="A474" s="7" t="s">
        <v>2461</v>
      </c>
      <c r="B474" s="8" t="s">
        <v>2463</v>
      </c>
      <c r="C474" s="7" t="s">
        <v>1181</v>
      </c>
      <c r="D474" s="12" t="s">
        <v>39</v>
      </c>
      <c r="E474" s="13" t="s">
        <v>753</v>
      </c>
      <c r="F474" s="8" t="s">
        <v>42</v>
      </c>
      <c r="G474" s="8" t="b">
        <v>0</v>
      </c>
      <c r="H474" s="8" t="s">
        <v>2465</v>
      </c>
      <c r="I474" s="8">
        <v>5.0</v>
      </c>
      <c r="J474" s="8">
        <v>0.0</v>
      </c>
      <c r="K474" s="8">
        <v>0.0</v>
      </c>
    </row>
    <row r="475" ht="15.75" customHeight="1">
      <c r="A475" s="7" t="s">
        <v>2466</v>
      </c>
      <c r="B475" s="8" t="s">
        <v>2468</v>
      </c>
      <c r="C475" s="7" t="s">
        <v>1116</v>
      </c>
      <c r="D475" s="12" t="s">
        <v>693</v>
      </c>
      <c r="E475" s="13" t="s">
        <v>753</v>
      </c>
      <c r="F475" s="8" t="s">
        <v>695</v>
      </c>
      <c r="G475" s="8" t="b">
        <v>0</v>
      </c>
      <c r="H475" s="8" t="s">
        <v>2469</v>
      </c>
      <c r="I475" s="8">
        <v>5.0</v>
      </c>
      <c r="J475" s="8">
        <v>0.0</v>
      </c>
      <c r="K475" s="8">
        <v>2.2</v>
      </c>
    </row>
    <row r="476" ht="15.75" customHeight="1">
      <c r="A476" s="7" t="s">
        <v>2471</v>
      </c>
      <c r="B476" s="8" t="s">
        <v>2473</v>
      </c>
      <c r="C476" s="7" t="s">
        <v>201</v>
      </c>
      <c r="D476" s="12" t="s">
        <v>2034</v>
      </c>
      <c r="E476" s="13" t="s">
        <v>22</v>
      </c>
      <c r="F476" s="8" t="s">
        <v>2035</v>
      </c>
      <c r="G476" s="8" t="b">
        <v>0</v>
      </c>
      <c r="H476" s="8" t="s">
        <v>2475</v>
      </c>
      <c r="I476" s="8">
        <v>5.0</v>
      </c>
      <c r="J476" s="8">
        <v>0.0</v>
      </c>
      <c r="K476" s="8">
        <v>0.0</v>
      </c>
    </row>
    <row r="477" ht="15.75" customHeight="1">
      <c r="A477" s="7" t="s">
        <v>2476</v>
      </c>
      <c r="B477" s="8" t="s">
        <v>2477</v>
      </c>
      <c r="C477" s="7" t="s">
        <v>118</v>
      </c>
      <c r="D477" s="12" t="s">
        <v>39</v>
      </c>
      <c r="E477" s="13" t="s">
        <v>22</v>
      </c>
      <c r="F477" s="8" t="s">
        <v>42</v>
      </c>
      <c r="G477" s="8" t="b">
        <v>0</v>
      </c>
      <c r="H477" s="8" t="s">
        <v>2479</v>
      </c>
      <c r="I477" s="8">
        <v>5.0</v>
      </c>
      <c r="J477" s="8">
        <v>0.0</v>
      </c>
      <c r="K477" s="8">
        <v>0.0</v>
      </c>
    </row>
    <row r="478" ht="15.75" customHeight="1">
      <c r="A478" s="7" t="s">
        <v>2480</v>
      </c>
      <c r="B478" s="8" t="s">
        <v>2483</v>
      </c>
      <c r="C478" s="7" t="s">
        <v>30</v>
      </c>
      <c r="D478" s="12" t="s">
        <v>21</v>
      </c>
      <c r="E478" s="13" t="s">
        <v>41</v>
      </c>
      <c r="F478" s="8" t="s">
        <v>24</v>
      </c>
      <c r="G478" s="8" t="b">
        <v>0</v>
      </c>
      <c r="H478" s="8" t="s">
        <v>890</v>
      </c>
      <c r="I478" s="8">
        <v>5.0</v>
      </c>
      <c r="J478" s="8">
        <v>0.0</v>
      </c>
      <c r="K478" s="8">
        <v>0.0</v>
      </c>
    </row>
    <row r="479" ht="15.75" customHeight="1">
      <c r="A479" s="7" t="s">
        <v>2484</v>
      </c>
      <c r="B479" s="8" t="s">
        <v>2486</v>
      </c>
      <c r="C479" s="7" t="s">
        <v>200</v>
      </c>
      <c r="D479" s="12" t="s">
        <v>190</v>
      </c>
      <c r="E479" s="13" t="s">
        <v>190</v>
      </c>
      <c r="F479" s="8" t="s">
        <v>191</v>
      </c>
      <c r="G479" s="8" t="b">
        <v>0</v>
      </c>
      <c r="I479" s="8">
        <v>5.0</v>
      </c>
      <c r="J479" s="8">
        <v>0.0</v>
      </c>
      <c r="K479" s="8">
        <v>0.4</v>
      </c>
    </row>
    <row r="480" ht="15.75" customHeight="1">
      <c r="A480" s="7" t="s">
        <v>2487</v>
      </c>
      <c r="B480" s="8" t="s">
        <v>2490</v>
      </c>
      <c r="C480" s="7" t="s">
        <v>428</v>
      </c>
      <c r="D480" s="12" t="s">
        <v>693</v>
      </c>
      <c r="E480" s="13" t="s">
        <v>753</v>
      </c>
      <c r="F480" s="8" t="s">
        <v>695</v>
      </c>
      <c r="G480" s="8" t="b">
        <v>0</v>
      </c>
      <c r="I480" s="8">
        <v>5.0</v>
      </c>
      <c r="J480" s="8">
        <v>0.0</v>
      </c>
      <c r="K480" s="8">
        <v>1.8</v>
      </c>
    </row>
    <row r="481" ht="15.75" customHeight="1">
      <c r="A481" s="7" t="s">
        <v>2492</v>
      </c>
      <c r="B481" s="8" t="s">
        <v>2493</v>
      </c>
      <c r="C481" s="7" t="s">
        <v>412</v>
      </c>
      <c r="D481" s="12" t="s">
        <v>693</v>
      </c>
      <c r="E481" s="13" t="s">
        <v>753</v>
      </c>
      <c r="F481" s="8" t="s">
        <v>695</v>
      </c>
      <c r="G481" s="8" t="b">
        <v>0</v>
      </c>
      <c r="H481" s="8" t="s">
        <v>2494</v>
      </c>
      <c r="I481" s="8">
        <v>5.0</v>
      </c>
      <c r="J481" s="8">
        <v>0.0</v>
      </c>
      <c r="K481" s="8">
        <v>1.6</v>
      </c>
    </row>
    <row r="482" ht="15.75" customHeight="1">
      <c r="A482" s="7" t="s">
        <v>2496</v>
      </c>
      <c r="B482" s="8" t="s">
        <v>2497</v>
      </c>
      <c r="C482" s="7" t="s">
        <v>1188</v>
      </c>
      <c r="D482" s="12" t="s">
        <v>39</v>
      </c>
      <c r="E482" s="13" t="s">
        <v>41</v>
      </c>
      <c r="F482" s="8" t="s">
        <v>42</v>
      </c>
      <c r="G482" s="8" t="b">
        <v>0</v>
      </c>
      <c r="H482" s="8" t="s">
        <v>2499</v>
      </c>
      <c r="I482" s="8">
        <v>5.0</v>
      </c>
      <c r="J482" s="8">
        <v>0.0</v>
      </c>
      <c r="K482" s="8">
        <v>0.0</v>
      </c>
    </row>
    <row r="483" ht="15.75" customHeight="1">
      <c r="A483" s="7" t="s">
        <v>2500</v>
      </c>
      <c r="B483" s="8" t="s">
        <v>2502</v>
      </c>
      <c r="C483" s="7" t="s">
        <v>1130</v>
      </c>
      <c r="D483" s="12" t="s">
        <v>72</v>
      </c>
      <c r="E483" s="13" t="s">
        <v>694</v>
      </c>
      <c r="F483" s="8" t="s">
        <v>74</v>
      </c>
      <c r="G483" s="8" t="b">
        <v>0</v>
      </c>
      <c r="I483" s="8">
        <v>5.0</v>
      </c>
      <c r="J483" s="8">
        <v>0.0</v>
      </c>
      <c r="K483" s="8">
        <v>1.6</v>
      </c>
    </row>
    <row r="484" ht="15.75" customHeight="1">
      <c r="A484" s="7" t="s">
        <v>2503</v>
      </c>
      <c r="B484" s="8" t="s">
        <v>2506</v>
      </c>
      <c r="C484" s="7" t="s">
        <v>286</v>
      </c>
      <c r="D484" s="12" t="s">
        <v>39</v>
      </c>
      <c r="E484" s="13" t="s">
        <v>73</v>
      </c>
      <c r="F484" s="8" t="s">
        <v>42</v>
      </c>
      <c r="G484" s="8" t="b">
        <v>0</v>
      </c>
      <c r="H484" s="8" t="s">
        <v>2507</v>
      </c>
      <c r="I484" s="8">
        <v>5.0</v>
      </c>
      <c r="J484" s="8">
        <v>0.0</v>
      </c>
      <c r="K484" s="8">
        <v>0.0</v>
      </c>
    </row>
    <row r="485" ht="15.75" customHeight="1">
      <c r="A485" s="7" t="s">
        <v>2508</v>
      </c>
      <c r="B485" s="8" t="s">
        <v>2510</v>
      </c>
      <c r="C485" s="7" t="s">
        <v>286</v>
      </c>
      <c r="D485" s="12" t="s">
        <v>39</v>
      </c>
      <c r="E485" s="13" t="s">
        <v>73</v>
      </c>
      <c r="F485" s="8" t="s">
        <v>42</v>
      </c>
      <c r="G485" s="8" t="b">
        <v>0</v>
      </c>
      <c r="H485" s="8" t="s">
        <v>2511</v>
      </c>
      <c r="I485" s="8">
        <v>5.0</v>
      </c>
      <c r="J485" s="8">
        <v>0.0</v>
      </c>
      <c r="K485" s="8">
        <v>0.0</v>
      </c>
    </row>
    <row r="486" ht="15.75" customHeight="1">
      <c r="A486" s="7" t="s">
        <v>2512</v>
      </c>
      <c r="B486" s="8" t="s">
        <v>2515</v>
      </c>
      <c r="C486" s="7" t="s">
        <v>747</v>
      </c>
      <c r="D486" s="12" t="s">
        <v>693</v>
      </c>
      <c r="E486" s="13" t="s">
        <v>753</v>
      </c>
      <c r="F486" s="8" t="s">
        <v>695</v>
      </c>
      <c r="G486" s="8" t="b">
        <v>0</v>
      </c>
      <c r="H486" s="8" t="s">
        <v>2516</v>
      </c>
      <c r="I486" s="8">
        <v>5.0</v>
      </c>
      <c r="J486" s="8">
        <v>0.0</v>
      </c>
      <c r="K486" s="8">
        <v>2.0</v>
      </c>
    </row>
    <row r="487" ht="15.75" customHeight="1">
      <c r="A487" s="7" t="s">
        <v>2518</v>
      </c>
      <c r="B487" s="8" t="s">
        <v>2520</v>
      </c>
      <c r="C487" s="7" t="s">
        <v>1196</v>
      </c>
      <c r="D487" s="12" t="s">
        <v>39</v>
      </c>
      <c r="E487" s="13" t="s">
        <v>41</v>
      </c>
      <c r="F487" s="8" t="s">
        <v>42</v>
      </c>
      <c r="G487" s="8" t="b">
        <v>0</v>
      </c>
      <c r="I487" s="8">
        <v>5.0</v>
      </c>
      <c r="J487" s="8">
        <v>0.0</v>
      </c>
      <c r="K487" s="8">
        <v>0.0</v>
      </c>
    </row>
    <row r="488" ht="15.75" customHeight="1">
      <c r="A488" s="7" t="s">
        <v>2522</v>
      </c>
      <c r="B488" s="8" t="s">
        <v>2523</v>
      </c>
      <c r="C488" s="7" t="s">
        <v>1200</v>
      </c>
      <c r="D488" s="12" t="s">
        <v>39</v>
      </c>
      <c r="E488" s="13" t="s">
        <v>41</v>
      </c>
      <c r="F488" s="8" t="s">
        <v>42</v>
      </c>
      <c r="G488" s="8" t="b">
        <v>0</v>
      </c>
      <c r="H488" s="8" t="s">
        <v>2525</v>
      </c>
      <c r="I488" s="8">
        <v>5.0</v>
      </c>
      <c r="J488" s="8">
        <v>0.0</v>
      </c>
      <c r="K488" s="8">
        <v>0.0</v>
      </c>
    </row>
    <row r="489" ht="15.75" customHeight="1">
      <c r="A489" s="7" t="s">
        <v>2526</v>
      </c>
      <c r="B489" s="8" t="s">
        <v>2528</v>
      </c>
      <c r="C489" s="7" t="s">
        <v>1121</v>
      </c>
      <c r="D489" s="12" t="s">
        <v>39</v>
      </c>
      <c r="E489" s="13" t="s">
        <v>41</v>
      </c>
      <c r="F489" s="8" t="s">
        <v>42</v>
      </c>
      <c r="G489" s="8" t="b">
        <v>0</v>
      </c>
      <c r="H489" s="8" t="s">
        <v>2529</v>
      </c>
      <c r="I489" s="8">
        <v>5.0</v>
      </c>
      <c r="J489" s="8">
        <v>0.0</v>
      </c>
      <c r="K489" s="8">
        <v>0.4</v>
      </c>
    </row>
    <row r="490" ht="15.75" customHeight="1">
      <c r="A490" s="7" t="s">
        <v>2531</v>
      </c>
      <c r="B490" s="8" t="s">
        <v>2533</v>
      </c>
      <c r="C490" s="7" t="s">
        <v>624</v>
      </c>
      <c r="D490" s="12" t="s">
        <v>693</v>
      </c>
      <c r="E490" s="13" t="s">
        <v>753</v>
      </c>
      <c r="F490" s="8" t="s">
        <v>695</v>
      </c>
      <c r="G490" s="8" t="b">
        <v>0</v>
      </c>
      <c r="I490" s="8">
        <v>5.0</v>
      </c>
      <c r="J490" s="8">
        <v>0.0</v>
      </c>
      <c r="K490" s="8">
        <v>2.0</v>
      </c>
    </row>
    <row r="491" ht="15.75" customHeight="1">
      <c r="A491" s="7" t="s">
        <v>2535</v>
      </c>
      <c r="B491" s="8" t="s">
        <v>2538</v>
      </c>
      <c r="C491" s="7" t="s">
        <v>277</v>
      </c>
      <c r="D491" s="12" t="s">
        <v>39</v>
      </c>
      <c r="E491" s="13" t="s">
        <v>76</v>
      </c>
      <c r="F491" s="8" t="s">
        <v>42</v>
      </c>
      <c r="G491" s="8" t="b">
        <v>0</v>
      </c>
      <c r="I491" s="8">
        <v>5.0</v>
      </c>
      <c r="J491" s="8">
        <v>0.0</v>
      </c>
      <c r="K491" s="8">
        <v>1.0</v>
      </c>
    </row>
    <row r="492" ht="15.75" customHeight="1">
      <c r="A492" s="7" t="s">
        <v>2539</v>
      </c>
      <c r="B492" s="8" t="s">
        <v>2541</v>
      </c>
      <c r="C492" s="7" t="s">
        <v>277</v>
      </c>
      <c r="D492" s="12" t="s">
        <v>560</v>
      </c>
      <c r="E492" s="13" t="s">
        <v>76</v>
      </c>
      <c r="F492" s="8" t="s">
        <v>561</v>
      </c>
      <c r="G492" s="8" t="b">
        <v>0</v>
      </c>
      <c r="H492" s="8" t="s">
        <v>803</v>
      </c>
      <c r="I492" s="8">
        <v>5.0</v>
      </c>
      <c r="J492" s="8">
        <v>0.0</v>
      </c>
      <c r="K492" s="8">
        <v>1.4</v>
      </c>
    </row>
    <row r="493" ht="15.75" customHeight="1">
      <c r="A493" s="7" t="s">
        <v>2542</v>
      </c>
      <c r="B493" s="8" t="s">
        <v>2543</v>
      </c>
      <c r="C493" s="7" t="s">
        <v>377</v>
      </c>
      <c r="D493" s="12" t="s">
        <v>21</v>
      </c>
      <c r="E493" s="13" t="s">
        <v>73</v>
      </c>
      <c r="F493" s="8" t="s">
        <v>24</v>
      </c>
      <c r="G493" s="8" t="b">
        <v>0</v>
      </c>
      <c r="H493" s="8" t="s">
        <v>186</v>
      </c>
      <c r="I493" s="8">
        <v>4.0</v>
      </c>
      <c r="J493" s="8">
        <v>0.0</v>
      </c>
      <c r="K493" s="8">
        <v>0.0</v>
      </c>
    </row>
    <row r="494" ht="15.75" customHeight="1">
      <c r="A494" s="7" t="s">
        <v>2545</v>
      </c>
      <c r="C494" s="7" t="s">
        <v>1239</v>
      </c>
      <c r="D494" s="12" t="s">
        <v>554</v>
      </c>
      <c r="E494" s="13" t="s">
        <v>41</v>
      </c>
      <c r="F494" s="8" t="s">
        <v>555</v>
      </c>
      <c r="H494" s="8" t="s">
        <v>1246</v>
      </c>
      <c r="I494" s="8">
        <v>4.0</v>
      </c>
      <c r="J494" s="8">
        <v>0.0</v>
      </c>
      <c r="K494" s="8">
        <v>0.5</v>
      </c>
    </row>
    <row r="495" ht="15.75" customHeight="1">
      <c r="A495" s="7" t="s">
        <v>2547</v>
      </c>
      <c r="C495" s="7" t="s">
        <v>200</v>
      </c>
      <c r="D495" s="12" t="s">
        <v>190</v>
      </c>
      <c r="E495" s="13" t="s">
        <v>190</v>
      </c>
      <c r="F495" s="8" t="s">
        <v>191</v>
      </c>
      <c r="H495" s="8" t="s">
        <v>1246</v>
      </c>
      <c r="I495" s="8">
        <v>4.0</v>
      </c>
      <c r="J495" s="8">
        <v>0.0</v>
      </c>
      <c r="K495" s="8">
        <v>0.0</v>
      </c>
    </row>
    <row r="496" ht="15.75" customHeight="1">
      <c r="A496" s="7" t="s">
        <v>2550</v>
      </c>
      <c r="B496" s="8" t="s">
        <v>2552</v>
      </c>
      <c r="C496" s="7" t="s">
        <v>306</v>
      </c>
      <c r="D496" s="12" t="s">
        <v>39</v>
      </c>
      <c r="E496" s="13" t="s">
        <v>41</v>
      </c>
      <c r="F496" s="8" t="s">
        <v>42</v>
      </c>
      <c r="G496" s="8" t="b">
        <v>0</v>
      </c>
      <c r="H496" s="8" t="s">
        <v>857</v>
      </c>
      <c r="I496" s="8">
        <v>4.0</v>
      </c>
      <c r="J496" s="8">
        <v>0.0</v>
      </c>
      <c r="K496" s="8">
        <v>0.0</v>
      </c>
    </row>
    <row r="497" ht="15.75" customHeight="1">
      <c r="A497" s="7" t="s">
        <v>2554</v>
      </c>
      <c r="B497" s="8" t="s">
        <v>2556</v>
      </c>
      <c r="C497" s="7" t="s">
        <v>1242</v>
      </c>
      <c r="D497" s="12" t="s">
        <v>39</v>
      </c>
      <c r="E497" s="13" t="s">
        <v>41</v>
      </c>
      <c r="F497" s="8" t="s">
        <v>42</v>
      </c>
      <c r="G497" s="8" t="b">
        <v>0</v>
      </c>
      <c r="H497" s="8" t="s">
        <v>2558</v>
      </c>
      <c r="I497" s="8">
        <v>4.0</v>
      </c>
      <c r="J497" s="8">
        <v>0.0</v>
      </c>
      <c r="K497" s="8">
        <v>1.0</v>
      </c>
    </row>
    <row r="498" ht="15.75" customHeight="1">
      <c r="A498" s="7" t="s">
        <v>2559</v>
      </c>
      <c r="B498" s="8" t="s">
        <v>2560</v>
      </c>
      <c r="C498" s="7" t="s">
        <v>1244</v>
      </c>
      <c r="D498" s="12" t="s">
        <v>693</v>
      </c>
      <c r="E498" s="13" t="s">
        <v>41</v>
      </c>
      <c r="F498" s="8" t="s">
        <v>695</v>
      </c>
      <c r="G498" s="8" t="b">
        <v>0</v>
      </c>
      <c r="I498" s="8">
        <v>4.0</v>
      </c>
      <c r="J498" s="8">
        <v>0.0</v>
      </c>
      <c r="K498" s="8">
        <v>1.0</v>
      </c>
    </row>
    <row r="499" ht="15.75" customHeight="1">
      <c r="A499" s="7" t="s">
        <v>2563</v>
      </c>
      <c r="B499" s="8" t="s">
        <v>2565</v>
      </c>
      <c r="C499" s="7" t="s">
        <v>1065</v>
      </c>
      <c r="D499" s="12" t="s">
        <v>39</v>
      </c>
      <c r="E499" s="13" t="s">
        <v>41</v>
      </c>
      <c r="F499" s="8" t="s">
        <v>42</v>
      </c>
      <c r="G499" s="8" t="b">
        <v>0</v>
      </c>
      <c r="H499" s="8" t="s">
        <v>2567</v>
      </c>
      <c r="I499" s="8">
        <v>4.0</v>
      </c>
      <c r="J499" s="8">
        <v>0.0</v>
      </c>
      <c r="K499" s="8">
        <v>1.0</v>
      </c>
    </row>
    <row r="500" ht="15.75" customHeight="1">
      <c r="A500" s="7" t="s">
        <v>2568</v>
      </c>
      <c r="B500" s="8" t="s">
        <v>2570</v>
      </c>
      <c r="C500" s="7" t="s">
        <v>1248</v>
      </c>
      <c r="D500" s="12" t="s">
        <v>766</v>
      </c>
      <c r="E500" s="13" t="s">
        <v>41</v>
      </c>
      <c r="F500" s="8" t="s">
        <v>767</v>
      </c>
      <c r="G500" s="8" t="b">
        <v>0</v>
      </c>
      <c r="I500" s="8">
        <v>4.0</v>
      </c>
      <c r="J500" s="8">
        <v>0.0</v>
      </c>
      <c r="K500" s="8">
        <v>1.5</v>
      </c>
    </row>
    <row r="501" ht="15.75" customHeight="1">
      <c r="A501" s="7" t="s">
        <v>2572</v>
      </c>
      <c r="B501" s="8" t="s">
        <v>2574</v>
      </c>
      <c r="C501" s="7" t="s">
        <v>1250</v>
      </c>
      <c r="D501" s="12" t="s">
        <v>39</v>
      </c>
      <c r="E501" s="13" t="s">
        <v>694</v>
      </c>
      <c r="F501" s="8" t="s">
        <v>42</v>
      </c>
      <c r="G501" s="8" t="b">
        <v>0</v>
      </c>
      <c r="H501" s="8" t="s">
        <v>1252</v>
      </c>
      <c r="I501" s="8">
        <v>4.0</v>
      </c>
      <c r="J501" s="8">
        <v>0.0</v>
      </c>
      <c r="K501" s="8">
        <v>0.0</v>
      </c>
    </row>
    <row r="502" ht="15.75" customHeight="1">
      <c r="A502" s="7" t="s">
        <v>2577</v>
      </c>
      <c r="B502" s="8" t="s">
        <v>2579</v>
      </c>
      <c r="C502" s="7" t="s">
        <v>628</v>
      </c>
      <c r="D502" s="12" t="s">
        <v>21</v>
      </c>
      <c r="E502" s="13" t="s">
        <v>73</v>
      </c>
      <c r="F502" s="8" t="s">
        <v>24</v>
      </c>
      <c r="G502" s="8" t="b">
        <v>0</v>
      </c>
      <c r="H502" s="8" t="s">
        <v>724</v>
      </c>
      <c r="I502" s="8">
        <v>4.0</v>
      </c>
      <c r="J502" s="8">
        <v>0.0</v>
      </c>
      <c r="K502" s="8">
        <v>0.0</v>
      </c>
    </row>
    <row r="503" ht="15.75" customHeight="1">
      <c r="A503" s="7" t="s">
        <v>2581</v>
      </c>
      <c r="B503" s="8" t="s">
        <v>2583</v>
      </c>
      <c r="C503" s="7" t="s">
        <v>1226</v>
      </c>
      <c r="D503" s="12" t="s">
        <v>766</v>
      </c>
      <c r="E503" s="13" t="s">
        <v>22</v>
      </c>
      <c r="F503" s="8" t="s">
        <v>767</v>
      </c>
      <c r="G503" s="8" t="b">
        <v>0</v>
      </c>
      <c r="H503" s="8" t="s">
        <v>2585</v>
      </c>
      <c r="I503" s="8">
        <v>4.0</v>
      </c>
      <c r="J503" s="8">
        <v>0.0</v>
      </c>
      <c r="K503" s="8">
        <v>1.25</v>
      </c>
    </row>
    <row r="504" ht="15.75" customHeight="1">
      <c r="A504" s="7" t="s">
        <v>2586</v>
      </c>
      <c r="B504" s="8" t="s">
        <v>2588</v>
      </c>
      <c r="C504" s="7" t="s">
        <v>1254</v>
      </c>
      <c r="D504" s="12" t="s">
        <v>39</v>
      </c>
      <c r="E504" s="13" t="s">
        <v>753</v>
      </c>
      <c r="F504" s="8" t="s">
        <v>42</v>
      </c>
      <c r="G504" s="8" t="b">
        <v>0</v>
      </c>
      <c r="H504" s="8" t="s">
        <v>2590</v>
      </c>
      <c r="I504" s="8">
        <v>4.0</v>
      </c>
      <c r="J504" s="8">
        <v>0.0</v>
      </c>
      <c r="K504" s="8">
        <v>0.0</v>
      </c>
    </row>
    <row r="505" ht="15.75" customHeight="1">
      <c r="A505" s="7" t="s">
        <v>2591</v>
      </c>
      <c r="B505" s="8" t="s">
        <v>2593</v>
      </c>
      <c r="C505" s="7" t="s">
        <v>757</v>
      </c>
      <c r="D505" s="12" t="s">
        <v>104</v>
      </c>
      <c r="E505" s="13" t="s">
        <v>753</v>
      </c>
      <c r="F505" s="8" t="s">
        <v>106</v>
      </c>
      <c r="G505" s="8" t="b">
        <v>0</v>
      </c>
      <c r="H505" s="8" t="s">
        <v>2594</v>
      </c>
      <c r="I505" s="8">
        <v>4.0</v>
      </c>
      <c r="J505" s="8">
        <v>0.0</v>
      </c>
      <c r="K505" s="8">
        <v>0.0</v>
      </c>
    </row>
    <row r="506" ht="15.75" customHeight="1">
      <c r="A506" s="7" t="s">
        <v>2596</v>
      </c>
      <c r="B506" s="8" t="s">
        <v>2597</v>
      </c>
      <c r="C506" s="7" t="s">
        <v>757</v>
      </c>
      <c r="D506" s="12" t="s">
        <v>39</v>
      </c>
      <c r="E506" s="13" t="s">
        <v>753</v>
      </c>
      <c r="F506" s="8" t="s">
        <v>42</v>
      </c>
      <c r="G506" s="8" t="b">
        <v>0</v>
      </c>
      <c r="H506" s="8" t="s">
        <v>2598</v>
      </c>
      <c r="I506" s="8">
        <v>4.0</v>
      </c>
      <c r="J506" s="8">
        <v>0.0</v>
      </c>
      <c r="K506" s="8">
        <v>0.5</v>
      </c>
    </row>
    <row r="507" ht="15.75" customHeight="1">
      <c r="A507" s="7" t="s">
        <v>2600</v>
      </c>
      <c r="B507" s="8" t="s">
        <v>2601</v>
      </c>
      <c r="C507" s="7" t="s">
        <v>1261</v>
      </c>
      <c r="D507" s="12" t="s">
        <v>39</v>
      </c>
      <c r="E507" s="13" t="s">
        <v>41</v>
      </c>
      <c r="F507" s="8" t="s">
        <v>42</v>
      </c>
      <c r="G507" s="8" t="b">
        <v>0</v>
      </c>
      <c r="H507" s="8" t="s">
        <v>2604</v>
      </c>
      <c r="I507" s="8">
        <v>4.0</v>
      </c>
      <c r="J507" s="8">
        <v>0.0</v>
      </c>
      <c r="K507" s="8">
        <v>0.5</v>
      </c>
    </row>
    <row r="508" ht="15.75" customHeight="1">
      <c r="A508" s="7" t="s">
        <v>2605</v>
      </c>
      <c r="B508" s="8" t="s">
        <v>2607</v>
      </c>
      <c r="C508" s="7" t="s">
        <v>1265</v>
      </c>
      <c r="D508" s="12" t="s">
        <v>39</v>
      </c>
      <c r="E508" s="13" t="s">
        <v>41</v>
      </c>
      <c r="F508" s="8" t="s">
        <v>42</v>
      </c>
      <c r="G508" s="8" t="b">
        <v>0</v>
      </c>
      <c r="H508" s="8" t="s">
        <v>2609</v>
      </c>
      <c r="I508" s="8">
        <v>4.0</v>
      </c>
      <c r="J508" s="8">
        <v>0.0</v>
      </c>
      <c r="K508" s="8">
        <v>0.5</v>
      </c>
    </row>
    <row r="509" ht="15.75" customHeight="1">
      <c r="A509" s="7" t="s">
        <v>2610</v>
      </c>
      <c r="B509" s="8" t="s">
        <v>2612</v>
      </c>
      <c r="C509" s="7" t="s">
        <v>15</v>
      </c>
      <c r="D509" s="12" t="s">
        <v>21</v>
      </c>
      <c r="E509" s="13" t="s">
        <v>22</v>
      </c>
      <c r="F509" s="8" t="s">
        <v>24</v>
      </c>
      <c r="G509" s="8" t="b">
        <v>0</v>
      </c>
      <c r="H509" s="8" t="s">
        <v>2613</v>
      </c>
      <c r="I509" s="8">
        <v>4.0</v>
      </c>
      <c r="J509" s="8">
        <v>0.0</v>
      </c>
      <c r="K509" s="8">
        <v>0.0</v>
      </c>
    </row>
    <row r="510" ht="15.75" customHeight="1">
      <c r="A510" s="7" t="s">
        <v>2615</v>
      </c>
      <c r="B510" s="8" t="s">
        <v>2617</v>
      </c>
      <c r="C510" s="7" t="s">
        <v>15</v>
      </c>
      <c r="D510" s="12" t="s">
        <v>72</v>
      </c>
      <c r="E510" s="13" t="s">
        <v>22</v>
      </c>
      <c r="F510" s="8" t="s">
        <v>74</v>
      </c>
      <c r="G510" s="8" t="b">
        <v>0</v>
      </c>
      <c r="H510" s="8" t="s">
        <v>186</v>
      </c>
      <c r="I510" s="8">
        <v>4.0</v>
      </c>
      <c r="J510" s="8">
        <v>0.0</v>
      </c>
      <c r="K510" s="8">
        <v>0.0</v>
      </c>
    </row>
    <row r="511" ht="15.75" customHeight="1">
      <c r="A511" s="7" t="s">
        <v>2619</v>
      </c>
      <c r="B511" s="8" t="s">
        <v>2620</v>
      </c>
      <c r="C511" s="7" t="s">
        <v>161</v>
      </c>
      <c r="D511" s="12" t="s">
        <v>39</v>
      </c>
      <c r="E511" s="13" t="s">
        <v>22</v>
      </c>
      <c r="F511" s="8" t="s">
        <v>42</v>
      </c>
      <c r="G511" s="8" t="b">
        <v>0</v>
      </c>
      <c r="H511" s="8" t="s">
        <v>2622</v>
      </c>
      <c r="I511" s="8">
        <v>4.0</v>
      </c>
      <c r="J511" s="8">
        <v>0.0</v>
      </c>
      <c r="K511" s="8">
        <v>0.25</v>
      </c>
    </row>
    <row r="512" ht="15.75" customHeight="1">
      <c r="A512" s="7" t="s">
        <v>2623</v>
      </c>
      <c r="B512" s="8" t="s">
        <v>2627</v>
      </c>
      <c r="C512" s="7" t="s">
        <v>1008</v>
      </c>
      <c r="D512" s="12" t="s">
        <v>39</v>
      </c>
      <c r="E512" s="13" t="s">
        <v>753</v>
      </c>
      <c r="F512" s="8" t="s">
        <v>42</v>
      </c>
      <c r="G512" s="8" t="b">
        <v>0</v>
      </c>
      <c r="H512" s="8" t="s">
        <v>2629</v>
      </c>
      <c r="I512" s="8">
        <v>4.0</v>
      </c>
      <c r="J512" s="8">
        <v>0.0</v>
      </c>
      <c r="K512" s="8">
        <v>1.5</v>
      </c>
    </row>
    <row r="513" ht="15.75" customHeight="1">
      <c r="A513" s="7" t="s">
        <v>2630</v>
      </c>
      <c r="B513" s="8" t="s">
        <v>2632</v>
      </c>
      <c r="C513" s="7" t="s">
        <v>1269</v>
      </c>
      <c r="D513" s="12" t="s">
        <v>39</v>
      </c>
      <c r="E513" s="13" t="s">
        <v>41</v>
      </c>
      <c r="F513" s="8" t="s">
        <v>42</v>
      </c>
      <c r="G513" s="8" t="b">
        <v>0</v>
      </c>
      <c r="H513" s="8" t="s">
        <v>2635</v>
      </c>
      <c r="I513" s="8">
        <v>4.0</v>
      </c>
      <c r="J513" s="8">
        <v>0.0</v>
      </c>
      <c r="K513" s="8">
        <v>0.0</v>
      </c>
    </row>
    <row r="514" ht="15.75" customHeight="1">
      <c r="A514" s="7" t="s">
        <v>2636</v>
      </c>
      <c r="B514" s="8" t="s">
        <v>2638</v>
      </c>
      <c r="C514" s="7" t="s">
        <v>876</v>
      </c>
      <c r="D514" s="12" t="s">
        <v>39</v>
      </c>
      <c r="E514" s="13" t="s">
        <v>41</v>
      </c>
      <c r="F514" s="8" t="s">
        <v>42</v>
      </c>
      <c r="G514" s="8" t="b">
        <v>0</v>
      </c>
      <c r="H514" s="8" t="s">
        <v>2640</v>
      </c>
      <c r="I514" s="8">
        <v>4.0</v>
      </c>
      <c r="J514" s="8">
        <v>0.0</v>
      </c>
      <c r="K514" s="8">
        <v>0.0</v>
      </c>
    </row>
    <row r="515" ht="15.75" customHeight="1">
      <c r="A515" s="7" t="s">
        <v>2641</v>
      </c>
      <c r="B515" s="8" t="s">
        <v>2643</v>
      </c>
      <c r="C515" s="7" t="s">
        <v>876</v>
      </c>
      <c r="D515" s="12" t="s">
        <v>39</v>
      </c>
      <c r="E515" s="13" t="s">
        <v>41</v>
      </c>
      <c r="F515" s="8" t="s">
        <v>42</v>
      </c>
      <c r="G515" s="8" t="b">
        <v>0</v>
      </c>
      <c r="H515" s="8" t="s">
        <v>2644</v>
      </c>
      <c r="I515" s="8">
        <v>4.0</v>
      </c>
      <c r="J515" s="8">
        <v>0.0</v>
      </c>
      <c r="K515" s="8">
        <v>0.0</v>
      </c>
    </row>
    <row r="516" ht="15.75" customHeight="1">
      <c r="A516" s="7" t="s">
        <v>2646</v>
      </c>
      <c r="B516" s="8" t="s">
        <v>2647</v>
      </c>
      <c r="C516" s="7" t="s">
        <v>26</v>
      </c>
      <c r="D516" s="12" t="s">
        <v>39</v>
      </c>
      <c r="E516" s="13" t="s">
        <v>41</v>
      </c>
      <c r="F516" s="8" t="s">
        <v>42</v>
      </c>
      <c r="G516" s="8" t="b">
        <v>0</v>
      </c>
      <c r="H516" s="8" t="s">
        <v>2649</v>
      </c>
      <c r="I516" s="8">
        <v>4.0</v>
      </c>
      <c r="J516" s="8">
        <v>0.0</v>
      </c>
      <c r="K516" s="8">
        <v>0.75</v>
      </c>
    </row>
    <row r="517" ht="15.75" customHeight="1">
      <c r="A517" s="7" t="s">
        <v>2650</v>
      </c>
      <c r="B517" s="8" t="s">
        <v>2651</v>
      </c>
      <c r="C517" s="7" t="s">
        <v>1272</v>
      </c>
      <c r="D517" s="12" t="s">
        <v>21</v>
      </c>
      <c r="E517" s="13" t="s">
        <v>753</v>
      </c>
      <c r="F517" s="8" t="s">
        <v>24</v>
      </c>
      <c r="G517" s="8" t="b">
        <v>0</v>
      </c>
      <c r="H517" s="8" t="s">
        <v>2653</v>
      </c>
      <c r="I517" s="8">
        <v>4.0</v>
      </c>
      <c r="J517" s="8">
        <v>0.0</v>
      </c>
      <c r="K517" s="8">
        <v>1.5</v>
      </c>
    </row>
    <row r="518" ht="15.75" customHeight="1">
      <c r="A518" s="7" t="s">
        <v>2655</v>
      </c>
      <c r="B518" s="8" t="s">
        <v>2658</v>
      </c>
      <c r="C518" s="7" t="s">
        <v>46</v>
      </c>
      <c r="D518" s="12" t="s">
        <v>21</v>
      </c>
      <c r="E518" s="13" t="s">
        <v>73</v>
      </c>
      <c r="F518" s="8" t="s">
        <v>24</v>
      </c>
      <c r="G518" s="8" t="b">
        <v>0</v>
      </c>
      <c r="H518" s="8" t="s">
        <v>2660</v>
      </c>
      <c r="I518" s="8">
        <v>4.0</v>
      </c>
      <c r="J518" s="8">
        <v>0.0</v>
      </c>
      <c r="K518" s="8">
        <v>1.0</v>
      </c>
    </row>
    <row r="519" ht="15.75" customHeight="1">
      <c r="A519" s="7" t="s">
        <v>2661</v>
      </c>
      <c r="B519" s="8" t="s">
        <v>2662</v>
      </c>
      <c r="C519" s="7" t="s">
        <v>880</v>
      </c>
      <c r="D519" s="12" t="s">
        <v>39</v>
      </c>
      <c r="E519" s="13" t="s">
        <v>76</v>
      </c>
      <c r="F519" s="8" t="s">
        <v>42</v>
      </c>
      <c r="G519" s="8" t="b">
        <v>0</v>
      </c>
      <c r="I519" s="8">
        <v>4.0</v>
      </c>
      <c r="J519" s="8">
        <v>0.0</v>
      </c>
      <c r="K519" s="8">
        <v>0.0</v>
      </c>
    </row>
    <row r="520" ht="15.75" customHeight="1">
      <c r="A520" s="7" t="s">
        <v>2665</v>
      </c>
      <c r="B520" s="8" t="s">
        <v>2669</v>
      </c>
      <c r="C520" s="7" t="s">
        <v>880</v>
      </c>
      <c r="D520" s="12" t="s">
        <v>39</v>
      </c>
      <c r="E520" s="13" t="s">
        <v>76</v>
      </c>
      <c r="F520" s="8" t="s">
        <v>42</v>
      </c>
      <c r="G520" s="8" t="b">
        <v>0</v>
      </c>
      <c r="I520" s="8">
        <v>4.0</v>
      </c>
      <c r="J520" s="8">
        <v>0.0</v>
      </c>
      <c r="K520" s="8">
        <v>0.0</v>
      </c>
    </row>
    <row r="521" ht="15.75" customHeight="1">
      <c r="A521" s="7" t="s">
        <v>2670</v>
      </c>
      <c r="B521" s="8" t="s">
        <v>2672</v>
      </c>
      <c r="C521" s="7" t="s">
        <v>1049</v>
      </c>
      <c r="D521" s="12" t="s">
        <v>39</v>
      </c>
      <c r="E521" s="13" t="s">
        <v>41</v>
      </c>
      <c r="F521" s="8" t="s">
        <v>42</v>
      </c>
      <c r="G521" s="8" t="b">
        <v>0</v>
      </c>
      <c r="H521" s="8" t="s">
        <v>2674</v>
      </c>
      <c r="I521" s="8">
        <v>4.0</v>
      </c>
      <c r="J521" s="8">
        <v>0.0</v>
      </c>
      <c r="K521" s="8">
        <v>0.25</v>
      </c>
    </row>
    <row r="522" ht="15.75" customHeight="1">
      <c r="A522" s="7" t="s">
        <v>2676</v>
      </c>
      <c r="B522" s="8" t="s">
        <v>2679</v>
      </c>
      <c r="C522" s="7" t="s">
        <v>52</v>
      </c>
      <c r="D522" s="12" t="s">
        <v>766</v>
      </c>
      <c r="E522" s="13" t="s">
        <v>22</v>
      </c>
      <c r="F522" s="8" t="s">
        <v>767</v>
      </c>
      <c r="G522" s="8" t="b">
        <v>0</v>
      </c>
      <c r="H522" s="8" t="s">
        <v>2680</v>
      </c>
      <c r="I522" s="8">
        <v>4.0</v>
      </c>
      <c r="J522" s="8">
        <v>0.0</v>
      </c>
      <c r="K522" s="8">
        <v>1.25</v>
      </c>
    </row>
    <row r="523" ht="15.75" customHeight="1">
      <c r="A523" s="7" t="s">
        <v>2681</v>
      </c>
      <c r="B523" s="8" t="s">
        <v>2684</v>
      </c>
      <c r="C523" s="7" t="s">
        <v>52</v>
      </c>
      <c r="D523" s="12" t="s">
        <v>39</v>
      </c>
      <c r="E523" s="13" t="s">
        <v>22</v>
      </c>
      <c r="F523" s="8" t="s">
        <v>42</v>
      </c>
      <c r="G523" s="8" t="b">
        <v>0</v>
      </c>
      <c r="H523" s="8" t="s">
        <v>2685</v>
      </c>
      <c r="I523" s="8">
        <v>4.0</v>
      </c>
      <c r="J523" s="8">
        <v>0.0</v>
      </c>
      <c r="K523" s="8">
        <v>0.5</v>
      </c>
    </row>
    <row r="524" ht="15.75" customHeight="1">
      <c r="A524" s="7" t="s">
        <v>2686</v>
      </c>
      <c r="B524" s="8" t="s">
        <v>2688</v>
      </c>
      <c r="C524" s="7" t="s">
        <v>99</v>
      </c>
      <c r="D524" s="12" t="s">
        <v>72</v>
      </c>
      <c r="E524" s="13" t="s">
        <v>76</v>
      </c>
      <c r="F524" s="8" t="s">
        <v>74</v>
      </c>
      <c r="G524" s="8" t="b">
        <v>0</v>
      </c>
      <c r="H524" s="8" t="s">
        <v>186</v>
      </c>
      <c r="I524" s="8">
        <v>4.0</v>
      </c>
      <c r="J524" s="8">
        <v>0.0</v>
      </c>
      <c r="K524" s="8">
        <v>0.0</v>
      </c>
    </row>
    <row r="525" ht="15.75" customHeight="1">
      <c r="A525" s="7" t="s">
        <v>2689</v>
      </c>
      <c r="B525" s="8" t="s">
        <v>2691</v>
      </c>
      <c r="C525" s="7" t="s">
        <v>416</v>
      </c>
      <c r="D525" s="12" t="s">
        <v>39</v>
      </c>
      <c r="E525" s="13" t="s">
        <v>41</v>
      </c>
      <c r="F525" s="8" t="s">
        <v>42</v>
      </c>
      <c r="G525" s="8" t="b">
        <v>0</v>
      </c>
      <c r="H525" s="8" t="s">
        <v>2692</v>
      </c>
      <c r="I525" s="8">
        <v>4.0</v>
      </c>
      <c r="J525" s="8">
        <v>0.0</v>
      </c>
      <c r="K525" s="8">
        <v>0.5</v>
      </c>
    </row>
    <row r="526" ht="15.75" customHeight="1">
      <c r="A526" s="7" t="s">
        <v>2693</v>
      </c>
      <c r="B526" s="8" t="s">
        <v>2696</v>
      </c>
      <c r="C526" s="7" t="s">
        <v>1167</v>
      </c>
      <c r="D526" s="12" t="s">
        <v>39</v>
      </c>
      <c r="E526" s="13" t="s">
        <v>753</v>
      </c>
      <c r="F526" s="8" t="s">
        <v>42</v>
      </c>
      <c r="G526" s="8" t="b">
        <v>0</v>
      </c>
      <c r="H526" s="8" t="s">
        <v>2698</v>
      </c>
      <c r="I526" s="8">
        <v>4.0</v>
      </c>
      <c r="J526" s="8">
        <v>0.0</v>
      </c>
      <c r="K526" s="8">
        <v>0.0</v>
      </c>
    </row>
    <row r="527" ht="15.75" customHeight="1">
      <c r="A527" s="7" t="s">
        <v>2700</v>
      </c>
      <c r="B527" s="8" t="s">
        <v>2701</v>
      </c>
      <c r="C527" s="7" t="s">
        <v>458</v>
      </c>
      <c r="D527" s="12" t="s">
        <v>39</v>
      </c>
      <c r="E527" s="13" t="s">
        <v>22</v>
      </c>
      <c r="F527" s="8" t="s">
        <v>42</v>
      </c>
      <c r="G527" s="8" t="b">
        <v>0</v>
      </c>
      <c r="H527" s="8" t="s">
        <v>2703</v>
      </c>
      <c r="I527" s="8">
        <v>4.0</v>
      </c>
      <c r="J527" s="8">
        <v>0.0</v>
      </c>
      <c r="K527" s="8">
        <v>0.75</v>
      </c>
    </row>
    <row r="528" ht="15.75" customHeight="1">
      <c r="A528" s="7" t="s">
        <v>2704</v>
      </c>
      <c r="B528" s="8" t="s">
        <v>2705</v>
      </c>
      <c r="C528" s="7" t="s">
        <v>1290</v>
      </c>
      <c r="D528" s="12" t="s">
        <v>190</v>
      </c>
      <c r="E528" s="13" t="s">
        <v>41</v>
      </c>
      <c r="F528" s="8" t="s">
        <v>191</v>
      </c>
      <c r="G528" s="8" t="b">
        <v>0</v>
      </c>
      <c r="I528" s="8">
        <v>4.0</v>
      </c>
      <c r="J528" s="8">
        <v>0.0</v>
      </c>
      <c r="K528" s="8">
        <v>0.75</v>
      </c>
    </row>
    <row r="529" ht="15.75" customHeight="1">
      <c r="A529" s="7" t="s">
        <v>2707</v>
      </c>
      <c r="B529" s="8" t="s">
        <v>2709</v>
      </c>
      <c r="C529" s="7" t="s">
        <v>474</v>
      </c>
      <c r="D529" s="12" t="s">
        <v>39</v>
      </c>
      <c r="E529" s="13" t="s">
        <v>41</v>
      </c>
      <c r="F529" s="8" t="s">
        <v>42</v>
      </c>
      <c r="G529" s="8" t="b">
        <v>0</v>
      </c>
      <c r="H529" s="8" t="s">
        <v>2710</v>
      </c>
      <c r="I529" s="8">
        <v>4.0</v>
      </c>
      <c r="J529" s="8">
        <v>0.0</v>
      </c>
      <c r="K529" s="8">
        <v>0.25</v>
      </c>
    </row>
    <row r="530" ht="15.75" customHeight="1">
      <c r="A530" s="7" t="s">
        <v>2712</v>
      </c>
      <c r="B530" s="8" t="s">
        <v>2714</v>
      </c>
      <c r="C530" s="7" t="s">
        <v>929</v>
      </c>
      <c r="D530" s="12" t="s">
        <v>39</v>
      </c>
      <c r="E530" s="13" t="s">
        <v>41</v>
      </c>
      <c r="F530" s="8" t="s">
        <v>42</v>
      </c>
      <c r="G530" s="8" t="b">
        <v>0</v>
      </c>
      <c r="H530" s="8" t="s">
        <v>2716</v>
      </c>
      <c r="I530" s="8">
        <v>4.0</v>
      </c>
      <c r="J530" s="8">
        <v>0.0</v>
      </c>
      <c r="K530" s="8">
        <v>0.75</v>
      </c>
    </row>
    <row r="531" ht="15.75" customHeight="1">
      <c r="A531" s="7" t="s">
        <v>2717</v>
      </c>
      <c r="B531" s="8" t="s">
        <v>2719</v>
      </c>
      <c r="C531" s="7" t="s">
        <v>1293</v>
      </c>
      <c r="D531" s="12" t="s">
        <v>39</v>
      </c>
      <c r="E531" s="13" t="s">
        <v>41</v>
      </c>
      <c r="F531" s="8" t="s">
        <v>42</v>
      </c>
      <c r="G531" s="8" t="b">
        <v>0</v>
      </c>
      <c r="H531" s="8" t="s">
        <v>2721</v>
      </c>
      <c r="I531" s="8">
        <v>4.0</v>
      </c>
      <c r="J531" s="8">
        <v>0.0</v>
      </c>
      <c r="K531" s="8">
        <v>0.0</v>
      </c>
    </row>
    <row r="532" ht="15.75" customHeight="1">
      <c r="A532" s="7" t="s">
        <v>2723</v>
      </c>
      <c r="B532" s="8" t="s">
        <v>2724</v>
      </c>
      <c r="C532" s="7" t="s">
        <v>123</v>
      </c>
      <c r="D532" s="12" t="s">
        <v>39</v>
      </c>
      <c r="E532" s="13" t="s">
        <v>76</v>
      </c>
      <c r="F532" s="8" t="s">
        <v>42</v>
      </c>
      <c r="G532" s="8" t="b">
        <v>0</v>
      </c>
      <c r="H532" s="8" t="s">
        <v>2726</v>
      </c>
      <c r="I532" s="8">
        <v>4.0</v>
      </c>
      <c r="J532" s="8">
        <v>0.0</v>
      </c>
      <c r="K532" s="8">
        <v>0.0</v>
      </c>
    </row>
    <row r="533" ht="15.75" customHeight="1">
      <c r="A533" s="7" t="s">
        <v>2727</v>
      </c>
      <c r="B533" s="8" t="s">
        <v>2728</v>
      </c>
      <c r="C533" s="7" t="s">
        <v>200</v>
      </c>
      <c r="D533" s="12" t="s">
        <v>21</v>
      </c>
      <c r="E533" s="13" t="s">
        <v>190</v>
      </c>
      <c r="F533" s="8" t="s">
        <v>24</v>
      </c>
      <c r="G533" s="8" t="b">
        <v>0</v>
      </c>
      <c r="I533" s="8">
        <v>4.0</v>
      </c>
      <c r="J533" s="8">
        <v>0.0</v>
      </c>
      <c r="K533" s="8">
        <v>0.0</v>
      </c>
    </row>
    <row r="534" ht="15.75" customHeight="1">
      <c r="A534" s="7" t="s">
        <v>2730</v>
      </c>
      <c r="B534" s="8" t="s">
        <v>2732</v>
      </c>
      <c r="C534" s="7" t="s">
        <v>85</v>
      </c>
      <c r="D534" s="12" t="s">
        <v>693</v>
      </c>
      <c r="E534" s="13" t="s">
        <v>22</v>
      </c>
      <c r="F534" s="8" t="s">
        <v>695</v>
      </c>
      <c r="G534" s="8" t="b">
        <v>0</v>
      </c>
      <c r="H534" s="8" t="s">
        <v>498</v>
      </c>
      <c r="I534" s="8">
        <v>4.0</v>
      </c>
      <c r="J534" s="8">
        <v>0.0</v>
      </c>
      <c r="K534" s="8">
        <v>1.25</v>
      </c>
    </row>
    <row r="535" ht="15.75" customHeight="1">
      <c r="A535" s="7" t="s">
        <v>2733</v>
      </c>
      <c r="B535" s="8" t="s">
        <v>2735</v>
      </c>
      <c r="C535" s="7" t="s">
        <v>963</v>
      </c>
      <c r="D535" s="12" t="s">
        <v>39</v>
      </c>
      <c r="E535" s="13" t="s">
        <v>41</v>
      </c>
      <c r="F535" s="8" t="s">
        <v>42</v>
      </c>
      <c r="G535" s="8" t="b">
        <v>0</v>
      </c>
      <c r="H535" s="8" t="s">
        <v>2737</v>
      </c>
      <c r="I535" s="8">
        <v>4.0</v>
      </c>
      <c r="J535" s="8">
        <v>0.0</v>
      </c>
      <c r="K535" s="8">
        <v>0.0</v>
      </c>
    </row>
    <row r="536" ht="15.75" customHeight="1">
      <c r="A536" s="7" t="s">
        <v>2739</v>
      </c>
      <c r="B536" s="8" t="s">
        <v>2735</v>
      </c>
      <c r="C536" s="7" t="s">
        <v>963</v>
      </c>
      <c r="D536" s="12" t="s">
        <v>39</v>
      </c>
      <c r="E536" s="13" t="s">
        <v>41</v>
      </c>
      <c r="F536" s="8" t="s">
        <v>42</v>
      </c>
      <c r="G536" s="8" t="b">
        <v>0</v>
      </c>
      <c r="H536" s="8" t="s">
        <v>2737</v>
      </c>
      <c r="I536" s="8">
        <v>4.0</v>
      </c>
      <c r="J536" s="8">
        <v>0.0</v>
      </c>
      <c r="K536" s="8">
        <v>0.0</v>
      </c>
    </row>
    <row r="537" ht="15.75" customHeight="1">
      <c r="A537" s="7" t="s">
        <v>2742</v>
      </c>
      <c r="B537" s="8" t="s">
        <v>2744</v>
      </c>
      <c r="C537" s="7" t="s">
        <v>1300</v>
      </c>
      <c r="D537" s="12" t="s">
        <v>766</v>
      </c>
      <c r="E537" s="13" t="s">
        <v>41</v>
      </c>
      <c r="F537" s="8" t="s">
        <v>767</v>
      </c>
      <c r="G537" s="8" t="b">
        <v>0</v>
      </c>
      <c r="I537" s="8">
        <v>4.0</v>
      </c>
      <c r="J537" s="8">
        <v>0.0</v>
      </c>
      <c r="K537" s="8">
        <v>0.5</v>
      </c>
    </row>
    <row r="538" ht="15.75" customHeight="1">
      <c r="A538" s="7" t="s">
        <v>2746</v>
      </c>
      <c r="B538" s="8" t="s">
        <v>2748</v>
      </c>
      <c r="C538" s="7" t="s">
        <v>1302</v>
      </c>
      <c r="D538" s="12" t="s">
        <v>39</v>
      </c>
      <c r="E538" s="13" t="s">
        <v>41</v>
      </c>
      <c r="F538" s="8" t="s">
        <v>42</v>
      </c>
      <c r="G538" s="8" t="b">
        <v>0</v>
      </c>
      <c r="H538" s="8" t="s">
        <v>2749</v>
      </c>
      <c r="I538" s="8">
        <v>4.0</v>
      </c>
      <c r="J538" s="8">
        <v>0.0</v>
      </c>
      <c r="K538" s="8">
        <v>0.25</v>
      </c>
    </row>
    <row r="539" ht="15.75" customHeight="1">
      <c r="A539" s="7" t="s">
        <v>2751</v>
      </c>
      <c r="B539" s="8" t="s">
        <v>2753</v>
      </c>
      <c r="C539" s="8" t="s">
        <v>1211</v>
      </c>
      <c r="D539" s="12" t="s">
        <v>39</v>
      </c>
      <c r="E539" s="13" t="s">
        <v>41</v>
      </c>
      <c r="F539" s="8" t="s">
        <v>42</v>
      </c>
      <c r="G539" s="8" t="b">
        <v>0</v>
      </c>
      <c r="H539" s="8" t="s">
        <v>2754</v>
      </c>
      <c r="I539" s="8">
        <v>4.0</v>
      </c>
      <c r="J539" s="8">
        <v>0.0</v>
      </c>
      <c r="K539" s="8">
        <v>2.5</v>
      </c>
    </row>
    <row r="540" ht="15.75" customHeight="1">
      <c r="A540" s="7" t="s">
        <v>2756</v>
      </c>
      <c r="B540" s="8" t="s">
        <v>2758</v>
      </c>
      <c r="C540" s="7" t="s">
        <v>382</v>
      </c>
      <c r="D540" s="12" t="s">
        <v>39</v>
      </c>
      <c r="E540" s="13" t="s">
        <v>41</v>
      </c>
      <c r="F540" s="8" t="s">
        <v>42</v>
      </c>
      <c r="G540" s="8" t="b">
        <v>0</v>
      </c>
      <c r="H540" s="8" t="s">
        <v>2760</v>
      </c>
      <c r="I540" s="8">
        <v>4.0</v>
      </c>
      <c r="J540" s="8">
        <v>0.0</v>
      </c>
      <c r="K540" s="8">
        <v>1.5</v>
      </c>
    </row>
    <row r="541" ht="15.75" customHeight="1">
      <c r="A541" s="7" t="s">
        <v>2761</v>
      </c>
      <c r="B541" s="8" t="s">
        <v>2763</v>
      </c>
      <c r="C541" s="7" t="s">
        <v>1307</v>
      </c>
      <c r="D541" s="12" t="s">
        <v>39</v>
      </c>
      <c r="E541" s="13" t="s">
        <v>41</v>
      </c>
      <c r="F541" s="8" t="s">
        <v>42</v>
      </c>
      <c r="G541" s="8" t="b">
        <v>0</v>
      </c>
      <c r="H541" s="8" t="s">
        <v>2765</v>
      </c>
      <c r="I541" s="8">
        <v>4.0</v>
      </c>
      <c r="J541" s="8">
        <v>0.0</v>
      </c>
      <c r="K541" s="8">
        <v>0.0</v>
      </c>
    </row>
    <row r="542" ht="15.75" customHeight="1">
      <c r="A542" s="7" t="s">
        <v>2766</v>
      </c>
      <c r="B542" s="8" t="s">
        <v>2768</v>
      </c>
      <c r="C542" s="7" t="s">
        <v>692</v>
      </c>
      <c r="D542" s="12" t="s">
        <v>766</v>
      </c>
      <c r="E542" s="13" t="s">
        <v>41</v>
      </c>
      <c r="F542" s="8" t="s">
        <v>767</v>
      </c>
      <c r="G542" s="8" t="b">
        <v>0</v>
      </c>
      <c r="H542" s="8" t="s">
        <v>1044</v>
      </c>
      <c r="I542" s="8">
        <v>4.0</v>
      </c>
      <c r="J542" s="8">
        <v>0.0</v>
      </c>
      <c r="K542" s="8">
        <v>2.25</v>
      </c>
    </row>
    <row r="543" ht="15.75" customHeight="1">
      <c r="A543" s="7" t="s">
        <v>2769</v>
      </c>
      <c r="B543" s="8" t="s">
        <v>2771</v>
      </c>
      <c r="C543" s="7" t="s">
        <v>1052</v>
      </c>
      <c r="D543" s="12" t="s">
        <v>39</v>
      </c>
      <c r="E543" s="13" t="s">
        <v>41</v>
      </c>
      <c r="F543" s="8" t="s">
        <v>42</v>
      </c>
      <c r="G543" s="8" t="b">
        <v>0</v>
      </c>
      <c r="H543" s="8" t="s">
        <v>2772</v>
      </c>
      <c r="I543" s="8">
        <v>4.0</v>
      </c>
      <c r="J543" s="8">
        <v>0.0</v>
      </c>
      <c r="K543" s="8">
        <v>0.5</v>
      </c>
    </row>
    <row r="544" ht="15.75" customHeight="1">
      <c r="A544" s="7" t="s">
        <v>2773</v>
      </c>
      <c r="B544" s="8" t="s">
        <v>2775</v>
      </c>
      <c r="C544" s="7" t="s">
        <v>1311</v>
      </c>
      <c r="D544" s="12" t="s">
        <v>104</v>
      </c>
      <c r="E544" s="13" t="s">
        <v>41</v>
      </c>
      <c r="F544" s="8" t="s">
        <v>106</v>
      </c>
      <c r="G544" s="8" t="b">
        <v>0</v>
      </c>
      <c r="H544" s="8" t="s">
        <v>2776</v>
      </c>
      <c r="I544" s="8">
        <v>4.0</v>
      </c>
      <c r="J544" s="8">
        <v>0.0</v>
      </c>
      <c r="K544" s="8">
        <v>0.25</v>
      </c>
    </row>
    <row r="545" ht="15.75" customHeight="1">
      <c r="A545" s="7" t="s">
        <v>2778</v>
      </c>
      <c r="C545" s="7" t="s">
        <v>1113</v>
      </c>
      <c r="D545" s="12" t="s">
        <v>190</v>
      </c>
      <c r="E545" s="13" t="s">
        <v>76</v>
      </c>
      <c r="F545" s="8" t="s">
        <v>191</v>
      </c>
      <c r="H545" s="8" t="s">
        <v>1246</v>
      </c>
      <c r="I545" s="8">
        <v>4.0</v>
      </c>
      <c r="J545" s="8">
        <v>0.0</v>
      </c>
      <c r="K545" s="8">
        <v>1.25</v>
      </c>
    </row>
    <row r="546" ht="15.75" customHeight="1">
      <c r="A546" s="7" t="s">
        <v>2780</v>
      </c>
      <c r="B546" s="8" t="s">
        <v>2782</v>
      </c>
      <c r="C546" s="7" t="s">
        <v>71</v>
      </c>
      <c r="D546" s="12" t="s">
        <v>1425</v>
      </c>
      <c r="E546" s="13" t="s">
        <v>76</v>
      </c>
      <c r="F546" s="8" t="s">
        <v>1426</v>
      </c>
      <c r="G546" s="8" t="b">
        <v>0</v>
      </c>
      <c r="H546" s="8" t="s">
        <v>2783</v>
      </c>
      <c r="I546" s="8">
        <v>4.0</v>
      </c>
      <c r="J546" s="8">
        <v>0.0</v>
      </c>
      <c r="K546" s="8">
        <v>1.25</v>
      </c>
    </row>
    <row r="547" ht="15.75" customHeight="1">
      <c r="A547" s="7" t="s">
        <v>2784</v>
      </c>
      <c r="B547" s="8" t="s">
        <v>2785</v>
      </c>
      <c r="C547" s="7" t="s">
        <v>1035</v>
      </c>
      <c r="D547" s="12" t="s">
        <v>39</v>
      </c>
      <c r="E547" s="13" t="s">
        <v>41</v>
      </c>
      <c r="F547" s="8" t="s">
        <v>42</v>
      </c>
      <c r="G547" s="8" t="b">
        <v>0</v>
      </c>
      <c r="H547" s="8" t="s">
        <v>2788</v>
      </c>
      <c r="I547" s="8">
        <v>4.0</v>
      </c>
      <c r="J547" s="8">
        <v>0.0</v>
      </c>
      <c r="K547" s="8">
        <v>0.5</v>
      </c>
    </row>
    <row r="548" ht="15.75" customHeight="1">
      <c r="A548" s="7" t="s">
        <v>2789</v>
      </c>
      <c r="B548" s="8" t="s">
        <v>2792</v>
      </c>
      <c r="C548" s="7" t="s">
        <v>1185</v>
      </c>
      <c r="D548" s="12" t="s">
        <v>766</v>
      </c>
      <c r="E548" s="13" t="s">
        <v>41</v>
      </c>
      <c r="F548" s="8" t="s">
        <v>767</v>
      </c>
      <c r="G548" s="8" t="b">
        <v>0</v>
      </c>
      <c r="I548" s="8">
        <v>4.0</v>
      </c>
      <c r="J548" s="8">
        <v>0.0</v>
      </c>
      <c r="K548" s="8">
        <v>1.0</v>
      </c>
    </row>
    <row r="549" ht="15.75" customHeight="1">
      <c r="A549" s="7" t="s">
        <v>2794</v>
      </c>
      <c r="B549" s="8" t="s">
        <v>2795</v>
      </c>
      <c r="C549" s="7" t="s">
        <v>253</v>
      </c>
      <c r="D549" s="12" t="s">
        <v>39</v>
      </c>
      <c r="E549" s="13" t="s">
        <v>41</v>
      </c>
      <c r="F549" s="8" t="s">
        <v>42</v>
      </c>
      <c r="G549" s="8" t="b">
        <v>0</v>
      </c>
      <c r="H549" s="8" t="s">
        <v>2797</v>
      </c>
      <c r="I549" s="8">
        <v>4.0</v>
      </c>
      <c r="J549" s="8">
        <v>0.0</v>
      </c>
      <c r="K549" s="8">
        <v>0.0</v>
      </c>
    </row>
    <row r="550" ht="15.75" customHeight="1">
      <c r="A550" s="7" t="s">
        <v>2798</v>
      </c>
      <c r="B550" s="8" t="s">
        <v>2800</v>
      </c>
      <c r="C550" s="8" t="s">
        <v>1223</v>
      </c>
      <c r="D550" s="12" t="s">
        <v>554</v>
      </c>
      <c r="E550" s="13" t="s">
        <v>41</v>
      </c>
      <c r="F550" s="8" t="s">
        <v>555</v>
      </c>
      <c r="G550" s="8" t="b">
        <v>0</v>
      </c>
      <c r="I550" s="8">
        <v>4.0</v>
      </c>
      <c r="J550" s="8">
        <v>0.0</v>
      </c>
      <c r="K550" s="8">
        <v>0.0</v>
      </c>
    </row>
    <row r="551" ht="15.75" customHeight="1">
      <c r="A551" s="7" t="s">
        <v>2802</v>
      </c>
      <c r="B551" s="8" t="s">
        <v>2803</v>
      </c>
      <c r="C551" s="7" t="s">
        <v>201</v>
      </c>
      <c r="D551" s="12" t="s">
        <v>39</v>
      </c>
      <c r="E551" s="13" t="s">
        <v>22</v>
      </c>
      <c r="F551" s="8" t="s">
        <v>42</v>
      </c>
      <c r="G551" s="8" t="b">
        <v>0</v>
      </c>
      <c r="H551" s="8" t="s">
        <v>2805</v>
      </c>
      <c r="I551" s="8">
        <v>4.0</v>
      </c>
      <c r="J551" s="8">
        <v>0.0</v>
      </c>
      <c r="K551" s="8">
        <v>0.5</v>
      </c>
    </row>
    <row r="552" ht="15.75" customHeight="1">
      <c r="A552" s="7" t="s">
        <v>2807</v>
      </c>
      <c r="B552" s="8" t="s">
        <v>2809</v>
      </c>
      <c r="C552" s="7" t="s">
        <v>526</v>
      </c>
      <c r="D552" s="12" t="s">
        <v>72</v>
      </c>
      <c r="E552" s="13" t="s">
        <v>73</v>
      </c>
      <c r="F552" s="8" t="s">
        <v>74</v>
      </c>
      <c r="G552" s="8" t="b">
        <v>0</v>
      </c>
      <c r="H552" s="8" t="s">
        <v>2811</v>
      </c>
      <c r="I552" s="8">
        <v>4.0</v>
      </c>
      <c r="J552" s="8">
        <v>0.0</v>
      </c>
      <c r="K552" s="8">
        <v>0.0</v>
      </c>
    </row>
    <row r="553" ht="15.75" customHeight="1">
      <c r="A553" s="7" t="s">
        <v>2812</v>
      </c>
      <c r="B553" s="8" t="s">
        <v>2814</v>
      </c>
      <c r="C553" s="7" t="s">
        <v>1321</v>
      </c>
      <c r="D553" s="12" t="s">
        <v>39</v>
      </c>
      <c r="E553" s="13" t="s">
        <v>41</v>
      </c>
      <c r="F553" s="8" t="s">
        <v>42</v>
      </c>
      <c r="G553" s="8" t="b">
        <v>0</v>
      </c>
      <c r="H553" s="8" t="s">
        <v>2816</v>
      </c>
      <c r="I553" s="8">
        <v>4.0</v>
      </c>
      <c r="J553" s="8">
        <v>0.0</v>
      </c>
      <c r="K553" s="8">
        <v>0.0</v>
      </c>
    </row>
    <row r="554" ht="15.75" customHeight="1">
      <c r="A554" s="7" t="s">
        <v>2817</v>
      </c>
      <c r="B554" s="8" t="s">
        <v>2820</v>
      </c>
      <c r="C554" s="7" t="s">
        <v>105</v>
      </c>
      <c r="D554" s="12" t="s">
        <v>39</v>
      </c>
      <c r="E554" s="13" t="s">
        <v>22</v>
      </c>
      <c r="F554" s="8" t="s">
        <v>42</v>
      </c>
      <c r="G554" s="8" t="b">
        <v>0</v>
      </c>
      <c r="H554" s="8" t="s">
        <v>2821</v>
      </c>
      <c r="I554" s="8">
        <v>4.0</v>
      </c>
      <c r="J554" s="8">
        <v>0.0</v>
      </c>
      <c r="K554" s="8">
        <v>0.5</v>
      </c>
    </row>
    <row r="555" ht="15.75" customHeight="1">
      <c r="A555" s="7" t="s">
        <v>2823</v>
      </c>
      <c r="B555" s="8" t="s">
        <v>2825</v>
      </c>
      <c r="C555" s="7" t="s">
        <v>30</v>
      </c>
      <c r="D555" s="12" t="s">
        <v>21</v>
      </c>
      <c r="E555" s="13" t="s">
        <v>41</v>
      </c>
      <c r="F555" s="8" t="s">
        <v>24</v>
      </c>
      <c r="G555" s="8" t="b">
        <v>0</v>
      </c>
      <c r="H555" s="8" t="s">
        <v>2826</v>
      </c>
      <c r="I555" s="8">
        <v>4.0</v>
      </c>
      <c r="J555" s="8">
        <v>0.0</v>
      </c>
      <c r="K555" s="8">
        <v>0.25</v>
      </c>
    </row>
    <row r="556" ht="15.75" customHeight="1">
      <c r="A556" s="7" t="s">
        <v>2828</v>
      </c>
      <c r="B556" s="8" t="s">
        <v>2830</v>
      </c>
      <c r="C556" s="7" t="s">
        <v>1334</v>
      </c>
      <c r="D556" s="12" t="s">
        <v>39</v>
      </c>
      <c r="E556" s="13" t="s">
        <v>753</v>
      </c>
      <c r="F556" s="8" t="s">
        <v>42</v>
      </c>
      <c r="G556" s="8" t="b">
        <v>0</v>
      </c>
      <c r="H556" s="8" t="s">
        <v>2832</v>
      </c>
      <c r="I556" s="8">
        <v>4.0</v>
      </c>
      <c r="J556" s="8">
        <v>0.0</v>
      </c>
      <c r="K556" s="8">
        <v>0.5</v>
      </c>
    </row>
    <row r="557" ht="15.75" customHeight="1">
      <c r="A557" s="7" t="s">
        <v>2834</v>
      </c>
      <c r="C557" s="7" t="s">
        <v>1338</v>
      </c>
      <c r="D557" s="12" t="s">
        <v>554</v>
      </c>
      <c r="E557" s="13" t="s">
        <v>41</v>
      </c>
      <c r="F557" s="8" t="s">
        <v>555</v>
      </c>
      <c r="H557" s="8" t="s">
        <v>1246</v>
      </c>
      <c r="I557" s="8">
        <v>4.0</v>
      </c>
      <c r="J557" s="8">
        <v>0.0</v>
      </c>
      <c r="K557" s="8">
        <v>0.0</v>
      </c>
    </row>
    <row r="558" ht="15.75" customHeight="1">
      <c r="A558" s="7" t="s">
        <v>2837</v>
      </c>
      <c r="B558" s="8" t="s">
        <v>2839</v>
      </c>
      <c r="C558" s="7" t="s">
        <v>200</v>
      </c>
      <c r="D558" s="12" t="s">
        <v>693</v>
      </c>
      <c r="E558" s="13" t="s">
        <v>190</v>
      </c>
      <c r="F558" s="8" t="s">
        <v>695</v>
      </c>
      <c r="G558" s="8" t="b">
        <v>0</v>
      </c>
      <c r="I558" s="8">
        <v>4.0</v>
      </c>
      <c r="J558" s="8">
        <v>0.0</v>
      </c>
      <c r="K558" s="8">
        <v>0.0</v>
      </c>
    </row>
    <row r="559" ht="15.75" customHeight="1">
      <c r="A559" s="7" t="s">
        <v>2840</v>
      </c>
      <c r="B559" s="8" t="s">
        <v>2842</v>
      </c>
      <c r="C559" s="7" t="s">
        <v>204</v>
      </c>
      <c r="D559" s="12" t="s">
        <v>39</v>
      </c>
      <c r="E559" s="13" t="s">
        <v>41</v>
      </c>
      <c r="F559" s="8" t="s">
        <v>42</v>
      </c>
      <c r="G559" s="8" t="b">
        <v>0</v>
      </c>
      <c r="H559" s="8" t="s">
        <v>2844</v>
      </c>
      <c r="I559" s="8">
        <v>4.0</v>
      </c>
      <c r="J559" s="8">
        <v>0.0</v>
      </c>
      <c r="K559" s="8">
        <v>0.25</v>
      </c>
    </row>
    <row r="560" ht="15.75" customHeight="1">
      <c r="A560" s="7" t="s">
        <v>2845</v>
      </c>
      <c r="B560" s="8" t="s">
        <v>2846</v>
      </c>
      <c r="C560" s="7" t="s">
        <v>1191</v>
      </c>
      <c r="D560" s="12" t="s">
        <v>39</v>
      </c>
      <c r="E560" s="13" t="s">
        <v>41</v>
      </c>
      <c r="F560" s="8" t="s">
        <v>42</v>
      </c>
      <c r="G560" s="8" t="b">
        <v>0</v>
      </c>
      <c r="H560" s="8" t="s">
        <v>2848</v>
      </c>
      <c r="I560" s="8">
        <v>4.0</v>
      </c>
      <c r="J560" s="8">
        <v>0.0</v>
      </c>
      <c r="K560" s="8">
        <v>0.75</v>
      </c>
    </row>
    <row r="561" ht="15.75" customHeight="1">
      <c r="A561" s="7" t="s">
        <v>2849</v>
      </c>
      <c r="B561" s="8" t="s">
        <v>2852</v>
      </c>
      <c r="C561" s="7" t="s">
        <v>685</v>
      </c>
      <c r="D561" s="12" t="s">
        <v>39</v>
      </c>
      <c r="E561" s="13" t="s">
        <v>22</v>
      </c>
      <c r="F561" s="8" t="s">
        <v>42</v>
      </c>
      <c r="G561" s="8" t="b">
        <v>0</v>
      </c>
      <c r="H561" s="8" t="s">
        <v>2853</v>
      </c>
      <c r="I561" s="8">
        <v>4.0</v>
      </c>
      <c r="J561" s="8">
        <v>0.0</v>
      </c>
      <c r="K561" s="8">
        <v>1.5</v>
      </c>
    </row>
    <row r="562" ht="15.75" customHeight="1">
      <c r="A562" s="7" t="s">
        <v>2854</v>
      </c>
      <c r="B562" s="8" t="s">
        <v>2856</v>
      </c>
      <c r="C562" s="7" t="s">
        <v>286</v>
      </c>
      <c r="D562" s="12" t="s">
        <v>21</v>
      </c>
      <c r="E562" s="13" t="s">
        <v>73</v>
      </c>
      <c r="F562" s="8" t="s">
        <v>24</v>
      </c>
      <c r="G562" s="8" t="b">
        <v>0</v>
      </c>
      <c r="H562" s="8" t="s">
        <v>2857</v>
      </c>
      <c r="I562" s="8">
        <v>4.0</v>
      </c>
      <c r="J562" s="8">
        <v>0.0</v>
      </c>
      <c r="K562" s="8">
        <v>0.0</v>
      </c>
    </row>
    <row r="563" ht="15.75" customHeight="1">
      <c r="A563" s="7" t="s">
        <v>2859</v>
      </c>
      <c r="B563" s="8" t="s">
        <v>2861</v>
      </c>
      <c r="C563" s="7" t="s">
        <v>1234</v>
      </c>
      <c r="D563" s="12" t="s">
        <v>190</v>
      </c>
      <c r="E563" s="13" t="s">
        <v>41</v>
      </c>
      <c r="F563" s="8" t="s">
        <v>191</v>
      </c>
      <c r="G563" s="8" t="b">
        <v>0</v>
      </c>
      <c r="H563" s="8" t="s">
        <v>2862</v>
      </c>
      <c r="I563" s="8">
        <v>4.0</v>
      </c>
      <c r="J563" s="8">
        <v>0.0</v>
      </c>
      <c r="K563" s="8">
        <v>2.0</v>
      </c>
    </row>
    <row r="564" ht="15.75" customHeight="1">
      <c r="A564" s="7" t="s">
        <v>2864</v>
      </c>
      <c r="B564" s="8" t="s">
        <v>2867</v>
      </c>
      <c r="C564" s="8" t="s">
        <v>1340</v>
      </c>
      <c r="D564" s="12" t="s">
        <v>693</v>
      </c>
      <c r="E564" s="13" t="s">
        <v>41</v>
      </c>
      <c r="F564" s="8" t="s">
        <v>695</v>
      </c>
      <c r="G564" s="8" t="b">
        <v>0</v>
      </c>
      <c r="H564" s="8" t="s">
        <v>498</v>
      </c>
      <c r="I564" s="8">
        <v>4.0</v>
      </c>
      <c r="J564" s="8">
        <v>0.0</v>
      </c>
      <c r="K564" s="8">
        <v>1.25</v>
      </c>
    </row>
    <row r="565" ht="15.75" customHeight="1">
      <c r="A565" s="7" t="s">
        <v>2868</v>
      </c>
      <c r="B565" s="8" t="s">
        <v>2870</v>
      </c>
      <c r="C565" s="7" t="s">
        <v>156</v>
      </c>
      <c r="D565" s="12" t="s">
        <v>39</v>
      </c>
      <c r="E565" s="13" t="s">
        <v>41</v>
      </c>
      <c r="F565" s="8" t="s">
        <v>42</v>
      </c>
      <c r="G565" s="8" t="b">
        <v>0</v>
      </c>
      <c r="H565" s="8" t="s">
        <v>1448</v>
      </c>
      <c r="I565" s="8">
        <v>4.0</v>
      </c>
      <c r="J565" s="8">
        <v>0.0</v>
      </c>
      <c r="K565" s="8">
        <v>0.0</v>
      </c>
    </row>
    <row r="566" ht="15.75" customHeight="1">
      <c r="A566" s="7" t="s">
        <v>2871</v>
      </c>
      <c r="B566" s="8" t="s">
        <v>2872</v>
      </c>
      <c r="C566" s="7" t="s">
        <v>1215</v>
      </c>
      <c r="D566" s="12" t="s">
        <v>39</v>
      </c>
      <c r="E566" s="13" t="s">
        <v>73</v>
      </c>
      <c r="F566" s="8" t="s">
        <v>42</v>
      </c>
      <c r="G566" s="8" t="b">
        <v>0</v>
      </c>
      <c r="H566" s="8" t="s">
        <v>1217</v>
      </c>
      <c r="I566" s="8">
        <v>4.0</v>
      </c>
      <c r="J566" s="8">
        <v>0.0</v>
      </c>
      <c r="K566" s="8">
        <v>1.0</v>
      </c>
    </row>
    <row r="567" ht="15.75" customHeight="1">
      <c r="A567" s="7" t="s">
        <v>2874</v>
      </c>
      <c r="B567" s="8" t="s">
        <v>2872</v>
      </c>
      <c r="C567" s="7" t="s">
        <v>1215</v>
      </c>
      <c r="D567" s="12" t="s">
        <v>39</v>
      </c>
      <c r="E567" s="13" t="s">
        <v>73</v>
      </c>
      <c r="F567" s="8" t="s">
        <v>42</v>
      </c>
      <c r="G567" s="8" t="b">
        <v>0</v>
      </c>
      <c r="H567" s="8" t="s">
        <v>1217</v>
      </c>
      <c r="I567" s="8">
        <v>4.0</v>
      </c>
      <c r="J567" s="8">
        <v>0.0</v>
      </c>
      <c r="K567" s="8">
        <v>1.0</v>
      </c>
    </row>
    <row r="568" ht="15.75" customHeight="1">
      <c r="A568" s="7" t="s">
        <v>2877</v>
      </c>
      <c r="B568" s="8" t="s">
        <v>2880</v>
      </c>
      <c r="C568" s="7" t="s">
        <v>20</v>
      </c>
      <c r="D568" s="12" t="s">
        <v>39</v>
      </c>
      <c r="E568" s="13" t="s">
        <v>22</v>
      </c>
      <c r="F568" s="8" t="s">
        <v>42</v>
      </c>
      <c r="G568" s="8" t="b">
        <v>0</v>
      </c>
      <c r="H568" s="8" t="s">
        <v>2881</v>
      </c>
      <c r="I568" s="8">
        <v>4.0</v>
      </c>
      <c r="J568" s="8">
        <v>0.0</v>
      </c>
      <c r="K568" s="8">
        <v>1.75</v>
      </c>
    </row>
    <row r="569" ht="15.75" customHeight="1">
      <c r="A569" s="7" t="s">
        <v>2882</v>
      </c>
      <c r="B569" s="8" t="s">
        <v>2885</v>
      </c>
      <c r="C569" s="7" t="s">
        <v>20</v>
      </c>
      <c r="D569" s="12" t="s">
        <v>39</v>
      </c>
      <c r="E569" s="13" t="s">
        <v>22</v>
      </c>
      <c r="F569" s="8" t="s">
        <v>42</v>
      </c>
      <c r="G569" s="8" t="b">
        <v>1</v>
      </c>
      <c r="H569" s="8" t="s">
        <v>2887</v>
      </c>
      <c r="I569" s="8">
        <v>4.0</v>
      </c>
      <c r="J569" s="8">
        <v>0.0</v>
      </c>
      <c r="K569" s="8">
        <v>1.75</v>
      </c>
    </row>
    <row r="570" ht="15.75" customHeight="1">
      <c r="A570" s="7" t="s">
        <v>2888</v>
      </c>
      <c r="B570" s="8" t="s">
        <v>2890</v>
      </c>
      <c r="C570" s="7" t="s">
        <v>277</v>
      </c>
      <c r="D570" s="12" t="s">
        <v>39</v>
      </c>
      <c r="E570" s="13" t="s">
        <v>76</v>
      </c>
      <c r="F570" s="8" t="s">
        <v>42</v>
      </c>
      <c r="G570" s="8" t="b">
        <v>0</v>
      </c>
      <c r="H570" s="8" t="s">
        <v>2892</v>
      </c>
      <c r="I570" s="8">
        <v>4.0</v>
      </c>
      <c r="J570" s="8">
        <v>0.0</v>
      </c>
      <c r="K570" s="8">
        <v>1.0</v>
      </c>
    </row>
    <row r="571" ht="15.75" customHeight="1">
      <c r="A571" s="7" t="s">
        <v>2893</v>
      </c>
      <c r="B571" s="8" t="s">
        <v>2894</v>
      </c>
      <c r="C571" s="7" t="s">
        <v>463</v>
      </c>
      <c r="D571" s="12" t="s">
        <v>190</v>
      </c>
      <c r="E571" s="13" t="s">
        <v>73</v>
      </c>
      <c r="F571" s="8" t="s">
        <v>191</v>
      </c>
      <c r="G571" s="8" t="b">
        <v>0</v>
      </c>
      <c r="H571" s="8" t="s">
        <v>2896</v>
      </c>
      <c r="I571" s="8">
        <v>4.0</v>
      </c>
      <c r="J571" s="8">
        <v>0.0</v>
      </c>
      <c r="K571" s="8">
        <v>0.0</v>
      </c>
    </row>
    <row r="572" ht="15.75" customHeight="1">
      <c r="A572" s="7" t="s">
        <v>2897</v>
      </c>
      <c r="B572" s="8" t="s">
        <v>2898</v>
      </c>
      <c r="C572" s="7" t="s">
        <v>1365</v>
      </c>
      <c r="D572" s="12" t="s">
        <v>39</v>
      </c>
      <c r="E572" s="13" t="s">
        <v>41</v>
      </c>
      <c r="F572" s="8" t="s">
        <v>42</v>
      </c>
      <c r="G572" s="8" t="b">
        <v>0</v>
      </c>
      <c r="H572" s="8" t="s">
        <v>2900</v>
      </c>
      <c r="I572" s="8">
        <v>3.0</v>
      </c>
      <c r="J572" s="8">
        <v>0.0</v>
      </c>
      <c r="K572" s="8">
        <v>0.0</v>
      </c>
    </row>
    <row r="573" ht="15.75" customHeight="1">
      <c r="A573" s="7" t="s">
        <v>2901</v>
      </c>
      <c r="B573" s="8" t="s">
        <v>2904</v>
      </c>
      <c r="C573" s="7" t="s">
        <v>1370</v>
      </c>
      <c r="D573" s="12" t="s">
        <v>39</v>
      </c>
      <c r="E573" s="13" t="s">
        <v>41</v>
      </c>
      <c r="F573" s="8" t="s">
        <v>42</v>
      </c>
      <c r="G573" s="8" t="b">
        <v>0</v>
      </c>
      <c r="H573" s="8" t="s">
        <v>2905</v>
      </c>
      <c r="I573" s="8">
        <v>3.0</v>
      </c>
      <c r="J573" s="8">
        <v>0.0</v>
      </c>
      <c r="K573" s="8">
        <v>1.33</v>
      </c>
    </row>
    <row r="574" ht="15.75" customHeight="1">
      <c r="A574" s="7" t="s">
        <v>2907</v>
      </c>
      <c r="B574" s="8" t="s">
        <v>2908</v>
      </c>
      <c r="C574" s="7" t="s">
        <v>40</v>
      </c>
      <c r="D574" s="12" t="s">
        <v>21</v>
      </c>
      <c r="E574" s="13" t="s">
        <v>41</v>
      </c>
      <c r="F574" s="8" t="s">
        <v>24</v>
      </c>
      <c r="G574" s="8" t="b">
        <v>0</v>
      </c>
      <c r="H574" s="8" t="s">
        <v>2909</v>
      </c>
      <c r="I574" s="8">
        <v>3.0</v>
      </c>
      <c r="J574" s="8">
        <v>0.0</v>
      </c>
      <c r="K574" s="8">
        <v>0.0</v>
      </c>
    </row>
    <row r="575" ht="15.75" customHeight="1">
      <c r="A575" s="7" t="s">
        <v>2910</v>
      </c>
      <c r="B575" s="8" t="s">
        <v>2912</v>
      </c>
      <c r="C575" s="7" t="s">
        <v>40</v>
      </c>
      <c r="D575" s="12" t="s">
        <v>21</v>
      </c>
      <c r="E575" s="13" t="s">
        <v>41</v>
      </c>
      <c r="F575" s="8" t="s">
        <v>24</v>
      </c>
      <c r="G575" s="8" t="b">
        <v>0</v>
      </c>
      <c r="H575" s="8" t="s">
        <v>2913</v>
      </c>
      <c r="I575" s="8">
        <v>3.0</v>
      </c>
      <c r="J575" s="8">
        <v>0.0</v>
      </c>
      <c r="K575" s="8">
        <v>0.0</v>
      </c>
    </row>
    <row r="576" ht="15.75" customHeight="1">
      <c r="A576" s="7" t="s">
        <v>2915</v>
      </c>
      <c r="B576" s="8" t="s">
        <v>2916</v>
      </c>
      <c r="C576" s="7" t="s">
        <v>1378</v>
      </c>
      <c r="D576" s="12" t="s">
        <v>39</v>
      </c>
      <c r="E576" s="13" t="s">
        <v>753</v>
      </c>
      <c r="F576" s="8" t="s">
        <v>42</v>
      </c>
      <c r="G576" s="8" t="b">
        <v>0</v>
      </c>
      <c r="H576" s="8" t="s">
        <v>792</v>
      </c>
      <c r="I576" s="8">
        <v>3.0</v>
      </c>
      <c r="J576" s="8">
        <v>0.0</v>
      </c>
      <c r="K576" s="8">
        <v>0.0</v>
      </c>
    </row>
    <row r="577" ht="15.75" customHeight="1">
      <c r="A577" s="7" t="s">
        <v>2918</v>
      </c>
      <c r="B577" s="8" t="s">
        <v>2920</v>
      </c>
      <c r="C577" s="7" t="s">
        <v>1357</v>
      </c>
      <c r="D577" s="12" t="s">
        <v>554</v>
      </c>
      <c r="E577" s="13" t="s">
        <v>41</v>
      </c>
      <c r="F577" s="8" t="s">
        <v>555</v>
      </c>
      <c r="G577" s="8" t="b">
        <v>0</v>
      </c>
      <c r="H577" s="8" t="s">
        <v>1358</v>
      </c>
      <c r="I577" s="8">
        <v>3.0</v>
      </c>
      <c r="J577" s="8">
        <v>0.0</v>
      </c>
      <c r="K577" s="8">
        <v>0.67</v>
      </c>
    </row>
    <row r="578" ht="15.75" customHeight="1">
      <c r="A578" s="7" t="s">
        <v>2923</v>
      </c>
      <c r="B578" s="8" t="s">
        <v>2926</v>
      </c>
      <c r="C578" s="7" t="s">
        <v>1245</v>
      </c>
      <c r="D578" s="12" t="s">
        <v>560</v>
      </c>
      <c r="E578" s="13" t="s">
        <v>41</v>
      </c>
      <c r="F578" s="8" t="s">
        <v>561</v>
      </c>
      <c r="G578" s="8" t="b">
        <v>0</v>
      </c>
      <c r="I578" s="8">
        <v>3.0</v>
      </c>
      <c r="J578" s="8">
        <v>0.0</v>
      </c>
      <c r="K578" s="8">
        <v>0.33</v>
      </c>
    </row>
    <row r="579" ht="15.75" customHeight="1">
      <c r="A579" s="7" t="s">
        <v>2928</v>
      </c>
      <c r="C579" s="7" t="s">
        <v>1389</v>
      </c>
      <c r="D579" s="12" t="s">
        <v>554</v>
      </c>
      <c r="E579" s="13" t="s">
        <v>41</v>
      </c>
      <c r="F579" s="8" t="s">
        <v>555</v>
      </c>
      <c r="H579" s="8" t="s">
        <v>1246</v>
      </c>
      <c r="I579" s="8">
        <v>3.0</v>
      </c>
      <c r="J579" s="8">
        <v>0.0</v>
      </c>
      <c r="K579" s="8">
        <v>0.0</v>
      </c>
    </row>
    <row r="580" ht="15.75" customHeight="1">
      <c r="A580" s="7" t="s">
        <v>2929</v>
      </c>
      <c r="B580" s="8" t="s">
        <v>2931</v>
      </c>
      <c r="C580" s="7" t="s">
        <v>932</v>
      </c>
      <c r="D580" s="12" t="s">
        <v>39</v>
      </c>
      <c r="E580" s="13" t="s">
        <v>22</v>
      </c>
      <c r="F580" s="8" t="s">
        <v>42</v>
      </c>
      <c r="G580" s="8" t="b">
        <v>0</v>
      </c>
      <c r="H580" s="8" t="s">
        <v>2933</v>
      </c>
      <c r="I580" s="8">
        <v>3.0</v>
      </c>
      <c r="J580" s="8">
        <v>0.0</v>
      </c>
      <c r="K580" s="8">
        <v>1.67</v>
      </c>
    </row>
    <row r="581" ht="15.75" customHeight="1">
      <c r="A581" s="7" t="s">
        <v>2934</v>
      </c>
      <c r="B581" s="8" t="s">
        <v>2936</v>
      </c>
      <c r="C581" s="7" t="s">
        <v>932</v>
      </c>
      <c r="D581" s="12" t="s">
        <v>39</v>
      </c>
      <c r="E581" s="13" t="s">
        <v>22</v>
      </c>
      <c r="F581" s="8" t="s">
        <v>42</v>
      </c>
      <c r="G581" s="8" t="b">
        <v>0</v>
      </c>
      <c r="H581" s="8" t="s">
        <v>2938</v>
      </c>
      <c r="I581" s="8">
        <v>3.0</v>
      </c>
      <c r="J581" s="8">
        <v>0.0</v>
      </c>
      <c r="K581" s="8">
        <v>0.0</v>
      </c>
    </row>
    <row r="582" ht="15.75" customHeight="1">
      <c r="A582" s="7" t="s">
        <v>2939</v>
      </c>
      <c r="C582" s="7" t="s">
        <v>1392</v>
      </c>
      <c r="D582" s="12" t="s">
        <v>554</v>
      </c>
      <c r="E582" s="13" t="s">
        <v>76</v>
      </c>
      <c r="F582" s="8" t="s">
        <v>555</v>
      </c>
      <c r="H582" s="8" t="s">
        <v>1246</v>
      </c>
      <c r="I582" s="8">
        <v>3.0</v>
      </c>
      <c r="J582" s="8">
        <v>0.0</v>
      </c>
      <c r="K582" s="8">
        <v>0.0</v>
      </c>
    </row>
    <row r="583" ht="15.75" customHeight="1">
      <c r="A583" s="7" t="s">
        <v>2945</v>
      </c>
      <c r="B583" s="8" t="s">
        <v>2946</v>
      </c>
      <c r="C583" s="7" t="s">
        <v>1257</v>
      </c>
      <c r="D583" s="12" t="s">
        <v>39</v>
      </c>
      <c r="E583" s="13" t="s">
        <v>76</v>
      </c>
      <c r="F583" s="8" t="s">
        <v>42</v>
      </c>
      <c r="G583" s="8" t="b">
        <v>0</v>
      </c>
      <c r="H583" s="8" t="s">
        <v>2948</v>
      </c>
      <c r="I583" s="8">
        <v>3.0</v>
      </c>
      <c r="J583" s="8">
        <v>0.0</v>
      </c>
      <c r="K583" s="8">
        <v>0.33</v>
      </c>
    </row>
    <row r="584" ht="15.75" customHeight="1">
      <c r="A584" s="7" t="s">
        <v>2949</v>
      </c>
      <c r="B584" s="8" t="s">
        <v>2951</v>
      </c>
      <c r="C584" s="7" t="s">
        <v>200</v>
      </c>
      <c r="D584" s="12" t="s">
        <v>766</v>
      </c>
      <c r="E584" s="13" t="s">
        <v>190</v>
      </c>
      <c r="F584" s="8" t="s">
        <v>767</v>
      </c>
      <c r="G584" s="8" t="b">
        <v>0</v>
      </c>
      <c r="H584" s="8" t="s">
        <v>2953</v>
      </c>
      <c r="I584" s="8">
        <v>3.0</v>
      </c>
      <c r="J584" s="8">
        <v>0.0</v>
      </c>
      <c r="K584" s="8">
        <v>0.0</v>
      </c>
    </row>
    <row r="585" ht="15.75" customHeight="1">
      <c r="A585" s="7" t="s">
        <v>2954</v>
      </c>
      <c r="B585" s="8" t="s">
        <v>2955</v>
      </c>
      <c r="C585" s="7" t="s">
        <v>1395</v>
      </c>
      <c r="D585" s="12" t="s">
        <v>39</v>
      </c>
      <c r="E585" s="13" t="s">
        <v>41</v>
      </c>
      <c r="F585" s="8" t="s">
        <v>42</v>
      </c>
      <c r="G585" s="8" t="b">
        <v>0</v>
      </c>
      <c r="H585" s="8" t="s">
        <v>2957</v>
      </c>
      <c r="I585" s="8">
        <v>3.0</v>
      </c>
      <c r="J585" s="8">
        <v>0.0</v>
      </c>
      <c r="K585" s="8">
        <v>1.0</v>
      </c>
    </row>
    <row r="586" ht="15.75" customHeight="1">
      <c r="A586" s="7" t="s">
        <v>2959</v>
      </c>
      <c r="B586" s="8" t="s">
        <v>2961</v>
      </c>
      <c r="C586" s="7" t="s">
        <v>1399</v>
      </c>
      <c r="D586" s="12" t="s">
        <v>104</v>
      </c>
      <c r="E586" s="13" t="s">
        <v>753</v>
      </c>
      <c r="F586" s="8" t="s">
        <v>106</v>
      </c>
      <c r="G586" s="8" t="b">
        <v>0</v>
      </c>
      <c r="H586" s="8" t="s">
        <v>2962</v>
      </c>
      <c r="I586" s="8">
        <v>3.0</v>
      </c>
      <c r="J586" s="8">
        <v>0.0</v>
      </c>
      <c r="K586" s="8">
        <v>0.67</v>
      </c>
    </row>
    <row r="587" ht="15.75" customHeight="1">
      <c r="A587" s="7" t="s">
        <v>2963</v>
      </c>
      <c r="B587" s="8" t="s">
        <v>189</v>
      </c>
      <c r="C587" s="7" t="s">
        <v>15</v>
      </c>
      <c r="D587" s="12" t="s">
        <v>21</v>
      </c>
      <c r="E587" s="13" t="s">
        <v>22</v>
      </c>
      <c r="F587" s="8" t="s">
        <v>24</v>
      </c>
      <c r="G587" s="8" t="b">
        <v>0</v>
      </c>
      <c r="H587" s="8" t="s">
        <v>2129</v>
      </c>
      <c r="I587" s="8">
        <v>3.0</v>
      </c>
      <c r="J587" s="8">
        <v>0.0</v>
      </c>
      <c r="K587" s="8">
        <v>0.0</v>
      </c>
    </row>
    <row r="588" ht="15.75" customHeight="1">
      <c r="A588" s="7" t="s">
        <v>2967</v>
      </c>
      <c r="B588" s="8" t="s">
        <v>2968</v>
      </c>
      <c r="C588" s="7" t="s">
        <v>15</v>
      </c>
      <c r="D588" s="12" t="s">
        <v>21</v>
      </c>
      <c r="E588" s="13" t="s">
        <v>22</v>
      </c>
      <c r="F588" s="8" t="s">
        <v>24</v>
      </c>
      <c r="G588" s="8" t="b">
        <v>0</v>
      </c>
      <c r="H588" s="8" t="s">
        <v>2970</v>
      </c>
      <c r="I588" s="8">
        <v>3.0</v>
      </c>
      <c r="J588" s="8">
        <v>0.0</v>
      </c>
      <c r="K588" s="8">
        <v>0.67</v>
      </c>
    </row>
    <row r="589" ht="15.75" customHeight="1">
      <c r="A589" s="7" t="s">
        <v>2971</v>
      </c>
      <c r="B589" s="8" t="s">
        <v>2973</v>
      </c>
      <c r="C589" s="7" t="s">
        <v>15</v>
      </c>
      <c r="D589" s="12" t="s">
        <v>21</v>
      </c>
      <c r="E589" s="13" t="s">
        <v>22</v>
      </c>
      <c r="F589" s="8" t="s">
        <v>24</v>
      </c>
      <c r="G589" s="8" t="b">
        <v>0</v>
      </c>
      <c r="H589" s="8" t="s">
        <v>2974</v>
      </c>
      <c r="I589" s="8">
        <v>3.0</v>
      </c>
      <c r="J589" s="8">
        <v>0.0</v>
      </c>
      <c r="K589" s="8">
        <v>0.0</v>
      </c>
    </row>
    <row r="590" ht="15.75" customHeight="1">
      <c r="A590" s="7" t="s">
        <v>2976</v>
      </c>
      <c r="B590" s="8" t="s">
        <v>2977</v>
      </c>
      <c r="C590" s="7" t="s">
        <v>15</v>
      </c>
      <c r="D590" s="12" t="s">
        <v>21</v>
      </c>
      <c r="E590" s="13" t="s">
        <v>22</v>
      </c>
      <c r="F590" s="8" t="s">
        <v>24</v>
      </c>
      <c r="G590" s="8" t="b">
        <v>0</v>
      </c>
      <c r="H590" s="8" t="s">
        <v>1007</v>
      </c>
      <c r="I590" s="8">
        <v>3.0</v>
      </c>
      <c r="J590" s="8">
        <v>0.0</v>
      </c>
      <c r="K590" s="8">
        <v>0.0</v>
      </c>
    </row>
    <row r="591" ht="15.75" customHeight="1">
      <c r="A591" s="7" t="s">
        <v>2980</v>
      </c>
      <c r="B591" s="8" t="s">
        <v>2981</v>
      </c>
      <c r="C591" s="7" t="s">
        <v>161</v>
      </c>
      <c r="D591" s="12" t="s">
        <v>39</v>
      </c>
      <c r="E591" s="13" t="s">
        <v>22</v>
      </c>
      <c r="F591" s="8" t="s">
        <v>42</v>
      </c>
      <c r="G591" s="8" t="b">
        <v>0</v>
      </c>
      <c r="H591" s="8" t="s">
        <v>579</v>
      </c>
      <c r="I591" s="8">
        <v>3.0</v>
      </c>
      <c r="J591" s="8">
        <v>0.0</v>
      </c>
      <c r="K591" s="8">
        <v>1.33</v>
      </c>
    </row>
    <row r="592" ht="15.75" customHeight="1">
      <c r="A592" s="7" t="s">
        <v>2982</v>
      </c>
      <c r="B592" s="8" t="s">
        <v>2984</v>
      </c>
      <c r="C592" s="7" t="s">
        <v>161</v>
      </c>
      <c r="D592" s="12" t="s">
        <v>39</v>
      </c>
      <c r="E592" s="13" t="s">
        <v>22</v>
      </c>
      <c r="F592" s="8" t="s">
        <v>42</v>
      </c>
      <c r="G592" s="8" t="b">
        <v>0</v>
      </c>
      <c r="H592" s="8" t="s">
        <v>2986</v>
      </c>
      <c r="I592" s="8">
        <v>3.0</v>
      </c>
      <c r="J592" s="8">
        <v>0.0</v>
      </c>
      <c r="K592" s="8">
        <v>1.33</v>
      </c>
    </row>
    <row r="593" ht="15.75" customHeight="1">
      <c r="A593" s="7" t="s">
        <v>2987</v>
      </c>
      <c r="B593" s="8" t="s">
        <v>2989</v>
      </c>
      <c r="C593" s="7" t="s">
        <v>1008</v>
      </c>
      <c r="D593" s="12" t="s">
        <v>39</v>
      </c>
      <c r="E593" s="13" t="s">
        <v>753</v>
      </c>
      <c r="F593" s="8" t="s">
        <v>42</v>
      </c>
      <c r="G593" s="8" t="b">
        <v>0</v>
      </c>
      <c r="H593" s="8" t="s">
        <v>2991</v>
      </c>
      <c r="I593" s="8">
        <v>3.0</v>
      </c>
      <c r="J593" s="8">
        <v>0.0</v>
      </c>
      <c r="K593" s="8">
        <v>0.0</v>
      </c>
    </row>
    <row r="594" ht="15.75" customHeight="1">
      <c r="A594" s="7" t="s">
        <v>2993</v>
      </c>
      <c r="B594" s="8" t="s">
        <v>2995</v>
      </c>
      <c r="C594" s="7" t="s">
        <v>281</v>
      </c>
      <c r="D594" s="12" t="s">
        <v>39</v>
      </c>
      <c r="E594" s="13" t="s">
        <v>41</v>
      </c>
      <c r="F594" s="8" t="s">
        <v>42</v>
      </c>
      <c r="G594" s="8" t="b">
        <v>0</v>
      </c>
      <c r="H594" s="8" t="s">
        <v>2996</v>
      </c>
      <c r="I594" s="8">
        <v>3.0</v>
      </c>
      <c r="J594" s="8">
        <v>0.0</v>
      </c>
      <c r="K594" s="8">
        <v>2.0</v>
      </c>
    </row>
    <row r="595" ht="15.75" customHeight="1">
      <c r="A595" s="7" t="s">
        <v>2997</v>
      </c>
      <c r="B595" s="8" t="s">
        <v>2999</v>
      </c>
      <c r="C595" s="7" t="s">
        <v>1403</v>
      </c>
      <c r="D595" s="12" t="s">
        <v>72</v>
      </c>
      <c r="E595" s="13" t="s">
        <v>41</v>
      </c>
      <c r="F595" s="8" t="s">
        <v>74</v>
      </c>
      <c r="G595" s="8" t="b">
        <v>0</v>
      </c>
      <c r="H595" s="8" t="s">
        <v>3001</v>
      </c>
      <c r="I595" s="8">
        <v>3.0</v>
      </c>
      <c r="J595" s="8">
        <v>0.0</v>
      </c>
      <c r="K595" s="8">
        <v>3.33</v>
      </c>
    </row>
    <row r="596" ht="15.75" customHeight="1">
      <c r="A596" s="7" t="s">
        <v>3002</v>
      </c>
      <c r="B596" s="8" t="s">
        <v>3004</v>
      </c>
      <c r="C596" s="7" t="s">
        <v>1408</v>
      </c>
      <c r="D596" s="12" t="s">
        <v>39</v>
      </c>
      <c r="E596" s="13" t="s">
        <v>41</v>
      </c>
      <c r="F596" s="8" t="s">
        <v>42</v>
      </c>
      <c r="G596" s="8" t="b">
        <v>0</v>
      </c>
      <c r="H596" s="8" t="s">
        <v>3005</v>
      </c>
      <c r="I596" s="8">
        <v>3.0</v>
      </c>
      <c r="J596" s="8">
        <v>0.0</v>
      </c>
      <c r="K596" s="8">
        <v>1.0</v>
      </c>
    </row>
    <row r="597" ht="15.75" customHeight="1">
      <c r="A597" s="7" t="s">
        <v>3007</v>
      </c>
      <c r="B597" s="8" t="s">
        <v>3009</v>
      </c>
      <c r="C597" s="7" t="s">
        <v>26</v>
      </c>
      <c r="D597" s="12" t="s">
        <v>72</v>
      </c>
      <c r="E597" s="13" t="s">
        <v>41</v>
      </c>
      <c r="F597" s="8" t="s">
        <v>74</v>
      </c>
      <c r="G597" s="8" t="b">
        <v>0</v>
      </c>
      <c r="H597" s="8" t="s">
        <v>3011</v>
      </c>
      <c r="I597" s="8">
        <v>3.0</v>
      </c>
      <c r="J597" s="8">
        <v>0.0</v>
      </c>
      <c r="K597" s="8">
        <v>0.0</v>
      </c>
    </row>
    <row r="598" ht="15.75" customHeight="1">
      <c r="A598" s="7" t="s">
        <v>3012</v>
      </c>
      <c r="B598" s="8" t="s">
        <v>3013</v>
      </c>
      <c r="C598" s="7" t="s">
        <v>1411</v>
      </c>
      <c r="D598" s="12" t="s">
        <v>39</v>
      </c>
      <c r="E598" s="13" t="s">
        <v>41</v>
      </c>
      <c r="F598" s="8" t="s">
        <v>42</v>
      </c>
      <c r="G598" s="8" t="b">
        <v>0</v>
      </c>
      <c r="H598" s="8" t="s">
        <v>3016</v>
      </c>
      <c r="I598" s="8">
        <v>3.0</v>
      </c>
      <c r="J598" s="8">
        <v>0.0</v>
      </c>
      <c r="K598" s="8">
        <v>0.67</v>
      </c>
    </row>
    <row r="599" ht="15.75" customHeight="1">
      <c r="A599" s="7" t="s">
        <v>3017</v>
      </c>
      <c r="B599" s="8" t="s">
        <v>3019</v>
      </c>
      <c r="C599" s="7" t="s">
        <v>52</v>
      </c>
      <c r="D599" s="12" t="s">
        <v>39</v>
      </c>
      <c r="E599" s="13" t="s">
        <v>22</v>
      </c>
      <c r="F599" s="8" t="s">
        <v>42</v>
      </c>
      <c r="G599" s="8" t="b">
        <v>0</v>
      </c>
      <c r="H599" s="8" t="s">
        <v>3020</v>
      </c>
      <c r="I599" s="8">
        <v>3.0</v>
      </c>
      <c r="J599" s="8">
        <v>0.0</v>
      </c>
      <c r="K599" s="8">
        <v>0.67</v>
      </c>
    </row>
    <row r="600" ht="15.75" customHeight="1">
      <c r="A600" s="7" t="s">
        <v>3021</v>
      </c>
      <c r="B600" s="8" t="s">
        <v>3024</v>
      </c>
      <c r="C600" s="7" t="s">
        <v>52</v>
      </c>
      <c r="D600" s="12" t="s">
        <v>39</v>
      </c>
      <c r="E600" s="13" t="s">
        <v>22</v>
      </c>
      <c r="F600" s="8" t="s">
        <v>42</v>
      </c>
      <c r="G600" s="8" t="b">
        <v>0</v>
      </c>
      <c r="H600" s="8" t="s">
        <v>3026</v>
      </c>
      <c r="I600" s="8">
        <v>3.0</v>
      </c>
      <c r="J600" s="8">
        <v>0.0</v>
      </c>
      <c r="K600" s="8">
        <v>0.67</v>
      </c>
    </row>
    <row r="601" ht="15.75" customHeight="1">
      <c r="A601" s="7" t="s">
        <v>3028</v>
      </c>
      <c r="B601" s="8" t="s">
        <v>3029</v>
      </c>
      <c r="C601" s="7" t="s">
        <v>914</v>
      </c>
      <c r="D601" s="12" t="s">
        <v>72</v>
      </c>
      <c r="E601" s="13" t="s">
        <v>73</v>
      </c>
      <c r="F601" s="8" t="s">
        <v>74</v>
      </c>
      <c r="G601" s="8" t="b">
        <v>0</v>
      </c>
      <c r="H601" s="8" t="s">
        <v>1440</v>
      </c>
      <c r="I601" s="8">
        <v>3.0</v>
      </c>
      <c r="J601" s="8">
        <v>0.0</v>
      </c>
      <c r="K601" s="8">
        <v>1.0</v>
      </c>
    </row>
    <row r="602" ht="15.75" customHeight="1">
      <c r="A602" s="7" t="s">
        <v>3032</v>
      </c>
      <c r="B602" s="8" t="s">
        <v>3034</v>
      </c>
      <c r="C602" s="8" t="s">
        <v>572</v>
      </c>
      <c r="D602" s="12" t="s">
        <v>21</v>
      </c>
      <c r="E602" s="13" t="s">
        <v>41</v>
      </c>
      <c r="F602" s="8" t="s">
        <v>24</v>
      </c>
      <c r="G602" s="8" t="b">
        <v>0</v>
      </c>
      <c r="I602" s="8">
        <v>3.0</v>
      </c>
      <c r="J602" s="8">
        <v>0.0</v>
      </c>
      <c r="K602" s="8">
        <v>0.67</v>
      </c>
    </row>
    <row r="603" ht="15.75" customHeight="1">
      <c r="A603" s="7" t="s">
        <v>3035</v>
      </c>
      <c r="B603" s="8" t="s">
        <v>3037</v>
      </c>
      <c r="C603" s="7" t="s">
        <v>1414</v>
      </c>
      <c r="D603" s="12" t="s">
        <v>39</v>
      </c>
      <c r="E603" s="13" t="s">
        <v>41</v>
      </c>
      <c r="F603" s="8" t="s">
        <v>42</v>
      </c>
      <c r="G603" s="8" t="b">
        <v>0</v>
      </c>
      <c r="H603" s="8" t="s">
        <v>3039</v>
      </c>
      <c r="I603" s="8">
        <v>3.0</v>
      </c>
      <c r="J603" s="8">
        <v>0.0</v>
      </c>
      <c r="K603" s="8">
        <v>1.33</v>
      </c>
    </row>
    <row r="604" ht="15.75" customHeight="1">
      <c r="A604" s="7" t="s">
        <v>3040</v>
      </c>
      <c r="B604" s="8" t="s">
        <v>3042</v>
      </c>
      <c r="C604" s="7" t="s">
        <v>1429</v>
      </c>
      <c r="D604" s="12" t="s">
        <v>766</v>
      </c>
      <c r="E604" s="13" t="s">
        <v>41</v>
      </c>
      <c r="F604" s="8" t="s">
        <v>767</v>
      </c>
      <c r="G604" s="8" t="b">
        <v>0</v>
      </c>
      <c r="H604" s="8" t="s">
        <v>1431</v>
      </c>
      <c r="I604" s="8">
        <v>3.0</v>
      </c>
      <c r="J604" s="8">
        <v>0.0</v>
      </c>
      <c r="K604" s="8">
        <v>1.0</v>
      </c>
    </row>
    <row r="605" ht="15.75" customHeight="1">
      <c r="A605" s="7" t="s">
        <v>3045</v>
      </c>
      <c r="B605" s="8" t="s">
        <v>3046</v>
      </c>
      <c r="C605" s="7" t="s">
        <v>339</v>
      </c>
      <c r="D605" s="12" t="s">
        <v>72</v>
      </c>
      <c r="E605" s="13" t="s">
        <v>76</v>
      </c>
      <c r="F605" s="8" t="s">
        <v>74</v>
      </c>
      <c r="G605" s="8" t="b">
        <v>0</v>
      </c>
      <c r="H605" s="8" t="s">
        <v>3048</v>
      </c>
      <c r="I605" s="8">
        <v>3.0</v>
      </c>
      <c r="J605" s="8">
        <v>0.0</v>
      </c>
      <c r="K605" s="8">
        <v>0.0</v>
      </c>
    </row>
    <row r="606" ht="15.75" customHeight="1">
      <c r="A606" s="7" t="s">
        <v>3049</v>
      </c>
      <c r="B606" s="8" t="s">
        <v>213</v>
      </c>
      <c r="C606" s="7" t="s">
        <v>99</v>
      </c>
      <c r="D606" s="12" t="s">
        <v>190</v>
      </c>
      <c r="E606" s="13" t="s">
        <v>76</v>
      </c>
      <c r="F606" s="8" t="s">
        <v>191</v>
      </c>
      <c r="G606" s="8" t="b">
        <v>0</v>
      </c>
      <c r="H606" s="8" t="s">
        <v>3052</v>
      </c>
      <c r="I606" s="8">
        <v>3.0</v>
      </c>
      <c r="J606" s="8">
        <v>0.0</v>
      </c>
      <c r="K606" s="8">
        <v>0.0</v>
      </c>
    </row>
    <row r="607" ht="15.75" customHeight="1">
      <c r="A607" s="7" t="s">
        <v>3055</v>
      </c>
      <c r="B607" s="8" t="s">
        <v>213</v>
      </c>
      <c r="C607" s="7" t="s">
        <v>99</v>
      </c>
      <c r="D607" s="12" t="s">
        <v>190</v>
      </c>
      <c r="E607" s="13" t="s">
        <v>76</v>
      </c>
      <c r="F607" s="8" t="s">
        <v>191</v>
      </c>
      <c r="G607" s="8" t="b">
        <v>0</v>
      </c>
      <c r="H607" s="8" t="s">
        <v>3056</v>
      </c>
      <c r="I607" s="8">
        <v>3.0</v>
      </c>
      <c r="J607" s="8">
        <v>0.0</v>
      </c>
      <c r="K607" s="8">
        <v>0.0</v>
      </c>
    </row>
    <row r="608" ht="15.75" customHeight="1">
      <c r="A608" s="7" t="s">
        <v>3058</v>
      </c>
      <c r="B608" s="8" t="s">
        <v>3060</v>
      </c>
      <c r="C608" s="7" t="s">
        <v>344</v>
      </c>
      <c r="D608" s="12" t="s">
        <v>39</v>
      </c>
      <c r="E608" s="13" t="s">
        <v>41</v>
      </c>
      <c r="F608" s="8" t="s">
        <v>42</v>
      </c>
      <c r="G608" s="8" t="b">
        <v>0</v>
      </c>
      <c r="H608" s="8" t="s">
        <v>3062</v>
      </c>
      <c r="I608" s="8">
        <v>3.0</v>
      </c>
      <c r="J608" s="8">
        <v>0.0</v>
      </c>
      <c r="K608" s="8">
        <v>3.0</v>
      </c>
    </row>
    <row r="609" ht="15.75" customHeight="1">
      <c r="A609" s="7" t="s">
        <v>3063</v>
      </c>
      <c r="B609" s="8" t="s">
        <v>3065</v>
      </c>
      <c r="C609" s="7" t="s">
        <v>1284</v>
      </c>
      <c r="D609" s="12" t="s">
        <v>39</v>
      </c>
      <c r="E609" s="13" t="s">
        <v>41</v>
      </c>
      <c r="F609" s="8" t="s">
        <v>42</v>
      </c>
      <c r="G609" s="8" t="b">
        <v>0</v>
      </c>
      <c r="H609" s="8" t="s">
        <v>3067</v>
      </c>
      <c r="I609" s="8">
        <v>3.0</v>
      </c>
      <c r="J609" s="8">
        <v>0.0</v>
      </c>
      <c r="K609" s="8">
        <v>3.0</v>
      </c>
    </row>
    <row r="610" ht="15.75" customHeight="1">
      <c r="A610" s="7" t="s">
        <v>3068</v>
      </c>
      <c r="B610" s="8" t="s">
        <v>3070</v>
      </c>
      <c r="C610" s="7" t="s">
        <v>1287</v>
      </c>
      <c r="D610" s="12" t="s">
        <v>39</v>
      </c>
      <c r="E610" s="13" t="s">
        <v>41</v>
      </c>
      <c r="F610" s="8" t="s">
        <v>42</v>
      </c>
      <c r="G610" s="8" t="b">
        <v>0</v>
      </c>
      <c r="H610" s="8" t="s">
        <v>3072</v>
      </c>
      <c r="I610" s="8">
        <v>3.0</v>
      </c>
      <c r="J610" s="8">
        <v>0.0</v>
      </c>
      <c r="K610" s="8">
        <v>0.33</v>
      </c>
    </row>
    <row r="611" ht="15.75" customHeight="1">
      <c r="A611" s="7" t="s">
        <v>3073</v>
      </c>
      <c r="B611" s="8" t="s">
        <v>3074</v>
      </c>
      <c r="C611" s="7" t="s">
        <v>707</v>
      </c>
      <c r="D611" s="12" t="s">
        <v>39</v>
      </c>
      <c r="E611" s="13" t="s">
        <v>41</v>
      </c>
      <c r="F611" s="8" t="s">
        <v>42</v>
      </c>
      <c r="G611" s="8" t="b">
        <v>0</v>
      </c>
      <c r="H611" s="8" t="s">
        <v>3075</v>
      </c>
      <c r="I611" s="8">
        <v>3.0</v>
      </c>
      <c r="J611" s="8">
        <v>0.0</v>
      </c>
      <c r="K611" s="8">
        <v>0.33</v>
      </c>
    </row>
    <row r="612" ht="15.75" customHeight="1">
      <c r="A612" s="7" t="s">
        <v>3076</v>
      </c>
      <c r="B612" s="8" t="s">
        <v>3078</v>
      </c>
      <c r="C612" s="8" t="s">
        <v>35</v>
      </c>
      <c r="D612" s="12" t="s">
        <v>39</v>
      </c>
      <c r="E612" s="13" t="s">
        <v>22</v>
      </c>
      <c r="F612" s="8" t="s">
        <v>42</v>
      </c>
      <c r="G612" s="8" t="b">
        <v>0</v>
      </c>
      <c r="H612" s="8" t="s">
        <v>3079</v>
      </c>
      <c r="I612" s="8">
        <v>3.0</v>
      </c>
      <c r="J612" s="8">
        <v>0.0</v>
      </c>
      <c r="K612" s="8">
        <v>0.33</v>
      </c>
    </row>
    <row r="613" ht="15.75" customHeight="1">
      <c r="A613" s="7" t="s">
        <v>3080</v>
      </c>
      <c r="B613" s="8" t="s">
        <v>3081</v>
      </c>
      <c r="C613" s="7" t="s">
        <v>689</v>
      </c>
      <c r="D613" s="12" t="s">
        <v>21</v>
      </c>
      <c r="E613" s="13" t="s">
        <v>41</v>
      </c>
      <c r="F613" s="8" t="s">
        <v>24</v>
      </c>
      <c r="G613" s="8" t="b">
        <v>0</v>
      </c>
      <c r="H613" s="8" t="s">
        <v>691</v>
      </c>
      <c r="I613" s="8">
        <v>3.0</v>
      </c>
      <c r="J613" s="8">
        <v>0.0</v>
      </c>
      <c r="K613" s="8">
        <v>0.0</v>
      </c>
    </row>
    <row r="614" ht="15.75" customHeight="1">
      <c r="A614" s="7" t="s">
        <v>3083</v>
      </c>
      <c r="B614" s="8" t="s">
        <v>3084</v>
      </c>
      <c r="C614" s="7" t="s">
        <v>1126</v>
      </c>
      <c r="D614" s="12" t="s">
        <v>766</v>
      </c>
      <c r="E614" s="13" t="s">
        <v>22</v>
      </c>
      <c r="F614" s="8" t="s">
        <v>767</v>
      </c>
      <c r="G614" s="8" t="b">
        <v>0</v>
      </c>
      <c r="H614" s="8" t="s">
        <v>3086</v>
      </c>
      <c r="I614" s="8">
        <v>3.0</v>
      </c>
      <c r="J614" s="8">
        <v>0.0</v>
      </c>
      <c r="K614" s="8">
        <v>1.0</v>
      </c>
    </row>
    <row r="615" ht="15.75" customHeight="1">
      <c r="A615" s="7" t="s">
        <v>3087</v>
      </c>
      <c r="B615" s="8" t="s">
        <v>3089</v>
      </c>
      <c r="C615" s="8" t="s">
        <v>1438</v>
      </c>
      <c r="D615" s="12" t="s">
        <v>693</v>
      </c>
      <c r="E615" s="13" t="s">
        <v>753</v>
      </c>
      <c r="F615" s="8" t="s">
        <v>695</v>
      </c>
      <c r="G615" s="8" t="b">
        <v>0</v>
      </c>
      <c r="H615" s="8" t="s">
        <v>1440</v>
      </c>
      <c r="I615" s="8">
        <v>3.0</v>
      </c>
      <c r="J615" s="8">
        <v>0.0</v>
      </c>
      <c r="K615" s="8">
        <v>1.0</v>
      </c>
    </row>
    <row r="616" ht="15.75" customHeight="1">
      <c r="A616" s="7" t="s">
        <v>3090</v>
      </c>
      <c r="B616" s="8" t="s">
        <v>3091</v>
      </c>
      <c r="C616" s="7" t="s">
        <v>1441</v>
      </c>
      <c r="D616" s="12" t="s">
        <v>766</v>
      </c>
      <c r="E616" s="13" t="s">
        <v>41</v>
      </c>
      <c r="F616" s="8" t="s">
        <v>767</v>
      </c>
      <c r="G616" s="8" t="b">
        <v>0</v>
      </c>
      <c r="I616" s="8">
        <v>3.0</v>
      </c>
      <c r="J616" s="8">
        <v>0.0</v>
      </c>
      <c r="K616" s="8">
        <v>0.0</v>
      </c>
    </row>
    <row r="617" ht="15.75" customHeight="1">
      <c r="A617" s="7" t="s">
        <v>3092</v>
      </c>
      <c r="B617" s="8" t="s">
        <v>3093</v>
      </c>
      <c r="C617" s="7" t="s">
        <v>1444</v>
      </c>
      <c r="D617" s="12" t="s">
        <v>39</v>
      </c>
      <c r="E617" s="13" t="s">
        <v>41</v>
      </c>
      <c r="F617" s="8" t="s">
        <v>42</v>
      </c>
      <c r="G617" s="8" t="b">
        <v>0</v>
      </c>
      <c r="H617" s="8" t="s">
        <v>3095</v>
      </c>
      <c r="I617" s="8">
        <v>3.0</v>
      </c>
      <c r="J617" s="8">
        <v>0.0</v>
      </c>
      <c r="K617" s="8">
        <v>0.67</v>
      </c>
    </row>
    <row r="618" ht="15.75" customHeight="1">
      <c r="A618" s="7" t="s">
        <v>3096</v>
      </c>
      <c r="B618" s="8" t="s">
        <v>3098</v>
      </c>
      <c r="C618" s="7" t="s">
        <v>1449</v>
      </c>
      <c r="D618" s="12" t="s">
        <v>693</v>
      </c>
      <c r="E618" s="13" t="s">
        <v>753</v>
      </c>
      <c r="F618" s="8" t="s">
        <v>695</v>
      </c>
      <c r="G618" s="8" t="b">
        <v>0</v>
      </c>
      <c r="I618" s="8">
        <v>3.0</v>
      </c>
      <c r="J618" s="8">
        <v>0.0</v>
      </c>
      <c r="K618" s="8">
        <v>2.33</v>
      </c>
    </row>
    <row r="619" ht="15.75" customHeight="1">
      <c r="A619" s="7" t="s">
        <v>3099</v>
      </c>
      <c r="B619" s="8" t="s">
        <v>3101</v>
      </c>
      <c r="C619" s="7" t="s">
        <v>617</v>
      </c>
      <c r="D619" s="12" t="s">
        <v>766</v>
      </c>
      <c r="E619" s="13" t="s">
        <v>22</v>
      </c>
      <c r="F619" s="8" t="s">
        <v>767</v>
      </c>
      <c r="G619" s="8" t="b">
        <v>0</v>
      </c>
      <c r="H619" s="8" t="s">
        <v>1792</v>
      </c>
      <c r="I619" s="8">
        <v>3.0</v>
      </c>
      <c r="J619" s="8">
        <v>0.0</v>
      </c>
      <c r="K619" s="8">
        <v>0.0</v>
      </c>
    </row>
    <row r="620" ht="15.75" customHeight="1">
      <c r="A620" s="7" t="s">
        <v>3103</v>
      </c>
      <c r="B620" s="8" t="s">
        <v>3106</v>
      </c>
      <c r="C620" s="7" t="s">
        <v>126</v>
      </c>
      <c r="D620" s="12" t="s">
        <v>39</v>
      </c>
      <c r="E620" s="13" t="s">
        <v>41</v>
      </c>
      <c r="F620" s="8" t="s">
        <v>42</v>
      </c>
      <c r="G620" s="8" t="b">
        <v>0</v>
      </c>
      <c r="H620" s="8" t="s">
        <v>3107</v>
      </c>
      <c r="I620" s="8">
        <v>3.0</v>
      </c>
      <c r="J620" s="8">
        <v>0.0</v>
      </c>
      <c r="K620" s="8">
        <v>0.33</v>
      </c>
    </row>
    <row r="621" ht="15.75" customHeight="1">
      <c r="A621" s="7" t="s">
        <v>3108</v>
      </c>
      <c r="B621" s="8" t="s">
        <v>3111</v>
      </c>
      <c r="C621" s="7" t="s">
        <v>126</v>
      </c>
      <c r="D621" s="12" t="s">
        <v>39</v>
      </c>
      <c r="E621" s="13" t="s">
        <v>41</v>
      </c>
      <c r="F621" s="8" t="s">
        <v>42</v>
      </c>
      <c r="G621" s="8" t="b">
        <v>0</v>
      </c>
      <c r="H621" s="8" t="s">
        <v>3112</v>
      </c>
      <c r="I621" s="8">
        <v>3.0</v>
      </c>
      <c r="J621" s="8">
        <v>0.0</v>
      </c>
      <c r="K621" s="8">
        <v>0.67</v>
      </c>
    </row>
    <row r="622" ht="15.75" customHeight="1">
      <c r="A622" s="7" t="s">
        <v>3113</v>
      </c>
      <c r="B622" s="8" t="s">
        <v>3115</v>
      </c>
      <c r="C622" s="8" t="s">
        <v>1452</v>
      </c>
      <c r="D622" s="12" t="s">
        <v>39</v>
      </c>
      <c r="E622" s="13" t="s">
        <v>190</v>
      </c>
      <c r="F622" s="8" t="s">
        <v>42</v>
      </c>
      <c r="G622" s="8" t="b">
        <v>0</v>
      </c>
      <c r="H622" s="8" t="s">
        <v>3117</v>
      </c>
      <c r="I622" s="8">
        <v>3.0</v>
      </c>
      <c r="J622" s="8">
        <v>0.0</v>
      </c>
      <c r="K622" s="8">
        <v>0.0</v>
      </c>
    </row>
    <row r="623" ht="15.75" customHeight="1">
      <c r="A623" s="7" t="s">
        <v>3118</v>
      </c>
      <c r="B623" s="8" t="s">
        <v>3120</v>
      </c>
      <c r="C623" s="7" t="s">
        <v>1454</v>
      </c>
      <c r="D623" s="12" t="s">
        <v>39</v>
      </c>
      <c r="E623" s="13" t="s">
        <v>190</v>
      </c>
      <c r="F623" s="8" t="s">
        <v>42</v>
      </c>
      <c r="G623" s="8" t="b">
        <v>0</v>
      </c>
      <c r="H623" s="8" t="s">
        <v>3121</v>
      </c>
      <c r="I623" s="8">
        <v>3.0</v>
      </c>
      <c r="J623" s="8">
        <v>0.0</v>
      </c>
      <c r="K623" s="8">
        <v>0.67</v>
      </c>
    </row>
    <row r="624" ht="15.75" customHeight="1">
      <c r="A624" s="7" t="s">
        <v>3123</v>
      </c>
      <c r="B624" s="8" t="s">
        <v>3124</v>
      </c>
      <c r="C624" s="7" t="s">
        <v>536</v>
      </c>
      <c r="D624" s="12" t="s">
        <v>39</v>
      </c>
      <c r="E624" s="13" t="s">
        <v>41</v>
      </c>
      <c r="F624" s="8" t="s">
        <v>42</v>
      </c>
      <c r="G624" s="8" t="b">
        <v>0</v>
      </c>
      <c r="H624" s="8" t="s">
        <v>2924</v>
      </c>
      <c r="I624" s="8">
        <v>3.0</v>
      </c>
      <c r="J624" s="8">
        <v>0.0</v>
      </c>
      <c r="K624" s="8">
        <v>0.67</v>
      </c>
    </row>
    <row r="625" ht="15.75" customHeight="1">
      <c r="A625" s="7" t="s">
        <v>3127</v>
      </c>
      <c r="B625" s="8" t="s">
        <v>3130</v>
      </c>
      <c r="C625" s="7" t="s">
        <v>1297</v>
      </c>
      <c r="D625" s="12" t="s">
        <v>693</v>
      </c>
      <c r="E625" s="13" t="s">
        <v>753</v>
      </c>
      <c r="F625" s="8" t="s">
        <v>695</v>
      </c>
      <c r="G625" s="8" t="b">
        <v>0</v>
      </c>
      <c r="I625" s="8">
        <v>3.0</v>
      </c>
      <c r="J625" s="8">
        <v>0.0</v>
      </c>
      <c r="K625" s="8">
        <v>1.33</v>
      </c>
    </row>
    <row r="626" ht="15.75" customHeight="1">
      <c r="A626" s="7" t="s">
        <v>3133</v>
      </c>
      <c r="B626" s="8" t="s">
        <v>3134</v>
      </c>
      <c r="C626" s="7" t="s">
        <v>1458</v>
      </c>
      <c r="D626" s="12" t="s">
        <v>766</v>
      </c>
      <c r="E626" s="13" t="s">
        <v>41</v>
      </c>
      <c r="F626" s="8" t="s">
        <v>767</v>
      </c>
      <c r="G626" s="8" t="b">
        <v>0</v>
      </c>
      <c r="I626" s="8">
        <v>3.0</v>
      </c>
      <c r="J626" s="8">
        <v>0.0</v>
      </c>
      <c r="K626" s="8">
        <v>1.0</v>
      </c>
    </row>
    <row r="627" ht="15.75" customHeight="1">
      <c r="A627" s="7" t="s">
        <v>3136</v>
      </c>
      <c r="B627" s="8" t="s">
        <v>3137</v>
      </c>
      <c r="C627" s="7" t="s">
        <v>85</v>
      </c>
      <c r="D627" s="12" t="s">
        <v>766</v>
      </c>
      <c r="E627" s="13" t="s">
        <v>22</v>
      </c>
      <c r="F627" s="8" t="s">
        <v>767</v>
      </c>
      <c r="G627" s="8" t="b">
        <v>0</v>
      </c>
      <c r="H627" s="8" t="s">
        <v>498</v>
      </c>
      <c r="I627" s="8">
        <v>3.0</v>
      </c>
      <c r="J627" s="8">
        <v>0.0</v>
      </c>
      <c r="K627" s="8">
        <v>0.67</v>
      </c>
    </row>
    <row r="628" ht="15.75" customHeight="1">
      <c r="A628" s="7" t="s">
        <v>3139</v>
      </c>
      <c r="B628" s="8" t="s">
        <v>3140</v>
      </c>
      <c r="C628" s="8" t="s">
        <v>821</v>
      </c>
      <c r="D628" s="12" t="s">
        <v>39</v>
      </c>
      <c r="E628" s="13" t="s">
        <v>190</v>
      </c>
      <c r="F628" s="8" t="s">
        <v>42</v>
      </c>
      <c r="G628" s="8" t="b">
        <v>0</v>
      </c>
      <c r="H628" s="8" t="s">
        <v>3141</v>
      </c>
      <c r="I628" s="8">
        <v>3.0</v>
      </c>
      <c r="J628" s="8">
        <v>0.0</v>
      </c>
      <c r="K628" s="8">
        <v>0.33</v>
      </c>
    </row>
    <row r="629" ht="15.75" customHeight="1">
      <c r="A629" s="7" t="s">
        <v>3143</v>
      </c>
      <c r="B629" s="8" t="s">
        <v>3144</v>
      </c>
      <c r="C629" s="7" t="s">
        <v>1465</v>
      </c>
      <c r="D629" s="12" t="s">
        <v>39</v>
      </c>
      <c r="E629" s="13" t="s">
        <v>41</v>
      </c>
      <c r="F629" s="8" t="s">
        <v>42</v>
      </c>
      <c r="G629" s="8" t="b">
        <v>0</v>
      </c>
      <c r="H629" s="8" t="s">
        <v>3147</v>
      </c>
      <c r="I629" s="8">
        <v>3.0</v>
      </c>
      <c r="J629" s="8">
        <v>0.0</v>
      </c>
      <c r="K629" s="8">
        <v>3.67</v>
      </c>
    </row>
    <row r="630" ht="15.75" customHeight="1">
      <c r="A630" s="7" t="s">
        <v>3148</v>
      </c>
      <c r="B630" s="8" t="s">
        <v>3149</v>
      </c>
      <c r="C630" s="7" t="s">
        <v>853</v>
      </c>
      <c r="D630" s="12" t="s">
        <v>766</v>
      </c>
      <c r="E630" s="13" t="s">
        <v>41</v>
      </c>
      <c r="F630" s="8" t="s">
        <v>767</v>
      </c>
      <c r="G630" s="8" t="b">
        <v>0</v>
      </c>
      <c r="H630" s="8" t="s">
        <v>498</v>
      </c>
      <c r="I630" s="8">
        <v>3.0</v>
      </c>
      <c r="J630" s="8">
        <v>0.0</v>
      </c>
      <c r="K630" s="8">
        <v>1.67</v>
      </c>
    </row>
    <row r="631" ht="15.75" customHeight="1">
      <c r="A631" s="7" t="s">
        <v>3150</v>
      </c>
      <c r="B631" s="8" t="s">
        <v>3151</v>
      </c>
      <c r="C631" s="8" t="s">
        <v>361</v>
      </c>
      <c r="D631" s="12" t="s">
        <v>39</v>
      </c>
      <c r="E631" s="13" t="s">
        <v>41</v>
      </c>
      <c r="F631" s="8" t="s">
        <v>42</v>
      </c>
      <c r="G631" s="8" t="b">
        <v>0</v>
      </c>
      <c r="H631" s="8" t="s">
        <v>3152</v>
      </c>
      <c r="I631" s="8">
        <v>3.0</v>
      </c>
      <c r="J631" s="8">
        <v>0.0</v>
      </c>
      <c r="K631" s="8">
        <v>1.0</v>
      </c>
    </row>
    <row r="632" ht="15.75" customHeight="1">
      <c r="A632" s="7" t="s">
        <v>3154</v>
      </c>
      <c r="B632" s="8" t="s">
        <v>3156</v>
      </c>
      <c r="C632" s="7" t="s">
        <v>246</v>
      </c>
      <c r="D632" s="12" t="s">
        <v>39</v>
      </c>
      <c r="E632" s="13" t="s">
        <v>73</v>
      </c>
      <c r="F632" s="8" t="s">
        <v>42</v>
      </c>
      <c r="G632" s="8" t="b">
        <v>0</v>
      </c>
      <c r="H632" s="8" t="s">
        <v>3158</v>
      </c>
      <c r="I632" s="8">
        <v>3.0</v>
      </c>
      <c r="J632" s="8">
        <v>0.0</v>
      </c>
      <c r="K632" s="8">
        <v>0.0</v>
      </c>
    </row>
    <row r="633" ht="15.75" customHeight="1">
      <c r="A633" s="7" t="s">
        <v>3159</v>
      </c>
      <c r="B633" s="8" t="s">
        <v>3161</v>
      </c>
      <c r="C633" s="7" t="s">
        <v>1469</v>
      </c>
      <c r="D633" s="12" t="s">
        <v>554</v>
      </c>
      <c r="E633" s="13" t="s">
        <v>41</v>
      </c>
      <c r="F633" s="8" t="s">
        <v>555</v>
      </c>
      <c r="G633" s="8" t="b">
        <v>0</v>
      </c>
      <c r="I633" s="8">
        <v>3.0</v>
      </c>
      <c r="J633" s="8">
        <v>0.0</v>
      </c>
      <c r="K633" s="8">
        <v>0.0</v>
      </c>
    </row>
    <row r="634" ht="15.75" customHeight="1">
      <c r="A634" s="7" t="s">
        <v>3164</v>
      </c>
      <c r="B634" s="8" t="s">
        <v>3167</v>
      </c>
      <c r="C634" s="7" t="s">
        <v>1473</v>
      </c>
      <c r="D634" s="12" t="s">
        <v>39</v>
      </c>
      <c r="E634" s="13" t="s">
        <v>41</v>
      </c>
      <c r="F634" s="8" t="s">
        <v>42</v>
      </c>
      <c r="G634" s="8" t="b">
        <v>0</v>
      </c>
      <c r="H634" s="8" t="s">
        <v>3170</v>
      </c>
      <c r="I634" s="8">
        <v>3.0</v>
      </c>
      <c r="J634" s="8">
        <v>0.0</v>
      </c>
      <c r="K634" s="8">
        <v>1.0</v>
      </c>
    </row>
    <row r="635" ht="15.75" customHeight="1">
      <c r="A635" s="7" t="s">
        <v>3171</v>
      </c>
      <c r="B635" s="8" t="s">
        <v>3174</v>
      </c>
      <c r="C635" s="7" t="s">
        <v>1476</v>
      </c>
      <c r="D635" s="12" t="s">
        <v>104</v>
      </c>
      <c r="E635" s="13" t="s">
        <v>41</v>
      </c>
      <c r="F635" s="8" t="s">
        <v>106</v>
      </c>
      <c r="G635" s="8" t="b">
        <v>0</v>
      </c>
      <c r="H635" s="8" t="s">
        <v>3176</v>
      </c>
      <c r="I635" s="8">
        <v>3.0</v>
      </c>
      <c r="J635" s="8">
        <v>0.0</v>
      </c>
      <c r="K635" s="8">
        <v>0.0</v>
      </c>
    </row>
    <row r="636" ht="15.75" customHeight="1">
      <c r="A636" s="7" t="s">
        <v>3178</v>
      </c>
      <c r="B636" s="8" t="s">
        <v>3179</v>
      </c>
      <c r="C636" s="7" t="s">
        <v>1483</v>
      </c>
      <c r="D636" s="12" t="s">
        <v>39</v>
      </c>
      <c r="E636" s="13" t="s">
        <v>41</v>
      </c>
      <c r="F636" s="8" t="s">
        <v>42</v>
      </c>
      <c r="G636" s="8" t="b">
        <v>0</v>
      </c>
      <c r="H636" s="8" t="s">
        <v>3182</v>
      </c>
      <c r="I636" s="8">
        <v>3.0</v>
      </c>
      <c r="J636" s="8">
        <v>0.0</v>
      </c>
      <c r="K636" s="8">
        <v>0.0</v>
      </c>
    </row>
    <row r="637" ht="15.75" customHeight="1">
      <c r="A637" s="7" t="s">
        <v>3183</v>
      </c>
      <c r="B637" s="8" t="s">
        <v>3185</v>
      </c>
      <c r="C637" s="7" t="s">
        <v>1489</v>
      </c>
      <c r="D637" s="12" t="s">
        <v>39</v>
      </c>
      <c r="E637" s="13" t="s">
        <v>41</v>
      </c>
      <c r="F637" s="8" t="s">
        <v>42</v>
      </c>
      <c r="G637" s="8" t="b">
        <v>0</v>
      </c>
      <c r="H637" s="8" t="s">
        <v>3187</v>
      </c>
      <c r="I637" s="8">
        <v>3.0</v>
      </c>
      <c r="J637" s="8">
        <v>0.0</v>
      </c>
      <c r="K637" s="8">
        <v>0.33</v>
      </c>
    </row>
    <row r="638" ht="15.75" customHeight="1">
      <c r="A638" s="7" t="s">
        <v>3188</v>
      </c>
      <c r="B638" s="8" t="s">
        <v>3191</v>
      </c>
      <c r="C638" s="7" t="s">
        <v>1493</v>
      </c>
      <c r="D638" s="12" t="s">
        <v>39</v>
      </c>
      <c r="E638" s="13" t="s">
        <v>41</v>
      </c>
      <c r="F638" s="8" t="s">
        <v>42</v>
      </c>
      <c r="G638" s="8" t="b">
        <v>0</v>
      </c>
      <c r="H638" s="8" t="s">
        <v>3192</v>
      </c>
      <c r="I638" s="8">
        <v>3.0</v>
      </c>
      <c r="J638" s="8">
        <v>0.0</v>
      </c>
      <c r="K638" s="8">
        <v>0.0</v>
      </c>
    </row>
    <row r="639" ht="15.75" customHeight="1">
      <c r="A639" s="7" t="s">
        <v>3194</v>
      </c>
      <c r="B639" s="8" t="s">
        <v>3196</v>
      </c>
      <c r="C639" s="8" t="s">
        <v>352</v>
      </c>
      <c r="D639" s="12" t="s">
        <v>39</v>
      </c>
      <c r="E639" s="13" t="s">
        <v>41</v>
      </c>
      <c r="F639" s="8" t="s">
        <v>42</v>
      </c>
      <c r="G639" s="8" t="b">
        <v>0</v>
      </c>
      <c r="H639" s="8" t="s">
        <v>3198</v>
      </c>
      <c r="I639" s="8">
        <v>3.0</v>
      </c>
      <c r="J639" s="8">
        <v>0.0</v>
      </c>
      <c r="K639" s="8">
        <v>0.33</v>
      </c>
    </row>
    <row r="640" ht="15.75" customHeight="1">
      <c r="A640" s="7" t="s">
        <v>3199</v>
      </c>
      <c r="B640" s="8" t="s">
        <v>3200</v>
      </c>
      <c r="C640" s="7" t="s">
        <v>1497</v>
      </c>
      <c r="D640" s="12" t="s">
        <v>72</v>
      </c>
      <c r="E640" s="13" t="s">
        <v>41</v>
      </c>
      <c r="F640" s="8" t="s">
        <v>74</v>
      </c>
      <c r="G640" s="8" t="b">
        <v>0</v>
      </c>
      <c r="H640" s="8" t="s">
        <v>3202</v>
      </c>
      <c r="I640" s="8">
        <v>3.0</v>
      </c>
      <c r="J640" s="8">
        <v>0.0</v>
      </c>
      <c r="K640" s="8">
        <v>0.0</v>
      </c>
    </row>
    <row r="641" ht="15.75" customHeight="1">
      <c r="A641" s="7" t="s">
        <v>3203</v>
      </c>
      <c r="B641" s="8" t="s">
        <v>3205</v>
      </c>
      <c r="C641" s="7" t="s">
        <v>1504</v>
      </c>
      <c r="D641" s="12" t="s">
        <v>39</v>
      </c>
      <c r="E641" s="13" t="s">
        <v>41</v>
      </c>
      <c r="F641" s="8" t="s">
        <v>42</v>
      </c>
      <c r="G641" s="8" t="b">
        <v>0</v>
      </c>
      <c r="H641" s="8" t="s">
        <v>3206</v>
      </c>
      <c r="I641" s="8">
        <v>3.0</v>
      </c>
      <c r="J641" s="8">
        <v>0.0</v>
      </c>
      <c r="K641" s="8">
        <v>0.0</v>
      </c>
    </row>
    <row r="642" ht="15.75" customHeight="1">
      <c r="A642" s="7" t="s">
        <v>3207</v>
      </c>
      <c r="B642" s="8" t="s">
        <v>3209</v>
      </c>
      <c r="C642" s="7" t="s">
        <v>1354</v>
      </c>
      <c r="D642" s="12" t="s">
        <v>39</v>
      </c>
      <c r="E642" s="13" t="s">
        <v>753</v>
      </c>
      <c r="F642" s="8" t="s">
        <v>42</v>
      </c>
      <c r="G642" s="8" t="b">
        <v>0</v>
      </c>
      <c r="H642" s="8" t="s">
        <v>3211</v>
      </c>
      <c r="I642" s="8">
        <v>3.0</v>
      </c>
      <c r="J642" s="8">
        <v>0.0</v>
      </c>
      <c r="K642" s="8">
        <v>1.0</v>
      </c>
    </row>
    <row r="643" ht="15.75" customHeight="1">
      <c r="A643" s="7" t="s">
        <v>3212</v>
      </c>
      <c r="B643" s="8" t="s">
        <v>3213</v>
      </c>
      <c r="C643" s="7" t="s">
        <v>1035</v>
      </c>
      <c r="D643" s="12" t="s">
        <v>39</v>
      </c>
      <c r="E643" s="13" t="s">
        <v>41</v>
      </c>
      <c r="F643" s="8" t="s">
        <v>42</v>
      </c>
      <c r="G643" s="8" t="b">
        <v>0</v>
      </c>
      <c r="H643" s="8" t="s">
        <v>3215</v>
      </c>
      <c r="I643" s="8">
        <v>3.0</v>
      </c>
      <c r="J643" s="8">
        <v>0.0</v>
      </c>
      <c r="K643" s="8">
        <v>1.0</v>
      </c>
    </row>
    <row r="644" ht="15.75" customHeight="1">
      <c r="A644" s="7" t="s">
        <v>3217</v>
      </c>
      <c r="B644" s="8" t="s">
        <v>3219</v>
      </c>
      <c r="C644" s="7" t="s">
        <v>1317</v>
      </c>
      <c r="D644" s="12" t="s">
        <v>766</v>
      </c>
      <c r="E644" s="13" t="s">
        <v>22</v>
      </c>
      <c r="F644" s="8" t="s">
        <v>767</v>
      </c>
      <c r="G644" s="8" t="b">
        <v>0</v>
      </c>
      <c r="H644" s="8" t="s">
        <v>1320</v>
      </c>
      <c r="I644" s="8">
        <v>3.0</v>
      </c>
      <c r="J644" s="8">
        <v>0.0</v>
      </c>
      <c r="K644" s="8">
        <v>0.67</v>
      </c>
    </row>
    <row r="645" ht="15.75" customHeight="1">
      <c r="A645" s="7" t="s">
        <v>3221</v>
      </c>
      <c r="B645" s="8" t="s">
        <v>1590</v>
      </c>
      <c r="C645" s="7" t="s">
        <v>526</v>
      </c>
      <c r="D645" s="12" t="s">
        <v>190</v>
      </c>
      <c r="E645" s="13" t="s">
        <v>73</v>
      </c>
      <c r="F645" s="8" t="s">
        <v>191</v>
      </c>
      <c r="G645" s="8" t="b">
        <v>0</v>
      </c>
      <c r="H645" s="8" t="s">
        <v>1592</v>
      </c>
      <c r="I645" s="8">
        <v>3.0</v>
      </c>
      <c r="J645" s="8">
        <v>0.0</v>
      </c>
      <c r="K645" s="8">
        <v>0.0</v>
      </c>
    </row>
    <row r="646" ht="15.75" customHeight="1">
      <c r="A646" s="7" t="s">
        <v>3224</v>
      </c>
      <c r="B646" s="8" t="s">
        <v>3227</v>
      </c>
      <c r="C646" s="7" t="s">
        <v>1522</v>
      </c>
      <c r="D646" s="12" t="s">
        <v>554</v>
      </c>
      <c r="E646" s="13" t="s">
        <v>22</v>
      </c>
      <c r="F646" s="8" t="s">
        <v>555</v>
      </c>
      <c r="G646" s="8" t="b">
        <v>0</v>
      </c>
      <c r="H646" s="8" t="s">
        <v>3229</v>
      </c>
      <c r="I646" s="8">
        <v>3.0</v>
      </c>
      <c r="J646" s="8">
        <v>0.0</v>
      </c>
      <c r="K646" s="8">
        <v>1.0</v>
      </c>
    </row>
    <row r="647" ht="15.75" customHeight="1">
      <c r="A647" s="7" t="s">
        <v>3230</v>
      </c>
      <c r="B647" s="8" t="s">
        <v>3232</v>
      </c>
      <c r="C647" s="7" t="s">
        <v>118</v>
      </c>
      <c r="D647" s="12" t="s">
        <v>39</v>
      </c>
      <c r="E647" s="13" t="s">
        <v>22</v>
      </c>
      <c r="F647" s="8" t="s">
        <v>42</v>
      </c>
      <c r="G647" s="8" t="b">
        <v>0</v>
      </c>
      <c r="H647" s="8" t="s">
        <v>3233</v>
      </c>
      <c r="I647" s="8">
        <v>3.0</v>
      </c>
      <c r="J647" s="8">
        <v>0.0</v>
      </c>
      <c r="K647" s="8">
        <v>3.33</v>
      </c>
    </row>
    <row r="648" ht="15.75" customHeight="1">
      <c r="A648" s="7" t="s">
        <v>3234</v>
      </c>
      <c r="B648" s="8" t="s">
        <v>3236</v>
      </c>
      <c r="C648" s="7" t="s">
        <v>30</v>
      </c>
      <c r="D648" s="12" t="s">
        <v>39</v>
      </c>
      <c r="E648" s="13" t="s">
        <v>41</v>
      </c>
      <c r="F648" s="8" t="s">
        <v>42</v>
      </c>
      <c r="G648" s="8" t="b">
        <v>0</v>
      </c>
      <c r="I648" s="8">
        <v>3.0</v>
      </c>
      <c r="J648" s="8">
        <v>0.0</v>
      </c>
      <c r="K648" s="8">
        <v>0.0</v>
      </c>
    </row>
    <row r="649" ht="15.75" customHeight="1">
      <c r="A649" s="7" t="s">
        <v>3238</v>
      </c>
      <c r="B649" s="8" t="s">
        <v>3239</v>
      </c>
      <c r="C649" s="7" t="s">
        <v>30</v>
      </c>
      <c r="D649" s="12" t="s">
        <v>21</v>
      </c>
      <c r="E649" s="13" t="s">
        <v>41</v>
      </c>
      <c r="F649" s="8" t="s">
        <v>24</v>
      </c>
      <c r="G649" s="8" t="b">
        <v>0</v>
      </c>
      <c r="H649" s="8" t="s">
        <v>3241</v>
      </c>
      <c r="I649" s="8">
        <v>3.0</v>
      </c>
      <c r="J649" s="8">
        <v>0.0</v>
      </c>
      <c r="K649" s="8">
        <v>0.0</v>
      </c>
    </row>
    <row r="650" ht="15.75" customHeight="1">
      <c r="A650" s="7" t="s">
        <v>3242</v>
      </c>
      <c r="B650" s="8" t="s">
        <v>3244</v>
      </c>
      <c r="C650" s="7" t="s">
        <v>30</v>
      </c>
      <c r="D650" s="12" t="s">
        <v>72</v>
      </c>
      <c r="E650" s="13" t="s">
        <v>41</v>
      </c>
      <c r="F650" s="8" t="s">
        <v>74</v>
      </c>
      <c r="G650" s="8" t="b">
        <v>0</v>
      </c>
      <c r="H650" s="8" t="s">
        <v>3245</v>
      </c>
      <c r="I650" s="8">
        <v>3.0</v>
      </c>
      <c r="J650" s="8">
        <v>0.0</v>
      </c>
      <c r="K650" s="8">
        <v>0.0</v>
      </c>
    </row>
    <row r="651" ht="15.75" customHeight="1">
      <c r="A651" s="7" t="s">
        <v>3247</v>
      </c>
      <c r="B651" s="8" t="s">
        <v>3249</v>
      </c>
      <c r="C651" s="7" t="s">
        <v>188</v>
      </c>
      <c r="D651" s="12" t="s">
        <v>39</v>
      </c>
      <c r="E651" s="13" t="s">
        <v>22</v>
      </c>
      <c r="F651" s="8" t="s">
        <v>42</v>
      </c>
      <c r="G651" s="8" t="b">
        <v>0</v>
      </c>
      <c r="H651" s="8" t="s">
        <v>1862</v>
      </c>
      <c r="I651" s="8">
        <v>3.0</v>
      </c>
      <c r="J651" s="8">
        <v>0.0</v>
      </c>
      <c r="K651" s="8">
        <v>0.67</v>
      </c>
    </row>
    <row r="652" ht="15.75" customHeight="1">
      <c r="A652" s="7" t="s">
        <v>3251</v>
      </c>
      <c r="B652" s="8" t="s">
        <v>3252</v>
      </c>
      <c r="C652" s="7" t="s">
        <v>466</v>
      </c>
      <c r="D652" s="12" t="s">
        <v>39</v>
      </c>
      <c r="E652" s="13" t="s">
        <v>41</v>
      </c>
      <c r="F652" s="8" t="s">
        <v>42</v>
      </c>
      <c r="G652" s="8" t="b">
        <v>0</v>
      </c>
      <c r="H652" s="8" t="s">
        <v>3253</v>
      </c>
      <c r="I652" s="8">
        <v>3.0</v>
      </c>
      <c r="J652" s="8">
        <v>0.0</v>
      </c>
      <c r="K652" s="8">
        <v>0.67</v>
      </c>
    </row>
    <row r="653" ht="15.75" customHeight="1">
      <c r="A653" s="7" t="s">
        <v>3254</v>
      </c>
      <c r="B653" s="8" t="s">
        <v>3255</v>
      </c>
      <c r="C653" s="7" t="s">
        <v>1525</v>
      </c>
      <c r="D653" s="12" t="s">
        <v>39</v>
      </c>
      <c r="E653" s="13" t="s">
        <v>41</v>
      </c>
      <c r="F653" s="8" t="s">
        <v>42</v>
      </c>
      <c r="G653" s="8" t="b">
        <v>0</v>
      </c>
      <c r="H653" s="8" t="s">
        <v>154</v>
      </c>
      <c r="I653" s="8">
        <v>3.0</v>
      </c>
      <c r="J653" s="8">
        <v>0.0</v>
      </c>
      <c r="K653" s="8">
        <v>0.67</v>
      </c>
    </row>
    <row r="654" ht="15.75" customHeight="1">
      <c r="A654" s="7" t="s">
        <v>3256</v>
      </c>
      <c r="B654" s="8" t="s">
        <v>3257</v>
      </c>
      <c r="C654" s="7" t="s">
        <v>364</v>
      </c>
      <c r="D654" s="12" t="s">
        <v>39</v>
      </c>
      <c r="E654" s="13" t="s">
        <v>41</v>
      </c>
      <c r="F654" s="8" t="s">
        <v>42</v>
      </c>
      <c r="G654" s="8" t="b">
        <v>0</v>
      </c>
      <c r="H654" s="8" t="s">
        <v>1779</v>
      </c>
      <c r="I654" s="8">
        <v>3.0</v>
      </c>
      <c r="J654" s="8">
        <v>0.0</v>
      </c>
      <c r="K654" s="8">
        <v>0.0</v>
      </c>
    </row>
    <row r="655" ht="15.75" customHeight="1">
      <c r="A655" s="7" t="s">
        <v>3259</v>
      </c>
      <c r="B655" s="8" t="s">
        <v>3260</v>
      </c>
      <c r="C655" s="7" t="s">
        <v>364</v>
      </c>
      <c r="D655" s="12" t="s">
        <v>39</v>
      </c>
      <c r="E655" s="13" t="s">
        <v>41</v>
      </c>
      <c r="F655" s="8" t="s">
        <v>42</v>
      </c>
      <c r="G655" s="8" t="b">
        <v>0</v>
      </c>
      <c r="H655" s="8" t="s">
        <v>3261</v>
      </c>
      <c r="I655" s="8">
        <v>3.0</v>
      </c>
      <c r="J655" s="8">
        <v>0.0</v>
      </c>
      <c r="K655" s="8">
        <v>0.33</v>
      </c>
    </row>
    <row r="656" ht="15.75" customHeight="1">
      <c r="A656" s="7" t="s">
        <v>3262</v>
      </c>
      <c r="B656" s="8" t="s">
        <v>3265</v>
      </c>
      <c r="C656" s="7" t="s">
        <v>412</v>
      </c>
      <c r="D656" s="12" t="s">
        <v>693</v>
      </c>
      <c r="E656" s="13" t="s">
        <v>753</v>
      </c>
      <c r="F656" s="8" t="s">
        <v>695</v>
      </c>
      <c r="G656" s="8" t="b">
        <v>1</v>
      </c>
      <c r="H656" s="8" t="s">
        <v>3266</v>
      </c>
      <c r="I656" s="8">
        <v>3.0</v>
      </c>
      <c r="J656" s="8">
        <v>0.0</v>
      </c>
      <c r="K656" s="8">
        <v>0.33</v>
      </c>
    </row>
    <row r="657" ht="15.75" customHeight="1">
      <c r="A657" s="7" t="s">
        <v>3267</v>
      </c>
      <c r="B657" s="8" t="s">
        <v>3269</v>
      </c>
      <c r="C657" s="7" t="s">
        <v>286</v>
      </c>
      <c r="D657" s="12" t="s">
        <v>39</v>
      </c>
      <c r="E657" s="13" t="s">
        <v>73</v>
      </c>
      <c r="F657" s="8" t="s">
        <v>42</v>
      </c>
      <c r="G657" s="8" t="b">
        <v>0</v>
      </c>
      <c r="H657" s="8" t="s">
        <v>3270</v>
      </c>
      <c r="I657" s="8">
        <v>3.0</v>
      </c>
      <c r="J657" s="8">
        <v>0.0</v>
      </c>
      <c r="K657" s="8">
        <v>0.0</v>
      </c>
    </row>
    <row r="658" ht="15.75" customHeight="1">
      <c r="A658" s="7" t="s">
        <v>3271</v>
      </c>
      <c r="B658" s="8" t="s">
        <v>3272</v>
      </c>
      <c r="C658" s="7" t="s">
        <v>1137</v>
      </c>
      <c r="D658" s="12" t="s">
        <v>39</v>
      </c>
      <c r="E658" s="13" t="s">
        <v>41</v>
      </c>
      <c r="F658" s="8" t="s">
        <v>42</v>
      </c>
      <c r="G658" s="8" t="b">
        <v>0</v>
      </c>
      <c r="H658" s="8" t="s">
        <v>3273</v>
      </c>
      <c r="I658" s="8">
        <v>3.0</v>
      </c>
      <c r="J658" s="8">
        <v>0.0</v>
      </c>
      <c r="K658" s="8">
        <v>1.67</v>
      </c>
    </row>
    <row r="659" ht="15.75" customHeight="1">
      <c r="A659" s="7" t="s">
        <v>3274</v>
      </c>
      <c r="B659" s="8" t="s">
        <v>3276</v>
      </c>
      <c r="C659" s="7" t="s">
        <v>1529</v>
      </c>
      <c r="D659" s="12" t="s">
        <v>39</v>
      </c>
      <c r="E659" s="13" t="s">
        <v>41</v>
      </c>
      <c r="F659" s="8" t="s">
        <v>42</v>
      </c>
      <c r="G659" s="8" t="b">
        <v>0</v>
      </c>
      <c r="H659" s="8" t="s">
        <v>3278</v>
      </c>
      <c r="I659" s="8">
        <v>3.0</v>
      </c>
      <c r="J659" s="8">
        <v>0.0</v>
      </c>
      <c r="K659" s="8">
        <v>1.0</v>
      </c>
    </row>
    <row r="660" ht="15.75" customHeight="1">
      <c r="A660" s="7" t="s">
        <v>3280</v>
      </c>
      <c r="B660" s="8" t="s">
        <v>3281</v>
      </c>
      <c r="C660" s="7" t="s">
        <v>1532</v>
      </c>
      <c r="D660" s="12" t="s">
        <v>766</v>
      </c>
      <c r="E660" s="13" t="s">
        <v>41</v>
      </c>
      <c r="F660" s="8" t="s">
        <v>767</v>
      </c>
      <c r="G660" s="8" t="b">
        <v>0</v>
      </c>
      <c r="H660" s="8" t="s">
        <v>1534</v>
      </c>
      <c r="I660" s="8">
        <v>3.0</v>
      </c>
      <c r="J660" s="8">
        <v>0.0</v>
      </c>
      <c r="K660" s="8">
        <v>1.33</v>
      </c>
    </row>
    <row r="661" ht="15.75" customHeight="1">
      <c r="A661" s="7" t="s">
        <v>3283</v>
      </c>
      <c r="B661" s="8" t="s">
        <v>3285</v>
      </c>
      <c r="C661" s="7" t="s">
        <v>1535</v>
      </c>
      <c r="D661" s="12" t="s">
        <v>39</v>
      </c>
      <c r="E661" s="13" t="s">
        <v>41</v>
      </c>
      <c r="F661" s="8" t="s">
        <v>42</v>
      </c>
      <c r="G661" s="8" t="b">
        <v>0</v>
      </c>
      <c r="H661" s="8" t="s">
        <v>1537</v>
      </c>
      <c r="I661" s="8">
        <v>3.0</v>
      </c>
      <c r="J661" s="8">
        <v>0.0</v>
      </c>
      <c r="K661" s="8">
        <v>0.67</v>
      </c>
    </row>
    <row r="662" ht="15.75" customHeight="1">
      <c r="A662" s="7" t="s">
        <v>3287</v>
      </c>
      <c r="B662" s="8" t="s">
        <v>3289</v>
      </c>
      <c r="C662" s="7" t="s">
        <v>20</v>
      </c>
      <c r="D662" s="12" t="s">
        <v>39</v>
      </c>
      <c r="E662" s="13" t="s">
        <v>22</v>
      </c>
      <c r="F662" s="8" t="s">
        <v>42</v>
      </c>
      <c r="G662" s="8" t="b">
        <v>0</v>
      </c>
      <c r="H662" s="8" t="s">
        <v>3290</v>
      </c>
      <c r="I662" s="8">
        <v>3.0</v>
      </c>
      <c r="J662" s="8">
        <v>0.0</v>
      </c>
      <c r="K662" s="8">
        <v>0.33</v>
      </c>
    </row>
    <row r="663" ht="15.75" customHeight="1">
      <c r="A663" s="7" t="s">
        <v>3292</v>
      </c>
      <c r="B663" s="8" t="s">
        <v>3294</v>
      </c>
      <c r="C663" s="7" t="s">
        <v>20</v>
      </c>
      <c r="D663" s="12" t="s">
        <v>39</v>
      </c>
      <c r="E663" s="13" t="s">
        <v>22</v>
      </c>
      <c r="F663" s="8" t="s">
        <v>42</v>
      </c>
      <c r="G663" s="8" t="b">
        <v>1</v>
      </c>
      <c r="H663" s="8" t="s">
        <v>3295</v>
      </c>
      <c r="I663" s="8">
        <v>3.0</v>
      </c>
      <c r="J663" s="8">
        <v>0.0</v>
      </c>
      <c r="K663" s="8">
        <v>1.33</v>
      </c>
    </row>
    <row r="664" ht="15.75" customHeight="1">
      <c r="A664" s="7" t="s">
        <v>3296</v>
      </c>
      <c r="B664" s="8" t="s">
        <v>3299</v>
      </c>
      <c r="C664" s="7" t="s">
        <v>20</v>
      </c>
      <c r="D664" s="12" t="s">
        <v>39</v>
      </c>
      <c r="E664" s="13" t="s">
        <v>22</v>
      </c>
      <c r="F664" s="8" t="s">
        <v>42</v>
      </c>
      <c r="G664" s="8" t="b">
        <v>0</v>
      </c>
      <c r="H664" s="8" t="s">
        <v>3300</v>
      </c>
      <c r="I664" s="8">
        <v>3.0</v>
      </c>
      <c r="J664" s="8">
        <v>0.0</v>
      </c>
      <c r="K664" s="8">
        <v>1.33</v>
      </c>
    </row>
    <row r="665" ht="15.75" customHeight="1">
      <c r="A665" s="7" t="s">
        <v>3301</v>
      </c>
      <c r="B665" s="8" t="s">
        <v>3303</v>
      </c>
      <c r="C665" s="7" t="s">
        <v>20</v>
      </c>
      <c r="D665" s="12" t="s">
        <v>39</v>
      </c>
      <c r="E665" s="13" t="s">
        <v>22</v>
      </c>
      <c r="F665" s="8" t="s">
        <v>42</v>
      </c>
      <c r="G665" s="8" t="b">
        <v>0</v>
      </c>
      <c r="H665" s="8" t="s">
        <v>3304</v>
      </c>
      <c r="I665" s="8">
        <v>3.0</v>
      </c>
      <c r="J665" s="8">
        <v>0.0</v>
      </c>
      <c r="K665" s="8">
        <v>1.33</v>
      </c>
    </row>
    <row r="666" ht="15.75" customHeight="1">
      <c r="A666" s="7" t="s">
        <v>3306</v>
      </c>
      <c r="B666" s="8" t="s">
        <v>3307</v>
      </c>
      <c r="C666" s="7" t="s">
        <v>1342</v>
      </c>
      <c r="D666" s="12" t="s">
        <v>39</v>
      </c>
      <c r="E666" s="13" t="s">
        <v>753</v>
      </c>
      <c r="F666" s="8" t="s">
        <v>42</v>
      </c>
      <c r="G666" s="8" t="b">
        <v>0</v>
      </c>
      <c r="H666" s="8" t="s">
        <v>3309</v>
      </c>
      <c r="I666" s="8">
        <v>3.0</v>
      </c>
      <c r="J666" s="8">
        <v>0.0</v>
      </c>
      <c r="K666" s="8">
        <v>0.0</v>
      </c>
    </row>
    <row r="667" ht="15.75" customHeight="1">
      <c r="A667" s="7" t="s">
        <v>3310</v>
      </c>
      <c r="B667" s="8" t="s">
        <v>3313</v>
      </c>
      <c r="C667" s="7" t="s">
        <v>1204</v>
      </c>
      <c r="D667" s="12" t="s">
        <v>39</v>
      </c>
      <c r="E667" s="13" t="s">
        <v>73</v>
      </c>
      <c r="F667" s="8" t="s">
        <v>42</v>
      </c>
      <c r="G667" s="8" t="b">
        <v>0</v>
      </c>
      <c r="H667" s="8" t="s">
        <v>3314</v>
      </c>
      <c r="I667" s="8">
        <v>3.0</v>
      </c>
      <c r="J667" s="8">
        <v>0.0</v>
      </c>
      <c r="K667" s="8">
        <v>0.0</v>
      </c>
    </row>
    <row r="668" ht="15.75" customHeight="1">
      <c r="A668" s="7" t="s">
        <v>3316</v>
      </c>
      <c r="B668" s="8" t="s">
        <v>3317</v>
      </c>
      <c r="C668" s="7" t="s">
        <v>624</v>
      </c>
      <c r="D668" s="12" t="s">
        <v>693</v>
      </c>
      <c r="E668" s="13" t="s">
        <v>753</v>
      </c>
      <c r="F668" s="8" t="s">
        <v>695</v>
      </c>
      <c r="G668" s="8" t="b">
        <v>0</v>
      </c>
      <c r="H668" s="8" t="s">
        <v>3319</v>
      </c>
      <c r="I668" s="8">
        <v>3.0</v>
      </c>
      <c r="J668" s="8">
        <v>0.0</v>
      </c>
      <c r="K668" s="8">
        <v>2.0</v>
      </c>
    </row>
    <row r="669" ht="15.75" customHeight="1">
      <c r="A669" s="7" t="s">
        <v>3320</v>
      </c>
      <c r="B669" s="8" t="s">
        <v>3322</v>
      </c>
      <c r="C669" s="7" t="s">
        <v>1548</v>
      </c>
      <c r="D669" s="12" t="s">
        <v>39</v>
      </c>
      <c r="E669" s="13" t="s">
        <v>41</v>
      </c>
      <c r="F669" s="8" t="s">
        <v>42</v>
      </c>
      <c r="G669" s="8" t="b">
        <v>0</v>
      </c>
      <c r="H669" s="8" t="s">
        <v>3324</v>
      </c>
      <c r="I669" s="8">
        <v>3.0</v>
      </c>
      <c r="J669" s="8">
        <v>0.0</v>
      </c>
      <c r="K669" s="8">
        <v>1.0</v>
      </c>
    </row>
    <row r="670" ht="15.75" customHeight="1">
      <c r="A670" s="7" t="s">
        <v>3326</v>
      </c>
      <c r="B670" s="8" t="s">
        <v>3327</v>
      </c>
      <c r="C670" s="7" t="s">
        <v>277</v>
      </c>
      <c r="D670" s="12" t="s">
        <v>39</v>
      </c>
      <c r="E670" s="13" t="s">
        <v>76</v>
      </c>
      <c r="F670" s="8" t="s">
        <v>42</v>
      </c>
      <c r="G670" s="8" t="b">
        <v>0</v>
      </c>
      <c r="H670" s="8" t="s">
        <v>3329</v>
      </c>
      <c r="I670" s="8">
        <v>3.0</v>
      </c>
      <c r="J670" s="8">
        <v>0.0</v>
      </c>
      <c r="K670" s="8">
        <v>1.33</v>
      </c>
    </row>
    <row r="671" ht="15.75" customHeight="1">
      <c r="A671" s="7" t="s">
        <v>3330</v>
      </c>
      <c r="B671" s="8" t="s">
        <v>3332</v>
      </c>
      <c r="C671" s="7" t="s">
        <v>277</v>
      </c>
      <c r="D671" s="12" t="s">
        <v>39</v>
      </c>
      <c r="E671" s="13" t="s">
        <v>76</v>
      </c>
      <c r="F671" s="8" t="s">
        <v>42</v>
      </c>
      <c r="G671" s="8" t="b">
        <v>0</v>
      </c>
      <c r="H671" s="8" t="s">
        <v>3334</v>
      </c>
      <c r="I671" s="8">
        <v>3.0</v>
      </c>
      <c r="J671" s="8">
        <v>0.0</v>
      </c>
      <c r="K671" s="8">
        <v>1.33</v>
      </c>
    </row>
    <row r="672" ht="15.75" customHeight="1">
      <c r="A672" s="7" t="s">
        <v>3335</v>
      </c>
      <c r="B672" s="8" t="s">
        <v>3337</v>
      </c>
      <c r="C672" s="7" t="s">
        <v>277</v>
      </c>
      <c r="D672" s="12" t="s">
        <v>104</v>
      </c>
      <c r="E672" s="13" t="s">
        <v>76</v>
      </c>
      <c r="F672" s="8" t="s">
        <v>106</v>
      </c>
      <c r="G672" s="8" t="b">
        <v>0</v>
      </c>
      <c r="H672" s="8" t="s">
        <v>3338</v>
      </c>
      <c r="I672" s="8">
        <v>3.0</v>
      </c>
      <c r="J672" s="8">
        <v>0.0</v>
      </c>
      <c r="K672" s="8">
        <v>1.0</v>
      </c>
    </row>
    <row r="673" ht="15.75" customHeight="1">
      <c r="A673" s="7" t="s">
        <v>3339</v>
      </c>
      <c r="B673" s="8" t="s">
        <v>3340</v>
      </c>
      <c r="C673" s="7" t="s">
        <v>463</v>
      </c>
      <c r="D673" s="12" t="s">
        <v>39</v>
      </c>
      <c r="E673" s="13" t="s">
        <v>73</v>
      </c>
      <c r="F673" s="8" t="s">
        <v>42</v>
      </c>
      <c r="G673" s="8" t="b">
        <v>0</v>
      </c>
      <c r="H673" s="8" t="s">
        <v>3342</v>
      </c>
      <c r="I673" s="8">
        <v>3.0</v>
      </c>
      <c r="J673" s="8">
        <v>0.0</v>
      </c>
      <c r="K673" s="8">
        <v>3.67</v>
      </c>
    </row>
    <row r="674" ht="15.75" customHeight="1">
      <c r="A674" s="7" t="s">
        <v>3343</v>
      </c>
      <c r="B674" s="8" t="s">
        <v>3344</v>
      </c>
      <c r="C674" s="7" t="s">
        <v>463</v>
      </c>
      <c r="D674" s="12" t="s">
        <v>39</v>
      </c>
      <c r="E674" s="13" t="s">
        <v>73</v>
      </c>
      <c r="F674" s="8" t="s">
        <v>42</v>
      </c>
      <c r="G674" s="8" t="b">
        <v>0</v>
      </c>
      <c r="H674" s="8" t="s">
        <v>3345</v>
      </c>
      <c r="I674" s="8">
        <v>3.0</v>
      </c>
      <c r="J674" s="8">
        <v>0.0</v>
      </c>
      <c r="K674" s="8">
        <v>0.0</v>
      </c>
    </row>
    <row r="675" ht="15.75" customHeight="1">
      <c r="A675" s="7" t="s">
        <v>3347</v>
      </c>
      <c r="B675" s="8" t="s">
        <v>3349</v>
      </c>
      <c r="C675" s="8" t="s">
        <v>1363</v>
      </c>
      <c r="D675" s="12" t="s">
        <v>39</v>
      </c>
      <c r="E675" s="13" t="s">
        <v>190</v>
      </c>
      <c r="F675" s="8" t="s">
        <v>42</v>
      </c>
      <c r="G675" s="8" t="b">
        <v>0</v>
      </c>
      <c r="H675" s="8" t="s">
        <v>3350</v>
      </c>
      <c r="I675" s="8">
        <v>3.0</v>
      </c>
      <c r="J675" s="8">
        <v>0.0</v>
      </c>
      <c r="K675" s="8">
        <v>1.33</v>
      </c>
    </row>
    <row r="676" ht="15.75" customHeight="1">
      <c r="A676" s="7" t="s">
        <v>3351</v>
      </c>
      <c r="B676" s="8" t="s">
        <v>3353</v>
      </c>
      <c r="C676" s="7" t="s">
        <v>602</v>
      </c>
      <c r="D676" s="12" t="s">
        <v>21</v>
      </c>
      <c r="E676" s="13" t="s">
        <v>41</v>
      </c>
      <c r="F676" s="8" t="s">
        <v>24</v>
      </c>
      <c r="G676" s="8" t="b">
        <v>0</v>
      </c>
      <c r="H676" s="8" t="s">
        <v>3354</v>
      </c>
      <c r="I676" s="8">
        <v>3.0</v>
      </c>
      <c r="J676" s="8">
        <v>0.0</v>
      </c>
      <c r="K676" s="8">
        <v>0.0</v>
      </c>
    </row>
    <row r="677" ht="15.75" customHeight="1">
      <c r="A677" s="7" t="s">
        <v>3356</v>
      </c>
      <c r="B677" s="8" t="s">
        <v>3358</v>
      </c>
      <c r="C677" s="7" t="s">
        <v>602</v>
      </c>
      <c r="D677" s="12" t="s">
        <v>39</v>
      </c>
      <c r="E677" s="13" t="s">
        <v>41</v>
      </c>
      <c r="F677" s="8" t="s">
        <v>42</v>
      </c>
      <c r="G677" s="8" t="b">
        <v>0</v>
      </c>
      <c r="I677" s="8">
        <v>3.0</v>
      </c>
      <c r="J677" s="8">
        <v>0.0</v>
      </c>
      <c r="K677" s="8">
        <v>0.0</v>
      </c>
    </row>
    <row r="678" ht="15.75" customHeight="1">
      <c r="A678" s="7" t="s">
        <v>3360</v>
      </c>
      <c r="B678" s="8" t="s">
        <v>3363</v>
      </c>
      <c r="C678" s="7" t="s">
        <v>1616</v>
      </c>
      <c r="D678" s="12" t="s">
        <v>39</v>
      </c>
      <c r="E678" s="13" t="s">
        <v>41</v>
      </c>
      <c r="F678" s="8" t="s">
        <v>42</v>
      </c>
      <c r="G678" s="8" t="b">
        <v>0</v>
      </c>
      <c r="H678" s="8" t="s">
        <v>3365</v>
      </c>
      <c r="I678" s="8">
        <v>2.0</v>
      </c>
      <c r="J678" s="8">
        <v>0.0</v>
      </c>
      <c r="K678" s="8">
        <v>1.0</v>
      </c>
    </row>
    <row r="679" ht="15.75" customHeight="1">
      <c r="A679" s="7" t="s">
        <v>3366</v>
      </c>
      <c r="B679" s="8" t="s">
        <v>3368</v>
      </c>
      <c r="C679" s="7" t="s">
        <v>1620</v>
      </c>
      <c r="D679" s="12" t="s">
        <v>39</v>
      </c>
      <c r="E679" s="13" t="s">
        <v>41</v>
      </c>
      <c r="F679" s="8" t="s">
        <v>42</v>
      </c>
      <c r="G679" s="8" t="b">
        <v>0</v>
      </c>
      <c r="H679" s="8" t="s">
        <v>3370</v>
      </c>
      <c r="I679" s="8">
        <v>2.0</v>
      </c>
      <c r="J679" s="8">
        <v>0.0</v>
      </c>
      <c r="K679" s="8">
        <v>2.0</v>
      </c>
    </row>
    <row r="680" ht="15.75" customHeight="1">
      <c r="A680" s="7" t="s">
        <v>3371</v>
      </c>
      <c r="B680" s="8" t="s">
        <v>3373</v>
      </c>
      <c r="C680" s="7" t="s">
        <v>377</v>
      </c>
      <c r="D680" s="12" t="s">
        <v>21</v>
      </c>
      <c r="E680" s="13" t="s">
        <v>73</v>
      </c>
      <c r="F680" s="8" t="s">
        <v>24</v>
      </c>
      <c r="G680" s="8" t="b">
        <v>0</v>
      </c>
      <c r="H680" s="8" t="s">
        <v>1323</v>
      </c>
      <c r="I680" s="8">
        <v>2.0</v>
      </c>
      <c r="J680" s="8">
        <v>0.0</v>
      </c>
      <c r="K680" s="8">
        <v>0.0</v>
      </c>
    </row>
    <row r="681" ht="15.75" customHeight="1">
      <c r="A681" s="7" t="s">
        <v>3374</v>
      </c>
      <c r="B681" s="8" t="s">
        <v>3378</v>
      </c>
      <c r="C681" s="7" t="s">
        <v>1627</v>
      </c>
      <c r="D681" s="12" t="s">
        <v>39</v>
      </c>
      <c r="E681" s="13" t="s">
        <v>41</v>
      </c>
      <c r="F681" s="8" t="s">
        <v>42</v>
      </c>
      <c r="G681" s="8" t="b">
        <v>0</v>
      </c>
      <c r="H681" s="8" t="s">
        <v>3379</v>
      </c>
      <c r="I681" s="8">
        <v>2.0</v>
      </c>
      <c r="J681" s="8">
        <v>0.0</v>
      </c>
      <c r="K681" s="8">
        <v>1.5</v>
      </c>
    </row>
    <row r="682" ht="15.75" customHeight="1">
      <c r="A682" s="7" t="s">
        <v>3380</v>
      </c>
      <c r="B682" s="8" t="s">
        <v>3382</v>
      </c>
      <c r="C682" s="7" t="s">
        <v>1240</v>
      </c>
      <c r="D682" s="12" t="s">
        <v>766</v>
      </c>
      <c r="E682" s="13" t="s">
        <v>22</v>
      </c>
      <c r="F682" s="8" t="s">
        <v>767</v>
      </c>
      <c r="G682" s="8" t="b">
        <v>0</v>
      </c>
      <c r="H682" s="8" t="s">
        <v>1241</v>
      </c>
      <c r="I682" s="8">
        <v>2.0</v>
      </c>
      <c r="J682" s="8">
        <v>0.0</v>
      </c>
      <c r="K682" s="8">
        <v>1.5</v>
      </c>
    </row>
    <row r="683" ht="15.75" customHeight="1">
      <c r="A683" s="7" t="s">
        <v>3383</v>
      </c>
      <c r="B683" s="8" t="s">
        <v>3385</v>
      </c>
      <c r="C683" s="7" t="s">
        <v>40</v>
      </c>
      <c r="D683" s="12" t="s">
        <v>190</v>
      </c>
      <c r="E683" s="13" t="s">
        <v>41</v>
      </c>
      <c r="F683" s="8" t="s">
        <v>191</v>
      </c>
      <c r="G683" s="8" t="b">
        <v>0</v>
      </c>
      <c r="H683" s="8" t="s">
        <v>3387</v>
      </c>
      <c r="I683" s="8">
        <v>2.0</v>
      </c>
      <c r="J683" s="8">
        <v>0.0</v>
      </c>
      <c r="K683" s="8">
        <v>1.0</v>
      </c>
    </row>
    <row r="684" ht="15.75" customHeight="1">
      <c r="A684" s="7" t="s">
        <v>3388</v>
      </c>
      <c r="B684" s="8" t="s">
        <v>3390</v>
      </c>
      <c r="C684" s="7" t="s">
        <v>40</v>
      </c>
      <c r="D684" s="12" t="s">
        <v>21</v>
      </c>
      <c r="E684" s="13" t="s">
        <v>41</v>
      </c>
      <c r="F684" s="8" t="s">
        <v>24</v>
      </c>
      <c r="G684" s="8" t="b">
        <v>0</v>
      </c>
      <c r="H684" s="8" t="s">
        <v>3392</v>
      </c>
      <c r="I684" s="8">
        <v>2.0</v>
      </c>
      <c r="J684" s="8">
        <v>0.0</v>
      </c>
      <c r="K684" s="8">
        <v>0.0</v>
      </c>
    </row>
    <row r="685" ht="15.75" customHeight="1">
      <c r="A685" s="7" t="s">
        <v>3393</v>
      </c>
      <c r="B685" s="8" t="s">
        <v>3396</v>
      </c>
      <c r="C685" s="7" t="s">
        <v>40</v>
      </c>
      <c r="D685" s="12" t="s">
        <v>21</v>
      </c>
      <c r="E685" s="13" t="s">
        <v>41</v>
      </c>
      <c r="F685" s="8" t="s">
        <v>24</v>
      </c>
      <c r="G685" s="8" t="b">
        <v>0</v>
      </c>
      <c r="H685" s="8" t="s">
        <v>3398</v>
      </c>
      <c r="I685" s="8">
        <v>2.0</v>
      </c>
      <c r="J685" s="8">
        <v>0.0</v>
      </c>
      <c r="K685" s="8">
        <v>0.0</v>
      </c>
    </row>
    <row r="686" ht="15.75" customHeight="1">
      <c r="A686" s="7" t="s">
        <v>3399</v>
      </c>
      <c r="B686" s="8" t="s">
        <v>3401</v>
      </c>
      <c r="C686" s="7" t="s">
        <v>1634</v>
      </c>
      <c r="D686" s="12" t="s">
        <v>39</v>
      </c>
      <c r="E686" s="13" t="s">
        <v>41</v>
      </c>
      <c r="F686" s="8" t="s">
        <v>42</v>
      </c>
      <c r="G686" s="8" t="b">
        <v>0</v>
      </c>
      <c r="H686" s="8" t="s">
        <v>3403</v>
      </c>
      <c r="I686" s="8">
        <v>2.0</v>
      </c>
      <c r="J686" s="8">
        <v>0.0</v>
      </c>
      <c r="K686" s="8">
        <v>0.0</v>
      </c>
    </row>
    <row r="687" ht="15.75" customHeight="1">
      <c r="A687" s="7" t="s">
        <v>3404</v>
      </c>
      <c r="B687" s="8" t="s">
        <v>3405</v>
      </c>
      <c r="C687" s="7" t="s">
        <v>1572</v>
      </c>
      <c r="D687" s="12" t="s">
        <v>39</v>
      </c>
      <c r="E687" s="13" t="s">
        <v>41</v>
      </c>
      <c r="F687" s="8" t="s">
        <v>42</v>
      </c>
      <c r="G687" s="8" t="b">
        <v>0</v>
      </c>
      <c r="H687" s="8" t="s">
        <v>3407</v>
      </c>
      <c r="I687" s="8">
        <v>2.0</v>
      </c>
      <c r="J687" s="8">
        <v>0.0</v>
      </c>
      <c r="K687" s="8">
        <v>1.5</v>
      </c>
    </row>
    <row r="688" ht="15.75" customHeight="1">
      <c r="A688" s="7" t="s">
        <v>3408</v>
      </c>
      <c r="B688" s="8" t="s">
        <v>3410</v>
      </c>
      <c r="C688" s="7" t="s">
        <v>507</v>
      </c>
      <c r="D688" s="12" t="s">
        <v>39</v>
      </c>
      <c r="E688" s="13" t="s">
        <v>41</v>
      </c>
      <c r="F688" s="8" t="s">
        <v>42</v>
      </c>
      <c r="G688" s="8" t="b">
        <v>0</v>
      </c>
      <c r="H688" s="8" t="s">
        <v>3411</v>
      </c>
      <c r="I688" s="8">
        <v>2.0</v>
      </c>
      <c r="J688" s="8">
        <v>0.0</v>
      </c>
      <c r="K688" s="8">
        <v>0.5</v>
      </c>
    </row>
    <row r="689" ht="15.75" customHeight="1">
      <c r="A689" s="7" t="s">
        <v>3413</v>
      </c>
      <c r="B689" s="8" t="s">
        <v>3414</v>
      </c>
      <c r="C689" s="7" t="s">
        <v>1641</v>
      </c>
      <c r="D689" s="12" t="s">
        <v>39</v>
      </c>
      <c r="E689" s="13" t="s">
        <v>22</v>
      </c>
      <c r="F689" s="8" t="s">
        <v>42</v>
      </c>
      <c r="G689" s="8" t="b">
        <v>0</v>
      </c>
      <c r="H689" s="8" t="s">
        <v>3415</v>
      </c>
      <c r="I689" s="8">
        <v>2.0</v>
      </c>
      <c r="J689" s="8">
        <v>0.0</v>
      </c>
      <c r="K689" s="8">
        <v>1.0</v>
      </c>
    </row>
    <row r="690" ht="15.75" customHeight="1">
      <c r="A690" s="7" t="s">
        <v>3416</v>
      </c>
      <c r="B690" s="8" t="s">
        <v>3418</v>
      </c>
      <c r="C690" s="7" t="s">
        <v>1381</v>
      </c>
      <c r="D690" s="12" t="s">
        <v>39</v>
      </c>
      <c r="E690" s="13" t="s">
        <v>41</v>
      </c>
      <c r="F690" s="8" t="s">
        <v>42</v>
      </c>
      <c r="G690" s="8" t="b">
        <v>0</v>
      </c>
      <c r="H690" s="8" t="s">
        <v>3421</v>
      </c>
      <c r="I690" s="8">
        <v>2.0</v>
      </c>
      <c r="J690" s="8">
        <v>0.0</v>
      </c>
      <c r="K690" s="8">
        <v>0.0</v>
      </c>
    </row>
    <row r="691" ht="15.75" customHeight="1">
      <c r="A691" s="7" t="s">
        <v>3422</v>
      </c>
      <c r="B691" s="8" t="s">
        <v>3424</v>
      </c>
      <c r="C691" s="7" t="s">
        <v>1065</v>
      </c>
      <c r="D691" s="12" t="s">
        <v>766</v>
      </c>
      <c r="E691" s="13" t="s">
        <v>41</v>
      </c>
      <c r="F691" s="8" t="s">
        <v>767</v>
      </c>
      <c r="G691" s="8" t="b">
        <v>0</v>
      </c>
      <c r="I691" s="8">
        <v>2.0</v>
      </c>
      <c r="J691" s="8">
        <v>0.0</v>
      </c>
      <c r="K691" s="8">
        <v>0.0</v>
      </c>
    </row>
    <row r="692" ht="15.75" customHeight="1">
      <c r="A692" s="7" t="s">
        <v>3425</v>
      </c>
      <c r="B692" s="8" t="s">
        <v>3427</v>
      </c>
      <c r="C692" s="7" t="s">
        <v>512</v>
      </c>
      <c r="D692" s="12" t="s">
        <v>693</v>
      </c>
      <c r="E692" s="13" t="s">
        <v>73</v>
      </c>
      <c r="F692" s="8" t="s">
        <v>695</v>
      </c>
      <c r="G692" s="8" t="b">
        <v>0</v>
      </c>
      <c r="I692" s="8">
        <v>2.0</v>
      </c>
      <c r="J692" s="8">
        <v>0.0</v>
      </c>
      <c r="K692" s="8">
        <v>2.0</v>
      </c>
    </row>
    <row r="693" ht="15.75" customHeight="1">
      <c r="A693" s="7" t="s">
        <v>3429</v>
      </c>
      <c r="B693" s="8" t="s">
        <v>3431</v>
      </c>
      <c r="C693" s="7" t="s">
        <v>512</v>
      </c>
      <c r="D693" s="12" t="s">
        <v>693</v>
      </c>
      <c r="E693" s="13" t="s">
        <v>73</v>
      </c>
      <c r="F693" s="8" t="s">
        <v>695</v>
      </c>
      <c r="G693" s="8" t="b">
        <v>0</v>
      </c>
      <c r="I693" s="8">
        <v>2.0</v>
      </c>
      <c r="J693" s="8">
        <v>0.0</v>
      </c>
      <c r="K693" s="8">
        <v>2.0</v>
      </c>
    </row>
    <row r="694" ht="15.75" customHeight="1">
      <c r="A694" s="7" t="s">
        <v>3433</v>
      </c>
      <c r="B694" s="8" t="s">
        <v>3434</v>
      </c>
      <c r="C694" s="7" t="s">
        <v>1385</v>
      </c>
      <c r="D694" s="12" t="s">
        <v>39</v>
      </c>
      <c r="E694" s="13" t="s">
        <v>41</v>
      </c>
      <c r="F694" s="8" t="s">
        <v>42</v>
      </c>
      <c r="G694" s="8" t="b">
        <v>0</v>
      </c>
      <c r="H694" s="8" t="s">
        <v>3435</v>
      </c>
      <c r="I694" s="8">
        <v>2.0</v>
      </c>
      <c r="J694" s="8">
        <v>0.0</v>
      </c>
      <c r="K694" s="8">
        <v>1.0</v>
      </c>
    </row>
    <row r="695" ht="15.75" customHeight="1">
      <c r="A695" s="7" t="s">
        <v>3437</v>
      </c>
      <c r="B695" s="8" t="s">
        <v>3438</v>
      </c>
      <c r="C695" s="7" t="s">
        <v>1645</v>
      </c>
      <c r="D695" s="12" t="s">
        <v>39</v>
      </c>
      <c r="E695" s="13" t="s">
        <v>41</v>
      </c>
      <c r="F695" s="8" t="s">
        <v>42</v>
      </c>
      <c r="G695" s="8" t="b">
        <v>0</v>
      </c>
      <c r="H695" s="8" t="s">
        <v>3439</v>
      </c>
      <c r="I695" s="8">
        <v>2.0</v>
      </c>
      <c r="J695" s="8">
        <v>0.0</v>
      </c>
      <c r="K695" s="8">
        <v>0.0</v>
      </c>
    </row>
    <row r="696" ht="15.75" customHeight="1">
      <c r="A696" s="7" t="s">
        <v>3440</v>
      </c>
      <c r="B696" s="8" t="s">
        <v>3442</v>
      </c>
      <c r="C696" s="7" t="s">
        <v>952</v>
      </c>
      <c r="D696" s="12" t="s">
        <v>39</v>
      </c>
      <c r="E696" s="13" t="s">
        <v>190</v>
      </c>
      <c r="F696" s="8" t="s">
        <v>42</v>
      </c>
      <c r="G696" s="8" t="b">
        <v>0</v>
      </c>
      <c r="I696" s="8">
        <v>2.0</v>
      </c>
      <c r="J696" s="8">
        <v>0.0</v>
      </c>
      <c r="K696" s="8">
        <v>1.0</v>
      </c>
    </row>
    <row r="697" ht="15.75" customHeight="1">
      <c r="A697" s="7" t="s">
        <v>3443</v>
      </c>
      <c r="B697" s="8" t="s">
        <v>3444</v>
      </c>
      <c r="C697" s="7" t="s">
        <v>1648</v>
      </c>
      <c r="D697" s="12" t="s">
        <v>39</v>
      </c>
      <c r="E697" s="13" t="s">
        <v>41</v>
      </c>
      <c r="F697" s="8" t="s">
        <v>42</v>
      </c>
      <c r="G697" s="8" t="b">
        <v>0</v>
      </c>
      <c r="H697" s="8" t="s">
        <v>3445</v>
      </c>
      <c r="I697" s="8">
        <v>2.0</v>
      </c>
      <c r="J697" s="8">
        <v>0.0</v>
      </c>
      <c r="K697" s="8">
        <v>0.0</v>
      </c>
    </row>
    <row r="698" ht="15.75" customHeight="1">
      <c r="A698" s="7" t="s">
        <v>3446</v>
      </c>
      <c r="B698" s="8" t="s">
        <v>3447</v>
      </c>
      <c r="C698" s="7" t="s">
        <v>1650</v>
      </c>
      <c r="D698" s="12" t="s">
        <v>39</v>
      </c>
      <c r="E698" s="13" t="s">
        <v>41</v>
      </c>
      <c r="F698" s="8" t="s">
        <v>42</v>
      </c>
      <c r="G698" s="8" t="b">
        <v>0</v>
      </c>
      <c r="H698" s="8" t="s">
        <v>3448</v>
      </c>
      <c r="I698" s="8">
        <v>2.0</v>
      </c>
      <c r="J698" s="8">
        <v>0.0</v>
      </c>
      <c r="K698" s="8">
        <v>1.5</v>
      </c>
    </row>
    <row r="699" ht="15.75" customHeight="1">
      <c r="A699" s="7" t="s">
        <v>3450</v>
      </c>
      <c r="B699" s="8" t="s">
        <v>3451</v>
      </c>
      <c r="C699" s="8" t="s">
        <v>1654</v>
      </c>
      <c r="D699" s="12" t="s">
        <v>693</v>
      </c>
      <c r="E699" s="13" t="s">
        <v>753</v>
      </c>
      <c r="F699" s="8" t="s">
        <v>695</v>
      </c>
      <c r="G699" s="8" t="b">
        <v>0</v>
      </c>
      <c r="I699" s="8">
        <v>2.0</v>
      </c>
      <c r="J699" s="8">
        <v>0.0</v>
      </c>
      <c r="K699" s="8">
        <v>0.0</v>
      </c>
    </row>
    <row r="700" ht="15.75" customHeight="1">
      <c r="A700" s="7" t="s">
        <v>3453</v>
      </c>
      <c r="B700" s="8" t="s">
        <v>3455</v>
      </c>
      <c r="C700" s="8" t="s">
        <v>1952</v>
      </c>
      <c r="D700" s="12" t="s">
        <v>39</v>
      </c>
      <c r="E700" s="13" t="s">
        <v>41</v>
      </c>
      <c r="F700" s="8" t="s">
        <v>42</v>
      </c>
      <c r="G700" s="8" t="b">
        <v>0</v>
      </c>
      <c r="H700" s="8" t="s">
        <v>3456</v>
      </c>
      <c r="I700" s="8">
        <v>2.0</v>
      </c>
      <c r="J700" s="8">
        <v>0.0</v>
      </c>
      <c r="K700" s="8">
        <v>0.0</v>
      </c>
    </row>
    <row r="701" ht="15.75" customHeight="1">
      <c r="A701" s="7" t="s">
        <v>3457</v>
      </c>
      <c r="B701" s="8" t="s">
        <v>3459</v>
      </c>
      <c r="C701" s="7" t="s">
        <v>1345</v>
      </c>
      <c r="D701" s="12" t="s">
        <v>766</v>
      </c>
      <c r="E701" s="13" t="s">
        <v>22</v>
      </c>
      <c r="F701" s="8" t="s">
        <v>767</v>
      </c>
      <c r="G701" s="8" t="b">
        <v>0</v>
      </c>
      <c r="H701" s="8" t="s">
        <v>3461</v>
      </c>
      <c r="I701" s="8">
        <v>2.0</v>
      </c>
      <c r="J701" s="8">
        <v>0.0</v>
      </c>
      <c r="K701" s="8">
        <v>1.0</v>
      </c>
    </row>
    <row r="702" ht="15.75" customHeight="1">
      <c r="A702" s="7" t="s">
        <v>3463</v>
      </c>
      <c r="B702" s="8" t="s">
        <v>3464</v>
      </c>
      <c r="C702" s="7" t="s">
        <v>1345</v>
      </c>
      <c r="D702" s="12" t="s">
        <v>766</v>
      </c>
      <c r="E702" s="13" t="s">
        <v>22</v>
      </c>
      <c r="F702" s="8" t="s">
        <v>767</v>
      </c>
      <c r="G702" s="8" t="b">
        <v>0</v>
      </c>
      <c r="H702" s="8" t="s">
        <v>3461</v>
      </c>
      <c r="I702" s="8">
        <v>2.0</v>
      </c>
      <c r="J702" s="8">
        <v>0.0</v>
      </c>
      <c r="K702" s="8">
        <v>1.0</v>
      </c>
    </row>
    <row r="703" ht="15.75" customHeight="1">
      <c r="A703" s="7" t="s">
        <v>3465</v>
      </c>
      <c r="B703" s="8" t="s">
        <v>3467</v>
      </c>
      <c r="C703" s="7" t="s">
        <v>1656</v>
      </c>
      <c r="D703" s="12" t="s">
        <v>693</v>
      </c>
      <c r="E703" s="13" t="s">
        <v>41</v>
      </c>
      <c r="F703" s="8" t="s">
        <v>695</v>
      </c>
      <c r="G703" s="8" t="b">
        <v>0</v>
      </c>
      <c r="H703" s="8" t="s">
        <v>1658</v>
      </c>
      <c r="I703" s="8">
        <v>2.0</v>
      </c>
      <c r="J703" s="8">
        <v>0.0</v>
      </c>
      <c r="K703" s="8">
        <v>1.0</v>
      </c>
    </row>
    <row r="704" ht="15.75" customHeight="1">
      <c r="A704" s="7" t="s">
        <v>3468</v>
      </c>
      <c r="B704" s="8" t="s">
        <v>3470</v>
      </c>
      <c r="C704" s="7" t="s">
        <v>919</v>
      </c>
      <c r="D704" s="12" t="s">
        <v>39</v>
      </c>
      <c r="E704" s="13" t="s">
        <v>41</v>
      </c>
      <c r="F704" s="8" t="s">
        <v>42</v>
      </c>
      <c r="G704" s="8" t="b">
        <v>0</v>
      </c>
      <c r="I704" s="8">
        <v>2.0</v>
      </c>
      <c r="J704" s="8">
        <v>0.0</v>
      </c>
      <c r="K704" s="8">
        <v>1.0</v>
      </c>
    </row>
    <row r="705" ht="15.75" customHeight="1">
      <c r="A705" s="7" t="s">
        <v>3471</v>
      </c>
      <c r="B705" s="8" t="s">
        <v>3472</v>
      </c>
      <c r="C705" s="7" t="s">
        <v>1660</v>
      </c>
      <c r="D705" s="12" t="s">
        <v>39</v>
      </c>
      <c r="E705" s="13" t="s">
        <v>753</v>
      </c>
      <c r="F705" s="8" t="s">
        <v>42</v>
      </c>
      <c r="G705" s="8" t="b">
        <v>0</v>
      </c>
      <c r="H705" s="8" t="s">
        <v>3474</v>
      </c>
      <c r="I705" s="8">
        <v>2.0</v>
      </c>
      <c r="J705" s="8">
        <v>0.0</v>
      </c>
      <c r="K705" s="8">
        <v>0.0</v>
      </c>
    </row>
    <row r="706" ht="15.75" customHeight="1">
      <c r="A706" s="7" t="s">
        <v>3475</v>
      </c>
      <c r="B706" s="8" t="s">
        <v>3476</v>
      </c>
      <c r="C706" s="7" t="s">
        <v>1665</v>
      </c>
      <c r="D706" s="12" t="s">
        <v>693</v>
      </c>
      <c r="E706" s="13" t="s">
        <v>753</v>
      </c>
      <c r="F706" s="8" t="s">
        <v>695</v>
      </c>
      <c r="G706" s="8" t="b">
        <v>0</v>
      </c>
      <c r="I706" s="8">
        <v>2.0</v>
      </c>
      <c r="J706" s="8">
        <v>0.0</v>
      </c>
      <c r="K706" s="8">
        <v>0.0</v>
      </c>
    </row>
    <row r="707" ht="15.75" customHeight="1">
      <c r="A707" s="7" t="s">
        <v>3478</v>
      </c>
      <c r="B707" s="8" t="s">
        <v>3481</v>
      </c>
      <c r="C707" s="7" t="s">
        <v>1671</v>
      </c>
      <c r="D707" s="12" t="s">
        <v>39</v>
      </c>
      <c r="E707" s="13" t="s">
        <v>41</v>
      </c>
      <c r="F707" s="8" t="s">
        <v>42</v>
      </c>
      <c r="G707" s="8" t="b">
        <v>0</v>
      </c>
      <c r="H707" s="8" t="s">
        <v>3483</v>
      </c>
      <c r="I707" s="8">
        <v>2.0</v>
      </c>
      <c r="J707" s="8">
        <v>0.0</v>
      </c>
      <c r="K707" s="8">
        <v>0.0</v>
      </c>
    </row>
    <row r="708" ht="15.75" customHeight="1">
      <c r="A708" s="7" t="s">
        <v>3484</v>
      </c>
      <c r="B708" s="8" t="s">
        <v>3487</v>
      </c>
      <c r="C708" s="7" t="s">
        <v>757</v>
      </c>
      <c r="D708" s="12" t="s">
        <v>693</v>
      </c>
      <c r="E708" s="13" t="s">
        <v>753</v>
      </c>
      <c r="F708" s="8" t="s">
        <v>695</v>
      </c>
      <c r="G708" s="8" t="b">
        <v>0</v>
      </c>
      <c r="H708" s="8" t="s">
        <v>3489</v>
      </c>
      <c r="I708" s="8">
        <v>2.0</v>
      </c>
      <c r="J708" s="8">
        <v>0.0</v>
      </c>
      <c r="K708" s="8">
        <v>1.0</v>
      </c>
    </row>
    <row r="709" ht="15.75" customHeight="1">
      <c r="A709" s="7" t="s">
        <v>3490</v>
      </c>
      <c r="B709" s="8" t="s">
        <v>3492</v>
      </c>
      <c r="C709" s="7" t="s">
        <v>757</v>
      </c>
      <c r="D709" s="12" t="s">
        <v>693</v>
      </c>
      <c r="E709" s="13" t="s">
        <v>753</v>
      </c>
      <c r="F709" s="8" t="s">
        <v>695</v>
      </c>
      <c r="G709" s="8" t="b">
        <v>0</v>
      </c>
      <c r="H709" s="8" t="s">
        <v>3493</v>
      </c>
      <c r="I709" s="8">
        <v>2.0</v>
      </c>
      <c r="J709" s="8">
        <v>0.0</v>
      </c>
      <c r="K709" s="8">
        <v>0.0</v>
      </c>
    </row>
    <row r="710" ht="15.75" customHeight="1">
      <c r="A710" s="7" t="s">
        <v>3495</v>
      </c>
      <c r="B710" s="8" t="s">
        <v>3498</v>
      </c>
      <c r="C710" s="7" t="s">
        <v>757</v>
      </c>
      <c r="D710" s="12" t="s">
        <v>39</v>
      </c>
      <c r="E710" s="13" t="s">
        <v>753</v>
      </c>
      <c r="F710" s="8" t="s">
        <v>42</v>
      </c>
      <c r="G710" s="8" t="b">
        <v>0</v>
      </c>
      <c r="H710" s="8" t="s">
        <v>3499</v>
      </c>
      <c r="I710" s="8">
        <v>2.0</v>
      </c>
      <c r="J710" s="8">
        <v>0.0</v>
      </c>
      <c r="K710" s="8">
        <v>0.0</v>
      </c>
    </row>
    <row r="711" ht="15.75" customHeight="1">
      <c r="A711" s="7" t="s">
        <v>3500</v>
      </c>
      <c r="B711" s="8" t="s">
        <v>3502</v>
      </c>
      <c r="C711" s="7" t="s">
        <v>757</v>
      </c>
      <c r="D711" s="12" t="s">
        <v>39</v>
      </c>
      <c r="E711" s="13" t="s">
        <v>753</v>
      </c>
      <c r="F711" s="8" t="s">
        <v>42</v>
      </c>
      <c r="G711" s="8" t="b">
        <v>0</v>
      </c>
      <c r="H711" s="8" t="s">
        <v>3504</v>
      </c>
      <c r="I711" s="8">
        <v>2.0</v>
      </c>
      <c r="J711" s="8">
        <v>0.0</v>
      </c>
      <c r="K711" s="8">
        <v>0.0</v>
      </c>
    </row>
    <row r="712" ht="15.75" customHeight="1">
      <c r="A712" s="7" t="s">
        <v>3505</v>
      </c>
      <c r="B712" s="8" t="s">
        <v>3506</v>
      </c>
      <c r="C712" s="7" t="s">
        <v>290</v>
      </c>
      <c r="D712" s="12" t="s">
        <v>39</v>
      </c>
      <c r="E712" s="13" t="s">
        <v>41</v>
      </c>
      <c r="F712" s="8" t="s">
        <v>42</v>
      </c>
      <c r="G712" s="8" t="b">
        <v>0</v>
      </c>
      <c r="H712" s="8" t="s">
        <v>724</v>
      </c>
      <c r="I712" s="8">
        <v>2.0</v>
      </c>
      <c r="J712" s="8">
        <v>0.0</v>
      </c>
      <c r="K712" s="8">
        <v>0.0</v>
      </c>
    </row>
    <row r="713" ht="15.75" customHeight="1">
      <c r="A713" s="7" t="s">
        <v>3507</v>
      </c>
      <c r="B713" s="8" t="s">
        <v>3509</v>
      </c>
      <c r="C713" s="7" t="s">
        <v>15</v>
      </c>
      <c r="D713" s="12" t="s">
        <v>39</v>
      </c>
      <c r="E713" s="13" t="s">
        <v>22</v>
      </c>
      <c r="F713" s="8" t="s">
        <v>42</v>
      </c>
      <c r="G713" s="8" t="b">
        <v>0</v>
      </c>
      <c r="H713" s="8" t="s">
        <v>3510</v>
      </c>
      <c r="I713" s="8">
        <v>2.0</v>
      </c>
      <c r="J713" s="8">
        <v>0.0</v>
      </c>
      <c r="K713" s="8">
        <v>0.0</v>
      </c>
    </row>
    <row r="714" ht="15.75" customHeight="1">
      <c r="A714" s="7" t="s">
        <v>3512</v>
      </c>
      <c r="B714" s="8" t="s">
        <v>3514</v>
      </c>
      <c r="C714" s="7" t="s">
        <v>15</v>
      </c>
      <c r="D714" s="12" t="s">
        <v>21</v>
      </c>
      <c r="E714" s="13" t="s">
        <v>22</v>
      </c>
      <c r="F714" s="8" t="s">
        <v>24</v>
      </c>
      <c r="G714" s="8" t="b">
        <v>0</v>
      </c>
      <c r="H714" s="8" t="s">
        <v>3516</v>
      </c>
      <c r="I714" s="8">
        <v>2.0</v>
      </c>
      <c r="J714" s="8">
        <v>0.0</v>
      </c>
      <c r="K714" s="8">
        <v>0.0</v>
      </c>
    </row>
    <row r="715" ht="15.75" customHeight="1">
      <c r="A715" s="7" t="s">
        <v>3518</v>
      </c>
      <c r="B715" s="8" t="s">
        <v>3519</v>
      </c>
      <c r="C715" s="7" t="s">
        <v>15</v>
      </c>
      <c r="D715" s="12" t="s">
        <v>39</v>
      </c>
      <c r="E715" s="13" t="s">
        <v>22</v>
      </c>
      <c r="F715" s="8" t="s">
        <v>42</v>
      </c>
      <c r="G715" s="8" t="b">
        <v>0</v>
      </c>
      <c r="H715" s="8" t="s">
        <v>3520</v>
      </c>
      <c r="I715" s="8">
        <v>2.0</v>
      </c>
      <c r="J715" s="8">
        <v>0.0</v>
      </c>
      <c r="K715" s="8">
        <v>0.0</v>
      </c>
    </row>
    <row r="716" ht="15.75" customHeight="1">
      <c r="A716" s="7" t="s">
        <v>3522</v>
      </c>
      <c r="B716" s="8" t="s">
        <v>3523</v>
      </c>
      <c r="C716" s="7" t="s">
        <v>15</v>
      </c>
      <c r="D716" s="12" t="s">
        <v>21</v>
      </c>
      <c r="E716" s="13" t="s">
        <v>22</v>
      </c>
      <c r="F716" s="8" t="s">
        <v>24</v>
      </c>
      <c r="G716" s="8" t="b">
        <v>0</v>
      </c>
      <c r="H716" s="8" t="s">
        <v>3524</v>
      </c>
      <c r="I716" s="8">
        <v>2.0</v>
      </c>
      <c r="J716" s="8">
        <v>0.0</v>
      </c>
      <c r="K716" s="8">
        <v>0.0</v>
      </c>
    </row>
    <row r="717" ht="15.75" customHeight="1">
      <c r="A717" s="7" t="s">
        <v>3525</v>
      </c>
      <c r="B717" s="8" t="s">
        <v>31</v>
      </c>
      <c r="C717" s="7" t="s">
        <v>15</v>
      </c>
      <c r="D717" s="12" t="s">
        <v>21</v>
      </c>
      <c r="E717" s="13" t="s">
        <v>22</v>
      </c>
      <c r="F717" s="8" t="s">
        <v>24</v>
      </c>
      <c r="G717" s="8" t="b">
        <v>0</v>
      </c>
      <c r="H717" s="8" t="s">
        <v>33</v>
      </c>
      <c r="I717" s="8">
        <v>2.0</v>
      </c>
      <c r="J717" s="8">
        <v>0.0</v>
      </c>
      <c r="K717" s="8">
        <v>0.0</v>
      </c>
    </row>
    <row r="718" ht="15.75" customHeight="1">
      <c r="A718" s="7" t="s">
        <v>3527</v>
      </c>
      <c r="B718" s="8" t="s">
        <v>3529</v>
      </c>
      <c r="C718" s="7" t="s">
        <v>15</v>
      </c>
      <c r="D718" s="12" t="s">
        <v>21</v>
      </c>
      <c r="E718" s="13" t="s">
        <v>22</v>
      </c>
      <c r="F718" s="8" t="s">
        <v>24</v>
      </c>
      <c r="G718" s="8" t="b">
        <v>0</v>
      </c>
      <c r="H718" s="8" t="s">
        <v>3531</v>
      </c>
      <c r="I718" s="8">
        <v>2.0</v>
      </c>
      <c r="J718" s="8">
        <v>0.0</v>
      </c>
      <c r="K718" s="8">
        <v>0.0</v>
      </c>
    </row>
    <row r="719" ht="15.75" customHeight="1">
      <c r="A719" s="7" t="s">
        <v>3532</v>
      </c>
      <c r="B719" s="8" t="s">
        <v>3534</v>
      </c>
      <c r="C719" s="7" t="s">
        <v>15</v>
      </c>
      <c r="D719" s="12" t="s">
        <v>21</v>
      </c>
      <c r="E719" s="13" t="s">
        <v>22</v>
      </c>
      <c r="F719" s="8" t="s">
        <v>24</v>
      </c>
      <c r="G719" s="8" t="b">
        <v>0</v>
      </c>
      <c r="H719" s="8" t="s">
        <v>3535</v>
      </c>
      <c r="I719" s="8">
        <v>2.0</v>
      </c>
      <c r="J719" s="8">
        <v>0.0</v>
      </c>
      <c r="K719" s="8">
        <v>0.0</v>
      </c>
    </row>
    <row r="720" ht="15.75" customHeight="1">
      <c r="A720" s="7" t="s">
        <v>3536</v>
      </c>
      <c r="B720" s="8" t="s">
        <v>189</v>
      </c>
      <c r="C720" s="7" t="s">
        <v>15</v>
      </c>
      <c r="D720" s="12" t="s">
        <v>766</v>
      </c>
      <c r="E720" s="13" t="s">
        <v>22</v>
      </c>
      <c r="F720" s="8" t="s">
        <v>767</v>
      </c>
      <c r="G720" s="8" t="b">
        <v>0</v>
      </c>
      <c r="H720" s="8" t="s">
        <v>192</v>
      </c>
      <c r="I720" s="8">
        <v>2.0</v>
      </c>
      <c r="J720" s="8">
        <v>0.0</v>
      </c>
      <c r="K720" s="8">
        <v>0.0</v>
      </c>
    </row>
    <row r="721" ht="15.75" customHeight="1">
      <c r="A721" s="7" t="s">
        <v>3538</v>
      </c>
      <c r="B721" s="8" t="s">
        <v>3539</v>
      </c>
      <c r="C721" s="7" t="s">
        <v>1679</v>
      </c>
      <c r="D721" s="12" t="s">
        <v>693</v>
      </c>
      <c r="E721" s="13" t="s">
        <v>753</v>
      </c>
      <c r="F721" s="8" t="s">
        <v>695</v>
      </c>
      <c r="G721" s="8" t="b">
        <v>0</v>
      </c>
      <c r="H721" s="8" t="s">
        <v>3541</v>
      </c>
      <c r="I721" s="8">
        <v>2.0</v>
      </c>
      <c r="J721" s="8">
        <v>0.0</v>
      </c>
      <c r="K721" s="8">
        <v>1.0</v>
      </c>
    </row>
    <row r="722" ht="15.75" customHeight="1">
      <c r="A722" s="7" t="s">
        <v>3542</v>
      </c>
      <c r="B722" s="8" t="s">
        <v>3545</v>
      </c>
      <c r="C722" s="7" t="s">
        <v>161</v>
      </c>
      <c r="D722" s="12" t="s">
        <v>39</v>
      </c>
      <c r="E722" s="13" t="s">
        <v>22</v>
      </c>
      <c r="F722" s="8" t="s">
        <v>42</v>
      </c>
      <c r="G722" s="8" t="b">
        <v>0</v>
      </c>
      <c r="H722" s="8" t="s">
        <v>579</v>
      </c>
      <c r="I722" s="8">
        <v>2.0</v>
      </c>
      <c r="J722" s="8">
        <v>0.0</v>
      </c>
      <c r="K722" s="8">
        <v>2.0</v>
      </c>
    </row>
    <row r="723" ht="15.75" customHeight="1">
      <c r="A723" s="7" t="s">
        <v>3546</v>
      </c>
      <c r="B723" s="8" t="s">
        <v>3549</v>
      </c>
      <c r="C723" s="7" t="s">
        <v>1682</v>
      </c>
      <c r="D723" s="12" t="s">
        <v>766</v>
      </c>
      <c r="E723" s="13" t="s">
        <v>22</v>
      </c>
      <c r="F723" s="8" t="s">
        <v>767</v>
      </c>
      <c r="G723" s="8" t="b">
        <v>0</v>
      </c>
      <c r="H723" s="8" t="s">
        <v>1684</v>
      </c>
      <c r="I723" s="8">
        <v>2.0</v>
      </c>
      <c r="J723" s="8">
        <v>0.0</v>
      </c>
      <c r="K723" s="8">
        <v>1.0</v>
      </c>
    </row>
    <row r="724" ht="15.75" customHeight="1">
      <c r="A724" s="7" t="s">
        <v>3551</v>
      </c>
      <c r="B724" s="8" t="s">
        <v>3553</v>
      </c>
      <c r="C724" s="7" t="s">
        <v>281</v>
      </c>
      <c r="D724" s="12" t="s">
        <v>39</v>
      </c>
      <c r="E724" s="13" t="s">
        <v>41</v>
      </c>
      <c r="F724" s="8" t="s">
        <v>42</v>
      </c>
      <c r="G724" s="8" t="b">
        <v>0</v>
      </c>
      <c r="H724" s="8" t="s">
        <v>3554</v>
      </c>
      <c r="I724" s="8">
        <v>2.0</v>
      </c>
      <c r="J724" s="8">
        <v>0.0</v>
      </c>
      <c r="K724" s="8">
        <v>0.0</v>
      </c>
    </row>
    <row r="725" ht="15.75" customHeight="1">
      <c r="A725" s="7" t="s">
        <v>3555</v>
      </c>
      <c r="B725" s="8" t="s">
        <v>3557</v>
      </c>
      <c r="C725" s="7" t="s">
        <v>1687</v>
      </c>
      <c r="D725" s="12" t="s">
        <v>39</v>
      </c>
      <c r="E725" s="13" t="s">
        <v>41</v>
      </c>
      <c r="F725" s="8" t="s">
        <v>42</v>
      </c>
      <c r="G725" s="8" t="b">
        <v>0</v>
      </c>
      <c r="H725" s="8" t="s">
        <v>3558</v>
      </c>
      <c r="I725" s="8">
        <v>2.0</v>
      </c>
      <c r="J725" s="8">
        <v>0.0</v>
      </c>
      <c r="K725" s="8">
        <v>0.0</v>
      </c>
    </row>
    <row r="726" ht="15.75" customHeight="1">
      <c r="A726" s="7" t="s">
        <v>3559</v>
      </c>
      <c r="B726" s="8" t="s">
        <v>3561</v>
      </c>
      <c r="C726" s="7" t="s">
        <v>1696</v>
      </c>
      <c r="D726" s="12" t="s">
        <v>554</v>
      </c>
      <c r="E726" s="13" t="s">
        <v>41</v>
      </c>
      <c r="F726" s="8" t="s">
        <v>555</v>
      </c>
      <c r="G726" s="8" t="b">
        <v>0</v>
      </c>
      <c r="I726" s="8">
        <v>2.0</v>
      </c>
      <c r="J726" s="8">
        <v>0.0</v>
      </c>
      <c r="K726" s="8">
        <v>0.0</v>
      </c>
    </row>
    <row r="727" ht="15.75" customHeight="1">
      <c r="A727" s="7" t="s">
        <v>3564</v>
      </c>
      <c r="B727" s="8" t="s">
        <v>3565</v>
      </c>
      <c r="C727" s="7" t="s">
        <v>158</v>
      </c>
      <c r="D727" s="12" t="s">
        <v>39</v>
      </c>
      <c r="E727" s="13" t="s">
        <v>22</v>
      </c>
      <c r="F727" s="8" t="s">
        <v>42</v>
      </c>
      <c r="G727" s="8" t="b">
        <v>0</v>
      </c>
      <c r="H727" s="8" t="s">
        <v>3566</v>
      </c>
      <c r="I727" s="8">
        <v>2.0</v>
      </c>
      <c r="J727" s="8">
        <v>0.0</v>
      </c>
      <c r="K727" s="8">
        <v>0.0</v>
      </c>
    </row>
    <row r="728" ht="15.75" customHeight="1">
      <c r="A728" s="7" t="s">
        <v>3567</v>
      </c>
      <c r="B728" s="8" t="s">
        <v>3569</v>
      </c>
      <c r="C728" s="7" t="s">
        <v>1699</v>
      </c>
      <c r="D728" s="12" t="s">
        <v>554</v>
      </c>
      <c r="E728" s="13" t="s">
        <v>41</v>
      </c>
      <c r="F728" s="8" t="s">
        <v>555</v>
      </c>
      <c r="G728" s="8" t="b">
        <v>0</v>
      </c>
      <c r="H728" s="8" t="s">
        <v>724</v>
      </c>
      <c r="I728" s="8">
        <v>2.0</v>
      </c>
      <c r="J728" s="8">
        <v>0.0</v>
      </c>
      <c r="K728" s="8">
        <v>0.0</v>
      </c>
    </row>
    <row r="729" ht="15.75" customHeight="1">
      <c r="A729" s="7" t="s">
        <v>3571</v>
      </c>
      <c r="B729" s="8" t="s">
        <v>3572</v>
      </c>
      <c r="C729" s="8" t="s">
        <v>1359</v>
      </c>
      <c r="D729" s="12" t="s">
        <v>21</v>
      </c>
      <c r="E729" s="13" t="s">
        <v>41</v>
      </c>
      <c r="F729" s="8" t="s">
        <v>24</v>
      </c>
      <c r="G729" s="8" t="b">
        <v>0</v>
      </c>
      <c r="H729" s="8" t="s">
        <v>3574</v>
      </c>
      <c r="I729" s="8">
        <v>2.0</v>
      </c>
      <c r="J729" s="8">
        <v>0.0</v>
      </c>
      <c r="K729" s="8">
        <v>1.0</v>
      </c>
    </row>
    <row r="730" ht="15.75" customHeight="1">
      <c r="A730" s="7" t="s">
        <v>3575</v>
      </c>
      <c r="B730" s="8" t="s">
        <v>3577</v>
      </c>
      <c r="C730" s="7" t="s">
        <v>26</v>
      </c>
      <c r="D730" s="12" t="s">
        <v>21</v>
      </c>
      <c r="E730" s="13" t="s">
        <v>41</v>
      </c>
      <c r="F730" s="8" t="s">
        <v>24</v>
      </c>
      <c r="G730" s="8" t="b">
        <v>0</v>
      </c>
      <c r="H730" s="8" t="s">
        <v>3578</v>
      </c>
      <c r="I730" s="8">
        <v>2.0</v>
      </c>
      <c r="J730" s="8">
        <v>0.0</v>
      </c>
      <c r="K730" s="8">
        <v>0.0</v>
      </c>
    </row>
    <row r="731" ht="15.75" customHeight="1">
      <c r="A731" s="7" t="s">
        <v>3580</v>
      </c>
      <c r="B731" s="8" t="s">
        <v>3582</v>
      </c>
      <c r="C731" s="7" t="s">
        <v>26</v>
      </c>
      <c r="D731" s="12" t="s">
        <v>39</v>
      </c>
      <c r="E731" s="13" t="s">
        <v>41</v>
      </c>
      <c r="F731" s="8" t="s">
        <v>42</v>
      </c>
      <c r="G731" s="8" t="b">
        <v>0</v>
      </c>
      <c r="H731" s="8" t="s">
        <v>3583</v>
      </c>
      <c r="I731" s="8">
        <v>2.0</v>
      </c>
      <c r="J731" s="8">
        <v>0.0</v>
      </c>
      <c r="K731" s="8">
        <v>0.0</v>
      </c>
    </row>
    <row r="732" ht="15.75" customHeight="1">
      <c r="A732" s="7" t="s">
        <v>3584</v>
      </c>
      <c r="B732" s="8" t="s">
        <v>3586</v>
      </c>
      <c r="C732" s="7" t="s">
        <v>1704</v>
      </c>
      <c r="D732" s="12" t="s">
        <v>39</v>
      </c>
      <c r="E732" s="13" t="s">
        <v>694</v>
      </c>
      <c r="F732" s="8" t="s">
        <v>42</v>
      </c>
      <c r="G732" s="8" t="b">
        <v>0</v>
      </c>
      <c r="H732" s="8" t="s">
        <v>1707</v>
      </c>
      <c r="I732" s="8">
        <v>2.0</v>
      </c>
      <c r="J732" s="8">
        <v>0.0</v>
      </c>
      <c r="K732" s="8">
        <v>1.0</v>
      </c>
    </row>
    <row r="733" ht="15.75" customHeight="1">
      <c r="A733" s="7" t="s">
        <v>3588</v>
      </c>
      <c r="B733" s="8" t="s">
        <v>3589</v>
      </c>
      <c r="C733" s="7" t="s">
        <v>46</v>
      </c>
      <c r="D733" s="12" t="s">
        <v>21</v>
      </c>
      <c r="E733" s="13" t="s">
        <v>73</v>
      </c>
      <c r="F733" s="8" t="s">
        <v>24</v>
      </c>
      <c r="G733" s="8" t="b">
        <v>0</v>
      </c>
      <c r="H733" s="8" t="s">
        <v>3591</v>
      </c>
      <c r="I733" s="8">
        <v>2.0</v>
      </c>
      <c r="J733" s="8">
        <v>0.0</v>
      </c>
      <c r="K733" s="8">
        <v>0.0</v>
      </c>
    </row>
    <row r="734" ht="15.75" customHeight="1">
      <c r="A734" s="7" t="s">
        <v>3592</v>
      </c>
      <c r="B734" s="8" t="s">
        <v>3594</v>
      </c>
      <c r="C734" s="7" t="s">
        <v>46</v>
      </c>
      <c r="D734" s="12" t="s">
        <v>39</v>
      </c>
      <c r="E734" s="13" t="s">
        <v>73</v>
      </c>
      <c r="F734" s="8" t="s">
        <v>42</v>
      </c>
      <c r="G734" s="8" t="b">
        <v>0</v>
      </c>
      <c r="H734" s="8" t="s">
        <v>792</v>
      </c>
      <c r="I734" s="8">
        <v>2.0</v>
      </c>
      <c r="J734" s="8">
        <v>0.0</v>
      </c>
      <c r="K734" s="8">
        <v>1.5</v>
      </c>
    </row>
    <row r="735" ht="15.75" customHeight="1">
      <c r="A735" s="7" t="s">
        <v>3595</v>
      </c>
      <c r="B735" s="8" t="s">
        <v>3597</v>
      </c>
      <c r="C735" s="7" t="s">
        <v>1709</v>
      </c>
      <c r="D735" s="12" t="s">
        <v>39</v>
      </c>
      <c r="E735" s="13" t="s">
        <v>41</v>
      </c>
      <c r="F735" s="8" t="s">
        <v>42</v>
      </c>
      <c r="G735" s="8" t="b">
        <v>0</v>
      </c>
      <c r="H735" s="8" t="s">
        <v>3600</v>
      </c>
      <c r="I735" s="8">
        <v>2.0</v>
      </c>
      <c r="J735" s="8">
        <v>0.0</v>
      </c>
      <c r="K735" s="8">
        <v>1.0</v>
      </c>
    </row>
    <row r="736" ht="15.75" customHeight="1">
      <c r="A736" s="7" t="s">
        <v>3601</v>
      </c>
      <c r="B736" s="8" t="s">
        <v>3604</v>
      </c>
      <c r="C736" s="7" t="s">
        <v>52</v>
      </c>
      <c r="D736" s="12" t="s">
        <v>39</v>
      </c>
      <c r="E736" s="13" t="s">
        <v>22</v>
      </c>
      <c r="F736" s="8" t="s">
        <v>42</v>
      </c>
      <c r="G736" s="8" t="b">
        <v>0</v>
      </c>
      <c r="H736" s="8" t="s">
        <v>3605</v>
      </c>
      <c r="I736" s="8">
        <v>2.0</v>
      </c>
      <c r="J736" s="8">
        <v>0.0</v>
      </c>
      <c r="K736" s="8">
        <v>1.5</v>
      </c>
    </row>
    <row r="737" ht="15.75" customHeight="1">
      <c r="A737" s="7" t="s">
        <v>3606</v>
      </c>
      <c r="B737" s="8" t="s">
        <v>3608</v>
      </c>
      <c r="C737" s="7" t="s">
        <v>52</v>
      </c>
      <c r="D737" s="12" t="s">
        <v>39</v>
      </c>
      <c r="E737" s="13" t="s">
        <v>22</v>
      </c>
      <c r="F737" s="8" t="s">
        <v>42</v>
      </c>
      <c r="G737" s="8" t="b">
        <v>0</v>
      </c>
      <c r="H737" s="8" t="s">
        <v>3610</v>
      </c>
      <c r="I737" s="8">
        <v>2.0</v>
      </c>
      <c r="J737" s="8">
        <v>0.0</v>
      </c>
      <c r="K737" s="8">
        <v>1.5</v>
      </c>
    </row>
    <row r="738" ht="15.75" customHeight="1">
      <c r="A738" s="7" t="s">
        <v>3612</v>
      </c>
      <c r="B738" s="8" t="s">
        <v>119</v>
      </c>
      <c r="C738" s="7" t="s">
        <v>52</v>
      </c>
      <c r="D738" s="12" t="s">
        <v>39</v>
      </c>
      <c r="E738" s="13" t="s">
        <v>22</v>
      </c>
      <c r="F738" s="8" t="s">
        <v>42</v>
      </c>
      <c r="G738" s="8" t="b">
        <v>0</v>
      </c>
      <c r="H738" s="8" t="s">
        <v>121</v>
      </c>
      <c r="I738" s="8">
        <v>2.0</v>
      </c>
      <c r="J738" s="8">
        <v>0.0</v>
      </c>
      <c r="K738" s="8">
        <v>0.5</v>
      </c>
    </row>
    <row r="739" ht="15.75" customHeight="1">
      <c r="A739" s="7" t="s">
        <v>3615</v>
      </c>
      <c r="B739" s="8" t="s">
        <v>3616</v>
      </c>
      <c r="C739" s="7" t="s">
        <v>1713</v>
      </c>
      <c r="D739" s="12" t="s">
        <v>39</v>
      </c>
      <c r="E739" s="13" t="s">
        <v>73</v>
      </c>
      <c r="F739" s="8" t="s">
        <v>42</v>
      </c>
      <c r="G739" s="8" t="b">
        <v>0</v>
      </c>
      <c r="H739" s="8" t="s">
        <v>3618</v>
      </c>
      <c r="I739" s="8">
        <v>2.0</v>
      </c>
      <c r="J739" s="8">
        <v>0.0</v>
      </c>
      <c r="K739" s="8">
        <v>2.5</v>
      </c>
    </row>
    <row r="740" ht="15.75" customHeight="1">
      <c r="A740" s="7" t="s">
        <v>3619</v>
      </c>
      <c r="B740" s="8" t="s">
        <v>3621</v>
      </c>
      <c r="C740" s="7" t="s">
        <v>1716</v>
      </c>
      <c r="D740" s="12" t="s">
        <v>693</v>
      </c>
      <c r="E740" s="13" t="s">
        <v>41</v>
      </c>
      <c r="F740" s="8" t="s">
        <v>695</v>
      </c>
      <c r="G740" s="8" t="b">
        <v>0</v>
      </c>
      <c r="I740" s="8">
        <v>2.0</v>
      </c>
      <c r="J740" s="8">
        <v>0.0</v>
      </c>
      <c r="K740" s="8">
        <v>1.0</v>
      </c>
    </row>
    <row r="741" ht="15.75" customHeight="1">
      <c r="A741" s="7" t="s">
        <v>3625</v>
      </c>
      <c r="B741" s="8" t="s">
        <v>3626</v>
      </c>
      <c r="C741" s="7" t="s">
        <v>884</v>
      </c>
      <c r="D741" s="12" t="s">
        <v>39</v>
      </c>
      <c r="E741" s="13" t="s">
        <v>41</v>
      </c>
      <c r="F741" s="8" t="s">
        <v>42</v>
      </c>
      <c r="G741" s="8" t="b">
        <v>0</v>
      </c>
      <c r="H741" s="8" t="s">
        <v>3627</v>
      </c>
      <c r="I741" s="8">
        <v>2.0</v>
      </c>
      <c r="J741" s="8">
        <v>0.0</v>
      </c>
      <c r="K741" s="8">
        <v>0.0</v>
      </c>
    </row>
    <row r="742" ht="15.75" customHeight="1">
      <c r="A742" s="7" t="s">
        <v>3628</v>
      </c>
      <c r="B742" s="8" t="s">
        <v>3629</v>
      </c>
      <c r="C742" s="7" t="s">
        <v>914</v>
      </c>
      <c r="D742" s="12" t="s">
        <v>21</v>
      </c>
      <c r="E742" s="13" t="s">
        <v>73</v>
      </c>
      <c r="F742" s="8" t="s">
        <v>24</v>
      </c>
      <c r="G742" s="8" t="b">
        <v>0</v>
      </c>
      <c r="H742" s="8" t="s">
        <v>3630</v>
      </c>
      <c r="I742" s="8">
        <v>2.0</v>
      </c>
      <c r="J742" s="8">
        <v>0.0</v>
      </c>
      <c r="K742" s="8">
        <v>1.0</v>
      </c>
    </row>
    <row r="743" ht="15.75" customHeight="1">
      <c r="A743" s="7" t="s">
        <v>3631</v>
      </c>
      <c r="C743" s="8" t="s">
        <v>572</v>
      </c>
      <c r="D743" s="12" t="s">
        <v>190</v>
      </c>
      <c r="E743" s="13" t="s">
        <v>41</v>
      </c>
      <c r="F743" s="8" t="s">
        <v>191</v>
      </c>
      <c r="H743" s="8" t="s">
        <v>1246</v>
      </c>
      <c r="I743" s="8">
        <v>2.0</v>
      </c>
      <c r="J743" s="8">
        <v>0.0</v>
      </c>
      <c r="K743" s="8">
        <v>1.0</v>
      </c>
    </row>
    <row r="744" ht="15.75" customHeight="1">
      <c r="A744" s="7" t="s">
        <v>3632</v>
      </c>
      <c r="B744" s="8" t="s">
        <v>3633</v>
      </c>
      <c r="C744" s="7" t="s">
        <v>610</v>
      </c>
      <c r="D744" s="12" t="s">
        <v>39</v>
      </c>
      <c r="E744" s="13" t="s">
        <v>41</v>
      </c>
      <c r="F744" s="8" t="s">
        <v>42</v>
      </c>
      <c r="G744" s="8" t="b">
        <v>0</v>
      </c>
      <c r="H744" s="8" t="s">
        <v>3634</v>
      </c>
      <c r="I744" s="8">
        <v>2.0</v>
      </c>
      <c r="J744" s="8">
        <v>0.0</v>
      </c>
      <c r="K744" s="8">
        <v>0.0</v>
      </c>
    </row>
    <row r="745" ht="15.75" customHeight="1">
      <c r="A745" s="7" t="s">
        <v>3635</v>
      </c>
      <c r="B745" s="8" t="s">
        <v>3636</v>
      </c>
      <c r="C745" s="7" t="s">
        <v>1723</v>
      </c>
      <c r="D745" s="12" t="s">
        <v>39</v>
      </c>
      <c r="E745" s="13" t="s">
        <v>41</v>
      </c>
      <c r="F745" s="8" t="s">
        <v>42</v>
      </c>
      <c r="G745" s="8" t="b">
        <v>0</v>
      </c>
      <c r="H745" s="8" t="s">
        <v>3637</v>
      </c>
      <c r="I745" s="8">
        <v>2.0</v>
      </c>
      <c r="J745" s="8">
        <v>0.0</v>
      </c>
      <c r="K745" s="8">
        <v>0.0</v>
      </c>
    </row>
    <row r="746" ht="15.75" customHeight="1">
      <c r="A746" s="7" t="s">
        <v>3638</v>
      </c>
      <c r="B746" s="8" t="s">
        <v>3639</v>
      </c>
      <c r="C746" s="7" t="s">
        <v>1559</v>
      </c>
      <c r="D746" s="12" t="s">
        <v>190</v>
      </c>
      <c r="E746" s="13" t="s">
        <v>41</v>
      </c>
      <c r="F746" s="8" t="s">
        <v>191</v>
      </c>
      <c r="G746" s="8" t="b">
        <v>0</v>
      </c>
      <c r="H746" s="8" t="s">
        <v>3640</v>
      </c>
      <c r="I746" s="8">
        <v>2.0</v>
      </c>
      <c r="J746" s="8">
        <v>0.0</v>
      </c>
      <c r="K746" s="8">
        <v>2.0</v>
      </c>
    </row>
    <row r="747" ht="15.75" customHeight="1">
      <c r="A747" s="7" t="s">
        <v>3641</v>
      </c>
      <c r="B747" s="8" t="s">
        <v>3642</v>
      </c>
      <c r="C747" s="8" t="s">
        <v>621</v>
      </c>
      <c r="D747" s="12" t="s">
        <v>39</v>
      </c>
      <c r="E747" s="13" t="s">
        <v>41</v>
      </c>
      <c r="F747" s="8" t="s">
        <v>42</v>
      </c>
      <c r="G747" s="8" t="b">
        <v>0</v>
      </c>
      <c r="H747" s="8" t="s">
        <v>3643</v>
      </c>
      <c r="I747" s="8">
        <v>2.0</v>
      </c>
      <c r="J747" s="8">
        <v>0.0</v>
      </c>
      <c r="K747" s="8">
        <v>1.0</v>
      </c>
    </row>
    <row r="748" ht="15.75" customHeight="1">
      <c r="A748" s="7" t="s">
        <v>3644</v>
      </c>
      <c r="B748" s="8" t="s">
        <v>3645</v>
      </c>
      <c r="C748" s="8" t="s">
        <v>621</v>
      </c>
      <c r="D748" s="12" t="s">
        <v>39</v>
      </c>
      <c r="E748" s="13" t="s">
        <v>41</v>
      </c>
      <c r="F748" s="8" t="s">
        <v>42</v>
      </c>
      <c r="G748" s="8" t="b">
        <v>0</v>
      </c>
      <c r="H748" s="8" t="s">
        <v>3646</v>
      </c>
      <c r="I748" s="8">
        <v>2.0</v>
      </c>
      <c r="J748" s="8">
        <v>0.0</v>
      </c>
      <c r="K748" s="8">
        <v>0.5</v>
      </c>
    </row>
    <row r="749" ht="15.75" customHeight="1">
      <c r="A749" s="7" t="s">
        <v>3647</v>
      </c>
      <c r="B749" s="8" t="s">
        <v>3648</v>
      </c>
      <c r="C749" s="7" t="s">
        <v>1208</v>
      </c>
      <c r="D749" s="12" t="s">
        <v>693</v>
      </c>
      <c r="E749" s="13" t="s">
        <v>190</v>
      </c>
      <c r="F749" s="8" t="s">
        <v>695</v>
      </c>
      <c r="G749" s="8" t="b">
        <v>0</v>
      </c>
      <c r="H749" s="8" t="s">
        <v>1241</v>
      </c>
      <c r="I749" s="8">
        <v>2.0</v>
      </c>
      <c r="J749" s="8">
        <v>0.0</v>
      </c>
      <c r="K749" s="8">
        <v>1.0</v>
      </c>
    </row>
    <row r="750" ht="15.75" customHeight="1">
      <c r="A750" s="7" t="s">
        <v>3649</v>
      </c>
      <c r="B750" s="8" t="s">
        <v>3650</v>
      </c>
      <c r="C750" s="7" t="s">
        <v>1208</v>
      </c>
      <c r="D750" s="12" t="s">
        <v>39</v>
      </c>
      <c r="E750" s="13" t="s">
        <v>190</v>
      </c>
      <c r="F750" s="8" t="s">
        <v>42</v>
      </c>
      <c r="G750" s="8" t="b">
        <v>0</v>
      </c>
      <c r="H750" s="8" t="s">
        <v>3651</v>
      </c>
      <c r="I750" s="8">
        <v>2.0</v>
      </c>
      <c r="J750" s="8">
        <v>0.0</v>
      </c>
      <c r="K750" s="8">
        <v>0.0</v>
      </c>
    </row>
    <row r="751" ht="15.75" customHeight="1">
      <c r="A751" s="7" t="s">
        <v>3652</v>
      </c>
      <c r="B751" s="8" t="s">
        <v>3653</v>
      </c>
      <c r="C751" s="7" t="s">
        <v>133</v>
      </c>
      <c r="D751" s="12" t="s">
        <v>39</v>
      </c>
      <c r="E751" s="13" t="s">
        <v>22</v>
      </c>
      <c r="F751" s="8" t="s">
        <v>42</v>
      </c>
      <c r="G751" s="8" t="b">
        <v>0</v>
      </c>
      <c r="H751" s="8" t="s">
        <v>3654</v>
      </c>
      <c r="I751" s="8">
        <v>2.0</v>
      </c>
      <c r="J751" s="8">
        <v>0.0</v>
      </c>
      <c r="K751" s="8">
        <v>1.5</v>
      </c>
    </row>
    <row r="752" ht="15.75" customHeight="1">
      <c r="A752" s="7" t="s">
        <v>3655</v>
      </c>
      <c r="B752" s="8" t="s">
        <v>3656</v>
      </c>
      <c r="C752" s="7" t="s">
        <v>1418</v>
      </c>
      <c r="D752" s="12" t="s">
        <v>39</v>
      </c>
      <c r="E752" s="13" t="s">
        <v>41</v>
      </c>
      <c r="F752" s="8" t="s">
        <v>42</v>
      </c>
      <c r="G752" s="8" t="b">
        <v>0</v>
      </c>
      <c r="H752" s="8" t="s">
        <v>3657</v>
      </c>
      <c r="I752" s="8">
        <v>2.0</v>
      </c>
      <c r="J752" s="8">
        <v>0.0</v>
      </c>
      <c r="K752" s="8">
        <v>1.0</v>
      </c>
    </row>
    <row r="753" ht="15.75" customHeight="1">
      <c r="A753" s="7" t="s">
        <v>3658</v>
      </c>
      <c r="B753" s="8" t="s">
        <v>3659</v>
      </c>
      <c r="C753" s="7" t="s">
        <v>728</v>
      </c>
      <c r="D753" s="12" t="s">
        <v>39</v>
      </c>
      <c r="E753" s="13" t="s">
        <v>41</v>
      </c>
      <c r="F753" s="8" t="s">
        <v>42</v>
      </c>
      <c r="G753" s="8" t="b">
        <v>0</v>
      </c>
      <c r="I753" s="8">
        <v>2.0</v>
      </c>
      <c r="J753" s="8">
        <v>0.0</v>
      </c>
      <c r="K753" s="8">
        <v>1.5</v>
      </c>
    </row>
    <row r="754" ht="15.75" customHeight="1">
      <c r="A754" s="7" t="s">
        <v>3660</v>
      </c>
      <c r="B754" s="8" t="s">
        <v>3661</v>
      </c>
      <c r="C754" s="7" t="s">
        <v>1277</v>
      </c>
      <c r="D754" s="12" t="s">
        <v>39</v>
      </c>
      <c r="E754" s="13" t="s">
        <v>41</v>
      </c>
      <c r="F754" s="8" t="s">
        <v>42</v>
      </c>
      <c r="G754" s="8" t="b">
        <v>0</v>
      </c>
      <c r="H754" s="8" t="s">
        <v>3662</v>
      </c>
      <c r="I754" s="8">
        <v>2.0</v>
      </c>
      <c r="J754" s="8">
        <v>0.0</v>
      </c>
      <c r="K754" s="8">
        <v>1.0</v>
      </c>
    </row>
    <row r="755" ht="15.75" customHeight="1">
      <c r="A755" s="7" t="s">
        <v>3663</v>
      </c>
      <c r="B755" s="8" t="s">
        <v>3664</v>
      </c>
      <c r="C755" s="7" t="s">
        <v>1277</v>
      </c>
      <c r="D755" s="12" t="s">
        <v>39</v>
      </c>
      <c r="E755" s="13" t="s">
        <v>41</v>
      </c>
      <c r="F755" s="8" t="s">
        <v>42</v>
      </c>
      <c r="G755" s="8" t="b">
        <v>0</v>
      </c>
      <c r="H755" s="8" t="s">
        <v>3665</v>
      </c>
      <c r="I755" s="8">
        <v>2.0</v>
      </c>
      <c r="J755" s="8">
        <v>0.0</v>
      </c>
      <c r="K755" s="8">
        <v>1.0</v>
      </c>
    </row>
    <row r="756" ht="15.75" customHeight="1">
      <c r="A756" s="7" t="s">
        <v>3666</v>
      </c>
      <c r="B756" s="8" t="s">
        <v>3667</v>
      </c>
      <c r="C756" s="8" t="s">
        <v>1733</v>
      </c>
      <c r="D756" s="12" t="s">
        <v>39</v>
      </c>
      <c r="E756" s="13" t="s">
        <v>41</v>
      </c>
      <c r="F756" s="8" t="s">
        <v>42</v>
      </c>
      <c r="G756" s="8" t="b">
        <v>0</v>
      </c>
      <c r="H756" s="8" t="s">
        <v>3668</v>
      </c>
      <c r="I756" s="8">
        <v>2.0</v>
      </c>
      <c r="J756" s="8">
        <v>0.0</v>
      </c>
      <c r="K756" s="8">
        <v>1.0</v>
      </c>
    </row>
    <row r="757" ht="15.75" customHeight="1">
      <c r="A757" s="7" t="s">
        <v>3669</v>
      </c>
      <c r="B757" s="8" t="s">
        <v>3670</v>
      </c>
      <c r="C757" s="7" t="s">
        <v>1280</v>
      </c>
      <c r="D757" s="12" t="s">
        <v>39</v>
      </c>
      <c r="E757" s="13" t="s">
        <v>41</v>
      </c>
      <c r="F757" s="8" t="s">
        <v>42</v>
      </c>
      <c r="G757" s="8" t="b">
        <v>0</v>
      </c>
      <c r="H757" s="8" t="s">
        <v>3671</v>
      </c>
      <c r="I757" s="8">
        <v>2.0</v>
      </c>
      <c r="J757" s="8">
        <v>0.0</v>
      </c>
      <c r="K757" s="8">
        <v>0.0</v>
      </c>
    </row>
    <row r="758" ht="15.75" customHeight="1">
      <c r="A758" s="7" t="s">
        <v>3672</v>
      </c>
      <c r="B758" s="8" t="s">
        <v>3673</v>
      </c>
      <c r="C758" s="7" t="s">
        <v>1280</v>
      </c>
      <c r="D758" s="12" t="s">
        <v>39</v>
      </c>
      <c r="E758" s="13" t="s">
        <v>41</v>
      </c>
      <c r="F758" s="8" t="s">
        <v>42</v>
      </c>
      <c r="G758" s="8" t="b">
        <v>0</v>
      </c>
      <c r="H758" s="8" t="s">
        <v>3674</v>
      </c>
      <c r="I758" s="8">
        <v>2.0</v>
      </c>
      <c r="J758" s="8">
        <v>0.0</v>
      </c>
      <c r="K758" s="8">
        <v>0.0</v>
      </c>
    </row>
    <row r="759" ht="15.75" customHeight="1">
      <c r="A759" s="7" t="s">
        <v>3675</v>
      </c>
      <c r="B759" s="8" t="s">
        <v>3676</v>
      </c>
      <c r="C759" s="7" t="s">
        <v>1740</v>
      </c>
      <c r="D759" s="12" t="s">
        <v>190</v>
      </c>
      <c r="E759" s="13" t="s">
        <v>41</v>
      </c>
      <c r="F759" s="8" t="s">
        <v>191</v>
      </c>
      <c r="G759" s="8" t="b">
        <v>0</v>
      </c>
      <c r="I759" s="8">
        <v>2.0</v>
      </c>
      <c r="J759" s="8">
        <v>0.0</v>
      </c>
      <c r="K759" s="8">
        <v>1.0</v>
      </c>
    </row>
    <row r="760" ht="15.75" customHeight="1">
      <c r="A760" s="7" t="s">
        <v>3677</v>
      </c>
      <c r="B760" s="8" t="s">
        <v>1809</v>
      </c>
      <c r="C760" s="7" t="s">
        <v>99</v>
      </c>
      <c r="D760" s="12" t="s">
        <v>190</v>
      </c>
      <c r="E760" s="13" t="s">
        <v>76</v>
      </c>
      <c r="F760" s="8" t="s">
        <v>191</v>
      </c>
      <c r="G760" s="8" t="b">
        <v>0</v>
      </c>
      <c r="H760" s="8" t="s">
        <v>3678</v>
      </c>
      <c r="I760" s="8">
        <v>2.0</v>
      </c>
      <c r="J760" s="8">
        <v>0.0</v>
      </c>
      <c r="K760" s="8">
        <v>0.0</v>
      </c>
    </row>
    <row r="761" ht="15.75" customHeight="1">
      <c r="A761" s="7" t="s">
        <v>3679</v>
      </c>
      <c r="B761" s="8" t="s">
        <v>213</v>
      </c>
      <c r="C761" s="7" t="s">
        <v>99</v>
      </c>
      <c r="D761" s="12" t="s">
        <v>190</v>
      </c>
      <c r="E761" s="13" t="s">
        <v>76</v>
      </c>
      <c r="F761" s="8" t="s">
        <v>191</v>
      </c>
      <c r="G761" s="8" t="b">
        <v>0</v>
      </c>
      <c r="H761" s="8" t="s">
        <v>214</v>
      </c>
      <c r="I761" s="8">
        <v>2.0</v>
      </c>
      <c r="J761" s="8">
        <v>0.0</v>
      </c>
      <c r="K761" s="8">
        <v>0.0</v>
      </c>
    </row>
    <row r="762" ht="15.75" customHeight="1">
      <c r="A762" s="7" t="s">
        <v>3680</v>
      </c>
      <c r="B762" s="8" t="s">
        <v>3681</v>
      </c>
      <c r="C762" s="7" t="s">
        <v>1750</v>
      </c>
      <c r="D762" s="12" t="s">
        <v>39</v>
      </c>
      <c r="E762" s="13" t="s">
        <v>41</v>
      </c>
      <c r="F762" s="8" t="s">
        <v>42</v>
      </c>
      <c r="G762" s="8" t="b">
        <v>0</v>
      </c>
      <c r="H762" s="8" t="s">
        <v>3682</v>
      </c>
      <c r="I762" s="8">
        <v>2.0</v>
      </c>
      <c r="J762" s="8">
        <v>0.0</v>
      </c>
      <c r="K762" s="8">
        <v>1.0</v>
      </c>
    </row>
    <row r="763" ht="15.75" customHeight="1">
      <c r="A763" s="7" t="s">
        <v>3683</v>
      </c>
      <c r="B763" s="8" t="s">
        <v>3684</v>
      </c>
      <c r="C763" s="7" t="s">
        <v>1350</v>
      </c>
      <c r="D763" s="12" t="s">
        <v>39</v>
      </c>
      <c r="E763" s="13" t="s">
        <v>22</v>
      </c>
      <c r="F763" s="8" t="s">
        <v>42</v>
      </c>
      <c r="G763" s="8" t="b">
        <v>0</v>
      </c>
      <c r="H763" s="8" t="s">
        <v>3685</v>
      </c>
      <c r="I763" s="8">
        <v>2.0</v>
      </c>
      <c r="J763" s="8">
        <v>0.0</v>
      </c>
      <c r="K763" s="8">
        <v>3.0</v>
      </c>
    </row>
    <row r="764" ht="15.75" customHeight="1">
      <c r="A764" s="7" t="s">
        <v>3686</v>
      </c>
      <c r="B764" s="8" t="s">
        <v>3687</v>
      </c>
      <c r="C764" s="7" t="s">
        <v>1767</v>
      </c>
      <c r="D764" s="12" t="s">
        <v>554</v>
      </c>
      <c r="E764" s="13" t="s">
        <v>41</v>
      </c>
      <c r="F764" s="8" t="s">
        <v>555</v>
      </c>
      <c r="G764" s="8" t="b">
        <v>0</v>
      </c>
      <c r="H764" s="8" t="s">
        <v>1464</v>
      </c>
      <c r="I764" s="8">
        <v>2.0</v>
      </c>
      <c r="J764" s="8">
        <v>0.0</v>
      </c>
      <c r="K764" s="8">
        <v>0.0</v>
      </c>
    </row>
    <row r="765" ht="15.75" customHeight="1">
      <c r="A765" s="7" t="s">
        <v>3688</v>
      </c>
      <c r="C765" s="7" t="s">
        <v>1770</v>
      </c>
      <c r="D765" s="12" t="s">
        <v>190</v>
      </c>
      <c r="E765" s="13" t="s">
        <v>694</v>
      </c>
      <c r="F765" s="8" t="s">
        <v>191</v>
      </c>
      <c r="G765" s="8" t="b">
        <v>0</v>
      </c>
      <c r="H765" s="8" t="s">
        <v>691</v>
      </c>
      <c r="I765" s="8">
        <v>2.0</v>
      </c>
      <c r="J765" s="8">
        <v>0.0</v>
      </c>
      <c r="K765" s="8">
        <v>2.5</v>
      </c>
    </row>
    <row r="766" ht="15.75" customHeight="1">
      <c r="A766" s="7" t="s">
        <v>3689</v>
      </c>
      <c r="B766" s="8" t="s">
        <v>3690</v>
      </c>
      <c r="C766" s="7" t="s">
        <v>1589</v>
      </c>
      <c r="D766" s="12" t="s">
        <v>39</v>
      </c>
      <c r="E766" s="13" t="s">
        <v>41</v>
      </c>
      <c r="F766" s="8" t="s">
        <v>42</v>
      </c>
      <c r="G766" s="8" t="b">
        <v>0</v>
      </c>
      <c r="H766" s="8" t="s">
        <v>3691</v>
      </c>
      <c r="I766" s="8">
        <v>2.0</v>
      </c>
      <c r="J766" s="8">
        <v>0.0</v>
      </c>
      <c r="K766" s="8">
        <v>0.0</v>
      </c>
    </row>
    <row r="767" ht="15.75" customHeight="1">
      <c r="A767" s="7" t="s">
        <v>3692</v>
      </c>
      <c r="B767" s="8" t="s">
        <v>3693</v>
      </c>
      <c r="C767" s="8" t="s">
        <v>35</v>
      </c>
      <c r="D767" s="12" t="s">
        <v>39</v>
      </c>
      <c r="E767" s="13" t="s">
        <v>22</v>
      </c>
      <c r="F767" s="8" t="s">
        <v>42</v>
      </c>
      <c r="G767" s="8" t="b">
        <v>0</v>
      </c>
      <c r="H767" s="8" t="s">
        <v>3694</v>
      </c>
      <c r="I767" s="8">
        <v>2.0</v>
      </c>
      <c r="J767" s="8">
        <v>0.0</v>
      </c>
      <c r="K767" s="8">
        <v>2.0</v>
      </c>
    </row>
    <row r="768" ht="15.75" customHeight="1">
      <c r="A768" s="7" t="s">
        <v>3695</v>
      </c>
      <c r="B768" s="8" t="s">
        <v>3696</v>
      </c>
      <c r="C768" s="7" t="s">
        <v>1126</v>
      </c>
      <c r="D768" s="12" t="s">
        <v>554</v>
      </c>
      <c r="E768" s="13" t="s">
        <v>22</v>
      </c>
      <c r="F768" s="8" t="s">
        <v>555</v>
      </c>
      <c r="G768" s="8" t="b">
        <v>0</v>
      </c>
      <c r="H768" s="8" t="s">
        <v>3697</v>
      </c>
      <c r="I768" s="8">
        <v>2.0</v>
      </c>
      <c r="J768" s="8">
        <v>0.0</v>
      </c>
      <c r="K768" s="8">
        <v>1.0</v>
      </c>
    </row>
    <row r="769" ht="15.75" customHeight="1">
      <c r="A769" s="7" t="s">
        <v>3698</v>
      </c>
      <c r="B769" s="8" t="s">
        <v>3699</v>
      </c>
      <c r="C769" s="7" t="s">
        <v>1126</v>
      </c>
      <c r="D769" s="12" t="s">
        <v>693</v>
      </c>
      <c r="E769" s="13" t="s">
        <v>22</v>
      </c>
      <c r="F769" s="8" t="s">
        <v>695</v>
      </c>
      <c r="G769" s="8" t="b">
        <v>0</v>
      </c>
      <c r="H769" s="8" t="s">
        <v>3086</v>
      </c>
      <c r="I769" s="8">
        <v>2.0</v>
      </c>
      <c r="J769" s="8">
        <v>0.0</v>
      </c>
      <c r="K769" s="8">
        <v>2.0</v>
      </c>
    </row>
    <row r="770" ht="15.75" customHeight="1">
      <c r="A770" s="7" t="s">
        <v>3700</v>
      </c>
      <c r="B770" s="8" t="s">
        <v>3701</v>
      </c>
      <c r="C770" s="7" t="s">
        <v>929</v>
      </c>
      <c r="D770" s="12" t="s">
        <v>39</v>
      </c>
      <c r="E770" s="13" t="s">
        <v>41</v>
      </c>
      <c r="F770" s="8" t="s">
        <v>42</v>
      </c>
      <c r="G770" s="8" t="b">
        <v>0</v>
      </c>
      <c r="H770" s="8" t="s">
        <v>3702</v>
      </c>
      <c r="I770" s="8">
        <v>2.0</v>
      </c>
      <c r="J770" s="8">
        <v>0.0</v>
      </c>
      <c r="K770" s="8">
        <v>1.5</v>
      </c>
    </row>
    <row r="771" ht="15.75" customHeight="1">
      <c r="A771" s="7" t="s">
        <v>3703</v>
      </c>
      <c r="B771" s="8" t="s">
        <v>3704</v>
      </c>
      <c r="C771" s="7" t="s">
        <v>929</v>
      </c>
      <c r="D771" s="12" t="s">
        <v>39</v>
      </c>
      <c r="E771" s="13" t="s">
        <v>41</v>
      </c>
      <c r="F771" s="8" t="s">
        <v>42</v>
      </c>
      <c r="G771" s="8" t="b">
        <v>0</v>
      </c>
      <c r="H771" s="8" t="s">
        <v>3705</v>
      </c>
      <c r="I771" s="8">
        <v>2.0</v>
      </c>
      <c r="J771" s="8">
        <v>0.0</v>
      </c>
      <c r="K771" s="8">
        <v>1.0</v>
      </c>
    </row>
    <row r="772" ht="15.75" customHeight="1">
      <c r="A772" s="7" t="s">
        <v>3706</v>
      </c>
      <c r="B772" s="8" t="s">
        <v>3707</v>
      </c>
      <c r="C772" s="7" t="s">
        <v>1771</v>
      </c>
      <c r="D772" s="12" t="s">
        <v>39</v>
      </c>
      <c r="E772" s="13" t="s">
        <v>41</v>
      </c>
      <c r="F772" s="8" t="s">
        <v>42</v>
      </c>
      <c r="G772" s="8" t="b">
        <v>0</v>
      </c>
      <c r="H772" s="8" t="s">
        <v>3708</v>
      </c>
      <c r="I772" s="8">
        <v>2.0</v>
      </c>
      <c r="J772" s="8">
        <v>0.0</v>
      </c>
      <c r="K772" s="8">
        <v>1.0</v>
      </c>
    </row>
    <row r="773" ht="15.75" customHeight="1">
      <c r="A773" s="7" t="s">
        <v>3709</v>
      </c>
      <c r="B773" s="8" t="s">
        <v>3710</v>
      </c>
      <c r="C773" s="7" t="s">
        <v>1774</v>
      </c>
      <c r="D773" s="12" t="s">
        <v>39</v>
      </c>
      <c r="E773" s="13" t="s">
        <v>41</v>
      </c>
      <c r="F773" s="8" t="s">
        <v>42</v>
      </c>
      <c r="G773" s="8" t="b">
        <v>0</v>
      </c>
      <c r="H773" s="8" t="s">
        <v>1776</v>
      </c>
      <c r="I773" s="8">
        <v>2.0</v>
      </c>
      <c r="J773" s="8">
        <v>0.0</v>
      </c>
      <c r="K773" s="8">
        <v>0.0</v>
      </c>
    </row>
    <row r="774" ht="15.75" customHeight="1">
      <c r="A774" s="7" t="s">
        <v>3711</v>
      </c>
      <c r="B774" s="8" t="s">
        <v>3712</v>
      </c>
      <c r="C774" s="7" t="s">
        <v>1778</v>
      </c>
      <c r="D774" s="12" t="s">
        <v>766</v>
      </c>
      <c r="E774" s="13" t="s">
        <v>41</v>
      </c>
      <c r="F774" s="8" t="s">
        <v>767</v>
      </c>
      <c r="G774" s="8" t="b">
        <v>0</v>
      </c>
      <c r="H774" s="8" t="s">
        <v>1779</v>
      </c>
      <c r="I774" s="8">
        <v>2.0</v>
      </c>
      <c r="J774" s="8">
        <v>0.0</v>
      </c>
      <c r="K774" s="8">
        <v>0.0</v>
      </c>
    </row>
    <row r="775" ht="15.75" customHeight="1">
      <c r="A775" s="7" t="s">
        <v>3713</v>
      </c>
      <c r="B775" s="8" t="s">
        <v>3714</v>
      </c>
      <c r="C775" s="7" t="s">
        <v>577</v>
      </c>
      <c r="D775" s="12" t="s">
        <v>39</v>
      </c>
      <c r="E775" s="13" t="s">
        <v>41</v>
      </c>
      <c r="F775" s="8" t="s">
        <v>42</v>
      </c>
      <c r="G775" s="8" t="b">
        <v>0</v>
      </c>
      <c r="H775" s="8" t="s">
        <v>3715</v>
      </c>
      <c r="I775" s="8">
        <v>2.0</v>
      </c>
      <c r="J775" s="8">
        <v>0.0</v>
      </c>
      <c r="K775" s="8">
        <v>0.0</v>
      </c>
    </row>
    <row r="776" ht="15.75" customHeight="1">
      <c r="A776" s="7" t="s">
        <v>3716</v>
      </c>
      <c r="B776" s="8" t="s">
        <v>3717</v>
      </c>
      <c r="C776" s="7" t="s">
        <v>577</v>
      </c>
      <c r="D776" s="12" t="s">
        <v>39</v>
      </c>
      <c r="E776" s="13" t="s">
        <v>41</v>
      </c>
      <c r="F776" s="8" t="s">
        <v>42</v>
      </c>
      <c r="G776" s="8" t="b">
        <v>0</v>
      </c>
      <c r="H776" s="8" t="s">
        <v>3718</v>
      </c>
      <c r="I776" s="8">
        <v>2.0</v>
      </c>
      <c r="J776" s="8">
        <v>0.0</v>
      </c>
      <c r="K776" s="8">
        <v>0.5</v>
      </c>
    </row>
    <row r="777" ht="15.75" customHeight="1">
      <c r="A777" s="7" t="s">
        <v>3719</v>
      </c>
      <c r="B777" s="8" t="s">
        <v>3720</v>
      </c>
      <c r="C777" s="7" t="s">
        <v>298</v>
      </c>
      <c r="D777" s="12" t="s">
        <v>39</v>
      </c>
      <c r="E777" s="13" t="s">
        <v>22</v>
      </c>
      <c r="F777" s="8" t="s">
        <v>42</v>
      </c>
      <c r="G777" s="8" t="b">
        <v>0</v>
      </c>
      <c r="H777" s="8" t="s">
        <v>3721</v>
      </c>
      <c r="I777" s="8">
        <v>2.0</v>
      </c>
      <c r="J777" s="8">
        <v>0.0</v>
      </c>
      <c r="K777" s="8">
        <v>3.0</v>
      </c>
    </row>
    <row r="778" ht="15.75" customHeight="1">
      <c r="A778" s="7" t="s">
        <v>3722</v>
      </c>
      <c r="B778" s="8" t="s">
        <v>3723</v>
      </c>
      <c r="C778" s="7" t="s">
        <v>617</v>
      </c>
      <c r="D778" s="12" t="s">
        <v>554</v>
      </c>
      <c r="E778" s="13" t="s">
        <v>22</v>
      </c>
      <c r="F778" s="8" t="s">
        <v>555</v>
      </c>
      <c r="G778" s="8" t="b">
        <v>0</v>
      </c>
      <c r="H778" s="8" t="s">
        <v>1792</v>
      </c>
      <c r="I778" s="8">
        <v>2.0</v>
      </c>
      <c r="J778" s="8">
        <v>0.0</v>
      </c>
      <c r="K778" s="8">
        <v>0.0</v>
      </c>
    </row>
    <row r="779" ht="15.75" customHeight="1">
      <c r="A779" s="7" t="s">
        <v>3724</v>
      </c>
      <c r="B779" s="8" t="s">
        <v>3725</v>
      </c>
      <c r="C779" s="7" t="s">
        <v>617</v>
      </c>
      <c r="D779" s="12" t="s">
        <v>104</v>
      </c>
      <c r="E779" s="13" t="s">
        <v>22</v>
      </c>
      <c r="F779" s="8" t="s">
        <v>106</v>
      </c>
      <c r="G779" s="8" t="b">
        <v>0</v>
      </c>
      <c r="H779" s="8" t="s">
        <v>3726</v>
      </c>
      <c r="I779" s="8">
        <v>2.0</v>
      </c>
      <c r="J779" s="8">
        <v>0.0</v>
      </c>
      <c r="K779" s="8">
        <v>1.0</v>
      </c>
    </row>
    <row r="780" ht="15.75" customHeight="1">
      <c r="A780" s="7" t="s">
        <v>3727</v>
      </c>
      <c r="B780" s="8" t="s">
        <v>3728</v>
      </c>
      <c r="C780" s="7" t="s">
        <v>123</v>
      </c>
      <c r="D780" s="12" t="s">
        <v>72</v>
      </c>
      <c r="E780" s="13" t="s">
        <v>76</v>
      </c>
      <c r="F780" s="8" t="s">
        <v>74</v>
      </c>
      <c r="G780" s="8" t="b">
        <v>0</v>
      </c>
      <c r="H780" s="8" t="s">
        <v>3729</v>
      </c>
      <c r="I780" s="8">
        <v>2.0</v>
      </c>
      <c r="J780" s="8">
        <v>0.0</v>
      </c>
      <c r="K780" s="8">
        <v>1.5</v>
      </c>
    </row>
    <row r="781" ht="15.75" customHeight="1">
      <c r="A781" s="7" t="s">
        <v>3730</v>
      </c>
      <c r="B781" s="8" t="s">
        <v>3731</v>
      </c>
      <c r="C781" s="7" t="s">
        <v>1782</v>
      </c>
      <c r="D781" s="12" t="s">
        <v>39</v>
      </c>
      <c r="E781" s="13" t="s">
        <v>41</v>
      </c>
      <c r="F781" s="8" t="s">
        <v>42</v>
      </c>
      <c r="G781" s="8" t="b">
        <v>0</v>
      </c>
      <c r="H781" s="8" t="s">
        <v>3674</v>
      </c>
      <c r="I781" s="8">
        <v>2.0</v>
      </c>
      <c r="J781" s="8">
        <v>0.0</v>
      </c>
      <c r="K781" s="8">
        <v>0.0</v>
      </c>
    </row>
    <row r="782" ht="15.75" customHeight="1">
      <c r="A782" s="7" t="s">
        <v>3732</v>
      </c>
      <c r="B782" s="8" t="s">
        <v>3733</v>
      </c>
      <c r="C782" s="7" t="s">
        <v>536</v>
      </c>
      <c r="D782" s="12" t="s">
        <v>39</v>
      </c>
      <c r="E782" s="13" t="s">
        <v>41</v>
      </c>
      <c r="F782" s="8" t="s">
        <v>42</v>
      </c>
      <c r="G782" s="8" t="b">
        <v>0</v>
      </c>
      <c r="H782" s="8" t="s">
        <v>3734</v>
      </c>
      <c r="I782" s="8">
        <v>2.0</v>
      </c>
      <c r="J782" s="8">
        <v>0.0</v>
      </c>
      <c r="K782" s="8">
        <v>0.5</v>
      </c>
    </row>
    <row r="783" ht="15.75" customHeight="1">
      <c r="A783" s="7" t="s">
        <v>3735</v>
      </c>
      <c r="B783" s="8" t="s">
        <v>3736</v>
      </c>
      <c r="C783" s="7" t="s">
        <v>536</v>
      </c>
      <c r="D783" s="12" t="s">
        <v>39</v>
      </c>
      <c r="E783" s="13" t="s">
        <v>41</v>
      </c>
      <c r="F783" s="8" t="s">
        <v>42</v>
      </c>
      <c r="G783" s="8" t="b">
        <v>0</v>
      </c>
      <c r="H783" s="8" t="s">
        <v>3737</v>
      </c>
      <c r="I783" s="8">
        <v>2.0</v>
      </c>
      <c r="J783" s="8">
        <v>0.0</v>
      </c>
      <c r="K783" s="8">
        <v>1.0</v>
      </c>
    </row>
    <row r="784" ht="15.75" customHeight="1">
      <c r="A784" s="7" t="s">
        <v>3738</v>
      </c>
      <c r="B784" s="8" t="s">
        <v>3739</v>
      </c>
      <c r="C784" s="7" t="s">
        <v>1789</v>
      </c>
      <c r="D784" s="12" t="s">
        <v>39</v>
      </c>
      <c r="E784" s="13" t="s">
        <v>753</v>
      </c>
      <c r="F784" s="8" t="s">
        <v>42</v>
      </c>
      <c r="G784" s="8" t="b">
        <v>0</v>
      </c>
      <c r="H784" s="8" t="s">
        <v>1792</v>
      </c>
      <c r="I784" s="8">
        <v>2.0</v>
      </c>
      <c r="J784" s="8">
        <v>0.0</v>
      </c>
      <c r="K784" s="8">
        <v>0.0</v>
      </c>
    </row>
    <row r="785" ht="15.75" customHeight="1">
      <c r="A785" s="7" t="s">
        <v>3740</v>
      </c>
      <c r="B785" s="8" t="s">
        <v>3741</v>
      </c>
      <c r="C785" s="7" t="s">
        <v>1600</v>
      </c>
      <c r="D785" s="12" t="s">
        <v>554</v>
      </c>
      <c r="E785" s="13" t="s">
        <v>41</v>
      </c>
      <c r="F785" s="8" t="s">
        <v>555</v>
      </c>
      <c r="G785" s="8" t="b">
        <v>0</v>
      </c>
      <c r="H785" s="8" t="s">
        <v>1603</v>
      </c>
      <c r="I785" s="8">
        <v>2.0</v>
      </c>
      <c r="J785" s="8">
        <v>0.0</v>
      </c>
      <c r="K785" s="8">
        <v>2.0</v>
      </c>
    </row>
    <row r="786" ht="15.75" customHeight="1">
      <c r="A786" s="7" t="s">
        <v>3742</v>
      </c>
      <c r="B786" s="8" t="s">
        <v>3743</v>
      </c>
      <c r="C786" s="7" t="s">
        <v>334</v>
      </c>
      <c r="D786" s="12" t="s">
        <v>39</v>
      </c>
      <c r="E786" s="13" t="s">
        <v>41</v>
      </c>
      <c r="F786" s="8" t="s">
        <v>42</v>
      </c>
      <c r="G786" s="8" t="b">
        <v>0</v>
      </c>
      <c r="H786" s="8" t="s">
        <v>3744</v>
      </c>
      <c r="I786" s="8">
        <v>2.0</v>
      </c>
      <c r="J786" s="8">
        <v>0.0</v>
      </c>
      <c r="K786" s="8">
        <v>1.0</v>
      </c>
    </row>
    <row r="787" ht="15.75" customHeight="1">
      <c r="A787" s="7" t="s">
        <v>3745</v>
      </c>
      <c r="C787" s="7" t="s">
        <v>200</v>
      </c>
      <c r="D787" s="12" t="s">
        <v>190</v>
      </c>
      <c r="E787" s="13" t="s">
        <v>190</v>
      </c>
      <c r="F787" s="8" t="s">
        <v>191</v>
      </c>
      <c r="H787" s="8" t="s">
        <v>1246</v>
      </c>
      <c r="I787" s="8">
        <v>2.0</v>
      </c>
      <c r="J787" s="8">
        <v>0.0</v>
      </c>
      <c r="K787" s="8">
        <v>4.0</v>
      </c>
    </row>
    <row r="788" ht="15.75" customHeight="1">
      <c r="A788" s="7" t="s">
        <v>3746</v>
      </c>
      <c r="B788" s="8" t="s">
        <v>3747</v>
      </c>
      <c r="C788" s="7" t="s">
        <v>1564</v>
      </c>
      <c r="D788" s="12" t="s">
        <v>39</v>
      </c>
      <c r="E788" s="13" t="s">
        <v>41</v>
      </c>
      <c r="F788" s="8" t="s">
        <v>42</v>
      </c>
      <c r="G788" s="8" t="b">
        <v>0</v>
      </c>
      <c r="H788" s="8" t="s">
        <v>3748</v>
      </c>
      <c r="I788" s="8">
        <v>2.0</v>
      </c>
      <c r="J788" s="8">
        <v>0.0</v>
      </c>
      <c r="K788" s="8">
        <v>0.0</v>
      </c>
    </row>
    <row r="789" ht="15.75" customHeight="1">
      <c r="A789" s="7" t="s">
        <v>3749</v>
      </c>
      <c r="B789" s="8" t="s">
        <v>3750</v>
      </c>
      <c r="C789" s="7" t="s">
        <v>1564</v>
      </c>
      <c r="D789" s="12" t="s">
        <v>39</v>
      </c>
      <c r="E789" s="13" t="s">
        <v>41</v>
      </c>
      <c r="F789" s="8" t="s">
        <v>42</v>
      </c>
      <c r="G789" s="8" t="b">
        <v>0</v>
      </c>
      <c r="H789" s="8" t="s">
        <v>3751</v>
      </c>
      <c r="I789" s="8">
        <v>2.0</v>
      </c>
      <c r="J789" s="8">
        <v>0.0</v>
      </c>
      <c r="K789" s="8">
        <v>1.0</v>
      </c>
    </row>
    <row r="790" ht="15.75" customHeight="1">
      <c r="A790" s="7" t="s">
        <v>3752</v>
      </c>
      <c r="B790" s="8" t="s">
        <v>3753</v>
      </c>
      <c r="C790" s="7" t="s">
        <v>1552</v>
      </c>
      <c r="D790" s="12" t="s">
        <v>39</v>
      </c>
      <c r="E790" s="13" t="s">
        <v>41</v>
      </c>
      <c r="F790" s="8" t="s">
        <v>42</v>
      </c>
      <c r="G790" s="8" t="b">
        <v>0</v>
      </c>
      <c r="H790" s="8" t="s">
        <v>3754</v>
      </c>
      <c r="I790" s="8">
        <v>2.0</v>
      </c>
      <c r="J790" s="8">
        <v>0.0</v>
      </c>
      <c r="K790" s="8">
        <v>1.0</v>
      </c>
    </row>
    <row r="791" ht="15.75" customHeight="1">
      <c r="A791" s="7" t="s">
        <v>3755</v>
      </c>
      <c r="B791" s="8" t="s">
        <v>3756</v>
      </c>
      <c r="C791" s="7" t="s">
        <v>1552</v>
      </c>
      <c r="D791" s="12" t="s">
        <v>39</v>
      </c>
      <c r="E791" s="13" t="s">
        <v>41</v>
      </c>
      <c r="F791" s="8" t="s">
        <v>42</v>
      </c>
      <c r="G791" s="8" t="b">
        <v>0</v>
      </c>
      <c r="H791" s="8" t="s">
        <v>3757</v>
      </c>
      <c r="I791" s="8">
        <v>2.0</v>
      </c>
      <c r="J791" s="8">
        <v>0.0</v>
      </c>
      <c r="K791" s="8">
        <v>0.0</v>
      </c>
    </row>
    <row r="792" ht="15.75" customHeight="1">
      <c r="A792" s="7" t="s">
        <v>3758</v>
      </c>
      <c r="B792" s="8" t="s">
        <v>3759</v>
      </c>
      <c r="C792" s="7" t="s">
        <v>1462</v>
      </c>
      <c r="D792" s="12" t="s">
        <v>21</v>
      </c>
      <c r="E792" s="13" t="s">
        <v>22</v>
      </c>
      <c r="F792" s="8" t="s">
        <v>24</v>
      </c>
      <c r="G792" s="8" t="b">
        <v>0</v>
      </c>
      <c r="H792" s="8" t="s">
        <v>1464</v>
      </c>
      <c r="I792" s="8">
        <v>2.0</v>
      </c>
      <c r="J792" s="8">
        <v>0.0</v>
      </c>
      <c r="K792" s="8">
        <v>1.0</v>
      </c>
    </row>
    <row r="793" ht="15.75" customHeight="1">
      <c r="A793" s="7" t="s">
        <v>3760</v>
      </c>
      <c r="B793" s="8" t="s">
        <v>3761</v>
      </c>
      <c r="C793" s="7" t="s">
        <v>85</v>
      </c>
      <c r="D793" s="12" t="s">
        <v>766</v>
      </c>
      <c r="E793" s="13" t="s">
        <v>22</v>
      </c>
      <c r="F793" s="8" t="s">
        <v>767</v>
      </c>
      <c r="G793" s="8" t="b">
        <v>0</v>
      </c>
      <c r="H793" s="8" t="s">
        <v>498</v>
      </c>
      <c r="I793" s="8">
        <v>2.0</v>
      </c>
      <c r="J793" s="8">
        <v>0.0</v>
      </c>
      <c r="K793" s="8">
        <v>0.0</v>
      </c>
    </row>
    <row r="794" ht="15.75" customHeight="1">
      <c r="A794" s="7" t="s">
        <v>3762</v>
      </c>
      <c r="B794" s="8" t="s">
        <v>3763</v>
      </c>
      <c r="C794" s="7" t="s">
        <v>85</v>
      </c>
      <c r="D794" s="12" t="s">
        <v>39</v>
      </c>
      <c r="E794" s="13" t="s">
        <v>22</v>
      </c>
      <c r="F794" s="8" t="s">
        <v>42</v>
      </c>
      <c r="G794" s="8" t="b">
        <v>0</v>
      </c>
      <c r="H794" s="8" t="s">
        <v>1218</v>
      </c>
      <c r="I794" s="8">
        <v>2.0</v>
      </c>
      <c r="J794" s="8">
        <v>0.0</v>
      </c>
      <c r="K794" s="8">
        <v>2.0</v>
      </c>
    </row>
    <row r="795" ht="15.75" customHeight="1">
      <c r="A795" s="7" t="s">
        <v>3764</v>
      </c>
      <c r="B795" s="8" t="s">
        <v>3137</v>
      </c>
      <c r="C795" s="7" t="s">
        <v>85</v>
      </c>
      <c r="D795" s="12" t="s">
        <v>766</v>
      </c>
      <c r="E795" s="13" t="s">
        <v>22</v>
      </c>
      <c r="F795" s="8" t="s">
        <v>767</v>
      </c>
      <c r="G795" s="8" t="b">
        <v>0</v>
      </c>
      <c r="H795" s="8" t="s">
        <v>498</v>
      </c>
      <c r="I795" s="8">
        <v>2.0</v>
      </c>
      <c r="J795" s="8">
        <v>0.0</v>
      </c>
      <c r="K795" s="8">
        <v>0.0</v>
      </c>
    </row>
    <row r="796" ht="15.75" customHeight="1">
      <c r="A796" s="7" t="s">
        <v>3765</v>
      </c>
      <c r="B796" s="8" t="s">
        <v>3766</v>
      </c>
      <c r="C796" s="7" t="s">
        <v>1807</v>
      </c>
      <c r="D796" s="12" t="s">
        <v>21</v>
      </c>
      <c r="E796" s="13" t="s">
        <v>694</v>
      </c>
      <c r="F796" s="8" t="s">
        <v>24</v>
      </c>
      <c r="G796" s="8" t="b">
        <v>0</v>
      </c>
      <c r="I796" s="8">
        <v>2.0</v>
      </c>
      <c r="J796" s="8">
        <v>0.0</v>
      </c>
      <c r="K796" s="8">
        <v>3.0</v>
      </c>
    </row>
    <row r="797" ht="15.75" customHeight="1">
      <c r="A797" s="7" t="s">
        <v>3767</v>
      </c>
      <c r="B797" s="8" t="s">
        <v>3768</v>
      </c>
      <c r="C797" s="7" t="s">
        <v>1605</v>
      </c>
      <c r="D797" s="12" t="s">
        <v>72</v>
      </c>
      <c r="E797" s="13" t="s">
        <v>22</v>
      </c>
      <c r="F797" s="8" t="s">
        <v>74</v>
      </c>
      <c r="G797" s="8" t="b">
        <v>0</v>
      </c>
      <c r="H797" s="8" t="s">
        <v>3769</v>
      </c>
      <c r="I797" s="8">
        <v>2.0</v>
      </c>
      <c r="J797" s="8">
        <v>0.0</v>
      </c>
      <c r="K797" s="8">
        <v>1.0</v>
      </c>
    </row>
    <row r="798" ht="15.75" customHeight="1">
      <c r="A798" s="7" t="s">
        <v>3770</v>
      </c>
      <c r="B798" s="8" t="s">
        <v>3771</v>
      </c>
      <c r="C798" s="7" t="s">
        <v>1608</v>
      </c>
      <c r="D798" s="12" t="s">
        <v>39</v>
      </c>
      <c r="E798" s="13" t="s">
        <v>41</v>
      </c>
      <c r="F798" s="8" t="s">
        <v>42</v>
      </c>
      <c r="G798" s="8" t="b">
        <v>0</v>
      </c>
      <c r="H798" s="8" t="s">
        <v>3772</v>
      </c>
      <c r="I798" s="8">
        <v>2.0</v>
      </c>
      <c r="J798" s="8">
        <v>0.0</v>
      </c>
      <c r="K798" s="8">
        <v>1.5</v>
      </c>
    </row>
    <row r="799" ht="15.75" customHeight="1">
      <c r="A799" s="7" t="s">
        <v>3773</v>
      </c>
      <c r="B799" s="8" t="s">
        <v>3774</v>
      </c>
      <c r="C799" s="8" t="s">
        <v>361</v>
      </c>
      <c r="D799" s="12" t="s">
        <v>39</v>
      </c>
      <c r="E799" s="13" t="s">
        <v>41</v>
      </c>
      <c r="F799" s="8" t="s">
        <v>42</v>
      </c>
      <c r="G799" s="8" t="b">
        <v>0</v>
      </c>
      <c r="H799" s="8" t="s">
        <v>3775</v>
      </c>
      <c r="I799" s="8">
        <v>2.0</v>
      </c>
      <c r="J799" s="8">
        <v>0.0</v>
      </c>
      <c r="K799" s="8">
        <v>1.0</v>
      </c>
    </row>
    <row r="800" ht="15.75" customHeight="1">
      <c r="A800" s="7" t="s">
        <v>3776</v>
      </c>
      <c r="B800" s="8" t="s">
        <v>3777</v>
      </c>
      <c r="C800" s="8" t="s">
        <v>361</v>
      </c>
      <c r="D800" s="12" t="s">
        <v>39</v>
      </c>
      <c r="E800" s="13" t="s">
        <v>41</v>
      </c>
      <c r="F800" s="8" t="s">
        <v>42</v>
      </c>
      <c r="G800" s="8" t="b">
        <v>0</v>
      </c>
      <c r="H800" s="8" t="s">
        <v>3778</v>
      </c>
      <c r="I800" s="8">
        <v>2.0</v>
      </c>
      <c r="J800" s="8">
        <v>0.0</v>
      </c>
      <c r="K800" s="8">
        <v>1.0</v>
      </c>
    </row>
    <row r="801" ht="15.75" customHeight="1">
      <c r="A801" s="7" t="s">
        <v>3779</v>
      </c>
      <c r="B801" s="8" t="s">
        <v>3780</v>
      </c>
      <c r="C801" s="8" t="s">
        <v>361</v>
      </c>
      <c r="D801" s="12" t="s">
        <v>39</v>
      </c>
      <c r="E801" s="13" t="s">
        <v>41</v>
      </c>
      <c r="F801" s="8" t="s">
        <v>42</v>
      </c>
      <c r="G801" s="8" t="b">
        <v>0</v>
      </c>
      <c r="H801" s="8" t="s">
        <v>3781</v>
      </c>
      <c r="I801" s="8">
        <v>2.0</v>
      </c>
      <c r="J801" s="8">
        <v>0.0</v>
      </c>
      <c r="K801" s="8">
        <v>0.5</v>
      </c>
    </row>
    <row r="802" ht="15.75" customHeight="1">
      <c r="A802" s="7" t="s">
        <v>3782</v>
      </c>
      <c r="B802" s="8" t="s">
        <v>3783</v>
      </c>
      <c r="C802" s="7" t="s">
        <v>1810</v>
      </c>
      <c r="D802" s="12" t="s">
        <v>39</v>
      </c>
      <c r="E802" s="13" t="s">
        <v>41</v>
      </c>
      <c r="F802" s="8" t="s">
        <v>42</v>
      </c>
      <c r="G802" s="8" t="b">
        <v>0</v>
      </c>
      <c r="H802" s="8" t="s">
        <v>3784</v>
      </c>
      <c r="I802" s="8">
        <v>2.0</v>
      </c>
      <c r="J802" s="8">
        <v>0.0</v>
      </c>
      <c r="K802" s="8">
        <v>0.0</v>
      </c>
    </row>
    <row r="803" ht="15.75" customHeight="1">
      <c r="A803" s="7" t="s">
        <v>3785</v>
      </c>
      <c r="B803" s="8" t="s">
        <v>3786</v>
      </c>
      <c r="C803" s="7" t="s">
        <v>1817</v>
      </c>
      <c r="D803" s="12" t="s">
        <v>39</v>
      </c>
      <c r="E803" s="13" t="s">
        <v>753</v>
      </c>
      <c r="F803" s="8" t="s">
        <v>42</v>
      </c>
      <c r="G803" s="8" t="b">
        <v>0</v>
      </c>
      <c r="H803" s="8" t="s">
        <v>1819</v>
      </c>
      <c r="I803" s="8">
        <v>2.0</v>
      </c>
      <c r="J803" s="8">
        <v>0.0</v>
      </c>
      <c r="K803" s="8">
        <v>0.0</v>
      </c>
    </row>
    <row r="804" ht="15.75" customHeight="1">
      <c r="A804" s="7" t="s">
        <v>3787</v>
      </c>
      <c r="B804" s="8" t="s">
        <v>3788</v>
      </c>
      <c r="C804" s="7" t="s">
        <v>1821</v>
      </c>
      <c r="D804" s="12" t="s">
        <v>39</v>
      </c>
      <c r="E804" s="13" t="s">
        <v>22</v>
      </c>
      <c r="F804" s="8" t="s">
        <v>42</v>
      </c>
      <c r="G804" s="8" t="b">
        <v>0</v>
      </c>
      <c r="H804" s="8" t="s">
        <v>1824</v>
      </c>
      <c r="I804" s="8">
        <v>2.0</v>
      </c>
      <c r="J804" s="8">
        <v>0.0</v>
      </c>
      <c r="K804" s="8">
        <v>1.0</v>
      </c>
    </row>
    <row r="805" ht="15.75" customHeight="1">
      <c r="A805" s="7" t="s">
        <v>3789</v>
      </c>
      <c r="B805" s="8" t="s">
        <v>3790</v>
      </c>
      <c r="C805" s="7" t="s">
        <v>1785</v>
      </c>
      <c r="D805" s="12" t="s">
        <v>39</v>
      </c>
      <c r="E805" s="13" t="s">
        <v>41</v>
      </c>
      <c r="F805" s="8" t="s">
        <v>42</v>
      </c>
      <c r="G805" s="8" t="b">
        <v>0</v>
      </c>
      <c r="H805" s="8" t="s">
        <v>3791</v>
      </c>
      <c r="I805" s="8">
        <v>2.0</v>
      </c>
      <c r="J805" s="8">
        <v>0.0</v>
      </c>
      <c r="K805" s="8">
        <v>0.0</v>
      </c>
    </row>
    <row r="806" ht="15.75" customHeight="1">
      <c r="A806" s="7" t="s">
        <v>3792</v>
      </c>
      <c r="B806" s="8" t="s">
        <v>3793</v>
      </c>
      <c r="C806" s="7" t="s">
        <v>1825</v>
      </c>
      <c r="D806" s="12" t="s">
        <v>39</v>
      </c>
      <c r="E806" s="13" t="s">
        <v>41</v>
      </c>
      <c r="F806" s="8" t="s">
        <v>42</v>
      </c>
      <c r="G806" s="8" t="b">
        <v>0</v>
      </c>
      <c r="H806" s="8" t="s">
        <v>3794</v>
      </c>
      <c r="I806" s="8">
        <v>2.0</v>
      </c>
      <c r="J806" s="8">
        <v>0.0</v>
      </c>
      <c r="K806" s="8">
        <v>1.0</v>
      </c>
    </row>
    <row r="807" ht="15.75" customHeight="1">
      <c r="A807" s="7" t="s">
        <v>3795</v>
      </c>
      <c r="B807" s="8" t="s">
        <v>3796</v>
      </c>
      <c r="C807" s="7" t="s">
        <v>1829</v>
      </c>
      <c r="D807" s="12" t="s">
        <v>554</v>
      </c>
      <c r="E807" s="13" t="s">
        <v>694</v>
      </c>
      <c r="F807" s="8" t="s">
        <v>555</v>
      </c>
      <c r="G807" s="8" t="b">
        <v>0</v>
      </c>
      <c r="I807" s="8">
        <v>2.0</v>
      </c>
      <c r="J807" s="8">
        <v>0.0</v>
      </c>
      <c r="K807" s="8">
        <v>1.5</v>
      </c>
    </row>
    <row r="808" ht="15.75" customHeight="1">
      <c r="A808" s="7" t="s">
        <v>3797</v>
      </c>
      <c r="B808" s="8" t="s">
        <v>3798</v>
      </c>
      <c r="C808" s="7" t="s">
        <v>1230</v>
      </c>
      <c r="D808" s="12" t="s">
        <v>21</v>
      </c>
      <c r="E808" s="13" t="s">
        <v>694</v>
      </c>
      <c r="F808" s="8" t="s">
        <v>24</v>
      </c>
      <c r="G808" s="8" t="b">
        <v>0</v>
      </c>
      <c r="H808" s="8" t="s">
        <v>3799</v>
      </c>
      <c r="I808" s="8">
        <v>2.0</v>
      </c>
      <c r="J808" s="8">
        <v>0.0</v>
      </c>
      <c r="K808" s="8">
        <v>1.0</v>
      </c>
    </row>
    <row r="809" ht="15.75" customHeight="1">
      <c r="A809" s="7" t="s">
        <v>3800</v>
      </c>
      <c r="B809" s="8" t="s">
        <v>3801</v>
      </c>
      <c r="C809" s="7" t="s">
        <v>1964</v>
      </c>
      <c r="D809" s="12" t="s">
        <v>21</v>
      </c>
      <c r="E809" s="13" t="s">
        <v>41</v>
      </c>
      <c r="F809" s="8" t="s">
        <v>24</v>
      </c>
      <c r="G809" s="8" t="b">
        <v>0</v>
      </c>
      <c r="H809" s="8" t="s">
        <v>3802</v>
      </c>
      <c r="I809" s="8">
        <v>2.0</v>
      </c>
      <c r="J809" s="8">
        <v>0.0</v>
      </c>
      <c r="K809" s="8">
        <v>0.0</v>
      </c>
    </row>
    <row r="810" ht="15.75" customHeight="1">
      <c r="A810" s="7" t="s">
        <v>3803</v>
      </c>
      <c r="C810" s="7" t="s">
        <v>356</v>
      </c>
      <c r="D810" s="12" t="s">
        <v>190</v>
      </c>
      <c r="E810" s="13" t="s">
        <v>41</v>
      </c>
      <c r="F810" s="8" t="s">
        <v>191</v>
      </c>
      <c r="H810" s="8" t="s">
        <v>1246</v>
      </c>
      <c r="I810" s="8">
        <v>2.0</v>
      </c>
      <c r="J810" s="8">
        <v>0.0</v>
      </c>
      <c r="K810" s="8">
        <v>0.0</v>
      </c>
    </row>
    <row r="811" ht="15.75" customHeight="1">
      <c r="A811" s="7" t="s">
        <v>3804</v>
      </c>
      <c r="B811" s="8" t="s">
        <v>3805</v>
      </c>
      <c r="C811" s="7" t="s">
        <v>1052</v>
      </c>
      <c r="D811" s="12" t="s">
        <v>39</v>
      </c>
      <c r="E811" s="13" t="s">
        <v>41</v>
      </c>
      <c r="F811" s="8" t="s">
        <v>42</v>
      </c>
      <c r="G811" s="8" t="b">
        <v>0</v>
      </c>
      <c r="H811" s="8" t="s">
        <v>3806</v>
      </c>
      <c r="I811" s="8">
        <v>2.0</v>
      </c>
      <c r="J811" s="8">
        <v>0.0</v>
      </c>
      <c r="K811" s="8">
        <v>1.0</v>
      </c>
    </row>
    <row r="812" ht="15.75" customHeight="1">
      <c r="A812" s="7" t="s">
        <v>3807</v>
      </c>
      <c r="B812" s="8" t="s">
        <v>3808</v>
      </c>
      <c r="C812" s="7" t="s">
        <v>500</v>
      </c>
      <c r="D812" s="12" t="s">
        <v>39</v>
      </c>
      <c r="E812" s="13" t="s">
        <v>41</v>
      </c>
      <c r="F812" s="8" t="s">
        <v>42</v>
      </c>
      <c r="G812" s="8" t="b">
        <v>0</v>
      </c>
      <c r="H812" s="8" t="s">
        <v>498</v>
      </c>
      <c r="I812" s="8">
        <v>2.0</v>
      </c>
      <c r="J812" s="8">
        <v>0.0</v>
      </c>
      <c r="K812" s="8">
        <v>1.5</v>
      </c>
    </row>
    <row r="813" ht="15.75" customHeight="1">
      <c r="A813" s="7" t="s">
        <v>3809</v>
      </c>
      <c r="B813" s="8" t="s">
        <v>3810</v>
      </c>
      <c r="C813" s="7" t="s">
        <v>1840</v>
      </c>
      <c r="D813" s="12" t="s">
        <v>39</v>
      </c>
      <c r="E813" s="13" t="s">
        <v>41</v>
      </c>
      <c r="F813" s="8" t="s">
        <v>42</v>
      </c>
      <c r="G813" s="8" t="b">
        <v>0</v>
      </c>
      <c r="H813" s="8" t="s">
        <v>3811</v>
      </c>
      <c r="I813" s="8">
        <v>2.0</v>
      </c>
      <c r="J813" s="8">
        <v>0.0</v>
      </c>
      <c r="K813" s="8">
        <v>1.0</v>
      </c>
    </row>
    <row r="814" ht="15.75" customHeight="1">
      <c r="A814" s="7" t="s">
        <v>3812</v>
      </c>
      <c r="B814" s="8" t="s">
        <v>3813</v>
      </c>
      <c r="C814" s="7" t="s">
        <v>71</v>
      </c>
      <c r="D814" s="12" t="s">
        <v>1425</v>
      </c>
      <c r="E814" s="13" t="s">
        <v>76</v>
      </c>
      <c r="F814" s="8" t="s">
        <v>1426</v>
      </c>
      <c r="G814" s="8" t="b">
        <v>0</v>
      </c>
      <c r="H814" s="8" t="s">
        <v>3814</v>
      </c>
      <c r="I814" s="8">
        <v>2.0</v>
      </c>
      <c r="J814" s="8">
        <v>0.0</v>
      </c>
      <c r="K814" s="8">
        <v>2.0</v>
      </c>
    </row>
    <row r="815" ht="15.75" customHeight="1">
      <c r="A815" s="7" t="s">
        <v>3815</v>
      </c>
      <c r="B815" s="8" t="s">
        <v>3816</v>
      </c>
      <c r="C815" s="7" t="s">
        <v>71</v>
      </c>
      <c r="D815" s="12" t="s">
        <v>1425</v>
      </c>
      <c r="E815" s="13" t="s">
        <v>76</v>
      </c>
      <c r="F815" s="8" t="s">
        <v>1426</v>
      </c>
      <c r="G815" s="8" t="b">
        <v>0</v>
      </c>
      <c r="H815" s="8" t="s">
        <v>498</v>
      </c>
      <c r="I815" s="8">
        <v>2.0</v>
      </c>
      <c r="J815" s="8">
        <v>0.0</v>
      </c>
      <c r="K815" s="8">
        <v>1.5</v>
      </c>
    </row>
    <row r="816" ht="15.75" customHeight="1">
      <c r="A816" s="7" t="s">
        <v>3817</v>
      </c>
      <c r="B816" s="8" t="s">
        <v>3818</v>
      </c>
      <c r="C816" s="7" t="s">
        <v>71</v>
      </c>
      <c r="D816" s="12" t="s">
        <v>1425</v>
      </c>
      <c r="E816" s="13" t="s">
        <v>76</v>
      </c>
      <c r="F816" s="8" t="s">
        <v>1426</v>
      </c>
      <c r="G816" s="8" t="b">
        <v>0</v>
      </c>
      <c r="H816" s="8" t="s">
        <v>3819</v>
      </c>
      <c r="I816" s="8">
        <v>2.0</v>
      </c>
      <c r="J816" s="8">
        <v>0.0</v>
      </c>
      <c r="K816" s="8">
        <v>1.0</v>
      </c>
    </row>
    <row r="817" ht="15.75" customHeight="1">
      <c r="A817" s="7" t="s">
        <v>3820</v>
      </c>
      <c r="B817" s="8" t="s">
        <v>3821</v>
      </c>
      <c r="C817" s="7" t="s">
        <v>71</v>
      </c>
      <c r="D817" s="12" t="s">
        <v>1425</v>
      </c>
      <c r="E817" s="13" t="s">
        <v>76</v>
      </c>
      <c r="F817" s="8" t="s">
        <v>1426</v>
      </c>
      <c r="G817" s="8" t="b">
        <v>0</v>
      </c>
      <c r="H817" s="8" t="s">
        <v>3822</v>
      </c>
      <c r="I817" s="8">
        <v>2.0</v>
      </c>
      <c r="J817" s="8">
        <v>0.0</v>
      </c>
      <c r="K817" s="8">
        <v>1.0</v>
      </c>
    </row>
    <row r="818" ht="15.75" customHeight="1">
      <c r="A818" s="7" t="s">
        <v>3823</v>
      </c>
      <c r="B818" s="8" t="s">
        <v>3824</v>
      </c>
      <c r="C818" s="7" t="s">
        <v>71</v>
      </c>
      <c r="D818" s="12" t="s">
        <v>1425</v>
      </c>
      <c r="E818" s="13" t="s">
        <v>76</v>
      </c>
      <c r="F818" s="8" t="s">
        <v>1426</v>
      </c>
      <c r="G818" s="8" t="b">
        <v>0</v>
      </c>
      <c r="H818" s="8" t="s">
        <v>3825</v>
      </c>
      <c r="I818" s="8">
        <v>2.0</v>
      </c>
      <c r="J818" s="8">
        <v>0.0</v>
      </c>
      <c r="K818" s="8">
        <v>1.0</v>
      </c>
    </row>
    <row r="819" ht="15.75" customHeight="1">
      <c r="A819" s="7" t="s">
        <v>3826</v>
      </c>
      <c r="B819" s="8" t="s">
        <v>3827</v>
      </c>
      <c r="C819" s="7" t="s">
        <v>71</v>
      </c>
      <c r="D819" s="12" t="s">
        <v>1425</v>
      </c>
      <c r="E819" s="13" t="s">
        <v>76</v>
      </c>
      <c r="F819" s="8" t="s">
        <v>1426</v>
      </c>
      <c r="G819" s="8" t="b">
        <v>0</v>
      </c>
      <c r="H819" s="8" t="s">
        <v>3828</v>
      </c>
      <c r="I819" s="8">
        <v>2.0</v>
      </c>
      <c r="J819" s="8">
        <v>0.0</v>
      </c>
      <c r="K819" s="8">
        <v>2.0</v>
      </c>
    </row>
    <row r="820" ht="15.75" customHeight="1">
      <c r="A820" s="7" t="s">
        <v>3829</v>
      </c>
      <c r="B820" s="8" t="s">
        <v>3830</v>
      </c>
      <c r="C820" s="7" t="s">
        <v>1508</v>
      </c>
      <c r="D820" s="12" t="s">
        <v>39</v>
      </c>
      <c r="E820" s="13" t="s">
        <v>190</v>
      </c>
      <c r="F820" s="8" t="s">
        <v>42</v>
      </c>
      <c r="G820" s="8" t="b">
        <v>0</v>
      </c>
      <c r="H820" s="8" t="s">
        <v>3831</v>
      </c>
      <c r="I820" s="8">
        <v>2.0</v>
      </c>
      <c r="J820" s="8">
        <v>0.0</v>
      </c>
      <c r="K820" s="8">
        <v>1.0</v>
      </c>
    </row>
    <row r="821" ht="15.75" customHeight="1">
      <c r="A821" s="7" t="s">
        <v>3832</v>
      </c>
      <c r="B821" s="8" t="s">
        <v>3833</v>
      </c>
      <c r="C821" s="7" t="s">
        <v>1868</v>
      </c>
      <c r="D821" s="12" t="s">
        <v>39</v>
      </c>
      <c r="E821" s="13" t="s">
        <v>76</v>
      </c>
      <c r="F821" s="8" t="s">
        <v>42</v>
      </c>
      <c r="G821" s="8" t="b">
        <v>0</v>
      </c>
      <c r="H821" s="8" t="s">
        <v>3834</v>
      </c>
      <c r="I821" s="8">
        <v>2.0</v>
      </c>
      <c r="J821" s="8">
        <v>0.0</v>
      </c>
      <c r="K821" s="8">
        <v>4.0</v>
      </c>
    </row>
    <row r="822" ht="15.75" customHeight="1">
      <c r="A822" s="7" t="s">
        <v>3835</v>
      </c>
      <c r="B822" s="8" t="s">
        <v>3836</v>
      </c>
      <c r="C822" s="7" t="s">
        <v>1853</v>
      </c>
      <c r="D822" s="12" t="s">
        <v>39</v>
      </c>
      <c r="E822" s="13" t="s">
        <v>41</v>
      </c>
      <c r="F822" s="8" t="s">
        <v>42</v>
      </c>
      <c r="G822" s="8" t="b">
        <v>0</v>
      </c>
      <c r="H822" s="8" t="s">
        <v>3837</v>
      </c>
      <c r="I822" s="8">
        <v>2.0</v>
      </c>
      <c r="J822" s="8">
        <v>0.0</v>
      </c>
      <c r="K822" s="8">
        <v>1.0</v>
      </c>
    </row>
    <row r="823" ht="15.75" customHeight="1">
      <c r="A823" s="7" t="s">
        <v>3838</v>
      </c>
      <c r="B823" s="8" t="s">
        <v>3839</v>
      </c>
      <c r="C823" s="7" t="s">
        <v>1856</v>
      </c>
      <c r="D823" s="12" t="s">
        <v>39</v>
      </c>
      <c r="E823" s="13" t="s">
        <v>41</v>
      </c>
      <c r="F823" s="8" t="s">
        <v>42</v>
      </c>
      <c r="G823" s="8" t="b">
        <v>0</v>
      </c>
      <c r="H823" s="8" t="s">
        <v>3840</v>
      </c>
      <c r="I823" s="8">
        <v>2.0</v>
      </c>
      <c r="J823" s="8">
        <v>0.0</v>
      </c>
      <c r="K823" s="8">
        <v>2.0</v>
      </c>
    </row>
    <row r="824" ht="15.75" customHeight="1">
      <c r="A824" s="7" t="s">
        <v>3841</v>
      </c>
      <c r="B824" s="8" t="s">
        <v>3842</v>
      </c>
      <c r="C824" s="7" t="s">
        <v>1569</v>
      </c>
      <c r="D824" s="12" t="s">
        <v>766</v>
      </c>
      <c r="E824" s="13" t="s">
        <v>22</v>
      </c>
      <c r="F824" s="8" t="s">
        <v>767</v>
      </c>
      <c r="G824" s="8" t="b">
        <v>0</v>
      </c>
      <c r="H824" s="8" t="s">
        <v>1571</v>
      </c>
      <c r="I824" s="8">
        <v>2.0</v>
      </c>
      <c r="J824" s="8">
        <v>0.0</v>
      </c>
      <c r="K824" s="8">
        <v>4.5</v>
      </c>
    </row>
    <row r="825" ht="15.75" customHeight="1">
      <c r="A825" s="7" t="s">
        <v>3843</v>
      </c>
      <c r="B825" s="8" t="s">
        <v>3844</v>
      </c>
      <c r="C825" s="7" t="s">
        <v>1861</v>
      </c>
      <c r="D825" s="12" t="s">
        <v>39</v>
      </c>
      <c r="E825" s="13" t="s">
        <v>41</v>
      </c>
      <c r="F825" s="8" t="s">
        <v>42</v>
      </c>
      <c r="G825" s="8" t="b">
        <v>0</v>
      </c>
      <c r="H825" s="8" t="s">
        <v>1862</v>
      </c>
      <c r="I825" s="8">
        <v>2.0</v>
      </c>
      <c r="J825" s="8">
        <v>0.0</v>
      </c>
      <c r="K825" s="8">
        <v>0.5</v>
      </c>
    </row>
    <row r="826" ht="15.75" customHeight="1">
      <c r="A826" s="7" t="s">
        <v>3845</v>
      </c>
      <c r="B826" s="8" t="s">
        <v>3846</v>
      </c>
      <c r="C826" s="7" t="s">
        <v>1865</v>
      </c>
      <c r="D826" s="12" t="s">
        <v>39</v>
      </c>
      <c r="E826" s="13" t="s">
        <v>190</v>
      </c>
      <c r="F826" s="8" t="s">
        <v>42</v>
      </c>
      <c r="G826" s="8" t="b">
        <v>0</v>
      </c>
      <c r="H826" s="8" t="s">
        <v>3847</v>
      </c>
      <c r="I826" s="8">
        <v>2.0</v>
      </c>
      <c r="J826" s="8">
        <v>0.0</v>
      </c>
      <c r="K826" s="8">
        <v>1.5</v>
      </c>
    </row>
    <row r="827" ht="15.75" customHeight="1">
      <c r="A827" s="7" t="s">
        <v>3848</v>
      </c>
      <c r="B827" s="8" t="s">
        <v>3849</v>
      </c>
      <c r="C827" s="7" t="s">
        <v>1873</v>
      </c>
      <c r="D827" s="12" t="s">
        <v>39</v>
      </c>
      <c r="E827" s="13" t="s">
        <v>73</v>
      </c>
      <c r="F827" s="8" t="s">
        <v>42</v>
      </c>
      <c r="G827" s="8" t="b">
        <v>0</v>
      </c>
      <c r="H827" s="8" t="s">
        <v>3850</v>
      </c>
      <c r="I827" s="8">
        <v>2.0</v>
      </c>
      <c r="J827" s="8">
        <v>0.0</v>
      </c>
      <c r="K827" s="8">
        <v>1.0</v>
      </c>
    </row>
    <row r="828" ht="15.75" customHeight="1">
      <c r="A828" s="7" t="s">
        <v>3851</v>
      </c>
      <c r="B828" s="8" t="s">
        <v>3852</v>
      </c>
      <c r="C828" s="7" t="s">
        <v>253</v>
      </c>
      <c r="D828" s="12" t="s">
        <v>21</v>
      </c>
      <c r="E828" s="13" t="s">
        <v>41</v>
      </c>
      <c r="F828" s="8" t="s">
        <v>24</v>
      </c>
      <c r="G828" s="8" t="b">
        <v>0</v>
      </c>
      <c r="H828" s="8" t="s">
        <v>3853</v>
      </c>
      <c r="I828" s="8">
        <v>2.0</v>
      </c>
      <c r="J828" s="8">
        <v>0.0</v>
      </c>
      <c r="K828" s="8">
        <v>0.0</v>
      </c>
    </row>
    <row r="829" ht="15.75" customHeight="1">
      <c r="A829" s="7" t="s">
        <v>3854</v>
      </c>
      <c r="B829" s="8" t="s">
        <v>3855</v>
      </c>
      <c r="C829" s="7" t="s">
        <v>1511</v>
      </c>
      <c r="D829" s="12" t="s">
        <v>766</v>
      </c>
      <c r="E829" s="13" t="s">
        <v>41</v>
      </c>
      <c r="F829" s="8" t="s">
        <v>767</v>
      </c>
      <c r="G829" s="8" t="b">
        <v>0</v>
      </c>
      <c r="H829" s="8" t="s">
        <v>186</v>
      </c>
      <c r="I829" s="8">
        <v>2.0</v>
      </c>
      <c r="J829" s="8">
        <v>0.0</v>
      </c>
      <c r="K829" s="8">
        <v>0.5</v>
      </c>
    </row>
    <row r="830" ht="15.75" customHeight="1">
      <c r="A830" s="7" t="s">
        <v>3856</v>
      </c>
      <c r="B830" s="8" t="s">
        <v>3857</v>
      </c>
      <c r="C830" s="8" t="s">
        <v>1223</v>
      </c>
      <c r="D830" s="12" t="s">
        <v>766</v>
      </c>
      <c r="E830" s="13" t="s">
        <v>41</v>
      </c>
      <c r="F830" s="8" t="s">
        <v>767</v>
      </c>
      <c r="G830" s="8" t="b">
        <v>0</v>
      </c>
      <c r="H830" s="8" t="s">
        <v>3858</v>
      </c>
      <c r="I830" s="8">
        <v>2.0</v>
      </c>
      <c r="J830" s="8">
        <v>0.0</v>
      </c>
      <c r="K830" s="8">
        <v>0.0</v>
      </c>
    </row>
    <row r="831" ht="15.75" customHeight="1">
      <c r="A831" s="7" t="s">
        <v>3859</v>
      </c>
      <c r="B831" s="8" t="s">
        <v>3860</v>
      </c>
      <c r="C831" s="7" t="s">
        <v>222</v>
      </c>
      <c r="D831" s="12" t="s">
        <v>104</v>
      </c>
      <c r="E831" s="13" t="s">
        <v>22</v>
      </c>
      <c r="F831" s="8" t="s">
        <v>106</v>
      </c>
      <c r="G831" s="8" t="b">
        <v>0</v>
      </c>
      <c r="H831" s="8" t="s">
        <v>3861</v>
      </c>
      <c r="I831" s="8">
        <v>2.0</v>
      </c>
      <c r="J831" s="8">
        <v>0.0</v>
      </c>
      <c r="K831" s="8">
        <v>0.0</v>
      </c>
    </row>
    <row r="832" ht="15.75" customHeight="1">
      <c r="A832" s="7" t="s">
        <v>3862</v>
      </c>
      <c r="B832" s="8" t="s">
        <v>3863</v>
      </c>
      <c r="C832" s="7" t="s">
        <v>1514</v>
      </c>
      <c r="D832" s="12" t="s">
        <v>39</v>
      </c>
      <c r="E832" s="13" t="s">
        <v>190</v>
      </c>
      <c r="F832" s="8" t="s">
        <v>42</v>
      </c>
      <c r="G832" s="8" t="b">
        <v>0</v>
      </c>
      <c r="H832" s="8" t="s">
        <v>3864</v>
      </c>
      <c r="I832" s="8">
        <v>2.0</v>
      </c>
      <c r="J832" s="8">
        <v>0.0</v>
      </c>
      <c r="K832" s="8">
        <v>0.5</v>
      </c>
    </row>
    <row r="833" ht="15.75" customHeight="1">
      <c r="A833" s="7" t="s">
        <v>3865</v>
      </c>
      <c r="B833" s="8" t="s">
        <v>3866</v>
      </c>
      <c r="C833" s="7" t="s">
        <v>40</v>
      </c>
      <c r="D833" s="12" t="s">
        <v>72</v>
      </c>
      <c r="E833" s="13" t="s">
        <v>41</v>
      </c>
      <c r="F833" s="8" t="s">
        <v>74</v>
      </c>
      <c r="G833" s="8" t="b">
        <v>0</v>
      </c>
      <c r="H833" s="8" t="s">
        <v>98</v>
      </c>
      <c r="I833" s="8">
        <v>2.0</v>
      </c>
      <c r="J833" s="8">
        <v>0.0</v>
      </c>
      <c r="K833" s="8">
        <v>0.0</v>
      </c>
    </row>
    <row r="834" ht="15.75" customHeight="1">
      <c r="A834" s="7" t="s">
        <v>3867</v>
      </c>
      <c r="B834" s="8" t="s">
        <v>3868</v>
      </c>
      <c r="C834" s="7" t="s">
        <v>1518</v>
      </c>
      <c r="D834" s="12" t="s">
        <v>39</v>
      </c>
      <c r="E834" s="13" t="s">
        <v>41</v>
      </c>
      <c r="F834" s="8" t="s">
        <v>42</v>
      </c>
      <c r="G834" s="8" t="b">
        <v>0</v>
      </c>
      <c r="H834" s="8" t="s">
        <v>3869</v>
      </c>
      <c r="I834" s="8">
        <v>2.0</v>
      </c>
      <c r="J834" s="8">
        <v>0.0</v>
      </c>
      <c r="K834" s="8">
        <v>0.0</v>
      </c>
    </row>
    <row r="835" ht="15.75" customHeight="1">
      <c r="A835" s="7" t="s">
        <v>3870</v>
      </c>
      <c r="B835" s="8" t="s">
        <v>3871</v>
      </c>
      <c r="C835" s="7" t="s">
        <v>1882</v>
      </c>
      <c r="D835" s="12" t="s">
        <v>39</v>
      </c>
      <c r="E835" s="13" t="s">
        <v>41</v>
      </c>
      <c r="F835" s="8" t="s">
        <v>42</v>
      </c>
      <c r="G835" s="8" t="b">
        <v>0</v>
      </c>
      <c r="H835" s="8" t="s">
        <v>3872</v>
      </c>
      <c r="I835" s="8">
        <v>2.0</v>
      </c>
      <c r="J835" s="8">
        <v>0.0</v>
      </c>
      <c r="K835" s="8">
        <v>1.0</v>
      </c>
    </row>
    <row r="836" ht="15.75" customHeight="1">
      <c r="A836" s="7" t="s">
        <v>3873</v>
      </c>
      <c r="B836" s="8" t="s">
        <v>3874</v>
      </c>
      <c r="C836" s="7" t="s">
        <v>1889</v>
      </c>
      <c r="D836" s="12" t="s">
        <v>554</v>
      </c>
      <c r="E836" s="13" t="s">
        <v>41</v>
      </c>
      <c r="F836" s="8" t="s">
        <v>555</v>
      </c>
      <c r="G836" s="8" t="b">
        <v>0</v>
      </c>
      <c r="I836" s="8">
        <v>2.0</v>
      </c>
      <c r="J836" s="8">
        <v>0.0</v>
      </c>
      <c r="K836" s="8">
        <v>1.0</v>
      </c>
    </row>
    <row r="837" ht="15.75" customHeight="1">
      <c r="A837" s="7" t="s">
        <v>3875</v>
      </c>
      <c r="B837" s="8" t="s">
        <v>3876</v>
      </c>
      <c r="C837" s="7" t="s">
        <v>1892</v>
      </c>
      <c r="D837" s="12" t="s">
        <v>39</v>
      </c>
      <c r="E837" s="13" t="s">
        <v>41</v>
      </c>
      <c r="F837" s="8" t="s">
        <v>42</v>
      </c>
      <c r="G837" s="8" t="b">
        <v>0</v>
      </c>
      <c r="H837" s="8" t="s">
        <v>3877</v>
      </c>
      <c r="I837" s="8">
        <v>2.0</v>
      </c>
      <c r="J837" s="8">
        <v>0.0</v>
      </c>
      <c r="K837" s="8">
        <v>0.0</v>
      </c>
    </row>
    <row r="838" ht="15.75" customHeight="1">
      <c r="A838" s="7" t="s">
        <v>3878</v>
      </c>
      <c r="B838" s="8" t="s">
        <v>3879</v>
      </c>
      <c r="C838" s="7" t="s">
        <v>1895</v>
      </c>
      <c r="D838" s="12" t="s">
        <v>104</v>
      </c>
      <c r="E838" s="13" t="s">
        <v>41</v>
      </c>
      <c r="F838" s="8" t="s">
        <v>106</v>
      </c>
      <c r="G838" s="8" t="b">
        <v>0</v>
      </c>
      <c r="H838" s="8" t="s">
        <v>3880</v>
      </c>
      <c r="I838" s="8">
        <v>2.0</v>
      </c>
      <c r="J838" s="8">
        <v>0.0</v>
      </c>
      <c r="K838" s="8">
        <v>0.0</v>
      </c>
    </row>
    <row r="839" ht="15.75" customHeight="1">
      <c r="A839" s="7" t="s">
        <v>3881</v>
      </c>
      <c r="B839" s="8" t="s">
        <v>3882</v>
      </c>
      <c r="C839" s="7" t="s">
        <v>1326</v>
      </c>
      <c r="D839" s="12" t="s">
        <v>554</v>
      </c>
      <c r="E839" s="13" t="s">
        <v>22</v>
      </c>
      <c r="F839" s="8" t="s">
        <v>555</v>
      </c>
      <c r="G839" s="8" t="b">
        <v>0</v>
      </c>
      <c r="H839" s="8" t="s">
        <v>3883</v>
      </c>
      <c r="I839" s="8">
        <v>2.0</v>
      </c>
      <c r="J839" s="8">
        <v>0.0</v>
      </c>
      <c r="K839" s="8">
        <v>2.0</v>
      </c>
    </row>
    <row r="840" ht="15.75" customHeight="1">
      <c r="A840" s="7" t="s">
        <v>3884</v>
      </c>
      <c r="B840" s="8" t="s">
        <v>3885</v>
      </c>
      <c r="C840" s="7" t="s">
        <v>1898</v>
      </c>
      <c r="D840" s="12" t="s">
        <v>554</v>
      </c>
      <c r="E840" s="13" t="s">
        <v>41</v>
      </c>
      <c r="F840" s="8" t="s">
        <v>555</v>
      </c>
      <c r="G840" s="8" t="b">
        <v>0</v>
      </c>
      <c r="I840" s="8">
        <v>2.0</v>
      </c>
      <c r="J840" s="8">
        <v>0.0</v>
      </c>
      <c r="K840" s="8">
        <v>1.0</v>
      </c>
    </row>
    <row r="841" ht="15.75" customHeight="1">
      <c r="A841" s="7" t="s">
        <v>3886</v>
      </c>
      <c r="B841" s="8" t="s">
        <v>3887</v>
      </c>
      <c r="C841" s="7" t="s">
        <v>105</v>
      </c>
      <c r="D841" s="12" t="s">
        <v>39</v>
      </c>
      <c r="E841" s="13" t="s">
        <v>22</v>
      </c>
      <c r="F841" s="8" t="s">
        <v>42</v>
      </c>
      <c r="G841" s="8" t="b">
        <v>0</v>
      </c>
      <c r="H841" s="8" t="s">
        <v>3888</v>
      </c>
      <c r="I841" s="8">
        <v>2.0</v>
      </c>
      <c r="J841" s="8">
        <v>0.0</v>
      </c>
      <c r="K841" s="8">
        <v>0.5</v>
      </c>
    </row>
    <row r="842" ht="15.75" customHeight="1">
      <c r="A842" s="7" t="s">
        <v>3889</v>
      </c>
      <c r="B842" s="8" t="s">
        <v>3890</v>
      </c>
      <c r="C842" s="7" t="s">
        <v>1902</v>
      </c>
      <c r="D842" s="12" t="s">
        <v>39</v>
      </c>
      <c r="E842" s="13" t="s">
        <v>41</v>
      </c>
      <c r="F842" s="8" t="s">
        <v>42</v>
      </c>
      <c r="G842" s="8" t="b">
        <v>0</v>
      </c>
      <c r="H842" s="8" t="s">
        <v>186</v>
      </c>
      <c r="I842" s="8">
        <v>2.0</v>
      </c>
      <c r="J842" s="8">
        <v>0.0</v>
      </c>
      <c r="K842" s="8">
        <v>2.0</v>
      </c>
    </row>
    <row r="843" ht="15.75" customHeight="1">
      <c r="A843" s="7" t="s">
        <v>3891</v>
      </c>
      <c r="B843" s="8" t="s">
        <v>3892</v>
      </c>
      <c r="C843" s="7" t="s">
        <v>30</v>
      </c>
      <c r="D843" s="12" t="s">
        <v>21</v>
      </c>
      <c r="E843" s="13" t="s">
        <v>41</v>
      </c>
      <c r="F843" s="8" t="s">
        <v>24</v>
      </c>
      <c r="G843" s="8" t="b">
        <v>0</v>
      </c>
      <c r="H843" s="8" t="s">
        <v>3893</v>
      </c>
      <c r="I843" s="8">
        <v>2.0</v>
      </c>
      <c r="J843" s="8">
        <v>0.0</v>
      </c>
      <c r="K843" s="8">
        <v>0.0</v>
      </c>
    </row>
    <row r="844" ht="15.75" customHeight="1">
      <c r="A844" s="7" t="s">
        <v>3894</v>
      </c>
      <c r="B844" s="8" t="s">
        <v>3895</v>
      </c>
      <c r="C844" s="7" t="s">
        <v>1330</v>
      </c>
      <c r="D844" s="12" t="s">
        <v>21</v>
      </c>
      <c r="E844" s="13" t="s">
        <v>190</v>
      </c>
      <c r="F844" s="8" t="s">
        <v>24</v>
      </c>
      <c r="G844" s="8" t="b">
        <v>0</v>
      </c>
      <c r="H844" s="8" t="s">
        <v>3896</v>
      </c>
      <c r="I844" s="8">
        <v>2.0</v>
      </c>
      <c r="J844" s="8">
        <v>0.0</v>
      </c>
      <c r="K844" s="8">
        <v>1.0</v>
      </c>
    </row>
    <row r="845" ht="15.75" customHeight="1">
      <c r="A845" s="7" t="s">
        <v>3897</v>
      </c>
      <c r="B845" s="8" t="s">
        <v>3898</v>
      </c>
      <c r="C845" s="7" t="s">
        <v>1912</v>
      </c>
      <c r="D845" s="12" t="s">
        <v>21</v>
      </c>
      <c r="E845" s="13" t="s">
        <v>73</v>
      </c>
      <c r="F845" s="8" t="s">
        <v>24</v>
      </c>
      <c r="G845" s="8" t="b">
        <v>0</v>
      </c>
      <c r="H845" s="8" t="s">
        <v>3899</v>
      </c>
      <c r="I845" s="8">
        <v>2.0</v>
      </c>
      <c r="J845" s="8">
        <v>0.0</v>
      </c>
      <c r="K845" s="8">
        <v>1.0</v>
      </c>
    </row>
    <row r="846" ht="15.75" customHeight="1">
      <c r="A846" s="7" t="s">
        <v>3900</v>
      </c>
      <c r="B846" s="8" t="s">
        <v>3901</v>
      </c>
      <c r="C846" s="7" t="s">
        <v>1917</v>
      </c>
      <c r="D846" s="12" t="s">
        <v>766</v>
      </c>
      <c r="E846" s="13" t="s">
        <v>41</v>
      </c>
      <c r="F846" s="8" t="s">
        <v>767</v>
      </c>
      <c r="G846" s="8" t="b">
        <v>0</v>
      </c>
      <c r="I846" s="8">
        <v>2.0</v>
      </c>
      <c r="J846" s="8">
        <v>0.0</v>
      </c>
      <c r="K846" s="8">
        <v>0.0</v>
      </c>
    </row>
    <row r="847" ht="15.75" customHeight="1">
      <c r="A847" s="7" t="s">
        <v>3902</v>
      </c>
      <c r="B847" s="8" t="s">
        <v>3903</v>
      </c>
      <c r="C847" s="7" t="s">
        <v>188</v>
      </c>
      <c r="D847" s="12" t="s">
        <v>39</v>
      </c>
      <c r="E847" s="13" t="s">
        <v>22</v>
      </c>
      <c r="F847" s="8" t="s">
        <v>42</v>
      </c>
      <c r="G847" s="8" t="b">
        <v>0</v>
      </c>
      <c r="H847" s="8" t="s">
        <v>1862</v>
      </c>
      <c r="I847" s="8">
        <v>2.0</v>
      </c>
      <c r="J847" s="8">
        <v>0.0</v>
      </c>
      <c r="K847" s="8">
        <v>1.0</v>
      </c>
    </row>
    <row r="848" ht="15.75" customHeight="1">
      <c r="A848" s="7" t="s">
        <v>3904</v>
      </c>
      <c r="B848" s="8" t="s">
        <v>199</v>
      </c>
      <c r="C848" s="7" t="s">
        <v>200</v>
      </c>
      <c r="D848" s="12" t="s">
        <v>190</v>
      </c>
      <c r="E848" s="13" t="s">
        <v>190</v>
      </c>
      <c r="F848" s="8" t="s">
        <v>191</v>
      </c>
      <c r="G848" s="8" t="b">
        <v>0</v>
      </c>
      <c r="I848" s="8">
        <v>2.0</v>
      </c>
      <c r="J848" s="8">
        <v>0.0</v>
      </c>
      <c r="K848" s="8">
        <v>0.0</v>
      </c>
    </row>
    <row r="849" ht="15.75" customHeight="1">
      <c r="A849" s="7" t="s">
        <v>3905</v>
      </c>
      <c r="B849" s="8" t="s">
        <v>3906</v>
      </c>
      <c r="C849" s="7" t="s">
        <v>200</v>
      </c>
      <c r="D849" s="12" t="s">
        <v>560</v>
      </c>
      <c r="E849" s="13" t="s">
        <v>190</v>
      </c>
      <c r="F849" s="8" t="s">
        <v>561</v>
      </c>
      <c r="G849" s="8" t="b">
        <v>0</v>
      </c>
      <c r="I849" s="8">
        <v>2.0</v>
      </c>
      <c r="J849" s="8">
        <v>0.0</v>
      </c>
      <c r="K849" s="8">
        <v>0.0</v>
      </c>
    </row>
    <row r="850" ht="15.75" customHeight="1">
      <c r="A850" s="7" t="s">
        <v>3907</v>
      </c>
      <c r="B850" s="8" t="s">
        <v>2486</v>
      </c>
      <c r="C850" s="7" t="s">
        <v>200</v>
      </c>
      <c r="D850" s="12" t="s">
        <v>190</v>
      </c>
      <c r="E850" s="13" t="s">
        <v>190</v>
      </c>
      <c r="F850" s="8" t="s">
        <v>191</v>
      </c>
      <c r="G850" s="8" t="b">
        <v>0</v>
      </c>
      <c r="I850" s="8">
        <v>2.0</v>
      </c>
      <c r="J850" s="8">
        <v>0.0</v>
      </c>
      <c r="K850" s="8">
        <v>0.0</v>
      </c>
    </row>
    <row r="851" ht="15.75" customHeight="1">
      <c r="A851" s="7" t="s">
        <v>3908</v>
      </c>
      <c r="B851" s="8" t="s">
        <v>3909</v>
      </c>
      <c r="C851" s="7" t="s">
        <v>428</v>
      </c>
      <c r="D851" s="12" t="s">
        <v>693</v>
      </c>
      <c r="E851" s="13" t="s">
        <v>753</v>
      </c>
      <c r="F851" s="8" t="s">
        <v>695</v>
      </c>
      <c r="G851" s="8" t="b">
        <v>0</v>
      </c>
      <c r="I851" s="8">
        <v>2.0</v>
      </c>
      <c r="J851" s="8">
        <v>0.0</v>
      </c>
      <c r="K851" s="8">
        <v>2.0</v>
      </c>
    </row>
    <row r="852" ht="15.75" customHeight="1">
      <c r="A852" s="7" t="s">
        <v>3910</v>
      </c>
      <c r="B852" s="8" t="s">
        <v>3911</v>
      </c>
      <c r="C852" s="7" t="s">
        <v>428</v>
      </c>
      <c r="D852" s="12" t="s">
        <v>560</v>
      </c>
      <c r="E852" s="13" t="s">
        <v>753</v>
      </c>
      <c r="F852" s="8" t="s">
        <v>561</v>
      </c>
      <c r="G852" s="8" t="b">
        <v>0</v>
      </c>
      <c r="H852" s="8" t="s">
        <v>803</v>
      </c>
      <c r="I852" s="8">
        <v>2.0</v>
      </c>
      <c r="J852" s="8">
        <v>0.0</v>
      </c>
      <c r="K852" s="8">
        <v>1.5</v>
      </c>
    </row>
    <row r="853" ht="15.75" customHeight="1">
      <c r="A853" s="7" t="s">
        <v>3912</v>
      </c>
      <c r="B853" s="8" t="s">
        <v>3913</v>
      </c>
      <c r="C853" s="7" t="s">
        <v>428</v>
      </c>
      <c r="D853" s="12" t="s">
        <v>693</v>
      </c>
      <c r="E853" s="13" t="s">
        <v>753</v>
      </c>
      <c r="F853" s="8" t="s">
        <v>695</v>
      </c>
      <c r="G853" s="8" t="b">
        <v>0</v>
      </c>
      <c r="H853" s="8" t="s">
        <v>1228</v>
      </c>
      <c r="I853" s="8">
        <v>2.0</v>
      </c>
      <c r="J853" s="8">
        <v>0.0</v>
      </c>
      <c r="K853" s="8">
        <v>2.0</v>
      </c>
    </row>
    <row r="854" ht="15.75" customHeight="1">
      <c r="A854" s="7" t="s">
        <v>3914</v>
      </c>
      <c r="B854" s="8" t="s">
        <v>3915</v>
      </c>
      <c r="C854" s="7" t="s">
        <v>412</v>
      </c>
      <c r="D854" s="12" t="s">
        <v>693</v>
      </c>
      <c r="E854" s="13" t="s">
        <v>753</v>
      </c>
      <c r="F854" s="8" t="s">
        <v>695</v>
      </c>
      <c r="G854" s="8" t="b">
        <v>0</v>
      </c>
      <c r="H854" s="8" t="s">
        <v>691</v>
      </c>
      <c r="I854" s="8">
        <v>2.0</v>
      </c>
      <c r="J854" s="8">
        <v>0.0</v>
      </c>
      <c r="K854" s="8">
        <v>0.0</v>
      </c>
    </row>
    <row r="855" ht="15.75" customHeight="1">
      <c r="A855" s="7" t="s">
        <v>3916</v>
      </c>
      <c r="B855" s="8" t="s">
        <v>3917</v>
      </c>
      <c r="C855" s="7" t="s">
        <v>412</v>
      </c>
      <c r="D855" s="12" t="s">
        <v>39</v>
      </c>
      <c r="E855" s="13" t="s">
        <v>753</v>
      </c>
      <c r="F855" s="8" t="s">
        <v>42</v>
      </c>
      <c r="G855" s="8" t="b">
        <v>0</v>
      </c>
      <c r="I855" s="8">
        <v>2.0</v>
      </c>
      <c r="J855" s="8">
        <v>0.0</v>
      </c>
      <c r="K855" s="8">
        <v>0.0</v>
      </c>
    </row>
    <row r="856" ht="15.75" customHeight="1">
      <c r="A856" s="7" t="s">
        <v>3918</v>
      </c>
      <c r="B856" s="8" t="s">
        <v>3919</v>
      </c>
      <c r="C856" s="7" t="s">
        <v>412</v>
      </c>
      <c r="D856" s="12" t="s">
        <v>39</v>
      </c>
      <c r="E856" s="13" t="s">
        <v>753</v>
      </c>
      <c r="F856" s="8" t="s">
        <v>42</v>
      </c>
      <c r="G856" s="8" t="b">
        <v>0</v>
      </c>
      <c r="H856" s="8" t="s">
        <v>3920</v>
      </c>
      <c r="I856" s="8">
        <v>2.0</v>
      </c>
      <c r="J856" s="8">
        <v>0.0</v>
      </c>
      <c r="K856" s="8">
        <v>0.0</v>
      </c>
    </row>
    <row r="857" ht="15.75" customHeight="1">
      <c r="A857" s="7" t="s">
        <v>3921</v>
      </c>
      <c r="B857" s="8" t="s">
        <v>3922</v>
      </c>
      <c r="C857" s="7" t="s">
        <v>1137</v>
      </c>
      <c r="D857" s="12" t="s">
        <v>39</v>
      </c>
      <c r="E857" s="13" t="s">
        <v>41</v>
      </c>
      <c r="F857" s="8" t="s">
        <v>42</v>
      </c>
      <c r="G857" s="8" t="b">
        <v>0</v>
      </c>
      <c r="H857" s="8" t="s">
        <v>3923</v>
      </c>
      <c r="I857" s="8">
        <v>2.0</v>
      </c>
      <c r="J857" s="8">
        <v>0.0</v>
      </c>
      <c r="K857" s="8">
        <v>1.0</v>
      </c>
    </row>
    <row r="858" ht="15.75" customHeight="1">
      <c r="A858" s="7" t="s">
        <v>3924</v>
      </c>
      <c r="B858" s="8" t="s">
        <v>3925</v>
      </c>
      <c r="C858" s="7" t="s">
        <v>1926</v>
      </c>
      <c r="D858" s="12" t="s">
        <v>190</v>
      </c>
      <c r="E858" s="13" t="s">
        <v>41</v>
      </c>
      <c r="F858" s="8" t="s">
        <v>191</v>
      </c>
      <c r="G858" s="8" t="b">
        <v>0</v>
      </c>
      <c r="I858" s="8">
        <v>2.0</v>
      </c>
      <c r="J858" s="8">
        <v>0.0</v>
      </c>
      <c r="K858" s="8">
        <v>0.0</v>
      </c>
    </row>
    <row r="859" ht="15.75" customHeight="1">
      <c r="A859" s="7" t="s">
        <v>3926</v>
      </c>
      <c r="B859" s="8" t="s">
        <v>3927</v>
      </c>
      <c r="C859" s="7" t="s">
        <v>212</v>
      </c>
      <c r="D859" s="12" t="s">
        <v>39</v>
      </c>
      <c r="E859" s="13" t="s">
        <v>22</v>
      </c>
      <c r="F859" s="8" t="s">
        <v>42</v>
      </c>
      <c r="G859" s="8" t="b">
        <v>0</v>
      </c>
      <c r="H859" s="8" t="s">
        <v>3928</v>
      </c>
      <c r="I859" s="8">
        <v>2.0</v>
      </c>
      <c r="J859" s="8">
        <v>0.0</v>
      </c>
      <c r="K859" s="8">
        <v>1.0</v>
      </c>
    </row>
    <row r="860" ht="15.75" customHeight="1">
      <c r="A860" s="7" t="s">
        <v>3929</v>
      </c>
      <c r="B860" s="8" t="s">
        <v>3930</v>
      </c>
      <c r="C860" s="7" t="s">
        <v>212</v>
      </c>
      <c r="D860" s="12" t="s">
        <v>39</v>
      </c>
      <c r="E860" s="13" t="s">
        <v>22</v>
      </c>
      <c r="F860" s="8" t="s">
        <v>42</v>
      </c>
      <c r="G860" s="8" t="b">
        <v>0</v>
      </c>
      <c r="H860" s="8" t="s">
        <v>3931</v>
      </c>
      <c r="I860" s="8">
        <v>2.0</v>
      </c>
      <c r="J860" s="8">
        <v>0.0</v>
      </c>
      <c r="K860" s="8">
        <v>3.5</v>
      </c>
    </row>
    <row r="861" ht="15.75" customHeight="1">
      <c r="A861" s="7" t="s">
        <v>3932</v>
      </c>
      <c r="B861" s="8" t="s">
        <v>3933</v>
      </c>
      <c r="C861" s="7" t="s">
        <v>1930</v>
      </c>
      <c r="D861" s="12" t="s">
        <v>39</v>
      </c>
      <c r="E861" s="13" t="s">
        <v>73</v>
      </c>
      <c r="F861" s="8" t="s">
        <v>42</v>
      </c>
      <c r="G861" s="8" t="b">
        <v>0</v>
      </c>
      <c r="H861" s="8" t="s">
        <v>3934</v>
      </c>
      <c r="I861" s="8">
        <v>2.0</v>
      </c>
      <c r="J861" s="8">
        <v>0.0</v>
      </c>
      <c r="K861" s="8">
        <v>0.0</v>
      </c>
    </row>
    <row r="862" ht="15.75" customHeight="1">
      <c r="A862" s="7" t="s">
        <v>3935</v>
      </c>
      <c r="B862" s="8" t="s">
        <v>3936</v>
      </c>
      <c r="C862" s="7" t="s">
        <v>1934</v>
      </c>
      <c r="D862" s="12" t="s">
        <v>72</v>
      </c>
      <c r="E862" s="13" t="s">
        <v>76</v>
      </c>
      <c r="F862" s="8" t="s">
        <v>74</v>
      </c>
      <c r="G862" s="8" t="b">
        <v>0</v>
      </c>
      <c r="I862" s="8">
        <v>2.0</v>
      </c>
      <c r="J862" s="8">
        <v>0.0</v>
      </c>
      <c r="K862" s="8">
        <v>0.0</v>
      </c>
    </row>
    <row r="863" ht="15.75" customHeight="1">
      <c r="A863" s="7" t="s">
        <v>3937</v>
      </c>
      <c r="B863" s="8" t="s">
        <v>3938</v>
      </c>
      <c r="C863" s="7" t="s">
        <v>1936</v>
      </c>
      <c r="D863" s="12" t="s">
        <v>39</v>
      </c>
      <c r="E863" s="13" t="s">
        <v>41</v>
      </c>
      <c r="F863" s="8" t="s">
        <v>42</v>
      </c>
      <c r="G863" s="8" t="b">
        <v>0</v>
      </c>
      <c r="H863" s="8" t="s">
        <v>3939</v>
      </c>
      <c r="I863" s="8">
        <v>2.0</v>
      </c>
      <c r="J863" s="8">
        <v>0.0</v>
      </c>
      <c r="K863" s="8">
        <v>1.0</v>
      </c>
    </row>
    <row r="864" ht="15.75" customHeight="1">
      <c r="A864" s="7" t="s">
        <v>3940</v>
      </c>
      <c r="B864" s="8" t="s">
        <v>3941</v>
      </c>
      <c r="C864" s="7" t="s">
        <v>156</v>
      </c>
      <c r="D864" s="12" t="s">
        <v>39</v>
      </c>
      <c r="E864" s="13" t="s">
        <v>41</v>
      </c>
      <c r="F864" s="8" t="s">
        <v>42</v>
      </c>
      <c r="G864" s="8" t="b">
        <v>0</v>
      </c>
      <c r="H864" s="8" t="s">
        <v>3942</v>
      </c>
      <c r="I864" s="8">
        <v>2.0</v>
      </c>
      <c r="J864" s="8">
        <v>0.0</v>
      </c>
      <c r="K864" s="8">
        <v>0.0</v>
      </c>
    </row>
    <row r="865" ht="15.75" customHeight="1">
      <c r="A865" s="7" t="s">
        <v>3943</v>
      </c>
      <c r="B865" s="8" t="s">
        <v>3944</v>
      </c>
      <c r="C865" s="7" t="s">
        <v>156</v>
      </c>
      <c r="D865" s="12" t="s">
        <v>39</v>
      </c>
      <c r="E865" s="13" t="s">
        <v>41</v>
      </c>
      <c r="F865" s="8" t="s">
        <v>42</v>
      </c>
      <c r="G865" s="8" t="b">
        <v>0</v>
      </c>
      <c r="H865" s="8" t="s">
        <v>3945</v>
      </c>
      <c r="I865" s="8">
        <v>2.0</v>
      </c>
      <c r="J865" s="8">
        <v>0.0</v>
      </c>
      <c r="K865" s="8">
        <v>0.5</v>
      </c>
    </row>
    <row r="866" ht="15.75" customHeight="1">
      <c r="A866" s="7" t="s">
        <v>3946</v>
      </c>
      <c r="B866" s="8" t="s">
        <v>3947</v>
      </c>
      <c r="C866" s="7" t="s">
        <v>1940</v>
      </c>
      <c r="D866" s="12" t="s">
        <v>39</v>
      </c>
      <c r="E866" s="13" t="s">
        <v>753</v>
      </c>
      <c r="F866" s="8" t="s">
        <v>42</v>
      </c>
      <c r="G866" s="8" t="b">
        <v>0</v>
      </c>
      <c r="H866" s="8" t="s">
        <v>3948</v>
      </c>
      <c r="I866" s="8">
        <v>2.0</v>
      </c>
      <c r="J866" s="8">
        <v>0.0</v>
      </c>
      <c r="K866" s="8">
        <v>0.0</v>
      </c>
    </row>
    <row r="867" ht="15.75" customHeight="1">
      <c r="A867" s="7" t="s">
        <v>3949</v>
      </c>
      <c r="B867" s="8" t="s">
        <v>3950</v>
      </c>
      <c r="C867" s="7" t="s">
        <v>1944</v>
      </c>
      <c r="D867" s="12" t="s">
        <v>39</v>
      </c>
      <c r="E867" s="13" t="s">
        <v>41</v>
      </c>
      <c r="F867" s="8" t="s">
        <v>42</v>
      </c>
      <c r="G867" s="8" t="b">
        <v>0</v>
      </c>
      <c r="H867" s="8" t="s">
        <v>3951</v>
      </c>
      <c r="I867" s="8">
        <v>2.0</v>
      </c>
      <c r="J867" s="8">
        <v>0.0</v>
      </c>
      <c r="K867" s="8">
        <v>1.0</v>
      </c>
    </row>
    <row r="868" ht="15.75" customHeight="1">
      <c r="A868" s="7" t="s">
        <v>3952</v>
      </c>
      <c r="B868" s="8" t="s">
        <v>3953</v>
      </c>
      <c r="C868" s="7" t="s">
        <v>1954</v>
      </c>
      <c r="D868" s="12" t="s">
        <v>39</v>
      </c>
      <c r="E868" s="13" t="s">
        <v>41</v>
      </c>
      <c r="F868" s="8" t="s">
        <v>42</v>
      </c>
      <c r="G868" s="8" t="b">
        <v>0</v>
      </c>
      <c r="H868" s="8" t="s">
        <v>679</v>
      </c>
      <c r="I868" s="8">
        <v>2.0</v>
      </c>
      <c r="J868" s="8">
        <v>0.0</v>
      </c>
      <c r="K868" s="8">
        <v>1.0</v>
      </c>
    </row>
    <row r="869" ht="15.75" customHeight="1">
      <c r="A869" s="7" t="s">
        <v>3954</v>
      </c>
      <c r="B869" s="8" t="s">
        <v>3955</v>
      </c>
      <c r="C869" s="7" t="s">
        <v>714</v>
      </c>
      <c r="D869" s="12" t="s">
        <v>39</v>
      </c>
      <c r="E869" s="13" t="s">
        <v>22</v>
      </c>
      <c r="F869" s="8" t="s">
        <v>42</v>
      </c>
      <c r="G869" s="8" t="b">
        <v>0</v>
      </c>
      <c r="H869" s="8" t="s">
        <v>3956</v>
      </c>
      <c r="I869" s="8">
        <v>2.0</v>
      </c>
      <c r="J869" s="8">
        <v>0.0</v>
      </c>
      <c r="K869" s="8">
        <v>2.0</v>
      </c>
    </row>
    <row r="870" ht="15.75" customHeight="1">
      <c r="A870" s="7" t="s">
        <v>3957</v>
      </c>
      <c r="B870" s="8" t="s">
        <v>3958</v>
      </c>
      <c r="C870" s="7" t="s">
        <v>714</v>
      </c>
      <c r="D870" s="12" t="s">
        <v>21</v>
      </c>
      <c r="E870" s="13" t="s">
        <v>22</v>
      </c>
      <c r="F870" s="8" t="s">
        <v>24</v>
      </c>
      <c r="G870" s="8" t="b">
        <v>0</v>
      </c>
      <c r="H870" s="8" t="s">
        <v>3959</v>
      </c>
      <c r="I870" s="8">
        <v>2.0</v>
      </c>
      <c r="J870" s="8">
        <v>0.0</v>
      </c>
      <c r="K870" s="8">
        <v>1.5</v>
      </c>
    </row>
    <row r="871" ht="15.75" customHeight="1">
      <c r="A871" s="7" t="s">
        <v>3960</v>
      </c>
      <c r="B871" s="8" t="s">
        <v>3961</v>
      </c>
      <c r="C871" s="7" t="s">
        <v>714</v>
      </c>
      <c r="D871" s="12" t="s">
        <v>39</v>
      </c>
      <c r="E871" s="13" t="s">
        <v>22</v>
      </c>
      <c r="F871" s="8" t="s">
        <v>42</v>
      </c>
      <c r="G871" s="8" t="b">
        <v>0</v>
      </c>
      <c r="H871" s="8" t="s">
        <v>1786</v>
      </c>
      <c r="I871" s="8">
        <v>2.0</v>
      </c>
      <c r="J871" s="8">
        <v>0.0</v>
      </c>
      <c r="K871" s="8">
        <v>1.0</v>
      </c>
    </row>
    <row r="872" ht="15.75" customHeight="1">
      <c r="A872" s="7" t="s">
        <v>3962</v>
      </c>
      <c r="B872" s="8" t="s">
        <v>3963</v>
      </c>
      <c r="C872" s="7" t="s">
        <v>20</v>
      </c>
      <c r="D872" s="12" t="s">
        <v>39</v>
      </c>
      <c r="E872" s="13" t="s">
        <v>22</v>
      </c>
      <c r="F872" s="8" t="s">
        <v>42</v>
      </c>
      <c r="G872" s="8" t="b">
        <v>1</v>
      </c>
      <c r="H872" s="8" t="s">
        <v>3964</v>
      </c>
      <c r="I872" s="8">
        <v>2.0</v>
      </c>
      <c r="J872" s="8">
        <v>0.0</v>
      </c>
      <c r="K872" s="8">
        <v>0.0</v>
      </c>
    </row>
    <row r="873" ht="15.75" customHeight="1">
      <c r="A873" s="7" t="s">
        <v>3965</v>
      </c>
      <c r="B873" s="8" t="s">
        <v>3966</v>
      </c>
      <c r="C873" s="7" t="s">
        <v>20</v>
      </c>
      <c r="D873" s="12" t="s">
        <v>39</v>
      </c>
      <c r="E873" s="13" t="s">
        <v>22</v>
      </c>
      <c r="F873" s="8" t="s">
        <v>42</v>
      </c>
      <c r="G873" s="8" t="b">
        <v>0</v>
      </c>
      <c r="H873" s="8" t="s">
        <v>3967</v>
      </c>
      <c r="I873" s="8">
        <v>2.0</v>
      </c>
      <c r="J873" s="8">
        <v>0.0</v>
      </c>
      <c r="K873" s="8">
        <v>0.0</v>
      </c>
    </row>
    <row r="874" ht="15.75" customHeight="1">
      <c r="A874" s="7" t="s">
        <v>3968</v>
      </c>
      <c r="B874" s="8" t="s">
        <v>3969</v>
      </c>
      <c r="C874" s="7" t="s">
        <v>20</v>
      </c>
      <c r="D874" s="12" t="s">
        <v>39</v>
      </c>
      <c r="E874" s="13" t="s">
        <v>22</v>
      </c>
      <c r="F874" s="8" t="s">
        <v>42</v>
      </c>
      <c r="G874" s="8" t="b">
        <v>0</v>
      </c>
      <c r="H874" s="8" t="s">
        <v>3970</v>
      </c>
      <c r="I874" s="8">
        <v>2.0</v>
      </c>
      <c r="J874" s="8">
        <v>0.0</v>
      </c>
      <c r="K874" s="8">
        <v>3.0</v>
      </c>
    </row>
    <row r="875" ht="15.75" customHeight="1">
      <c r="A875" s="7" t="s">
        <v>3971</v>
      </c>
      <c r="B875" s="8" t="s">
        <v>3972</v>
      </c>
      <c r="C875" s="7" t="s">
        <v>20</v>
      </c>
      <c r="D875" s="12" t="s">
        <v>39</v>
      </c>
      <c r="E875" s="13" t="s">
        <v>22</v>
      </c>
      <c r="F875" s="8" t="s">
        <v>42</v>
      </c>
      <c r="G875" s="8" t="b">
        <v>0</v>
      </c>
      <c r="H875" s="8" t="s">
        <v>3973</v>
      </c>
      <c r="I875" s="8">
        <v>2.0</v>
      </c>
      <c r="J875" s="8">
        <v>0.0</v>
      </c>
      <c r="K875" s="8">
        <v>1.0</v>
      </c>
    </row>
    <row r="876" ht="15.75" customHeight="1">
      <c r="A876" s="7" t="s">
        <v>3974</v>
      </c>
      <c r="B876" s="8" t="s">
        <v>3975</v>
      </c>
      <c r="C876" s="7" t="s">
        <v>1958</v>
      </c>
      <c r="D876" s="12" t="s">
        <v>72</v>
      </c>
      <c r="E876" s="13" t="s">
        <v>41</v>
      </c>
      <c r="F876" s="8" t="s">
        <v>74</v>
      </c>
      <c r="G876" s="8" t="b">
        <v>0</v>
      </c>
      <c r="I876" s="8">
        <v>2.0</v>
      </c>
      <c r="J876" s="8">
        <v>0.0</v>
      </c>
      <c r="K876" s="8">
        <v>1.0</v>
      </c>
    </row>
    <row r="877" ht="15.75" customHeight="1">
      <c r="A877" s="7" t="s">
        <v>3976</v>
      </c>
      <c r="B877" s="8" t="s">
        <v>3977</v>
      </c>
      <c r="C877" s="8" t="s">
        <v>270</v>
      </c>
      <c r="D877" s="12" t="s">
        <v>39</v>
      </c>
      <c r="E877" s="13" t="s">
        <v>41</v>
      </c>
      <c r="F877" s="8" t="s">
        <v>42</v>
      </c>
      <c r="G877" s="8" t="b">
        <v>0</v>
      </c>
      <c r="H877" s="8" t="s">
        <v>3978</v>
      </c>
      <c r="I877" s="8">
        <v>2.0</v>
      </c>
      <c r="J877" s="8">
        <v>0.0</v>
      </c>
      <c r="K877" s="8">
        <v>0.0</v>
      </c>
    </row>
    <row r="878" ht="15.75" customHeight="1">
      <c r="A878" s="7" t="s">
        <v>3979</v>
      </c>
      <c r="B878" s="8" t="s">
        <v>3980</v>
      </c>
      <c r="C878" s="8" t="s">
        <v>270</v>
      </c>
      <c r="D878" s="12" t="s">
        <v>190</v>
      </c>
      <c r="E878" s="13" t="s">
        <v>41</v>
      </c>
      <c r="F878" s="8" t="s">
        <v>191</v>
      </c>
      <c r="G878" s="8" t="b">
        <v>0</v>
      </c>
      <c r="H878" s="8" t="s">
        <v>3981</v>
      </c>
      <c r="I878" s="8">
        <v>2.0</v>
      </c>
      <c r="J878" s="8">
        <v>0.0</v>
      </c>
      <c r="K878" s="8">
        <v>5.0</v>
      </c>
    </row>
    <row r="879" ht="15.75" customHeight="1">
      <c r="A879" s="7" t="s">
        <v>3982</v>
      </c>
      <c r="B879" s="8" t="s">
        <v>3983</v>
      </c>
      <c r="C879" s="7" t="s">
        <v>1969</v>
      </c>
      <c r="D879" s="12" t="s">
        <v>554</v>
      </c>
      <c r="E879" s="13" t="s">
        <v>22</v>
      </c>
      <c r="F879" s="8" t="s">
        <v>555</v>
      </c>
      <c r="G879" s="8" t="b">
        <v>0</v>
      </c>
      <c r="I879" s="8">
        <v>2.0</v>
      </c>
      <c r="J879" s="8">
        <v>0.0</v>
      </c>
      <c r="K879" s="8">
        <v>0.5</v>
      </c>
    </row>
    <row r="880" ht="15.75" customHeight="1">
      <c r="A880" s="7" t="s">
        <v>3984</v>
      </c>
      <c r="B880" s="8" t="s">
        <v>3985</v>
      </c>
      <c r="C880" s="7" t="s">
        <v>1972</v>
      </c>
      <c r="D880" s="12" t="s">
        <v>39</v>
      </c>
      <c r="E880" s="13" t="s">
        <v>41</v>
      </c>
      <c r="F880" s="8" t="s">
        <v>42</v>
      </c>
      <c r="G880" s="8" t="b">
        <v>0</v>
      </c>
      <c r="H880" s="8" t="s">
        <v>3986</v>
      </c>
      <c r="I880" s="8">
        <v>2.0</v>
      </c>
      <c r="J880" s="8">
        <v>0.0</v>
      </c>
      <c r="K880" s="8">
        <v>1.0</v>
      </c>
    </row>
    <row r="881" ht="15.75" customHeight="1">
      <c r="A881" s="7" t="s">
        <v>3987</v>
      </c>
      <c r="B881" s="8" t="s">
        <v>3988</v>
      </c>
      <c r="C881" s="7" t="s">
        <v>704</v>
      </c>
      <c r="D881" s="12" t="s">
        <v>39</v>
      </c>
      <c r="E881" s="13" t="s">
        <v>73</v>
      </c>
      <c r="F881" s="8" t="s">
        <v>42</v>
      </c>
      <c r="G881" s="8" t="b">
        <v>0</v>
      </c>
      <c r="H881" s="8" t="s">
        <v>3989</v>
      </c>
      <c r="I881" s="8">
        <v>2.0</v>
      </c>
      <c r="J881" s="8">
        <v>0.0</v>
      </c>
      <c r="K881" s="8">
        <v>0.0</v>
      </c>
    </row>
    <row r="882" ht="15.75" customHeight="1">
      <c r="A882" s="7" t="s">
        <v>3990</v>
      </c>
      <c r="B882" s="8" t="s">
        <v>3991</v>
      </c>
      <c r="C882" s="7" t="s">
        <v>704</v>
      </c>
      <c r="D882" s="12" t="s">
        <v>39</v>
      </c>
      <c r="E882" s="13" t="s">
        <v>73</v>
      </c>
      <c r="F882" s="8" t="s">
        <v>42</v>
      </c>
      <c r="G882" s="8" t="b">
        <v>0</v>
      </c>
      <c r="H882" s="8" t="s">
        <v>3992</v>
      </c>
      <c r="I882" s="8">
        <v>2.0</v>
      </c>
      <c r="J882" s="8">
        <v>0.0</v>
      </c>
      <c r="K882" s="8">
        <v>1.0</v>
      </c>
    </row>
    <row r="883" ht="15.75" customHeight="1">
      <c r="A883" s="7" t="s">
        <v>3993</v>
      </c>
      <c r="B883" s="8" t="s">
        <v>3994</v>
      </c>
      <c r="C883" s="7" t="s">
        <v>1544</v>
      </c>
      <c r="D883" s="12" t="s">
        <v>72</v>
      </c>
      <c r="E883" s="13" t="s">
        <v>22</v>
      </c>
      <c r="F883" s="8" t="s">
        <v>74</v>
      </c>
      <c r="G883" s="8" t="b">
        <v>0</v>
      </c>
      <c r="H883" s="8" t="s">
        <v>691</v>
      </c>
      <c r="I883" s="8">
        <v>2.0</v>
      </c>
      <c r="J883" s="8">
        <v>0.0</v>
      </c>
      <c r="K883" s="8">
        <v>1.0</v>
      </c>
    </row>
    <row r="884" ht="15.75" customHeight="1">
      <c r="A884" s="7" t="s">
        <v>3995</v>
      </c>
      <c r="B884" s="8" t="s">
        <v>3996</v>
      </c>
      <c r="C884" s="7" t="s">
        <v>624</v>
      </c>
      <c r="D884" s="12" t="s">
        <v>693</v>
      </c>
      <c r="E884" s="13" t="s">
        <v>753</v>
      </c>
      <c r="F884" s="8" t="s">
        <v>695</v>
      </c>
      <c r="G884" s="8" t="b">
        <v>0</v>
      </c>
      <c r="I884" s="8">
        <v>2.0</v>
      </c>
      <c r="J884" s="8">
        <v>0.0</v>
      </c>
      <c r="K884" s="8">
        <v>1.5</v>
      </c>
    </row>
    <row r="885" ht="15.75" customHeight="1">
      <c r="A885" s="7" t="s">
        <v>3997</v>
      </c>
      <c r="B885" s="8" t="s">
        <v>3998</v>
      </c>
      <c r="C885" s="7" t="s">
        <v>624</v>
      </c>
      <c r="D885" s="12" t="s">
        <v>693</v>
      </c>
      <c r="E885" s="13" t="s">
        <v>753</v>
      </c>
      <c r="F885" s="8" t="s">
        <v>695</v>
      </c>
      <c r="G885" s="8" t="b">
        <v>0</v>
      </c>
      <c r="H885" s="8" t="s">
        <v>3999</v>
      </c>
      <c r="I885" s="8">
        <v>2.0</v>
      </c>
      <c r="J885" s="8">
        <v>0.0</v>
      </c>
      <c r="K885" s="8">
        <v>2.0</v>
      </c>
    </row>
    <row r="886" ht="15.75" customHeight="1">
      <c r="A886" s="7" t="s">
        <v>4000</v>
      </c>
      <c r="B886" s="8" t="s">
        <v>4001</v>
      </c>
      <c r="C886" s="7" t="s">
        <v>1220</v>
      </c>
      <c r="D886" s="12" t="s">
        <v>190</v>
      </c>
      <c r="E886" s="13" t="s">
        <v>694</v>
      </c>
      <c r="F886" s="8" t="s">
        <v>191</v>
      </c>
      <c r="G886" s="8" t="b">
        <v>0</v>
      </c>
      <c r="H886" s="8" t="s">
        <v>4002</v>
      </c>
      <c r="I886" s="8">
        <v>2.0</v>
      </c>
      <c r="J886" s="8">
        <v>0.0</v>
      </c>
      <c r="K886" s="8">
        <v>1.0</v>
      </c>
    </row>
    <row r="887" ht="15.75" customHeight="1">
      <c r="A887" s="7" t="s">
        <v>4003</v>
      </c>
      <c r="B887" s="8" t="s">
        <v>4004</v>
      </c>
      <c r="C887" s="7" t="s">
        <v>1220</v>
      </c>
      <c r="D887" s="12" t="s">
        <v>39</v>
      </c>
      <c r="E887" s="13" t="s">
        <v>694</v>
      </c>
      <c r="F887" s="8" t="s">
        <v>42</v>
      </c>
      <c r="G887" s="8" t="b">
        <v>0</v>
      </c>
      <c r="H887" s="8" t="s">
        <v>4005</v>
      </c>
      <c r="I887" s="8">
        <v>2.0</v>
      </c>
      <c r="J887" s="8">
        <v>0.0</v>
      </c>
      <c r="K887" s="8">
        <v>1.5</v>
      </c>
    </row>
    <row r="888" ht="15.75" customHeight="1">
      <c r="A888" s="7" t="s">
        <v>4006</v>
      </c>
      <c r="B888" s="8" t="s">
        <v>4007</v>
      </c>
      <c r="C888" s="7" t="s">
        <v>277</v>
      </c>
      <c r="D888" s="12" t="s">
        <v>39</v>
      </c>
      <c r="E888" s="13" t="s">
        <v>76</v>
      </c>
      <c r="F888" s="8" t="s">
        <v>42</v>
      </c>
      <c r="G888" s="8" t="b">
        <v>0</v>
      </c>
      <c r="H888" s="8" t="s">
        <v>4008</v>
      </c>
      <c r="I888" s="8">
        <v>2.0</v>
      </c>
      <c r="J888" s="8">
        <v>0.0</v>
      </c>
      <c r="K888" s="8">
        <v>1.0</v>
      </c>
    </row>
    <row r="889" ht="15.75" customHeight="1">
      <c r="A889" s="7" t="s">
        <v>4009</v>
      </c>
      <c r="B889" s="8" t="s">
        <v>4010</v>
      </c>
      <c r="C889" s="7" t="s">
        <v>277</v>
      </c>
      <c r="D889" s="12" t="s">
        <v>560</v>
      </c>
      <c r="E889" s="13" t="s">
        <v>76</v>
      </c>
      <c r="F889" s="8" t="s">
        <v>561</v>
      </c>
      <c r="G889" s="8" t="b">
        <v>0</v>
      </c>
      <c r="H889" s="8" t="s">
        <v>803</v>
      </c>
      <c r="I889" s="8">
        <v>2.0</v>
      </c>
      <c r="J889" s="8">
        <v>0.0</v>
      </c>
      <c r="K889" s="8">
        <v>1.0</v>
      </c>
    </row>
    <row r="890" ht="15.75" customHeight="1">
      <c r="A890" s="7" t="s">
        <v>4011</v>
      </c>
      <c r="B890" s="8" t="s">
        <v>4012</v>
      </c>
      <c r="C890" s="7" t="s">
        <v>463</v>
      </c>
      <c r="D890" s="12" t="s">
        <v>39</v>
      </c>
      <c r="E890" s="13" t="s">
        <v>73</v>
      </c>
      <c r="F890" s="8" t="s">
        <v>42</v>
      </c>
      <c r="G890" s="8" t="b">
        <v>0</v>
      </c>
      <c r="H890" s="8" t="s">
        <v>4013</v>
      </c>
      <c r="I890" s="8">
        <v>2.0</v>
      </c>
      <c r="J890" s="8">
        <v>0.0</v>
      </c>
      <c r="K890" s="8">
        <v>0.0</v>
      </c>
    </row>
    <row r="891" ht="15.75" customHeight="1">
      <c r="A891" s="7" t="s">
        <v>4014</v>
      </c>
      <c r="B891" s="8" t="s">
        <v>4015</v>
      </c>
      <c r="C891" s="7" t="s">
        <v>463</v>
      </c>
      <c r="D891" s="12" t="s">
        <v>39</v>
      </c>
      <c r="E891" s="13" t="s">
        <v>73</v>
      </c>
      <c r="F891" s="8" t="s">
        <v>42</v>
      </c>
      <c r="G891" s="8" t="b">
        <v>0</v>
      </c>
      <c r="H891" s="8" t="s">
        <v>4016</v>
      </c>
      <c r="I891" s="8">
        <v>2.0</v>
      </c>
      <c r="J891" s="8">
        <v>0.0</v>
      </c>
      <c r="K891" s="8">
        <v>1.0</v>
      </c>
    </row>
    <row r="892" ht="15.75" customHeight="1">
      <c r="A892" s="7" t="s">
        <v>4017</v>
      </c>
      <c r="B892" s="8" t="s">
        <v>4018</v>
      </c>
      <c r="C892" s="7" t="s">
        <v>463</v>
      </c>
      <c r="D892" s="12" t="s">
        <v>39</v>
      </c>
      <c r="E892" s="13" t="s">
        <v>73</v>
      </c>
      <c r="F892" s="8" t="s">
        <v>42</v>
      </c>
      <c r="G892" s="8" t="b">
        <v>0</v>
      </c>
      <c r="H892" s="8" t="s">
        <v>4019</v>
      </c>
      <c r="I892" s="8">
        <v>2.0</v>
      </c>
      <c r="J892" s="8">
        <v>0.0</v>
      </c>
      <c r="K892" s="8">
        <v>0.0</v>
      </c>
    </row>
    <row r="893" ht="15.75" customHeight="1">
      <c r="A893" s="7" t="s">
        <v>4020</v>
      </c>
      <c r="B893" s="8" t="s">
        <v>4021</v>
      </c>
      <c r="C893" s="7" t="s">
        <v>1986</v>
      </c>
      <c r="D893" s="12" t="s">
        <v>693</v>
      </c>
      <c r="E893" s="13" t="s">
        <v>41</v>
      </c>
      <c r="F893" s="8" t="s">
        <v>695</v>
      </c>
      <c r="G893" s="8" t="b">
        <v>0</v>
      </c>
      <c r="H893" s="8" t="s">
        <v>4022</v>
      </c>
      <c r="I893" s="8">
        <v>2.0</v>
      </c>
      <c r="J893" s="8">
        <v>0.0</v>
      </c>
      <c r="K893" s="8">
        <v>1.0</v>
      </c>
    </row>
    <row r="894" ht="15.75" customHeight="1">
      <c r="A894" s="7" t="s">
        <v>4023</v>
      </c>
      <c r="B894" s="8" t="s">
        <v>4024</v>
      </c>
      <c r="C894" s="7" t="s">
        <v>2062</v>
      </c>
      <c r="D894" s="12" t="s">
        <v>104</v>
      </c>
      <c r="E894" s="13" t="s">
        <v>41</v>
      </c>
      <c r="F894" s="8" t="s">
        <v>106</v>
      </c>
      <c r="G894" s="8" t="b">
        <v>0</v>
      </c>
      <c r="H894" s="8" t="s">
        <v>4025</v>
      </c>
      <c r="I894" s="8">
        <v>1.0</v>
      </c>
      <c r="J894" s="8">
        <v>0.0</v>
      </c>
      <c r="K894" s="8">
        <v>1.0</v>
      </c>
    </row>
    <row r="895" ht="15.75" customHeight="1">
      <c r="A895" s="7" t="s">
        <v>4026</v>
      </c>
      <c r="B895" s="8" t="s">
        <v>4027</v>
      </c>
      <c r="C895" s="7" t="s">
        <v>700</v>
      </c>
      <c r="D895" s="12" t="s">
        <v>39</v>
      </c>
      <c r="E895" s="13" t="s">
        <v>41</v>
      </c>
      <c r="F895" s="8" t="s">
        <v>42</v>
      </c>
      <c r="G895" s="8" t="b">
        <v>0</v>
      </c>
      <c r="I895" s="8">
        <v>1.0</v>
      </c>
      <c r="J895" s="8">
        <v>0.0</v>
      </c>
      <c r="K895" s="8">
        <v>0.0</v>
      </c>
    </row>
    <row r="896" ht="15.75" customHeight="1">
      <c r="A896" s="7" t="s">
        <v>4028</v>
      </c>
      <c r="B896" s="8" t="s">
        <v>4029</v>
      </c>
      <c r="C896" s="7" t="s">
        <v>377</v>
      </c>
      <c r="D896" s="12" t="s">
        <v>21</v>
      </c>
      <c r="E896" s="13" t="s">
        <v>73</v>
      </c>
      <c r="F896" s="8" t="s">
        <v>24</v>
      </c>
      <c r="G896" s="8" t="b">
        <v>0</v>
      </c>
      <c r="H896" s="8" t="s">
        <v>2334</v>
      </c>
      <c r="I896" s="8">
        <v>1.0</v>
      </c>
      <c r="J896" s="8">
        <v>0.0</v>
      </c>
      <c r="K896" s="8">
        <v>0.0</v>
      </c>
    </row>
    <row r="897" ht="15.75" customHeight="1">
      <c r="A897" s="7" t="s">
        <v>4030</v>
      </c>
      <c r="B897" s="8" t="s">
        <v>4031</v>
      </c>
      <c r="C897" s="7" t="s">
        <v>377</v>
      </c>
      <c r="D897" s="12" t="s">
        <v>21</v>
      </c>
      <c r="E897" s="13" t="s">
        <v>73</v>
      </c>
      <c r="F897" s="8" t="s">
        <v>24</v>
      </c>
      <c r="G897" s="8" t="b">
        <v>0</v>
      </c>
      <c r="H897" s="8" t="s">
        <v>724</v>
      </c>
      <c r="I897" s="8">
        <v>1.0</v>
      </c>
      <c r="J897" s="8">
        <v>0.0</v>
      </c>
      <c r="K897" s="8">
        <v>0.0</v>
      </c>
    </row>
    <row r="898" ht="15.75" customHeight="1">
      <c r="A898" s="7" t="s">
        <v>4032</v>
      </c>
      <c r="B898" s="8" t="s">
        <v>4033</v>
      </c>
      <c r="C898" s="7" t="s">
        <v>2066</v>
      </c>
      <c r="D898" s="12" t="s">
        <v>554</v>
      </c>
      <c r="E898" s="13" t="s">
        <v>41</v>
      </c>
      <c r="F898" s="8" t="s">
        <v>555</v>
      </c>
      <c r="G898" s="8" t="b">
        <v>0</v>
      </c>
      <c r="I898" s="8">
        <v>1.0</v>
      </c>
      <c r="J898" s="8">
        <v>0.0</v>
      </c>
      <c r="K898" s="8">
        <v>0.0</v>
      </c>
    </row>
    <row r="899" ht="15.75" customHeight="1">
      <c r="A899" s="7" t="s">
        <v>4034</v>
      </c>
      <c r="B899" s="8" t="s">
        <v>2072</v>
      </c>
      <c r="C899" s="7" t="s">
        <v>2069</v>
      </c>
      <c r="D899" s="12" t="s">
        <v>554</v>
      </c>
      <c r="E899" s="13" t="s">
        <v>22</v>
      </c>
      <c r="F899" s="8" t="s">
        <v>555</v>
      </c>
      <c r="G899" s="8" t="b">
        <v>0</v>
      </c>
      <c r="H899" s="8" t="s">
        <v>2072</v>
      </c>
      <c r="I899" s="8">
        <v>1.0</v>
      </c>
      <c r="J899" s="8">
        <v>0.0</v>
      </c>
      <c r="K899" s="8">
        <v>1.0</v>
      </c>
    </row>
    <row r="900" ht="15.75" customHeight="1">
      <c r="A900" s="7" t="s">
        <v>4035</v>
      </c>
      <c r="B900" s="8" t="s">
        <v>4036</v>
      </c>
      <c r="C900" s="7" t="s">
        <v>2074</v>
      </c>
      <c r="D900" s="12" t="s">
        <v>39</v>
      </c>
      <c r="E900" s="13" t="s">
        <v>41</v>
      </c>
      <c r="F900" s="8" t="s">
        <v>42</v>
      </c>
      <c r="G900" s="8" t="b">
        <v>0</v>
      </c>
      <c r="H900" s="8" t="s">
        <v>654</v>
      </c>
      <c r="I900" s="8">
        <v>1.0</v>
      </c>
      <c r="J900" s="8">
        <v>0.0</v>
      </c>
      <c r="K900" s="8">
        <v>0.0</v>
      </c>
    </row>
    <row r="901" ht="15.75" customHeight="1">
      <c r="A901" s="7" t="s">
        <v>4037</v>
      </c>
      <c r="B901" s="8" t="s">
        <v>4038</v>
      </c>
      <c r="C901" s="7" t="s">
        <v>2078</v>
      </c>
      <c r="D901" s="12" t="s">
        <v>72</v>
      </c>
      <c r="E901" s="13" t="s">
        <v>694</v>
      </c>
      <c r="F901" s="8" t="s">
        <v>74</v>
      </c>
      <c r="G901" s="8" t="b">
        <v>0</v>
      </c>
      <c r="I901" s="8">
        <v>1.0</v>
      </c>
      <c r="J901" s="8">
        <v>0.0</v>
      </c>
      <c r="K901" s="8">
        <v>0.0</v>
      </c>
    </row>
    <row r="902" ht="15.75" customHeight="1">
      <c r="A902" s="7" t="s">
        <v>4039</v>
      </c>
      <c r="B902" s="8" t="s">
        <v>4040</v>
      </c>
      <c r="C902" s="7" t="s">
        <v>1624</v>
      </c>
      <c r="D902" s="12" t="s">
        <v>39</v>
      </c>
      <c r="E902" s="13" t="s">
        <v>41</v>
      </c>
      <c r="F902" s="8" t="s">
        <v>42</v>
      </c>
      <c r="G902" s="8" t="b">
        <v>0</v>
      </c>
      <c r="H902" s="8" t="s">
        <v>4041</v>
      </c>
      <c r="I902" s="8">
        <v>1.0</v>
      </c>
      <c r="J902" s="8">
        <v>0.0</v>
      </c>
      <c r="K902" s="8">
        <v>1.0</v>
      </c>
    </row>
    <row r="903" ht="15.75" customHeight="1">
      <c r="A903" s="7" t="s">
        <v>4042</v>
      </c>
      <c r="B903" s="8" t="s">
        <v>4043</v>
      </c>
      <c r="C903" s="7" t="s">
        <v>1624</v>
      </c>
      <c r="D903" s="12" t="s">
        <v>39</v>
      </c>
      <c r="E903" s="13" t="s">
        <v>41</v>
      </c>
      <c r="F903" s="8" t="s">
        <v>42</v>
      </c>
      <c r="G903" s="8" t="b">
        <v>0</v>
      </c>
      <c r="H903" s="8" t="s">
        <v>1373</v>
      </c>
      <c r="I903" s="8">
        <v>1.0</v>
      </c>
      <c r="J903" s="8">
        <v>0.0</v>
      </c>
      <c r="K903" s="8">
        <v>1.0</v>
      </c>
    </row>
    <row r="904" ht="15.75" customHeight="1">
      <c r="A904" s="7" t="s">
        <v>4044</v>
      </c>
      <c r="B904" s="8" t="s">
        <v>4045</v>
      </c>
      <c r="C904" s="7" t="s">
        <v>2081</v>
      </c>
      <c r="D904" s="12" t="s">
        <v>39</v>
      </c>
      <c r="E904" s="13" t="s">
        <v>41</v>
      </c>
      <c r="F904" s="8" t="s">
        <v>42</v>
      </c>
      <c r="G904" s="8" t="b">
        <v>0</v>
      </c>
      <c r="H904" s="8" t="s">
        <v>4046</v>
      </c>
      <c r="I904" s="8">
        <v>1.0</v>
      </c>
      <c r="J904" s="8">
        <v>0.0</v>
      </c>
      <c r="K904" s="8">
        <v>0.0</v>
      </c>
    </row>
    <row r="905" ht="15.75" customHeight="1">
      <c r="A905" s="7" t="s">
        <v>4047</v>
      </c>
      <c r="B905" s="8" t="s">
        <v>4048</v>
      </c>
      <c r="C905" s="7" t="s">
        <v>2084</v>
      </c>
      <c r="D905" s="12" t="s">
        <v>693</v>
      </c>
      <c r="E905" s="13" t="s">
        <v>41</v>
      </c>
      <c r="F905" s="8" t="s">
        <v>695</v>
      </c>
      <c r="G905" s="8" t="b">
        <v>0</v>
      </c>
      <c r="H905" s="8" t="s">
        <v>1241</v>
      </c>
      <c r="I905" s="8">
        <v>1.0</v>
      </c>
      <c r="J905" s="8">
        <v>0.0</v>
      </c>
      <c r="K905" s="8">
        <v>1.0</v>
      </c>
    </row>
    <row r="906" ht="15.75" customHeight="1">
      <c r="A906" s="7" t="s">
        <v>4049</v>
      </c>
      <c r="C906" s="7" t="s">
        <v>2087</v>
      </c>
      <c r="D906" s="12" t="s">
        <v>554</v>
      </c>
      <c r="E906" s="13" t="s">
        <v>41</v>
      </c>
      <c r="F906" s="8" t="s">
        <v>555</v>
      </c>
      <c r="H906" s="8" t="s">
        <v>1246</v>
      </c>
      <c r="I906" s="8">
        <v>1.0</v>
      </c>
      <c r="J906" s="8">
        <v>0.0</v>
      </c>
      <c r="K906" s="8">
        <v>1.0</v>
      </c>
    </row>
    <row r="907" ht="15.75" customHeight="1">
      <c r="A907" s="7" t="s">
        <v>4050</v>
      </c>
      <c r="B907" s="8" t="s">
        <v>4051</v>
      </c>
      <c r="C907" s="7" t="s">
        <v>3246</v>
      </c>
      <c r="D907" s="12" t="s">
        <v>554</v>
      </c>
      <c r="E907" s="13" t="s">
        <v>190</v>
      </c>
      <c r="F907" s="8" t="s">
        <v>555</v>
      </c>
      <c r="G907" s="8" t="b">
        <v>0</v>
      </c>
      <c r="H907" s="8" t="s">
        <v>4052</v>
      </c>
      <c r="I907" s="8">
        <v>1.0</v>
      </c>
      <c r="J907" s="8">
        <v>0.0</v>
      </c>
      <c r="K907" s="8">
        <v>1.0</v>
      </c>
    </row>
    <row r="908" ht="15.75" customHeight="1">
      <c r="A908" s="7" t="s">
        <v>4053</v>
      </c>
      <c r="B908" s="8" t="s">
        <v>4054</v>
      </c>
      <c r="C908" s="7" t="s">
        <v>2090</v>
      </c>
      <c r="D908" s="12" t="s">
        <v>766</v>
      </c>
      <c r="E908" s="13" t="s">
        <v>41</v>
      </c>
      <c r="F908" s="8" t="s">
        <v>767</v>
      </c>
      <c r="G908" s="8" t="b">
        <v>0</v>
      </c>
      <c r="I908" s="8">
        <v>1.0</v>
      </c>
      <c r="J908" s="8">
        <v>0.0</v>
      </c>
      <c r="K908" s="8">
        <v>1.0</v>
      </c>
    </row>
    <row r="909" ht="15.75" customHeight="1">
      <c r="A909" s="7" t="s">
        <v>4055</v>
      </c>
      <c r="B909" s="8" t="s">
        <v>4056</v>
      </c>
      <c r="C909" s="7" t="s">
        <v>2093</v>
      </c>
      <c r="D909" s="12" t="s">
        <v>39</v>
      </c>
      <c r="E909" s="13" t="s">
        <v>41</v>
      </c>
      <c r="F909" s="8" t="s">
        <v>42</v>
      </c>
      <c r="G909" s="8" t="b">
        <v>0</v>
      </c>
      <c r="H909" s="8" t="s">
        <v>4057</v>
      </c>
      <c r="I909" s="8">
        <v>1.0</v>
      </c>
      <c r="J909" s="8">
        <v>0.0</v>
      </c>
      <c r="K909" s="8">
        <v>0.0</v>
      </c>
    </row>
    <row r="910" ht="15.75" customHeight="1">
      <c r="A910" s="7" t="s">
        <v>4058</v>
      </c>
      <c r="B910" s="8" t="s">
        <v>4059</v>
      </c>
      <c r="C910" s="7" t="s">
        <v>2097</v>
      </c>
      <c r="D910" s="12" t="s">
        <v>190</v>
      </c>
      <c r="E910" s="13" t="s">
        <v>41</v>
      </c>
      <c r="F910" s="8" t="s">
        <v>191</v>
      </c>
      <c r="G910" s="8" t="b">
        <v>0</v>
      </c>
      <c r="H910" s="8" t="s">
        <v>2101</v>
      </c>
      <c r="I910" s="8">
        <v>1.0</v>
      </c>
      <c r="J910" s="8">
        <v>0.0</v>
      </c>
      <c r="K910" s="8">
        <v>1.0</v>
      </c>
    </row>
    <row r="911" ht="15.75" customHeight="1">
      <c r="A911" s="7" t="s">
        <v>4060</v>
      </c>
      <c r="B911" s="8" t="s">
        <v>4061</v>
      </c>
      <c r="C911" s="7" t="s">
        <v>2102</v>
      </c>
      <c r="D911" s="12" t="s">
        <v>39</v>
      </c>
      <c r="E911" s="13" t="s">
        <v>41</v>
      </c>
      <c r="F911" s="8" t="s">
        <v>42</v>
      </c>
      <c r="G911" s="8" t="b">
        <v>0</v>
      </c>
      <c r="H911" s="8" t="s">
        <v>4062</v>
      </c>
      <c r="I911" s="8">
        <v>1.0</v>
      </c>
      <c r="J911" s="8">
        <v>0.0</v>
      </c>
      <c r="K911" s="8">
        <v>1.0</v>
      </c>
    </row>
    <row r="912" ht="15.75" customHeight="1">
      <c r="A912" s="7" t="s">
        <v>4063</v>
      </c>
      <c r="B912" s="8" t="s">
        <v>4064</v>
      </c>
      <c r="C912" s="8" t="s">
        <v>2107</v>
      </c>
      <c r="D912" s="12" t="s">
        <v>190</v>
      </c>
      <c r="E912" s="13" t="s">
        <v>41</v>
      </c>
      <c r="F912" s="8" t="s">
        <v>191</v>
      </c>
      <c r="G912" s="8" t="b">
        <v>0</v>
      </c>
      <c r="H912" s="8" t="s">
        <v>4065</v>
      </c>
      <c r="I912" s="8">
        <v>1.0</v>
      </c>
      <c r="J912" s="8">
        <v>0.0</v>
      </c>
      <c r="K912" s="8">
        <v>1.0</v>
      </c>
    </row>
    <row r="913" ht="15.75" customHeight="1">
      <c r="A913" s="7" t="s">
        <v>4066</v>
      </c>
      <c r="B913" s="8" t="s">
        <v>4067</v>
      </c>
      <c r="C913" s="7" t="s">
        <v>2076</v>
      </c>
      <c r="D913" s="12" t="s">
        <v>554</v>
      </c>
      <c r="E913" s="13" t="s">
        <v>41</v>
      </c>
      <c r="F913" s="8" t="s">
        <v>555</v>
      </c>
      <c r="G913" s="8" t="b">
        <v>0</v>
      </c>
      <c r="I913" s="8">
        <v>1.0</v>
      </c>
      <c r="J913" s="8">
        <v>0.0</v>
      </c>
      <c r="K913" s="8">
        <v>2.0</v>
      </c>
    </row>
    <row r="914" ht="15.75" customHeight="1">
      <c r="A914" s="7" t="s">
        <v>4068</v>
      </c>
      <c r="B914" s="8" t="s">
        <v>4069</v>
      </c>
      <c r="C914" s="7" t="s">
        <v>2944</v>
      </c>
      <c r="D914" s="12" t="s">
        <v>560</v>
      </c>
      <c r="E914" s="13" t="s">
        <v>41</v>
      </c>
      <c r="F914" s="8" t="s">
        <v>561</v>
      </c>
      <c r="G914" s="8" t="b">
        <v>0</v>
      </c>
      <c r="I914" s="8">
        <v>1.0</v>
      </c>
      <c r="J914" s="8">
        <v>0.0</v>
      </c>
      <c r="K914" s="8">
        <v>0.0</v>
      </c>
    </row>
    <row r="915" ht="15.75" customHeight="1">
      <c r="A915" s="7" t="s">
        <v>4070</v>
      </c>
      <c r="C915" s="7" t="s">
        <v>200</v>
      </c>
      <c r="D915" s="12" t="s">
        <v>190</v>
      </c>
      <c r="E915" s="13" t="s">
        <v>190</v>
      </c>
      <c r="F915" s="8" t="s">
        <v>191</v>
      </c>
      <c r="H915" s="8" t="s">
        <v>1246</v>
      </c>
      <c r="I915" s="8">
        <v>1.0</v>
      </c>
      <c r="J915" s="8">
        <v>0.0</v>
      </c>
      <c r="K915" s="8">
        <v>0.0</v>
      </c>
    </row>
    <row r="916" ht="15.75" customHeight="1">
      <c r="A916" s="7" t="s">
        <v>4071</v>
      </c>
      <c r="B916" s="8" t="s">
        <v>4072</v>
      </c>
      <c r="C916" s="7" t="s">
        <v>2109</v>
      </c>
      <c r="D916" s="12" t="s">
        <v>39</v>
      </c>
      <c r="E916" s="13" t="s">
        <v>41</v>
      </c>
      <c r="F916" s="8" t="s">
        <v>42</v>
      </c>
      <c r="G916" s="8" t="b">
        <v>0</v>
      </c>
      <c r="H916" s="8" t="s">
        <v>4073</v>
      </c>
      <c r="I916" s="8">
        <v>1.0</v>
      </c>
      <c r="J916" s="8">
        <v>0.0</v>
      </c>
      <c r="K916" s="8">
        <v>2.0</v>
      </c>
    </row>
    <row r="917" ht="15.75" customHeight="1">
      <c r="A917" s="7" t="s">
        <v>4074</v>
      </c>
      <c r="B917" s="8" t="s">
        <v>4075</v>
      </c>
      <c r="C917" s="7" t="s">
        <v>1240</v>
      </c>
      <c r="D917" s="12" t="s">
        <v>766</v>
      </c>
      <c r="E917" s="13" t="s">
        <v>22</v>
      </c>
      <c r="F917" s="8" t="s">
        <v>767</v>
      </c>
      <c r="G917" s="8" t="b">
        <v>0</v>
      </c>
      <c r="H917" s="8" t="s">
        <v>1241</v>
      </c>
      <c r="I917" s="8">
        <v>1.0</v>
      </c>
      <c r="J917" s="8">
        <v>0.0</v>
      </c>
      <c r="K917" s="8">
        <v>1.0</v>
      </c>
    </row>
    <row r="918" ht="15.75" customHeight="1">
      <c r="A918" s="7" t="s">
        <v>4076</v>
      </c>
      <c r="B918" s="8" t="s">
        <v>4077</v>
      </c>
      <c r="C918" s="7" t="s">
        <v>1240</v>
      </c>
      <c r="D918" s="12" t="s">
        <v>766</v>
      </c>
      <c r="E918" s="13" t="s">
        <v>22</v>
      </c>
      <c r="F918" s="8" t="s">
        <v>767</v>
      </c>
      <c r="G918" s="8" t="b">
        <v>0</v>
      </c>
      <c r="H918" s="8" t="s">
        <v>1241</v>
      </c>
      <c r="I918" s="8">
        <v>1.0</v>
      </c>
      <c r="J918" s="8">
        <v>0.0</v>
      </c>
      <c r="K918" s="8">
        <v>0.0</v>
      </c>
    </row>
    <row r="919" ht="15.75" customHeight="1">
      <c r="A919" s="7" t="s">
        <v>4078</v>
      </c>
      <c r="B919" s="8" t="s">
        <v>4079</v>
      </c>
      <c r="C919" s="7" t="s">
        <v>2112</v>
      </c>
      <c r="D919" s="12" t="s">
        <v>39</v>
      </c>
      <c r="E919" s="13" t="s">
        <v>41</v>
      </c>
      <c r="F919" s="8" t="s">
        <v>42</v>
      </c>
      <c r="G919" s="8" t="b">
        <v>0</v>
      </c>
      <c r="H919" s="8" t="s">
        <v>2114</v>
      </c>
      <c r="I919" s="8">
        <v>1.0</v>
      </c>
      <c r="J919" s="8">
        <v>0.0</v>
      </c>
      <c r="K919" s="8">
        <v>0.0</v>
      </c>
    </row>
    <row r="920" ht="15.75" customHeight="1">
      <c r="A920" s="7" t="s">
        <v>4080</v>
      </c>
      <c r="B920" s="8" t="s">
        <v>4081</v>
      </c>
      <c r="C920" s="7" t="s">
        <v>711</v>
      </c>
      <c r="D920" s="12" t="s">
        <v>766</v>
      </c>
      <c r="E920" s="13" t="s">
        <v>41</v>
      </c>
      <c r="F920" s="8" t="s">
        <v>767</v>
      </c>
      <c r="G920" s="8" t="b">
        <v>0</v>
      </c>
      <c r="I920" s="8">
        <v>1.0</v>
      </c>
      <c r="J920" s="8">
        <v>0.0</v>
      </c>
      <c r="K920" s="8">
        <v>1.0</v>
      </c>
    </row>
    <row r="921" ht="15.75" customHeight="1">
      <c r="A921" s="7" t="s">
        <v>4082</v>
      </c>
      <c r="B921" s="8" t="s">
        <v>4083</v>
      </c>
      <c r="C921" s="7" t="s">
        <v>40</v>
      </c>
      <c r="D921" s="12" t="s">
        <v>21</v>
      </c>
      <c r="E921" s="13" t="s">
        <v>41</v>
      </c>
      <c r="F921" s="8" t="s">
        <v>24</v>
      </c>
      <c r="G921" s="8" t="b">
        <v>0</v>
      </c>
      <c r="I921" s="8">
        <v>1.0</v>
      </c>
      <c r="J921" s="8">
        <v>0.0</v>
      </c>
      <c r="K921" s="8">
        <v>0.0</v>
      </c>
    </row>
    <row r="922" ht="15.75" customHeight="1">
      <c r="A922" s="7" t="s">
        <v>4084</v>
      </c>
      <c r="B922" s="8" t="s">
        <v>4085</v>
      </c>
      <c r="C922" s="7" t="s">
        <v>40</v>
      </c>
      <c r="D922" s="12" t="s">
        <v>21</v>
      </c>
      <c r="E922" s="13" t="s">
        <v>41</v>
      </c>
      <c r="F922" s="8" t="s">
        <v>24</v>
      </c>
      <c r="G922" s="8" t="b">
        <v>0</v>
      </c>
      <c r="H922" s="8" t="s">
        <v>531</v>
      </c>
      <c r="I922" s="8">
        <v>1.0</v>
      </c>
      <c r="J922" s="8">
        <v>0.0</v>
      </c>
      <c r="K922" s="8">
        <v>0.0</v>
      </c>
    </row>
    <row r="923" ht="15.75" customHeight="1">
      <c r="A923" s="7" t="s">
        <v>4086</v>
      </c>
      <c r="B923" s="8" t="s">
        <v>4087</v>
      </c>
      <c r="C923" s="7" t="s">
        <v>40</v>
      </c>
      <c r="D923" s="12" t="s">
        <v>21</v>
      </c>
      <c r="E923" s="13" t="s">
        <v>41</v>
      </c>
      <c r="F923" s="8" t="s">
        <v>24</v>
      </c>
      <c r="G923" s="8" t="b">
        <v>0</v>
      </c>
      <c r="H923" s="8" t="s">
        <v>531</v>
      </c>
      <c r="I923" s="8">
        <v>1.0</v>
      </c>
      <c r="J923" s="8">
        <v>0.0</v>
      </c>
      <c r="K923" s="8">
        <v>0.0</v>
      </c>
    </row>
    <row r="924" ht="15.75" customHeight="1">
      <c r="A924" s="7" t="s">
        <v>4088</v>
      </c>
      <c r="B924" s="8" t="s">
        <v>4089</v>
      </c>
      <c r="C924" s="7" t="s">
        <v>40</v>
      </c>
      <c r="D924" s="12" t="s">
        <v>21</v>
      </c>
      <c r="E924" s="13" t="s">
        <v>41</v>
      </c>
      <c r="F924" s="8" t="s">
        <v>24</v>
      </c>
      <c r="G924" s="8" t="b">
        <v>0</v>
      </c>
      <c r="I924" s="8">
        <v>1.0</v>
      </c>
      <c r="J924" s="8">
        <v>0.0</v>
      </c>
      <c r="K924" s="8">
        <v>0.0</v>
      </c>
    </row>
    <row r="925" ht="15.75" customHeight="1">
      <c r="A925" s="7" t="s">
        <v>4090</v>
      </c>
      <c r="B925" s="8" t="s">
        <v>4091</v>
      </c>
      <c r="C925" s="7" t="s">
        <v>40</v>
      </c>
      <c r="D925" s="12" t="s">
        <v>21</v>
      </c>
      <c r="E925" s="13" t="s">
        <v>41</v>
      </c>
      <c r="F925" s="8" t="s">
        <v>24</v>
      </c>
      <c r="G925" s="8" t="b">
        <v>0</v>
      </c>
      <c r="H925" s="8" t="s">
        <v>2909</v>
      </c>
      <c r="I925" s="8">
        <v>1.0</v>
      </c>
      <c r="J925" s="8">
        <v>0.0</v>
      </c>
      <c r="K925" s="8">
        <v>0.0</v>
      </c>
    </row>
    <row r="926" ht="15.75" customHeight="1">
      <c r="A926" s="7" t="s">
        <v>4092</v>
      </c>
      <c r="B926" s="8" t="s">
        <v>4093</v>
      </c>
      <c r="C926" s="7" t="s">
        <v>40</v>
      </c>
      <c r="D926" s="12" t="s">
        <v>21</v>
      </c>
      <c r="E926" s="13" t="s">
        <v>41</v>
      </c>
      <c r="F926" s="8" t="s">
        <v>24</v>
      </c>
      <c r="G926" s="8" t="b">
        <v>0</v>
      </c>
      <c r="H926" s="8" t="s">
        <v>4094</v>
      </c>
      <c r="I926" s="8">
        <v>1.0</v>
      </c>
      <c r="J926" s="8">
        <v>0.0</v>
      </c>
      <c r="K926" s="8">
        <v>0.0</v>
      </c>
    </row>
    <row r="927" ht="15.75" customHeight="1">
      <c r="A927" s="7" t="s">
        <v>4095</v>
      </c>
      <c r="B927" s="8" t="s">
        <v>4096</v>
      </c>
      <c r="C927" s="7" t="s">
        <v>859</v>
      </c>
      <c r="D927" s="12" t="s">
        <v>190</v>
      </c>
      <c r="E927" s="13" t="s">
        <v>73</v>
      </c>
      <c r="F927" s="8" t="s">
        <v>191</v>
      </c>
      <c r="G927" s="8" t="b">
        <v>0</v>
      </c>
      <c r="I927" s="8">
        <v>1.0</v>
      </c>
      <c r="J927" s="8">
        <v>0.0</v>
      </c>
      <c r="K927" s="8">
        <v>0.0</v>
      </c>
    </row>
    <row r="928" ht="15.75" customHeight="1">
      <c r="A928" s="7" t="s">
        <v>4097</v>
      </c>
      <c r="C928" s="7" t="s">
        <v>2116</v>
      </c>
      <c r="D928" s="12" t="s">
        <v>554</v>
      </c>
      <c r="E928" s="13" t="s">
        <v>73</v>
      </c>
      <c r="F928" s="8" t="s">
        <v>555</v>
      </c>
      <c r="H928" s="8" t="s">
        <v>1246</v>
      </c>
      <c r="I928" s="8">
        <v>1.0</v>
      </c>
      <c r="J928" s="8">
        <v>0.0</v>
      </c>
      <c r="K928" s="8">
        <v>0.0</v>
      </c>
    </row>
    <row r="929" ht="15.75" customHeight="1">
      <c r="A929" s="7" t="s">
        <v>4098</v>
      </c>
      <c r="B929" s="8" t="s">
        <v>4099</v>
      </c>
      <c r="C929" s="7" t="s">
        <v>313</v>
      </c>
      <c r="D929" s="12" t="s">
        <v>72</v>
      </c>
      <c r="E929" s="13" t="s">
        <v>73</v>
      </c>
      <c r="F929" s="8" t="s">
        <v>74</v>
      </c>
      <c r="G929" s="8" t="b">
        <v>0</v>
      </c>
      <c r="H929" s="8" t="s">
        <v>2245</v>
      </c>
      <c r="I929" s="8">
        <v>1.0</v>
      </c>
      <c r="J929" s="8">
        <v>0.0</v>
      </c>
      <c r="K929" s="8">
        <v>1.0</v>
      </c>
    </row>
    <row r="930" ht="15.75" customHeight="1">
      <c r="A930" s="7" t="s">
        <v>4100</v>
      </c>
      <c r="B930" s="8" t="s">
        <v>4101</v>
      </c>
      <c r="C930" s="7" t="s">
        <v>313</v>
      </c>
      <c r="D930" s="12" t="s">
        <v>21</v>
      </c>
      <c r="E930" s="13" t="s">
        <v>73</v>
      </c>
      <c r="F930" s="8" t="s">
        <v>24</v>
      </c>
      <c r="G930" s="8" t="b">
        <v>0</v>
      </c>
      <c r="H930" s="8" t="s">
        <v>4102</v>
      </c>
      <c r="I930" s="8">
        <v>1.0</v>
      </c>
      <c r="J930" s="8">
        <v>0.0</v>
      </c>
      <c r="K930" s="8">
        <v>0.0</v>
      </c>
    </row>
    <row r="931" ht="15.75" customHeight="1">
      <c r="A931" s="7" t="s">
        <v>4103</v>
      </c>
      <c r="B931" s="8" t="s">
        <v>4104</v>
      </c>
      <c r="C931" s="7" t="s">
        <v>313</v>
      </c>
      <c r="D931" s="12" t="s">
        <v>39</v>
      </c>
      <c r="E931" s="13" t="s">
        <v>73</v>
      </c>
      <c r="F931" s="8" t="s">
        <v>42</v>
      </c>
      <c r="G931" s="8" t="b">
        <v>0</v>
      </c>
      <c r="I931" s="8">
        <v>1.0</v>
      </c>
      <c r="J931" s="8">
        <v>0.0</v>
      </c>
      <c r="K931" s="8">
        <v>0.0</v>
      </c>
    </row>
    <row r="932" ht="15.75" customHeight="1">
      <c r="A932" s="7" t="s">
        <v>4105</v>
      </c>
      <c r="B932" s="8" t="s">
        <v>4106</v>
      </c>
      <c r="C932" s="7" t="s">
        <v>306</v>
      </c>
      <c r="D932" s="12" t="s">
        <v>21</v>
      </c>
      <c r="E932" s="13" t="s">
        <v>41</v>
      </c>
      <c r="F932" s="8" t="s">
        <v>24</v>
      </c>
      <c r="G932" s="8" t="b">
        <v>0</v>
      </c>
      <c r="H932" s="8" t="s">
        <v>4107</v>
      </c>
      <c r="I932" s="8">
        <v>1.0</v>
      </c>
      <c r="J932" s="8">
        <v>0.0</v>
      </c>
      <c r="K932" s="8">
        <v>0.0</v>
      </c>
    </row>
    <row r="933" ht="15.75" customHeight="1">
      <c r="A933" s="7" t="s">
        <v>4108</v>
      </c>
      <c r="B933" s="8" t="s">
        <v>4106</v>
      </c>
      <c r="C933" s="7" t="s">
        <v>306</v>
      </c>
      <c r="D933" s="12" t="s">
        <v>21</v>
      </c>
      <c r="E933" s="13" t="s">
        <v>41</v>
      </c>
      <c r="F933" s="8" t="s">
        <v>24</v>
      </c>
      <c r="G933" s="8" t="b">
        <v>0</v>
      </c>
      <c r="H933" s="8" t="s">
        <v>4109</v>
      </c>
      <c r="I933" s="8">
        <v>1.0</v>
      </c>
      <c r="J933" s="8">
        <v>0.0</v>
      </c>
      <c r="K933" s="8">
        <v>0.0</v>
      </c>
    </row>
    <row r="934" ht="15.75" customHeight="1">
      <c r="A934" s="7" t="s">
        <v>4110</v>
      </c>
      <c r="B934" s="8" t="s">
        <v>4111</v>
      </c>
      <c r="C934" s="7" t="s">
        <v>2119</v>
      </c>
      <c r="D934" s="12" t="s">
        <v>560</v>
      </c>
      <c r="E934" s="13" t="s">
        <v>41</v>
      </c>
      <c r="F934" s="8" t="s">
        <v>561</v>
      </c>
      <c r="G934" s="8" t="b">
        <v>0</v>
      </c>
      <c r="I934" s="8">
        <v>1.0</v>
      </c>
      <c r="J934" s="8">
        <v>0.0</v>
      </c>
      <c r="K934" s="8">
        <v>0.0</v>
      </c>
    </row>
    <row r="935" ht="15.75" customHeight="1">
      <c r="A935" s="7" t="s">
        <v>4112</v>
      </c>
      <c r="B935" s="8" t="s">
        <v>4113</v>
      </c>
      <c r="C935" s="7" t="s">
        <v>2121</v>
      </c>
      <c r="D935" s="12" t="s">
        <v>21</v>
      </c>
      <c r="E935" s="13" t="s">
        <v>41</v>
      </c>
      <c r="F935" s="8" t="s">
        <v>24</v>
      </c>
      <c r="G935" s="8" t="b">
        <v>0</v>
      </c>
      <c r="H935" s="8" t="s">
        <v>4114</v>
      </c>
      <c r="I935" s="8">
        <v>1.0</v>
      </c>
      <c r="J935" s="8">
        <v>0.0</v>
      </c>
      <c r="K935" s="8">
        <v>0.0</v>
      </c>
    </row>
    <row r="936" ht="15.75" customHeight="1">
      <c r="A936" s="7" t="s">
        <v>4115</v>
      </c>
      <c r="B936" s="8" t="s">
        <v>4116</v>
      </c>
      <c r="C936" s="7" t="s">
        <v>2124</v>
      </c>
      <c r="D936" s="12" t="s">
        <v>554</v>
      </c>
      <c r="E936" s="13" t="s">
        <v>41</v>
      </c>
      <c r="F936" s="8" t="s">
        <v>555</v>
      </c>
      <c r="G936" s="8" t="b">
        <v>0</v>
      </c>
      <c r="I936" s="8">
        <v>1.0</v>
      </c>
      <c r="J936" s="8">
        <v>0.0</v>
      </c>
      <c r="K936" s="8">
        <v>0.0</v>
      </c>
    </row>
    <row r="937" ht="15.75" customHeight="1">
      <c r="A937" s="7" t="s">
        <v>4117</v>
      </c>
      <c r="B937" s="8" t="s">
        <v>4118</v>
      </c>
      <c r="C937" s="7" t="s">
        <v>1637</v>
      </c>
      <c r="D937" s="12" t="s">
        <v>104</v>
      </c>
      <c r="E937" s="13" t="s">
        <v>41</v>
      </c>
      <c r="F937" s="8" t="s">
        <v>106</v>
      </c>
      <c r="G937" s="8" t="b">
        <v>0</v>
      </c>
      <c r="H937" s="8" t="s">
        <v>4119</v>
      </c>
      <c r="I937" s="8">
        <v>1.0</v>
      </c>
      <c r="J937" s="8">
        <v>0.0</v>
      </c>
      <c r="K937" s="8">
        <v>1.0</v>
      </c>
    </row>
    <row r="938" ht="15.75" customHeight="1">
      <c r="A938" s="7" t="s">
        <v>4120</v>
      </c>
      <c r="B938" s="8" t="s">
        <v>4121</v>
      </c>
      <c r="C938" s="7" t="s">
        <v>1637</v>
      </c>
      <c r="D938" s="12" t="s">
        <v>560</v>
      </c>
      <c r="E938" s="13" t="s">
        <v>41</v>
      </c>
      <c r="F938" s="8" t="s">
        <v>561</v>
      </c>
      <c r="G938" s="8" t="b">
        <v>0</v>
      </c>
      <c r="H938" s="8" t="s">
        <v>4122</v>
      </c>
      <c r="I938" s="8">
        <v>1.0</v>
      </c>
      <c r="J938" s="8">
        <v>0.0</v>
      </c>
      <c r="K938" s="8">
        <v>0.0</v>
      </c>
    </row>
    <row r="939" ht="15.75" customHeight="1">
      <c r="A939" s="7" t="s">
        <v>4123</v>
      </c>
      <c r="B939" s="8" t="s">
        <v>4124</v>
      </c>
      <c r="C939" s="7" t="s">
        <v>2019</v>
      </c>
      <c r="D939" s="12" t="s">
        <v>766</v>
      </c>
      <c r="E939" s="13" t="s">
        <v>694</v>
      </c>
      <c r="F939" s="8" t="s">
        <v>767</v>
      </c>
      <c r="G939" s="8" t="b">
        <v>0</v>
      </c>
      <c r="I939" s="8">
        <v>1.0</v>
      </c>
      <c r="J939" s="8">
        <v>0.0</v>
      </c>
      <c r="K939" s="8">
        <v>2.0</v>
      </c>
    </row>
    <row r="940" ht="15.75" customHeight="1">
      <c r="A940" s="7" t="s">
        <v>4125</v>
      </c>
      <c r="B940" s="8" t="s">
        <v>4126</v>
      </c>
      <c r="C940" s="7" t="s">
        <v>2128</v>
      </c>
      <c r="D940" s="12" t="s">
        <v>39</v>
      </c>
      <c r="E940" s="13" t="s">
        <v>41</v>
      </c>
      <c r="F940" s="8" t="s">
        <v>42</v>
      </c>
      <c r="G940" s="8" t="b">
        <v>0</v>
      </c>
      <c r="H940" s="8" t="s">
        <v>4127</v>
      </c>
      <c r="I940" s="8">
        <v>1.0</v>
      </c>
      <c r="J940" s="8">
        <v>0.0</v>
      </c>
      <c r="K940" s="8">
        <v>1.0</v>
      </c>
    </row>
    <row r="941" ht="15.75" customHeight="1">
      <c r="A941" s="7" t="s">
        <v>4128</v>
      </c>
      <c r="B941" s="8" t="s">
        <v>4129</v>
      </c>
      <c r="C941" s="7" t="s">
        <v>1375</v>
      </c>
      <c r="D941" s="12" t="s">
        <v>104</v>
      </c>
      <c r="E941" s="13" t="s">
        <v>41</v>
      </c>
      <c r="F941" s="8" t="s">
        <v>106</v>
      </c>
      <c r="G941" s="8" t="b">
        <v>0</v>
      </c>
      <c r="H941" s="8" t="s">
        <v>4130</v>
      </c>
      <c r="I941" s="8">
        <v>1.0</v>
      </c>
      <c r="J941" s="8">
        <v>0.0</v>
      </c>
      <c r="K941" s="8">
        <v>1.0</v>
      </c>
    </row>
    <row r="942" ht="15.75" customHeight="1">
      <c r="A942" s="7" t="s">
        <v>4131</v>
      </c>
      <c r="B942" s="8" t="s">
        <v>4132</v>
      </c>
      <c r="C942" s="7" t="s">
        <v>1375</v>
      </c>
      <c r="D942" s="12" t="s">
        <v>693</v>
      </c>
      <c r="E942" s="13" t="s">
        <v>41</v>
      </c>
      <c r="F942" s="8" t="s">
        <v>695</v>
      </c>
      <c r="G942" s="8" t="b">
        <v>0</v>
      </c>
      <c r="H942" s="8" t="s">
        <v>4133</v>
      </c>
      <c r="I942" s="8">
        <v>1.0</v>
      </c>
      <c r="J942" s="8">
        <v>0.0</v>
      </c>
      <c r="K942" s="8">
        <v>0.0</v>
      </c>
    </row>
    <row r="943" ht="15.75" customHeight="1">
      <c r="A943" s="7" t="s">
        <v>4134</v>
      </c>
      <c r="B943" s="8" t="s">
        <v>4135</v>
      </c>
      <c r="C943" s="7" t="s">
        <v>1375</v>
      </c>
      <c r="D943" s="12" t="s">
        <v>693</v>
      </c>
      <c r="E943" s="13" t="s">
        <v>41</v>
      </c>
      <c r="F943" s="8" t="s">
        <v>695</v>
      </c>
      <c r="G943" s="8" t="b">
        <v>0</v>
      </c>
      <c r="H943" s="8" t="s">
        <v>594</v>
      </c>
      <c r="I943" s="8">
        <v>1.0</v>
      </c>
      <c r="J943" s="8">
        <v>0.0</v>
      </c>
      <c r="K943" s="8">
        <v>1.0</v>
      </c>
    </row>
    <row r="944" ht="15.75" customHeight="1">
      <c r="A944" s="7" t="s">
        <v>4136</v>
      </c>
      <c r="B944" s="8" t="s">
        <v>4137</v>
      </c>
      <c r="C944" s="7" t="s">
        <v>1003</v>
      </c>
      <c r="D944" s="12" t="s">
        <v>39</v>
      </c>
      <c r="E944" s="13" t="s">
        <v>41</v>
      </c>
      <c r="F944" s="8" t="s">
        <v>42</v>
      </c>
      <c r="G944" s="8" t="b">
        <v>0</v>
      </c>
      <c r="H944" s="8" t="s">
        <v>4138</v>
      </c>
      <c r="I944" s="8">
        <v>1.0</v>
      </c>
      <c r="J944" s="8">
        <v>0.0</v>
      </c>
      <c r="K944" s="8">
        <v>1.0</v>
      </c>
    </row>
    <row r="945" ht="15.75" customHeight="1">
      <c r="A945" s="7" t="s">
        <v>4139</v>
      </c>
      <c r="C945" s="7" t="s">
        <v>2132</v>
      </c>
      <c r="D945" s="12" t="s">
        <v>190</v>
      </c>
      <c r="E945" s="13" t="s">
        <v>190</v>
      </c>
      <c r="F945" s="8" t="s">
        <v>191</v>
      </c>
      <c r="H945" s="8" t="s">
        <v>1246</v>
      </c>
      <c r="I945" s="8">
        <v>1.0</v>
      </c>
      <c r="J945" s="8">
        <v>0.0</v>
      </c>
      <c r="K945" s="8">
        <v>0.0</v>
      </c>
    </row>
    <row r="946" ht="15.75" customHeight="1">
      <c r="A946" s="7" t="s">
        <v>4140</v>
      </c>
      <c r="B946" s="8" t="s">
        <v>4141</v>
      </c>
      <c r="C946" s="7" t="s">
        <v>1357</v>
      </c>
      <c r="D946" s="12" t="s">
        <v>693</v>
      </c>
      <c r="E946" s="13" t="s">
        <v>41</v>
      </c>
      <c r="F946" s="8" t="s">
        <v>695</v>
      </c>
      <c r="G946" s="8" t="b">
        <v>0</v>
      </c>
      <c r="I946" s="8">
        <v>1.0</v>
      </c>
      <c r="J946" s="8">
        <v>0.0</v>
      </c>
      <c r="K946" s="8">
        <v>1.0</v>
      </c>
    </row>
    <row r="947" ht="15.75" customHeight="1">
      <c r="A947" s="7" t="s">
        <v>4142</v>
      </c>
      <c r="B947" s="8" t="s">
        <v>4143</v>
      </c>
      <c r="C947" s="7" t="s">
        <v>2136</v>
      </c>
      <c r="D947" s="12" t="s">
        <v>39</v>
      </c>
      <c r="E947" s="13" t="s">
        <v>41</v>
      </c>
      <c r="F947" s="8" t="s">
        <v>42</v>
      </c>
      <c r="G947" s="8" t="b">
        <v>0</v>
      </c>
      <c r="H947" s="8" t="s">
        <v>4144</v>
      </c>
      <c r="I947" s="8">
        <v>1.0</v>
      </c>
      <c r="J947" s="8">
        <v>0.0</v>
      </c>
      <c r="K947" s="8">
        <v>1.0</v>
      </c>
    </row>
    <row r="948" ht="15.75" customHeight="1">
      <c r="A948" s="7" t="s">
        <v>4145</v>
      </c>
      <c r="B948" s="8" t="s">
        <v>4146</v>
      </c>
      <c r="C948" s="7" t="s">
        <v>2801</v>
      </c>
      <c r="D948" s="12" t="s">
        <v>72</v>
      </c>
      <c r="E948" s="13" t="s">
        <v>41</v>
      </c>
      <c r="F948" s="8" t="s">
        <v>74</v>
      </c>
      <c r="G948" s="8" t="b">
        <v>0</v>
      </c>
      <c r="H948" s="8" t="s">
        <v>4147</v>
      </c>
      <c r="I948" s="8">
        <v>1.0</v>
      </c>
      <c r="J948" s="8">
        <v>0.0</v>
      </c>
      <c r="K948" s="8">
        <v>0.0</v>
      </c>
    </row>
    <row r="949" ht="15.75" customHeight="1">
      <c r="A949" s="7" t="s">
        <v>4148</v>
      </c>
      <c r="B949" s="8" t="s">
        <v>4149</v>
      </c>
      <c r="C949" s="7" t="s">
        <v>2140</v>
      </c>
      <c r="D949" s="12" t="s">
        <v>39</v>
      </c>
      <c r="E949" s="13" t="s">
        <v>41</v>
      </c>
      <c r="F949" s="8" t="s">
        <v>42</v>
      </c>
      <c r="G949" s="8" t="b">
        <v>0</v>
      </c>
      <c r="H949" s="8" t="s">
        <v>1421</v>
      </c>
      <c r="I949" s="8">
        <v>1.0</v>
      </c>
      <c r="J949" s="8">
        <v>0.0</v>
      </c>
      <c r="K949" s="8">
        <v>1.0</v>
      </c>
    </row>
    <row r="950" ht="15.75" customHeight="1">
      <c r="A950" s="7" t="s">
        <v>4150</v>
      </c>
      <c r="B950" s="8" t="s">
        <v>4151</v>
      </c>
      <c r="C950" s="7" t="s">
        <v>1991</v>
      </c>
      <c r="D950" s="12" t="s">
        <v>39</v>
      </c>
      <c r="E950" s="13" t="s">
        <v>190</v>
      </c>
      <c r="F950" s="8" t="s">
        <v>42</v>
      </c>
      <c r="G950" s="8" t="b">
        <v>0</v>
      </c>
      <c r="H950" s="8" t="s">
        <v>1000</v>
      </c>
      <c r="I950" s="8">
        <v>1.0</v>
      </c>
      <c r="J950" s="8">
        <v>0.0</v>
      </c>
      <c r="K950" s="8">
        <v>4.0</v>
      </c>
    </row>
    <row r="951" ht="15.75" customHeight="1">
      <c r="A951" s="7" t="s">
        <v>4152</v>
      </c>
      <c r="B951" s="8" t="s">
        <v>4153</v>
      </c>
      <c r="C951" s="7" t="s">
        <v>2143</v>
      </c>
      <c r="D951" s="12" t="s">
        <v>554</v>
      </c>
      <c r="E951" s="13" t="s">
        <v>41</v>
      </c>
      <c r="F951" s="8" t="s">
        <v>555</v>
      </c>
      <c r="G951" s="8" t="b">
        <v>0</v>
      </c>
      <c r="I951" s="8">
        <v>1.0</v>
      </c>
      <c r="J951" s="8">
        <v>0.0</v>
      </c>
      <c r="K951" s="8">
        <v>0.0</v>
      </c>
    </row>
    <row r="952" ht="15.75" customHeight="1">
      <c r="A952" s="7" t="s">
        <v>4154</v>
      </c>
      <c r="B952" s="8" t="s">
        <v>4155</v>
      </c>
      <c r="C952" s="7" t="s">
        <v>2146</v>
      </c>
      <c r="D952" s="12" t="s">
        <v>39</v>
      </c>
      <c r="E952" s="13" t="s">
        <v>76</v>
      </c>
      <c r="F952" s="8" t="s">
        <v>42</v>
      </c>
      <c r="G952" s="8" t="b">
        <v>0</v>
      </c>
      <c r="I952" s="8">
        <v>1.0</v>
      </c>
      <c r="J952" s="8">
        <v>0.0</v>
      </c>
      <c r="K952" s="8">
        <v>1.0</v>
      </c>
    </row>
    <row r="953" ht="15.75" customHeight="1">
      <c r="A953" s="7" t="s">
        <v>4156</v>
      </c>
      <c r="B953" s="8" t="s">
        <v>4157</v>
      </c>
      <c r="C953" s="7" t="s">
        <v>2150</v>
      </c>
      <c r="D953" s="12" t="s">
        <v>39</v>
      </c>
      <c r="E953" s="13" t="s">
        <v>41</v>
      </c>
      <c r="F953" s="8" t="s">
        <v>42</v>
      </c>
      <c r="G953" s="8" t="b">
        <v>0</v>
      </c>
      <c r="H953" s="8" t="s">
        <v>4158</v>
      </c>
      <c r="I953" s="8">
        <v>1.0</v>
      </c>
      <c r="J953" s="8">
        <v>0.0</v>
      </c>
      <c r="K953" s="8">
        <v>1.0</v>
      </c>
    </row>
    <row r="954" ht="15.75" customHeight="1">
      <c r="A954" s="7" t="s">
        <v>4159</v>
      </c>
      <c r="B954" s="8" t="s">
        <v>4160</v>
      </c>
      <c r="C954" s="7" t="s">
        <v>2155</v>
      </c>
      <c r="D954" s="12" t="s">
        <v>190</v>
      </c>
      <c r="E954" s="13" t="s">
        <v>41</v>
      </c>
      <c r="F954" s="8" t="s">
        <v>191</v>
      </c>
      <c r="G954" s="8" t="b">
        <v>0</v>
      </c>
      <c r="H954" s="8" t="s">
        <v>4161</v>
      </c>
      <c r="I954" s="8">
        <v>1.0</v>
      </c>
      <c r="J954" s="8">
        <v>0.0</v>
      </c>
      <c r="K954" s="8">
        <v>1.0</v>
      </c>
    </row>
    <row r="955" ht="15.75" customHeight="1">
      <c r="A955" s="7" t="s">
        <v>4162</v>
      </c>
      <c r="B955" s="8" t="s">
        <v>4163</v>
      </c>
      <c r="C955" s="7" t="s">
        <v>2160</v>
      </c>
      <c r="D955" s="12" t="s">
        <v>39</v>
      </c>
      <c r="E955" s="13" t="s">
        <v>41</v>
      </c>
      <c r="F955" s="8" t="s">
        <v>42</v>
      </c>
      <c r="G955" s="8" t="b">
        <v>0</v>
      </c>
      <c r="H955" s="8" t="s">
        <v>4164</v>
      </c>
      <c r="I955" s="8">
        <v>1.0</v>
      </c>
      <c r="J955" s="8">
        <v>0.0</v>
      </c>
      <c r="K955" s="8">
        <v>0.0</v>
      </c>
    </row>
    <row r="956" ht="15.75" customHeight="1">
      <c r="A956" s="7" t="s">
        <v>4165</v>
      </c>
      <c r="B956" s="8" t="s">
        <v>4166</v>
      </c>
      <c r="C956" s="7" t="s">
        <v>2164</v>
      </c>
      <c r="D956" s="12" t="s">
        <v>693</v>
      </c>
      <c r="E956" s="13" t="s">
        <v>41</v>
      </c>
      <c r="F956" s="8" t="s">
        <v>695</v>
      </c>
      <c r="G956" s="8" t="b">
        <v>0</v>
      </c>
      <c r="I956" s="8">
        <v>1.0</v>
      </c>
      <c r="J956" s="8">
        <v>0.0</v>
      </c>
      <c r="K956" s="8">
        <v>1.0</v>
      </c>
    </row>
    <row r="957" ht="15.75" customHeight="1">
      <c r="A957" s="7" t="s">
        <v>4167</v>
      </c>
      <c r="B957" s="8" t="s">
        <v>4168</v>
      </c>
      <c r="C957" s="7" t="s">
        <v>2167</v>
      </c>
      <c r="D957" s="12" t="s">
        <v>72</v>
      </c>
      <c r="E957" s="13" t="s">
        <v>694</v>
      </c>
      <c r="F957" s="8" t="s">
        <v>74</v>
      </c>
      <c r="G957" s="8" t="b">
        <v>0</v>
      </c>
      <c r="H957" s="8" t="s">
        <v>2169</v>
      </c>
      <c r="I957" s="8">
        <v>1.0</v>
      </c>
      <c r="J957" s="8">
        <v>0.0</v>
      </c>
      <c r="K957" s="8">
        <v>0.0</v>
      </c>
    </row>
    <row r="958" ht="15.75" customHeight="1">
      <c r="A958" s="7" t="s">
        <v>4169</v>
      </c>
      <c r="B958" s="8" t="s">
        <v>4170</v>
      </c>
      <c r="C958" s="7" t="s">
        <v>1245</v>
      </c>
      <c r="D958" s="12" t="s">
        <v>560</v>
      </c>
      <c r="E958" s="13" t="s">
        <v>41</v>
      </c>
      <c r="F958" s="8" t="s">
        <v>561</v>
      </c>
      <c r="G958" s="8" t="b">
        <v>0</v>
      </c>
      <c r="I958" s="8">
        <v>1.0</v>
      </c>
      <c r="J958" s="8">
        <v>0.0</v>
      </c>
      <c r="K958" s="8">
        <v>1.0</v>
      </c>
    </row>
    <row r="959" ht="15.75" customHeight="1">
      <c r="A959" s="7" t="s">
        <v>4171</v>
      </c>
      <c r="B959" s="8" t="s">
        <v>4172</v>
      </c>
      <c r="C959" s="7" t="s">
        <v>503</v>
      </c>
      <c r="D959" s="12" t="s">
        <v>39</v>
      </c>
      <c r="E959" s="13" t="s">
        <v>41</v>
      </c>
      <c r="F959" s="8" t="s">
        <v>42</v>
      </c>
      <c r="G959" s="8" t="b">
        <v>0</v>
      </c>
      <c r="H959" s="8" t="s">
        <v>186</v>
      </c>
      <c r="I959" s="8">
        <v>1.0</v>
      </c>
      <c r="J959" s="8">
        <v>0.0</v>
      </c>
      <c r="K959" s="8">
        <v>0.0</v>
      </c>
    </row>
    <row r="960" ht="15.75" customHeight="1">
      <c r="A960" s="7" t="s">
        <v>4173</v>
      </c>
      <c r="B960" s="8" t="s">
        <v>4174</v>
      </c>
      <c r="C960" s="7" t="s">
        <v>503</v>
      </c>
      <c r="D960" s="12" t="s">
        <v>72</v>
      </c>
      <c r="E960" s="13" t="s">
        <v>41</v>
      </c>
      <c r="F960" s="8" t="s">
        <v>74</v>
      </c>
      <c r="G960" s="8" t="b">
        <v>0</v>
      </c>
      <c r="H960" s="8" t="s">
        <v>4175</v>
      </c>
      <c r="I960" s="8">
        <v>1.0</v>
      </c>
      <c r="J960" s="8">
        <v>0.0</v>
      </c>
      <c r="K960" s="8">
        <v>1.0</v>
      </c>
    </row>
    <row r="961" ht="15.75" customHeight="1">
      <c r="A961" s="7" t="s">
        <v>4176</v>
      </c>
      <c r="B961" s="8" t="s">
        <v>4177</v>
      </c>
      <c r="C961" s="7" t="s">
        <v>2174</v>
      </c>
      <c r="D961" s="12" t="s">
        <v>39</v>
      </c>
      <c r="E961" s="13" t="s">
        <v>753</v>
      </c>
      <c r="F961" s="8" t="s">
        <v>42</v>
      </c>
      <c r="G961" s="8" t="b">
        <v>0</v>
      </c>
      <c r="H961" s="8" t="s">
        <v>4178</v>
      </c>
      <c r="I961" s="8">
        <v>1.0</v>
      </c>
      <c r="J961" s="8">
        <v>0.0</v>
      </c>
      <c r="K961" s="8">
        <v>0.0</v>
      </c>
    </row>
    <row r="962" ht="15.75" customHeight="1">
      <c r="A962" s="7" t="s">
        <v>4179</v>
      </c>
      <c r="B962" s="8" t="s">
        <v>4180</v>
      </c>
      <c r="C962" s="7" t="s">
        <v>2179</v>
      </c>
      <c r="D962" s="12" t="s">
        <v>766</v>
      </c>
      <c r="E962" s="13" t="s">
        <v>41</v>
      </c>
      <c r="F962" s="8" t="s">
        <v>767</v>
      </c>
      <c r="G962" s="8" t="b">
        <v>0</v>
      </c>
      <c r="I962" s="8">
        <v>1.0</v>
      </c>
      <c r="J962" s="8">
        <v>0.0</v>
      </c>
      <c r="K962" s="8">
        <v>1.0</v>
      </c>
    </row>
    <row r="963" ht="15.75" customHeight="1">
      <c r="A963" s="7" t="s">
        <v>4181</v>
      </c>
      <c r="B963" s="8" t="s">
        <v>4182</v>
      </c>
      <c r="C963" s="7" t="s">
        <v>2182</v>
      </c>
      <c r="D963" s="12" t="s">
        <v>39</v>
      </c>
      <c r="E963" s="13" t="s">
        <v>41</v>
      </c>
      <c r="F963" s="8" t="s">
        <v>42</v>
      </c>
      <c r="G963" s="8" t="b">
        <v>0</v>
      </c>
      <c r="H963" s="8" t="s">
        <v>4183</v>
      </c>
      <c r="I963" s="8">
        <v>1.0</v>
      </c>
      <c r="J963" s="8">
        <v>0.0</v>
      </c>
      <c r="K963" s="8">
        <v>1.0</v>
      </c>
    </row>
    <row r="964" ht="15.75" customHeight="1">
      <c r="A964" s="7" t="s">
        <v>4184</v>
      </c>
      <c r="B964" s="8" t="s">
        <v>4185</v>
      </c>
      <c r="C964" s="7" t="s">
        <v>2187</v>
      </c>
      <c r="D964" s="12" t="s">
        <v>39</v>
      </c>
      <c r="E964" s="13" t="s">
        <v>41</v>
      </c>
      <c r="F964" s="8" t="s">
        <v>42</v>
      </c>
      <c r="G964" s="8" t="b">
        <v>0</v>
      </c>
      <c r="H964" s="8" t="s">
        <v>4186</v>
      </c>
      <c r="I964" s="8">
        <v>1.0</v>
      </c>
      <c r="J964" s="8">
        <v>0.0</v>
      </c>
      <c r="K964" s="8">
        <v>1.0</v>
      </c>
    </row>
    <row r="965" ht="15.75" customHeight="1">
      <c r="A965" s="7" t="s">
        <v>4187</v>
      </c>
      <c r="B965" s="8" t="s">
        <v>4188</v>
      </c>
      <c r="C965" s="7" t="s">
        <v>1381</v>
      </c>
      <c r="D965" s="12" t="s">
        <v>39</v>
      </c>
      <c r="E965" s="13" t="s">
        <v>41</v>
      </c>
      <c r="F965" s="8" t="s">
        <v>42</v>
      </c>
      <c r="G965" s="8" t="b">
        <v>0</v>
      </c>
      <c r="H965" s="8" t="s">
        <v>4189</v>
      </c>
      <c r="I965" s="8">
        <v>1.0</v>
      </c>
      <c r="J965" s="8">
        <v>0.0</v>
      </c>
      <c r="K965" s="8">
        <v>0.0</v>
      </c>
    </row>
    <row r="966" ht="15.75" customHeight="1">
      <c r="A966" s="7" t="s">
        <v>4190</v>
      </c>
      <c r="B966" s="8" t="s">
        <v>4191</v>
      </c>
      <c r="C966" s="7" t="s">
        <v>2192</v>
      </c>
      <c r="D966" s="12" t="s">
        <v>766</v>
      </c>
      <c r="E966" s="13" t="s">
        <v>41</v>
      </c>
      <c r="F966" s="8" t="s">
        <v>767</v>
      </c>
      <c r="G966" s="8" t="b">
        <v>0</v>
      </c>
      <c r="I966" s="8">
        <v>1.0</v>
      </c>
      <c r="J966" s="8">
        <v>0.0</v>
      </c>
      <c r="K966" s="8">
        <v>0.0</v>
      </c>
    </row>
    <row r="967" ht="15.75" customHeight="1">
      <c r="A967" s="7" t="s">
        <v>4192</v>
      </c>
      <c r="B967" s="8" t="s">
        <v>4193</v>
      </c>
      <c r="C967" s="7" t="s">
        <v>515</v>
      </c>
      <c r="D967" s="12" t="s">
        <v>554</v>
      </c>
      <c r="E967" s="13" t="s">
        <v>22</v>
      </c>
      <c r="F967" s="8" t="s">
        <v>555</v>
      </c>
      <c r="G967" s="8" t="b">
        <v>0</v>
      </c>
      <c r="H967" s="8" t="s">
        <v>518</v>
      </c>
      <c r="I967" s="8">
        <v>1.0</v>
      </c>
      <c r="J967" s="8">
        <v>0.0</v>
      </c>
      <c r="K967" s="8">
        <v>1.0</v>
      </c>
    </row>
    <row r="968" ht="15.75" customHeight="1">
      <c r="A968" s="7" t="s">
        <v>4194</v>
      </c>
      <c r="C968" s="7" t="s">
        <v>515</v>
      </c>
      <c r="D968" s="12" t="s">
        <v>190</v>
      </c>
      <c r="E968" s="13" t="s">
        <v>22</v>
      </c>
      <c r="F968" s="8" t="s">
        <v>191</v>
      </c>
      <c r="H968" s="8" t="s">
        <v>1246</v>
      </c>
      <c r="I968" s="8">
        <v>1.0</v>
      </c>
      <c r="J968" s="8">
        <v>0.0</v>
      </c>
      <c r="K968" s="8">
        <v>1.0</v>
      </c>
    </row>
    <row r="969" ht="15.75" customHeight="1">
      <c r="A969" s="7" t="s">
        <v>4195</v>
      </c>
      <c r="B969" s="8" t="s">
        <v>4196</v>
      </c>
      <c r="C969" s="7" t="s">
        <v>512</v>
      </c>
      <c r="D969" s="12" t="s">
        <v>693</v>
      </c>
      <c r="E969" s="13" t="s">
        <v>73</v>
      </c>
      <c r="F969" s="8" t="s">
        <v>695</v>
      </c>
      <c r="G969" s="8" t="b">
        <v>0</v>
      </c>
      <c r="I969" s="8">
        <v>1.0</v>
      </c>
      <c r="J969" s="8">
        <v>0.0</v>
      </c>
      <c r="K969" s="8">
        <v>2.0</v>
      </c>
    </row>
    <row r="970" ht="15.75" customHeight="1">
      <c r="A970" s="7" t="s">
        <v>4197</v>
      </c>
      <c r="B970" s="8" t="s">
        <v>4198</v>
      </c>
      <c r="C970" s="7" t="s">
        <v>512</v>
      </c>
      <c r="D970" s="12" t="s">
        <v>693</v>
      </c>
      <c r="E970" s="13" t="s">
        <v>73</v>
      </c>
      <c r="F970" s="8" t="s">
        <v>695</v>
      </c>
      <c r="G970" s="8" t="b">
        <v>0</v>
      </c>
      <c r="I970" s="8">
        <v>1.0</v>
      </c>
      <c r="J970" s="8">
        <v>0.0</v>
      </c>
      <c r="K970" s="8">
        <v>2.0</v>
      </c>
    </row>
    <row r="971" ht="15.75" customHeight="1">
      <c r="A971" s="7" t="s">
        <v>4199</v>
      </c>
      <c r="B971" s="8" t="s">
        <v>4200</v>
      </c>
      <c r="C971" s="7" t="s">
        <v>512</v>
      </c>
      <c r="D971" s="12" t="s">
        <v>693</v>
      </c>
      <c r="E971" s="13" t="s">
        <v>73</v>
      </c>
      <c r="F971" s="8" t="s">
        <v>695</v>
      </c>
      <c r="G971" s="8" t="b">
        <v>0</v>
      </c>
      <c r="I971" s="8">
        <v>1.0</v>
      </c>
      <c r="J971" s="8">
        <v>0.0</v>
      </c>
      <c r="K971" s="8">
        <v>2.0</v>
      </c>
    </row>
    <row r="972" ht="15.75" customHeight="1">
      <c r="A972" s="7" t="s">
        <v>4201</v>
      </c>
      <c r="B972" s="8" t="s">
        <v>4202</v>
      </c>
      <c r="C972" s="7" t="s">
        <v>1385</v>
      </c>
      <c r="D972" s="12" t="s">
        <v>39</v>
      </c>
      <c r="E972" s="13" t="s">
        <v>41</v>
      </c>
      <c r="F972" s="8" t="s">
        <v>42</v>
      </c>
      <c r="G972" s="8" t="b">
        <v>0</v>
      </c>
      <c r="H972" s="8" t="s">
        <v>4203</v>
      </c>
      <c r="I972" s="8">
        <v>1.0</v>
      </c>
      <c r="J972" s="8">
        <v>0.0</v>
      </c>
      <c r="K972" s="8">
        <v>1.0</v>
      </c>
    </row>
    <row r="973" ht="15.75" customHeight="1">
      <c r="A973" s="7" t="s">
        <v>4204</v>
      </c>
      <c r="B973" s="8" t="s">
        <v>4205</v>
      </c>
      <c r="C973" s="7" t="s">
        <v>2194</v>
      </c>
      <c r="D973" s="12" t="s">
        <v>693</v>
      </c>
      <c r="E973" s="13" t="s">
        <v>41</v>
      </c>
      <c r="F973" s="8" t="s">
        <v>695</v>
      </c>
      <c r="G973" s="8" t="b">
        <v>0</v>
      </c>
      <c r="I973" s="8">
        <v>1.0</v>
      </c>
      <c r="J973" s="8">
        <v>0.0</v>
      </c>
      <c r="K973" s="8">
        <v>1.0</v>
      </c>
    </row>
    <row r="974" ht="15.75" customHeight="1">
      <c r="A974" s="7" t="s">
        <v>4206</v>
      </c>
      <c r="B974" s="8" t="s">
        <v>4207</v>
      </c>
      <c r="C974" s="7" t="s">
        <v>2198</v>
      </c>
      <c r="D974" s="12" t="s">
        <v>554</v>
      </c>
      <c r="E974" s="13" t="s">
        <v>41</v>
      </c>
      <c r="F974" s="8" t="s">
        <v>555</v>
      </c>
      <c r="G974" s="8" t="b">
        <v>0</v>
      </c>
      <c r="I974" s="8">
        <v>1.0</v>
      </c>
      <c r="J974" s="8">
        <v>0.0</v>
      </c>
      <c r="K974" s="8">
        <v>2.0</v>
      </c>
    </row>
    <row r="975" ht="15.75" customHeight="1">
      <c r="A975" s="7" t="s">
        <v>4208</v>
      </c>
      <c r="B975" s="8" t="s">
        <v>4209</v>
      </c>
      <c r="C975" s="7" t="s">
        <v>2201</v>
      </c>
      <c r="D975" s="12" t="s">
        <v>39</v>
      </c>
      <c r="E975" s="13" t="s">
        <v>41</v>
      </c>
      <c r="F975" s="8" t="s">
        <v>42</v>
      </c>
      <c r="G975" s="8" t="b">
        <v>0</v>
      </c>
      <c r="I975" s="8">
        <v>1.0</v>
      </c>
      <c r="J975" s="8">
        <v>0.0</v>
      </c>
      <c r="K975" s="8">
        <v>1.0</v>
      </c>
    </row>
    <row r="976" ht="15.75" customHeight="1">
      <c r="A976" s="7" t="s">
        <v>4210</v>
      </c>
      <c r="B976" s="8" t="s">
        <v>4211</v>
      </c>
      <c r="C976" s="7" t="s">
        <v>2205</v>
      </c>
      <c r="D976" s="12" t="s">
        <v>560</v>
      </c>
      <c r="E976" s="13" t="s">
        <v>41</v>
      </c>
      <c r="F976" s="8" t="s">
        <v>561</v>
      </c>
      <c r="G976" s="8" t="b">
        <v>0</v>
      </c>
      <c r="I976" s="8">
        <v>1.0</v>
      </c>
      <c r="J976" s="8">
        <v>0.0</v>
      </c>
      <c r="K976" s="8">
        <v>0.0</v>
      </c>
    </row>
    <row r="977" ht="15.75" customHeight="1">
      <c r="A977" s="7" t="s">
        <v>4212</v>
      </c>
      <c r="B977" s="8" t="s">
        <v>4213</v>
      </c>
      <c r="C977" s="7" t="s">
        <v>2207</v>
      </c>
      <c r="D977" s="12" t="s">
        <v>766</v>
      </c>
      <c r="E977" s="13" t="s">
        <v>41</v>
      </c>
      <c r="F977" s="8" t="s">
        <v>767</v>
      </c>
      <c r="G977" s="8" t="b">
        <v>0</v>
      </c>
      <c r="H977" s="8" t="s">
        <v>4214</v>
      </c>
      <c r="I977" s="8">
        <v>1.0</v>
      </c>
      <c r="J977" s="8">
        <v>0.0</v>
      </c>
      <c r="K977" s="8">
        <v>0.0</v>
      </c>
    </row>
    <row r="978" ht="15.75" customHeight="1">
      <c r="A978" s="7" t="s">
        <v>4215</v>
      </c>
      <c r="B978" s="8" t="s">
        <v>4216</v>
      </c>
      <c r="C978" s="7" t="s">
        <v>2212</v>
      </c>
      <c r="D978" s="12" t="s">
        <v>554</v>
      </c>
      <c r="E978" s="13" t="s">
        <v>41</v>
      </c>
      <c r="F978" s="8" t="s">
        <v>555</v>
      </c>
      <c r="G978" s="8" t="b">
        <v>0</v>
      </c>
      <c r="H978" s="8" t="s">
        <v>2216</v>
      </c>
      <c r="I978" s="8">
        <v>1.0</v>
      </c>
      <c r="J978" s="8">
        <v>0.0</v>
      </c>
      <c r="K978" s="8">
        <v>1.0</v>
      </c>
    </row>
    <row r="979" ht="15.75" customHeight="1">
      <c r="A979" s="7" t="s">
        <v>4217</v>
      </c>
      <c r="C979" s="7" t="s">
        <v>2217</v>
      </c>
      <c r="D979" s="12" t="s">
        <v>190</v>
      </c>
      <c r="E979" s="13" t="s">
        <v>41</v>
      </c>
      <c r="F979" s="8" t="s">
        <v>191</v>
      </c>
      <c r="H979" s="8" t="s">
        <v>1246</v>
      </c>
      <c r="I979" s="8">
        <v>1.0</v>
      </c>
      <c r="J979" s="8">
        <v>0.0</v>
      </c>
      <c r="K979" s="8">
        <v>0.0</v>
      </c>
    </row>
    <row r="980" ht="15.75" customHeight="1">
      <c r="A980" s="7" t="s">
        <v>4218</v>
      </c>
      <c r="B980" s="8" t="s">
        <v>4219</v>
      </c>
      <c r="C980" s="7" t="s">
        <v>2221</v>
      </c>
      <c r="D980" s="12" t="s">
        <v>554</v>
      </c>
      <c r="E980" s="13" t="s">
        <v>41</v>
      </c>
      <c r="F980" s="8" t="s">
        <v>555</v>
      </c>
      <c r="G980" s="8" t="b">
        <v>0</v>
      </c>
      <c r="H980" s="8" t="s">
        <v>724</v>
      </c>
      <c r="I980" s="8">
        <v>1.0</v>
      </c>
      <c r="J980" s="8">
        <v>0.0</v>
      </c>
      <c r="K980" s="8">
        <v>0.0</v>
      </c>
    </row>
    <row r="981" ht="15.75" customHeight="1">
      <c r="A981" s="7" t="s">
        <v>4220</v>
      </c>
      <c r="B981" s="8" t="s">
        <v>4221</v>
      </c>
      <c r="C981" s="7" t="s">
        <v>2224</v>
      </c>
      <c r="D981" s="12" t="s">
        <v>560</v>
      </c>
      <c r="E981" s="13" t="s">
        <v>41</v>
      </c>
      <c r="F981" s="8" t="s">
        <v>561</v>
      </c>
      <c r="G981" s="8" t="b">
        <v>0</v>
      </c>
      <c r="I981" s="8">
        <v>1.0</v>
      </c>
      <c r="J981" s="8">
        <v>0.0</v>
      </c>
      <c r="K981" s="8">
        <v>0.0</v>
      </c>
    </row>
    <row r="982" ht="15.75" customHeight="1">
      <c r="A982" s="7" t="s">
        <v>4222</v>
      </c>
      <c r="B982" s="8" t="s">
        <v>4223</v>
      </c>
      <c r="C982" s="7" t="s">
        <v>932</v>
      </c>
      <c r="D982" s="12" t="s">
        <v>39</v>
      </c>
      <c r="E982" s="13" t="s">
        <v>22</v>
      </c>
      <c r="F982" s="8" t="s">
        <v>42</v>
      </c>
      <c r="G982" s="8" t="b">
        <v>0</v>
      </c>
      <c r="H982" s="8" t="s">
        <v>4224</v>
      </c>
      <c r="I982" s="8">
        <v>1.0</v>
      </c>
      <c r="J982" s="8">
        <v>0.0</v>
      </c>
      <c r="K982" s="8">
        <v>1.0</v>
      </c>
    </row>
    <row r="983" ht="15.75" customHeight="1">
      <c r="A983" s="7" t="s">
        <v>4225</v>
      </c>
      <c r="B983" s="8" t="s">
        <v>4226</v>
      </c>
      <c r="C983" s="7" t="s">
        <v>932</v>
      </c>
      <c r="D983" s="12" t="s">
        <v>39</v>
      </c>
      <c r="E983" s="13" t="s">
        <v>22</v>
      </c>
      <c r="F983" s="8" t="s">
        <v>42</v>
      </c>
      <c r="G983" s="8" t="b">
        <v>0</v>
      </c>
      <c r="H983" s="8" t="s">
        <v>4227</v>
      </c>
      <c r="I983" s="8">
        <v>1.0</v>
      </c>
      <c r="J983" s="8">
        <v>0.0</v>
      </c>
      <c r="K983" s="8">
        <v>0.0</v>
      </c>
    </row>
    <row r="984" ht="15.75" customHeight="1">
      <c r="A984" s="7" t="s">
        <v>4228</v>
      </c>
      <c r="B984" s="8" t="s">
        <v>4229</v>
      </c>
      <c r="C984" s="7" t="s">
        <v>932</v>
      </c>
      <c r="D984" s="12" t="s">
        <v>39</v>
      </c>
      <c r="E984" s="13" t="s">
        <v>22</v>
      </c>
      <c r="F984" s="8" t="s">
        <v>42</v>
      </c>
      <c r="G984" s="8" t="b">
        <v>0</v>
      </c>
      <c r="H984" s="8" t="s">
        <v>4230</v>
      </c>
      <c r="I984" s="8">
        <v>1.0</v>
      </c>
      <c r="J984" s="8">
        <v>0.0</v>
      </c>
      <c r="K984" s="8">
        <v>1.0</v>
      </c>
    </row>
    <row r="985" ht="15.75" customHeight="1">
      <c r="A985" s="7" t="s">
        <v>4231</v>
      </c>
      <c r="B985" s="8" t="s">
        <v>4232</v>
      </c>
      <c r="C985" s="7" t="s">
        <v>2227</v>
      </c>
      <c r="D985" s="12" t="s">
        <v>39</v>
      </c>
      <c r="E985" s="13" t="s">
        <v>41</v>
      </c>
      <c r="F985" s="8" t="s">
        <v>42</v>
      </c>
      <c r="G985" s="8" t="b">
        <v>0</v>
      </c>
      <c r="H985" s="8" t="s">
        <v>4233</v>
      </c>
      <c r="I985" s="8">
        <v>1.0</v>
      </c>
      <c r="J985" s="8">
        <v>0.0</v>
      </c>
      <c r="K985" s="8">
        <v>1.0</v>
      </c>
    </row>
    <row r="986" ht="15.75" customHeight="1">
      <c r="A986" s="7" t="s">
        <v>4234</v>
      </c>
      <c r="B986" s="8" t="s">
        <v>4235</v>
      </c>
      <c r="C986" s="7" t="s">
        <v>952</v>
      </c>
      <c r="D986" s="12" t="s">
        <v>39</v>
      </c>
      <c r="E986" s="13" t="s">
        <v>190</v>
      </c>
      <c r="F986" s="8" t="s">
        <v>42</v>
      </c>
      <c r="G986" s="8" t="b">
        <v>0</v>
      </c>
      <c r="H986" s="8" t="s">
        <v>4236</v>
      </c>
      <c r="I986" s="8">
        <v>1.0</v>
      </c>
      <c r="J986" s="8">
        <v>0.0</v>
      </c>
      <c r="K986" s="8">
        <v>0.0</v>
      </c>
    </row>
    <row r="987" ht="15.75" customHeight="1">
      <c r="A987" s="7" t="s">
        <v>4237</v>
      </c>
      <c r="B987" s="8" t="s">
        <v>4238</v>
      </c>
      <c r="C987" s="7" t="s">
        <v>2231</v>
      </c>
      <c r="D987" s="12" t="s">
        <v>39</v>
      </c>
      <c r="E987" s="13" t="s">
        <v>753</v>
      </c>
      <c r="F987" s="8" t="s">
        <v>42</v>
      </c>
      <c r="G987" s="8" t="b">
        <v>0</v>
      </c>
      <c r="H987" s="8" t="s">
        <v>4239</v>
      </c>
      <c r="I987" s="8">
        <v>1.0</v>
      </c>
      <c r="J987" s="8">
        <v>0.0</v>
      </c>
      <c r="K987" s="8">
        <v>1.0</v>
      </c>
    </row>
    <row r="988" ht="15.75" customHeight="1">
      <c r="A988" s="7" t="s">
        <v>4240</v>
      </c>
      <c r="B988" s="8" t="s">
        <v>4241</v>
      </c>
      <c r="C988" s="7" t="s">
        <v>2235</v>
      </c>
      <c r="D988" s="12" t="s">
        <v>554</v>
      </c>
      <c r="E988" s="13" t="s">
        <v>41</v>
      </c>
      <c r="F988" s="8" t="s">
        <v>555</v>
      </c>
      <c r="G988" s="8" t="b">
        <v>0</v>
      </c>
      <c r="I988" s="8">
        <v>1.0</v>
      </c>
      <c r="J988" s="8">
        <v>0.0</v>
      </c>
      <c r="K988" s="8">
        <v>3.0</v>
      </c>
    </row>
    <row r="989" ht="15.75" customHeight="1">
      <c r="A989" s="7" t="s">
        <v>4242</v>
      </c>
      <c r="B989" s="8" t="s">
        <v>4243</v>
      </c>
      <c r="C989" s="7" t="s">
        <v>628</v>
      </c>
      <c r="D989" s="12" t="s">
        <v>39</v>
      </c>
      <c r="E989" s="13" t="s">
        <v>73</v>
      </c>
      <c r="F989" s="8" t="s">
        <v>42</v>
      </c>
      <c r="G989" s="8" t="b">
        <v>0</v>
      </c>
      <c r="H989" s="8" t="s">
        <v>4244</v>
      </c>
      <c r="I989" s="8">
        <v>1.0</v>
      </c>
      <c r="J989" s="8">
        <v>0.0</v>
      </c>
      <c r="K989" s="8">
        <v>0.0</v>
      </c>
    </row>
    <row r="990" ht="15.75" customHeight="1">
      <c r="A990" s="7" t="s">
        <v>4245</v>
      </c>
      <c r="B990" s="8" t="s">
        <v>4246</v>
      </c>
      <c r="C990" s="7" t="s">
        <v>628</v>
      </c>
      <c r="D990" s="12" t="s">
        <v>39</v>
      </c>
      <c r="E990" s="13" t="s">
        <v>73</v>
      </c>
      <c r="F990" s="8" t="s">
        <v>42</v>
      </c>
      <c r="G990" s="8" t="b">
        <v>0</v>
      </c>
      <c r="H990" s="8" t="s">
        <v>4247</v>
      </c>
      <c r="I990" s="8">
        <v>1.0</v>
      </c>
      <c r="J990" s="8">
        <v>0.0</v>
      </c>
      <c r="K990" s="8">
        <v>0.0</v>
      </c>
    </row>
    <row r="991" ht="15.75" customHeight="1">
      <c r="A991" s="7" t="s">
        <v>4248</v>
      </c>
      <c r="B991" s="8" t="s">
        <v>4249</v>
      </c>
      <c r="C991" s="7" t="s">
        <v>628</v>
      </c>
      <c r="D991" s="12" t="s">
        <v>190</v>
      </c>
      <c r="E991" s="13" t="s">
        <v>73</v>
      </c>
      <c r="F991" s="8" t="s">
        <v>191</v>
      </c>
      <c r="G991" s="8" t="b">
        <v>0</v>
      </c>
      <c r="H991" s="8" t="s">
        <v>1779</v>
      </c>
      <c r="I991" s="8">
        <v>1.0</v>
      </c>
      <c r="J991" s="8">
        <v>0.0</v>
      </c>
      <c r="K991" s="8">
        <v>2.0</v>
      </c>
    </row>
    <row r="992" ht="15.75" customHeight="1">
      <c r="A992" s="7" t="s">
        <v>4250</v>
      </c>
      <c r="B992" s="8" t="s">
        <v>4251</v>
      </c>
      <c r="C992" s="7" t="s">
        <v>2239</v>
      </c>
      <c r="D992" s="12" t="s">
        <v>693</v>
      </c>
      <c r="E992" s="13" t="s">
        <v>41</v>
      </c>
      <c r="F992" s="8" t="s">
        <v>695</v>
      </c>
      <c r="G992" s="8" t="b">
        <v>0</v>
      </c>
      <c r="I992" s="8">
        <v>1.0</v>
      </c>
      <c r="J992" s="8">
        <v>0.0</v>
      </c>
      <c r="K992" s="8">
        <v>2.0</v>
      </c>
    </row>
    <row r="993" ht="15.75" customHeight="1">
      <c r="A993" s="7" t="s">
        <v>4252</v>
      </c>
      <c r="B993" s="8" t="s">
        <v>2245</v>
      </c>
      <c r="C993" s="7" t="s">
        <v>2242</v>
      </c>
      <c r="D993" s="12" t="s">
        <v>554</v>
      </c>
      <c r="E993" s="13" t="s">
        <v>22</v>
      </c>
      <c r="F993" s="8" t="s">
        <v>555</v>
      </c>
      <c r="G993" s="8" t="b">
        <v>0</v>
      </c>
      <c r="H993" s="8" t="s">
        <v>2245</v>
      </c>
      <c r="I993" s="8">
        <v>1.0</v>
      </c>
      <c r="J993" s="8">
        <v>0.0</v>
      </c>
      <c r="K993" s="8">
        <v>0.0</v>
      </c>
    </row>
    <row r="994" ht="15.75" customHeight="1">
      <c r="A994" s="7" t="s">
        <v>4253</v>
      </c>
      <c r="B994" s="8" t="s">
        <v>4254</v>
      </c>
      <c r="C994" s="7" t="s">
        <v>66</v>
      </c>
      <c r="D994" s="12" t="s">
        <v>39</v>
      </c>
      <c r="E994" s="13" t="s">
        <v>22</v>
      </c>
      <c r="F994" s="8" t="s">
        <v>42</v>
      </c>
      <c r="G994" s="8" t="b">
        <v>0</v>
      </c>
      <c r="H994" s="8" t="s">
        <v>4255</v>
      </c>
      <c r="I994" s="8">
        <v>1.0</v>
      </c>
      <c r="J994" s="8">
        <v>0.0</v>
      </c>
      <c r="K994" s="8">
        <v>0.0</v>
      </c>
    </row>
    <row r="995" ht="15.75" customHeight="1">
      <c r="A995" s="7" t="s">
        <v>4256</v>
      </c>
      <c r="B995" s="8" t="s">
        <v>4257</v>
      </c>
      <c r="C995" s="7" t="s">
        <v>2246</v>
      </c>
      <c r="D995" s="12" t="s">
        <v>766</v>
      </c>
      <c r="E995" s="13" t="s">
        <v>73</v>
      </c>
      <c r="F995" s="8" t="s">
        <v>767</v>
      </c>
      <c r="G995" s="8" t="b">
        <v>0</v>
      </c>
      <c r="H995" s="8" t="s">
        <v>2248</v>
      </c>
      <c r="I995" s="8">
        <v>1.0</v>
      </c>
      <c r="J995" s="8">
        <v>0.0</v>
      </c>
      <c r="K995" s="8">
        <v>1.0</v>
      </c>
    </row>
    <row r="996" ht="15.75" customHeight="1">
      <c r="A996" s="7" t="s">
        <v>4258</v>
      </c>
      <c r="B996" s="8" t="s">
        <v>4259</v>
      </c>
      <c r="C996" s="7" t="s">
        <v>2250</v>
      </c>
      <c r="D996" s="12" t="s">
        <v>554</v>
      </c>
      <c r="E996" s="13" t="s">
        <v>753</v>
      </c>
      <c r="F996" s="8" t="s">
        <v>555</v>
      </c>
      <c r="G996" s="8" t="b">
        <v>0</v>
      </c>
      <c r="H996" s="8" t="s">
        <v>4260</v>
      </c>
      <c r="I996" s="8">
        <v>1.0</v>
      </c>
      <c r="J996" s="8">
        <v>0.0</v>
      </c>
      <c r="K996" s="8">
        <v>0.0</v>
      </c>
    </row>
    <row r="997" ht="15.75" customHeight="1">
      <c r="A997" s="7" t="s">
        <v>4261</v>
      </c>
      <c r="B997" s="8" t="s">
        <v>4262</v>
      </c>
      <c r="C997" s="7" t="s">
        <v>2253</v>
      </c>
      <c r="D997" s="12" t="s">
        <v>72</v>
      </c>
      <c r="E997" s="13" t="s">
        <v>41</v>
      </c>
      <c r="F997" s="8" t="s">
        <v>74</v>
      </c>
      <c r="G997" s="8" t="b">
        <v>0</v>
      </c>
      <c r="H997" s="8" t="s">
        <v>442</v>
      </c>
      <c r="I997" s="8">
        <v>1.0</v>
      </c>
      <c r="J997" s="8">
        <v>0.0</v>
      </c>
      <c r="K997" s="8">
        <v>1.0</v>
      </c>
    </row>
    <row r="998">
      <c r="A998" s="7" t="s">
        <v>4263</v>
      </c>
      <c r="B998" s="8" t="s">
        <v>4264</v>
      </c>
      <c r="C998" s="7" t="s">
        <v>2257</v>
      </c>
      <c r="D998" s="12" t="s">
        <v>554</v>
      </c>
      <c r="E998" s="13" t="s">
        <v>41</v>
      </c>
      <c r="F998" s="8" t="s">
        <v>555</v>
      </c>
      <c r="G998" s="8" t="b">
        <v>0</v>
      </c>
      <c r="I998" s="8">
        <v>1.0</v>
      </c>
      <c r="J998" s="8">
        <v>0.0</v>
      </c>
      <c r="K998" s="8">
        <v>0.0</v>
      </c>
    </row>
    <row r="999">
      <c r="A999" s="7" t="s">
        <v>4265</v>
      </c>
      <c r="B999" s="8" t="s">
        <v>4266</v>
      </c>
      <c r="C999" s="7" t="s">
        <v>2259</v>
      </c>
      <c r="D999" s="12" t="s">
        <v>39</v>
      </c>
      <c r="E999" s="13" t="s">
        <v>41</v>
      </c>
      <c r="F999" s="8" t="s">
        <v>42</v>
      </c>
      <c r="G999" s="8" t="b">
        <v>0</v>
      </c>
      <c r="H999" s="8" t="s">
        <v>4267</v>
      </c>
      <c r="I999" s="8">
        <v>1.0</v>
      </c>
      <c r="J999" s="8">
        <v>0.0</v>
      </c>
      <c r="K999" s="8">
        <v>1.0</v>
      </c>
    </row>
    <row r="1000">
      <c r="A1000" s="7" t="s">
        <v>4268</v>
      </c>
      <c r="B1000" s="8" t="s">
        <v>4269</v>
      </c>
      <c r="C1000" s="7" t="s">
        <v>2264</v>
      </c>
      <c r="D1000" s="12" t="s">
        <v>554</v>
      </c>
      <c r="E1000" s="13" t="s">
        <v>41</v>
      </c>
      <c r="F1000" s="8" t="s">
        <v>555</v>
      </c>
      <c r="G1000" s="8" t="b">
        <v>0</v>
      </c>
      <c r="I1000" s="8">
        <v>1.0</v>
      </c>
      <c r="J1000" s="8">
        <v>0.0</v>
      </c>
      <c r="K1000" s="8">
        <v>0.0</v>
      </c>
    </row>
    <row r="1001">
      <c r="A1001" s="7" t="s">
        <v>4270</v>
      </c>
      <c r="B1001" s="8" t="s">
        <v>4271</v>
      </c>
      <c r="C1001" s="7" t="s">
        <v>2267</v>
      </c>
      <c r="D1001" s="12" t="s">
        <v>39</v>
      </c>
      <c r="E1001" s="13" t="s">
        <v>41</v>
      </c>
      <c r="F1001" s="8" t="s">
        <v>42</v>
      </c>
      <c r="G1001" s="8" t="b">
        <v>0</v>
      </c>
      <c r="H1001" s="8" t="s">
        <v>4272</v>
      </c>
      <c r="I1001" s="8">
        <v>1.0</v>
      </c>
      <c r="J1001" s="8">
        <v>0.0</v>
      </c>
      <c r="K1001" s="8">
        <v>0.0</v>
      </c>
    </row>
    <row r="1002">
      <c r="A1002" s="7" t="s">
        <v>4273</v>
      </c>
      <c r="B1002" s="8" t="s">
        <v>4274</v>
      </c>
      <c r="C1002" s="7" t="s">
        <v>2272</v>
      </c>
      <c r="D1002" s="12" t="s">
        <v>39</v>
      </c>
      <c r="E1002" s="13" t="s">
        <v>41</v>
      </c>
      <c r="F1002" s="8" t="s">
        <v>42</v>
      </c>
      <c r="G1002" s="8" t="b">
        <v>0</v>
      </c>
      <c r="H1002" s="8" t="s">
        <v>4275</v>
      </c>
      <c r="I1002" s="8">
        <v>1.0</v>
      </c>
      <c r="J1002" s="8">
        <v>0.0</v>
      </c>
      <c r="K1002" s="8">
        <v>0.0</v>
      </c>
    </row>
    <row r="1003">
      <c r="A1003" s="7" t="s">
        <v>4276</v>
      </c>
      <c r="B1003" s="8" t="s">
        <v>4277</v>
      </c>
      <c r="C1003" s="7" t="s">
        <v>2288</v>
      </c>
      <c r="D1003" s="12" t="s">
        <v>39</v>
      </c>
      <c r="E1003" s="13" t="s">
        <v>41</v>
      </c>
      <c r="F1003" s="8" t="s">
        <v>42</v>
      </c>
      <c r="G1003" s="8" t="b">
        <v>0</v>
      </c>
      <c r="H1003" s="8" t="s">
        <v>4278</v>
      </c>
      <c r="I1003" s="8">
        <v>1.0</v>
      </c>
      <c r="J1003" s="8">
        <v>0.0</v>
      </c>
      <c r="K1003" s="8">
        <v>0.0</v>
      </c>
    </row>
    <row r="1004">
      <c r="A1004" s="7" t="s">
        <v>4279</v>
      </c>
      <c r="B1004" s="8" t="s">
        <v>4280</v>
      </c>
      <c r="C1004" s="7" t="s">
        <v>3485</v>
      </c>
      <c r="D1004" s="12" t="s">
        <v>39</v>
      </c>
      <c r="E1004" s="13" t="s">
        <v>41</v>
      </c>
      <c r="F1004" s="8" t="s">
        <v>42</v>
      </c>
      <c r="G1004" s="8" t="b">
        <v>0</v>
      </c>
      <c r="H1004" s="8" t="s">
        <v>4281</v>
      </c>
      <c r="I1004" s="8">
        <v>1.0</v>
      </c>
      <c r="J1004" s="8">
        <v>0.0</v>
      </c>
      <c r="K1004" s="8">
        <v>0.0</v>
      </c>
    </row>
    <row r="1005">
      <c r="A1005" s="7" t="s">
        <v>4282</v>
      </c>
      <c r="B1005" s="8" t="s">
        <v>4283</v>
      </c>
      <c r="C1005" s="7" t="s">
        <v>2275</v>
      </c>
      <c r="D1005" s="12" t="s">
        <v>104</v>
      </c>
      <c r="E1005" s="13" t="s">
        <v>753</v>
      </c>
      <c r="F1005" s="8" t="s">
        <v>106</v>
      </c>
      <c r="G1005" s="8" t="b">
        <v>0</v>
      </c>
      <c r="H1005" s="8" t="s">
        <v>4284</v>
      </c>
      <c r="I1005" s="8">
        <v>1.0</v>
      </c>
      <c r="J1005" s="8">
        <v>0.0</v>
      </c>
      <c r="K1005" s="8">
        <v>1.0</v>
      </c>
    </row>
    <row r="1006">
      <c r="A1006" s="7" t="s">
        <v>4285</v>
      </c>
      <c r="B1006" s="8" t="s">
        <v>4286</v>
      </c>
      <c r="C1006" s="7" t="s">
        <v>2279</v>
      </c>
      <c r="D1006" s="12" t="s">
        <v>560</v>
      </c>
      <c r="E1006" s="13" t="s">
        <v>41</v>
      </c>
      <c r="F1006" s="8" t="s">
        <v>561</v>
      </c>
      <c r="G1006" s="8" t="b">
        <v>0</v>
      </c>
      <c r="I1006" s="8">
        <v>1.0</v>
      </c>
      <c r="J1006" s="8">
        <v>0.0</v>
      </c>
      <c r="K1006" s="8">
        <v>0.0</v>
      </c>
    </row>
    <row r="1007">
      <c r="A1007" s="7" t="s">
        <v>4287</v>
      </c>
      <c r="B1007" s="8" t="s">
        <v>4288</v>
      </c>
      <c r="C1007" s="7" t="s">
        <v>2283</v>
      </c>
      <c r="D1007" s="12" t="s">
        <v>39</v>
      </c>
      <c r="E1007" s="13" t="s">
        <v>41</v>
      </c>
      <c r="F1007" s="8" t="s">
        <v>42</v>
      </c>
      <c r="G1007" s="8" t="b">
        <v>0</v>
      </c>
      <c r="H1007" s="8" t="s">
        <v>4289</v>
      </c>
      <c r="I1007" s="8">
        <v>1.0</v>
      </c>
      <c r="J1007" s="8">
        <v>0.0</v>
      </c>
      <c r="K1007" s="8">
        <v>0.0</v>
      </c>
    </row>
    <row r="1008">
      <c r="A1008" s="7" t="s">
        <v>4290</v>
      </c>
      <c r="B1008" s="8" t="s">
        <v>4291</v>
      </c>
      <c r="C1008" s="7" t="s">
        <v>1345</v>
      </c>
      <c r="D1008" s="12" t="s">
        <v>766</v>
      </c>
      <c r="E1008" s="13" t="s">
        <v>22</v>
      </c>
      <c r="F1008" s="8" t="s">
        <v>767</v>
      </c>
      <c r="G1008" s="8" t="b">
        <v>0</v>
      </c>
      <c r="H1008" s="8" t="s">
        <v>3461</v>
      </c>
      <c r="I1008" s="8">
        <v>1.0</v>
      </c>
      <c r="J1008" s="8">
        <v>0.0</v>
      </c>
      <c r="K1008" s="8">
        <v>1.0</v>
      </c>
    </row>
    <row r="1009">
      <c r="A1009" s="7" t="s">
        <v>4292</v>
      </c>
      <c r="B1009" s="8" t="s">
        <v>4293</v>
      </c>
      <c r="C1009" s="7" t="s">
        <v>1345</v>
      </c>
      <c r="D1009" s="12" t="s">
        <v>766</v>
      </c>
      <c r="E1009" s="13" t="s">
        <v>22</v>
      </c>
      <c r="F1009" s="8" t="s">
        <v>767</v>
      </c>
      <c r="G1009" s="8" t="b">
        <v>0</v>
      </c>
      <c r="H1009" s="8" t="s">
        <v>4294</v>
      </c>
      <c r="I1009" s="8">
        <v>1.0</v>
      </c>
      <c r="J1009" s="8">
        <v>0.0</v>
      </c>
      <c r="K1009" s="8">
        <v>1.0</v>
      </c>
    </row>
    <row r="1010">
      <c r="A1010" s="7" t="s">
        <v>4295</v>
      </c>
      <c r="B1010" s="8" t="s">
        <v>4296</v>
      </c>
      <c r="C1010" s="7" t="s">
        <v>2293</v>
      </c>
      <c r="D1010" s="12" t="s">
        <v>39</v>
      </c>
      <c r="E1010" s="13" t="s">
        <v>41</v>
      </c>
      <c r="F1010" s="8" t="s">
        <v>42</v>
      </c>
      <c r="G1010" s="8" t="b">
        <v>0</v>
      </c>
      <c r="H1010" s="8" t="s">
        <v>4297</v>
      </c>
      <c r="I1010" s="8">
        <v>1.0</v>
      </c>
      <c r="J1010" s="8">
        <v>0.0</v>
      </c>
      <c r="K1010" s="8">
        <v>1.0</v>
      </c>
    </row>
    <row r="1011">
      <c r="A1011" s="7" t="s">
        <v>4298</v>
      </c>
      <c r="B1011" s="8" t="s">
        <v>4299</v>
      </c>
      <c r="C1011" s="7" t="s">
        <v>2023</v>
      </c>
      <c r="D1011" s="12" t="s">
        <v>554</v>
      </c>
      <c r="E1011" s="13" t="s">
        <v>41</v>
      </c>
      <c r="F1011" s="8" t="s">
        <v>555</v>
      </c>
      <c r="G1011" s="8" t="b">
        <v>0</v>
      </c>
      <c r="H1011" s="8" t="s">
        <v>4300</v>
      </c>
      <c r="I1011" s="8">
        <v>1.0</v>
      </c>
      <c r="J1011" s="8">
        <v>0.0</v>
      </c>
      <c r="K1011" s="8">
        <v>2.0</v>
      </c>
    </row>
    <row r="1012">
      <c r="A1012" s="7" t="s">
        <v>4301</v>
      </c>
      <c r="B1012" s="8" t="s">
        <v>4302</v>
      </c>
      <c r="C1012" s="7" t="s">
        <v>2297</v>
      </c>
      <c r="D1012" s="12" t="s">
        <v>39</v>
      </c>
      <c r="E1012" s="13" t="s">
        <v>41</v>
      </c>
      <c r="F1012" s="8" t="s">
        <v>42</v>
      </c>
      <c r="G1012" s="8" t="b">
        <v>0</v>
      </c>
      <c r="H1012" s="8" t="s">
        <v>4303</v>
      </c>
      <c r="I1012" s="8">
        <v>1.0</v>
      </c>
      <c r="J1012" s="8">
        <v>0.0</v>
      </c>
      <c r="K1012" s="8">
        <v>0.0</v>
      </c>
    </row>
    <row r="1013">
      <c r="A1013" s="7" t="s">
        <v>4304</v>
      </c>
      <c r="B1013" s="8" t="s">
        <v>4305</v>
      </c>
      <c r="C1013" s="7" t="s">
        <v>2300</v>
      </c>
      <c r="D1013" s="12" t="s">
        <v>766</v>
      </c>
      <c r="E1013" s="13" t="s">
        <v>41</v>
      </c>
      <c r="F1013" s="8" t="s">
        <v>767</v>
      </c>
      <c r="G1013" s="8" t="b">
        <v>0</v>
      </c>
      <c r="I1013" s="8">
        <v>1.0</v>
      </c>
      <c r="J1013" s="8">
        <v>0.0</v>
      </c>
      <c r="K1013" s="8">
        <v>0.0</v>
      </c>
    </row>
    <row r="1014">
      <c r="A1014" s="7" t="s">
        <v>4306</v>
      </c>
      <c r="B1014" s="8" t="s">
        <v>4307</v>
      </c>
      <c r="C1014" s="7" t="s">
        <v>919</v>
      </c>
      <c r="D1014" s="12" t="s">
        <v>554</v>
      </c>
      <c r="E1014" s="13" t="s">
        <v>41</v>
      </c>
      <c r="F1014" s="8" t="s">
        <v>555</v>
      </c>
      <c r="G1014" s="8" t="b">
        <v>0</v>
      </c>
      <c r="I1014" s="8">
        <v>1.0</v>
      </c>
      <c r="J1014" s="8">
        <v>0.0</v>
      </c>
      <c r="K1014" s="8">
        <v>1.0</v>
      </c>
    </row>
    <row r="1015">
      <c r="A1015" s="7" t="s">
        <v>4308</v>
      </c>
      <c r="B1015" s="8" t="s">
        <v>4309</v>
      </c>
      <c r="C1015" s="7" t="s">
        <v>919</v>
      </c>
      <c r="D1015" s="12" t="s">
        <v>190</v>
      </c>
      <c r="E1015" s="13" t="s">
        <v>41</v>
      </c>
      <c r="F1015" s="8" t="s">
        <v>191</v>
      </c>
      <c r="G1015" s="8" t="b">
        <v>0</v>
      </c>
      <c r="I1015" s="8">
        <v>1.0</v>
      </c>
      <c r="J1015" s="8">
        <v>0.0</v>
      </c>
      <c r="K1015" s="8">
        <v>1.0</v>
      </c>
    </row>
    <row r="1016">
      <c r="A1016" s="7" t="s">
        <v>4310</v>
      </c>
      <c r="B1016" s="8" t="s">
        <v>4311</v>
      </c>
      <c r="C1016" s="7" t="s">
        <v>919</v>
      </c>
      <c r="D1016" s="12" t="s">
        <v>39</v>
      </c>
      <c r="E1016" s="13" t="s">
        <v>41</v>
      </c>
      <c r="F1016" s="8" t="s">
        <v>42</v>
      </c>
      <c r="G1016" s="8" t="b">
        <v>0</v>
      </c>
      <c r="H1016" s="8" t="s">
        <v>3125</v>
      </c>
      <c r="I1016" s="8">
        <v>1.0</v>
      </c>
      <c r="J1016" s="8">
        <v>0.0</v>
      </c>
      <c r="K1016" s="8">
        <v>1.0</v>
      </c>
    </row>
    <row r="1017">
      <c r="A1017" s="7" t="s">
        <v>4312</v>
      </c>
      <c r="B1017" s="8" t="s">
        <v>4313</v>
      </c>
      <c r="C1017" s="7" t="s">
        <v>919</v>
      </c>
      <c r="D1017" s="12" t="s">
        <v>39</v>
      </c>
      <c r="E1017" s="13" t="s">
        <v>41</v>
      </c>
      <c r="F1017" s="8" t="s">
        <v>42</v>
      </c>
      <c r="G1017" s="8" t="b">
        <v>0</v>
      </c>
      <c r="H1017" s="8" t="s">
        <v>4314</v>
      </c>
      <c r="I1017" s="8">
        <v>1.0</v>
      </c>
      <c r="J1017" s="8">
        <v>0.0</v>
      </c>
      <c r="K1017" s="8">
        <v>1.0</v>
      </c>
    </row>
    <row r="1018">
      <c r="A1018" s="7" t="s">
        <v>4315</v>
      </c>
      <c r="B1018" s="8" t="s">
        <v>4316</v>
      </c>
      <c r="C1018" s="7" t="s">
        <v>919</v>
      </c>
      <c r="D1018" s="12" t="s">
        <v>560</v>
      </c>
      <c r="E1018" s="13" t="s">
        <v>41</v>
      </c>
      <c r="F1018" s="8" t="s">
        <v>561</v>
      </c>
      <c r="G1018" s="8" t="b">
        <v>0</v>
      </c>
      <c r="I1018" s="8">
        <v>1.0</v>
      </c>
      <c r="J1018" s="8">
        <v>0.0</v>
      </c>
      <c r="K1018" s="8">
        <v>1.0</v>
      </c>
    </row>
    <row r="1019">
      <c r="A1019" s="7" t="s">
        <v>4317</v>
      </c>
      <c r="B1019" s="8" t="s">
        <v>4318</v>
      </c>
      <c r="C1019" s="7" t="s">
        <v>919</v>
      </c>
      <c r="D1019" s="12" t="s">
        <v>766</v>
      </c>
      <c r="E1019" s="13" t="s">
        <v>41</v>
      </c>
      <c r="F1019" s="8" t="s">
        <v>767</v>
      </c>
      <c r="G1019" s="8" t="b">
        <v>0</v>
      </c>
      <c r="I1019" s="8">
        <v>1.0</v>
      </c>
      <c r="J1019" s="8">
        <v>0.0</v>
      </c>
      <c r="K1019" s="8">
        <v>1.0</v>
      </c>
    </row>
    <row r="1020">
      <c r="A1020" s="7" t="s">
        <v>4319</v>
      </c>
      <c r="B1020" s="8" t="s">
        <v>4320</v>
      </c>
      <c r="C1020" s="7" t="s">
        <v>1257</v>
      </c>
      <c r="D1020" s="12" t="s">
        <v>72</v>
      </c>
      <c r="E1020" s="13" t="s">
        <v>76</v>
      </c>
      <c r="F1020" s="8" t="s">
        <v>74</v>
      </c>
      <c r="G1020" s="8" t="b">
        <v>0</v>
      </c>
      <c r="H1020" s="8" t="s">
        <v>2173</v>
      </c>
      <c r="I1020" s="8">
        <v>1.0</v>
      </c>
      <c r="J1020" s="8">
        <v>0.0</v>
      </c>
      <c r="K1020" s="8">
        <v>2.0</v>
      </c>
    </row>
    <row r="1021">
      <c r="A1021" s="7" t="s">
        <v>4321</v>
      </c>
      <c r="B1021" s="8" t="s">
        <v>4322</v>
      </c>
      <c r="C1021" s="7" t="s">
        <v>2304</v>
      </c>
      <c r="D1021" s="12" t="s">
        <v>39</v>
      </c>
      <c r="E1021" s="13" t="s">
        <v>753</v>
      </c>
      <c r="F1021" s="8" t="s">
        <v>42</v>
      </c>
      <c r="G1021" s="8" t="b">
        <v>0</v>
      </c>
      <c r="H1021" s="8" t="s">
        <v>1241</v>
      </c>
      <c r="I1021" s="8">
        <v>1.0</v>
      </c>
      <c r="J1021" s="8">
        <v>0.0</v>
      </c>
      <c r="K1021" s="8">
        <v>1.0</v>
      </c>
    </row>
    <row r="1022">
      <c r="A1022" s="7" t="s">
        <v>4323</v>
      </c>
      <c r="B1022" s="8" t="s">
        <v>4324</v>
      </c>
      <c r="C1022" s="7" t="s">
        <v>1631</v>
      </c>
      <c r="D1022" s="12" t="s">
        <v>693</v>
      </c>
      <c r="E1022" s="13" t="s">
        <v>41</v>
      </c>
      <c r="F1022" s="8" t="s">
        <v>695</v>
      </c>
      <c r="G1022" s="8" t="b">
        <v>0</v>
      </c>
      <c r="I1022" s="8">
        <v>1.0</v>
      </c>
      <c r="J1022" s="8">
        <v>0.0</v>
      </c>
      <c r="K1022" s="8">
        <v>2.0</v>
      </c>
    </row>
    <row r="1023">
      <c r="A1023" s="7" t="s">
        <v>4325</v>
      </c>
      <c r="B1023" s="8" t="s">
        <v>4326</v>
      </c>
      <c r="C1023" s="7" t="s">
        <v>200</v>
      </c>
      <c r="D1023" s="12" t="s">
        <v>766</v>
      </c>
      <c r="E1023" s="13" t="s">
        <v>190</v>
      </c>
      <c r="F1023" s="8" t="s">
        <v>767</v>
      </c>
      <c r="G1023" s="8" t="b">
        <v>0</v>
      </c>
      <c r="H1023" s="8" t="s">
        <v>2953</v>
      </c>
      <c r="I1023" s="8">
        <v>1.0</v>
      </c>
      <c r="J1023" s="8">
        <v>0.0</v>
      </c>
      <c r="K1023" s="8">
        <v>0.0</v>
      </c>
    </row>
    <row r="1024">
      <c r="A1024" s="7" t="s">
        <v>4327</v>
      </c>
      <c r="B1024" s="8" t="s">
        <v>4328</v>
      </c>
      <c r="C1024" s="7" t="s">
        <v>200</v>
      </c>
      <c r="D1024" s="12" t="s">
        <v>766</v>
      </c>
      <c r="E1024" s="13" t="s">
        <v>190</v>
      </c>
      <c r="F1024" s="8" t="s">
        <v>767</v>
      </c>
      <c r="G1024" s="8" t="b">
        <v>0</v>
      </c>
      <c r="H1024" s="8" t="s">
        <v>992</v>
      </c>
      <c r="I1024" s="8">
        <v>1.0</v>
      </c>
      <c r="J1024" s="8">
        <v>0.0</v>
      </c>
      <c r="K1024" s="8">
        <v>0.0</v>
      </c>
    </row>
    <row r="1025">
      <c r="A1025" s="7" t="s">
        <v>4329</v>
      </c>
      <c r="B1025" s="8" t="s">
        <v>4330</v>
      </c>
      <c r="C1025" s="7" t="s">
        <v>200</v>
      </c>
      <c r="D1025" s="12" t="s">
        <v>693</v>
      </c>
      <c r="E1025" s="13" t="s">
        <v>190</v>
      </c>
      <c r="F1025" s="8" t="s">
        <v>695</v>
      </c>
      <c r="G1025" s="8" t="b">
        <v>0</v>
      </c>
      <c r="I1025" s="8">
        <v>1.0</v>
      </c>
      <c r="J1025" s="8">
        <v>0.0</v>
      </c>
      <c r="K1025" s="8">
        <v>0.0</v>
      </c>
    </row>
    <row r="1026">
      <c r="A1026" s="7" t="s">
        <v>4331</v>
      </c>
      <c r="B1026" s="8" t="s">
        <v>4332</v>
      </c>
      <c r="C1026" s="7" t="s">
        <v>717</v>
      </c>
      <c r="D1026" s="12" t="s">
        <v>693</v>
      </c>
      <c r="E1026" s="13" t="s">
        <v>753</v>
      </c>
      <c r="F1026" s="8" t="s">
        <v>695</v>
      </c>
      <c r="G1026" s="8" t="b">
        <v>0</v>
      </c>
      <c r="H1026" s="8" t="s">
        <v>4333</v>
      </c>
      <c r="I1026" s="8">
        <v>1.0</v>
      </c>
      <c r="J1026" s="8">
        <v>0.0</v>
      </c>
      <c r="K1026" s="8">
        <v>2.0</v>
      </c>
    </row>
    <row r="1027">
      <c r="A1027" s="7" t="s">
        <v>4334</v>
      </c>
      <c r="B1027" s="8" t="s">
        <v>4335</v>
      </c>
      <c r="C1027" s="7" t="s">
        <v>717</v>
      </c>
      <c r="D1027" s="12" t="s">
        <v>693</v>
      </c>
      <c r="E1027" s="13" t="s">
        <v>753</v>
      </c>
      <c r="F1027" s="8" t="s">
        <v>695</v>
      </c>
      <c r="G1027" s="8" t="b">
        <v>0</v>
      </c>
      <c r="H1027" s="8" t="s">
        <v>4336</v>
      </c>
      <c r="I1027" s="8">
        <v>1.0</v>
      </c>
      <c r="J1027" s="8">
        <v>0.0</v>
      </c>
      <c r="K1027" s="8">
        <v>2.0</v>
      </c>
    </row>
    <row r="1028">
      <c r="A1028" s="7" t="s">
        <v>4337</v>
      </c>
      <c r="B1028" s="8" t="s">
        <v>4338</v>
      </c>
      <c r="C1028" s="7" t="s">
        <v>403</v>
      </c>
      <c r="D1028" s="12" t="s">
        <v>72</v>
      </c>
      <c r="E1028" s="13" t="s">
        <v>753</v>
      </c>
      <c r="F1028" s="8" t="s">
        <v>74</v>
      </c>
      <c r="G1028" s="8" t="b">
        <v>0</v>
      </c>
      <c r="H1028" s="8" t="s">
        <v>4339</v>
      </c>
      <c r="I1028" s="8">
        <v>1.0</v>
      </c>
      <c r="J1028" s="8">
        <v>0.0</v>
      </c>
      <c r="K1028" s="8">
        <v>1.0</v>
      </c>
    </row>
    <row r="1029">
      <c r="A1029" s="7" t="s">
        <v>4340</v>
      </c>
      <c r="B1029" s="8" t="s">
        <v>4341</v>
      </c>
      <c r="C1029" s="7" t="s">
        <v>2307</v>
      </c>
      <c r="D1029" s="12" t="s">
        <v>554</v>
      </c>
      <c r="E1029" s="13" t="s">
        <v>41</v>
      </c>
      <c r="F1029" s="8" t="s">
        <v>555</v>
      </c>
      <c r="G1029" s="8" t="b">
        <v>0</v>
      </c>
      <c r="I1029" s="8">
        <v>1.0</v>
      </c>
      <c r="J1029" s="8">
        <v>0.0</v>
      </c>
      <c r="K1029" s="8">
        <v>0.0</v>
      </c>
    </row>
    <row r="1030">
      <c r="A1030" s="7" t="s">
        <v>4342</v>
      </c>
      <c r="B1030" s="8" t="s">
        <v>4343</v>
      </c>
      <c r="C1030" s="7" t="s">
        <v>2170</v>
      </c>
      <c r="D1030" s="12" t="s">
        <v>72</v>
      </c>
      <c r="E1030" s="13" t="s">
        <v>41</v>
      </c>
      <c r="F1030" s="8" t="s">
        <v>74</v>
      </c>
      <c r="G1030" s="8" t="b">
        <v>0</v>
      </c>
      <c r="H1030" s="8" t="s">
        <v>2173</v>
      </c>
      <c r="I1030" s="8">
        <v>1.0</v>
      </c>
      <c r="J1030" s="8">
        <v>0.0</v>
      </c>
      <c r="K1030" s="8">
        <v>1.0</v>
      </c>
    </row>
    <row r="1031">
      <c r="A1031" s="7" t="s">
        <v>4344</v>
      </c>
      <c r="B1031" s="8" t="s">
        <v>4345</v>
      </c>
      <c r="C1031" s="7" t="s">
        <v>2310</v>
      </c>
      <c r="D1031" s="12" t="s">
        <v>190</v>
      </c>
      <c r="E1031" s="13" t="s">
        <v>41</v>
      </c>
      <c r="F1031" s="8" t="s">
        <v>191</v>
      </c>
      <c r="G1031" s="8" t="b">
        <v>0</v>
      </c>
      <c r="I1031" s="8">
        <v>1.0</v>
      </c>
      <c r="J1031" s="8">
        <v>0.0</v>
      </c>
      <c r="K1031" s="8">
        <v>1.0</v>
      </c>
    </row>
    <row r="1032">
      <c r="A1032" s="7" t="s">
        <v>4346</v>
      </c>
      <c r="B1032" s="8" t="s">
        <v>4347</v>
      </c>
      <c r="C1032" s="7" t="s">
        <v>2312</v>
      </c>
      <c r="D1032" s="12" t="s">
        <v>39</v>
      </c>
      <c r="E1032" s="13" t="s">
        <v>41</v>
      </c>
      <c r="F1032" s="8" t="s">
        <v>42</v>
      </c>
      <c r="G1032" s="8" t="b">
        <v>0</v>
      </c>
      <c r="H1032" s="8" t="s">
        <v>4348</v>
      </c>
      <c r="I1032" s="8">
        <v>1.0</v>
      </c>
      <c r="J1032" s="8">
        <v>0.0</v>
      </c>
      <c r="K1032" s="8">
        <v>0.0</v>
      </c>
    </row>
    <row r="1033">
      <c r="A1033" s="7" t="s">
        <v>4349</v>
      </c>
      <c r="B1033" s="8" t="s">
        <v>4350</v>
      </c>
      <c r="C1033" s="7" t="s">
        <v>2316</v>
      </c>
      <c r="D1033" s="12" t="s">
        <v>554</v>
      </c>
      <c r="E1033" s="13" t="s">
        <v>41</v>
      </c>
      <c r="F1033" s="8" t="s">
        <v>555</v>
      </c>
      <c r="G1033" s="8" t="b">
        <v>0</v>
      </c>
      <c r="I1033" s="8">
        <v>1.0</v>
      </c>
      <c r="J1033" s="8">
        <v>0.0</v>
      </c>
      <c r="K1033" s="8">
        <v>0.0</v>
      </c>
    </row>
    <row r="1034">
      <c r="A1034" s="7" t="s">
        <v>4351</v>
      </c>
      <c r="B1034" s="8" t="s">
        <v>4352</v>
      </c>
      <c r="C1034" s="7" t="s">
        <v>2318</v>
      </c>
      <c r="D1034" s="12" t="s">
        <v>39</v>
      </c>
      <c r="E1034" s="13" t="s">
        <v>41</v>
      </c>
      <c r="F1034" s="8" t="s">
        <v>42</v>
      </c>
      <c r="G1034" s="8" t="b">
        <v>0</v>
      </c>
      <c r="H1034" s="8" t="s">
        <v>4353</v>
      </c>
      <c r="I1034" s="8">
        <v>1.0</v>
      </c>
      <c r="J1034" s="8">
        <v>0.0</v>
      </c>
      <c r="K1034" s="8">
        <v>1.0</v>
      </c>
    </row>
    <row r="1035">
      <c r="A1035" s="7" t="s">
        <v>4354</v>
      </c>
      <c r="B1035" s="8" t="s">
        <v>4355</v>
      </c>
      <c r="C1035" s="7" t="s">
        <v>297</v>
      </c>
      <c r="D1035" s="12" t="s">
        <v>39</v>
      </c>
      <c r="E1035" s="13" t="s">
        <v>41</v>
      </c>
      <c r="F1035" s="8" t="s">
        <v>42</v>
      </c>
      <c r="G1035" s="8" t="b">
        <v>0</v>
      </c>
      <c r="H1035" s="8" t="s">
        <v>4356</v>
      </c>
      <c r="I1035" s="8">
        <v>1.0</v>
      </c>
      <c r="J1035" s="8">
        <v>0.0</v>
      </c>
      <c r="K1035" s="8">
        <v>1.0</v>
      </c>
    </row>
    <row r="1036">
      <c r="A1036" s="7" t="s">
        <v>4357</v>
      </c>
      <c r="B1036" s="8" t="s">
        <v>4358</v>
      </c>
      <c r="C1036" s="7" t="s">
        <v>297</v>
      </c>
      <c r="D1036" s="12" t="s">
        <v>39</v>
      </c>
      <c r="E1036" s="13" t="s">
        <v>41</v>
      </c>
      <c r="F1036" s="8" t="s">
        <v>42</v>
      </c>
      <c r="G1036" s="8" t="b">
        <v>0</v>
      </c>
      <c r="H1036" s="8" t="s">
        <v>4359</v>
      </c>
      <c r="I1036" s="8">
        <v>1.0</v>
      </c>
      <c r="J1036" s="8">
        <v>0.0</v>
      </c>
      <c r="K1036" s="8">
        <v>1.0</v>
      </c>
    </row>
    <row r="1037">
      <c r="A1037" s="7" t="s">
        <v>4360</v>
      </c>
      <c r="B1037" s="8" t="s">
        <v>4361</v>
      </c>
      <c r="C1037" s="7" t="s">
        <v>757</v>
      </c>
      <c r="D1037" s="12" t="s">
        <v>693</v>
      </c>
      <c r="E1037" s="13" t="s">
        <v>753</v>
      </c>
      <c r="F1037" s="8" t="s">
        <v>695</v>
      </c>
      <c r="G1037" s="8" t="b">
        <v>0</v>
      </c>
      <c r="H1037" s="8" t="s">
        <v>4362</v>
      </c>
      <c r="I1037" s="8">
        <v>1.0</v>
      </c>
      <c r="J1037" s="8">
        <v>0.0</v>
      </c>
      <c r="K1037" s="8">
        <v>3.0</v>
      </c>
    </row>
    <row r="1038">
      <c r="A1038" s="7" t="s">
        <v>4363</v>
      </c>
      <c r="B1038" s="8" t="s">
        <v>4364</v>
      </c>
      <c r="C1038" s="7" t="s">
        <v>757</v>
      </c>
      <c r="D1038" s="12" t="s">
        <v>39</v>
      </c>
      <c r="E1038" s="13" t="s">
        <v>753</v>
      </c>
      <c r="F1038" s="8" t="s">
        <v>42</v>
      </c>
      <c r="G1038" s="8" t="b">
        <v>0</v>
      </c>
      <c r="H1038" s="8" t="s">
        <v>4365</v>
      </c>
      <c r="I1038" s="8">
        <v>1.0</v>
      </c>
      <c r="J1038" s="8">
        <v>0.0</v>
      </c>
      <c r="K1038" s="8">
        <v>0.0</v>
      </c>
    </row>
    <row r="1039">
      <c r="A1039" s="7" t="s">
        <v>4366</v>
      </c>
      <c r="B1039" s="8" t="s">
        <v>4367</v>
      </c>
      <c r="C1039" s="7" t="s">
        <v>2323</v>
      </c>
      <c r="D1039" s="12" t="s">
        <v>693</v>
      </c>
      <c r="E1039" s="13" t="s">
        <v>41</v>
      </c>
      <c r="F1039" s="8" t="s">
        <v>695</v>
      </c>
      <c r="G1039" s="8" t="b">
        <v>0</v>
      </c>
      <c r="I1039" s="8">
        <v>1.0</v>
      </c>
      <c r="J1039" s="8">
        <v>0.0</v>
      </c>
      <c r="K1039" s="8">
        <v>1.0</v>
      </c>
    </row>
    <row r="1040">
      <c r="A1040" s="7" t="s">
        <v>4368</v>
      </c>
      <c r="B1040" s="8" t="s">
        <v>4369</v>
      </c>
      <c r="C1040" s="7" t="s">
        <v>2327</v>
      </c>
      <c r="D1040" s="12" t="s">
        <v>21</v>
      </c>
      <c r="E1040" s="13" t="s">
        <v>76</v>
      </c>
      <c r="F1040" s="8" t="s">
        <v>24</v>
      </c>
      <c r="G1040" s="8" t="b">
        <v>0</v>
      </c>
      <c r="I1040" s="8">
        <v>1.0</v>
      </c>
      <c r="J1040" s="8">
        <v>0.0</v>
      </c>
      <c r="K1040" s="8">
        <v>1.0</v>
      </c>
    </row>
    <row r="1041">
      <c r="A1041" s="7" t="s">
        <v>4370</v>
      </c>
      <c r="C1041" s="7" t="s">
        <v>2325</v>
      </c>
      <c r="D1041" s="12" t="s">
        <v>190</v>
      </c>
      <c r="E1041" s="13" t="s">
        <v>76</v>
      </c>
      <c r="F1041" s="8" t="s">
        <v>191</v>
      </c>
      <c r="H1041" s="8" t="s">
        <v>1246</v>
      </c>
      <c r="I1041" s="8">
        <v>1.0</v>
      </c>
      <c r="J1041" s="8">
        <v>0.0</v>
      </c>
      <c r="K1041" s="8">
        <v>1.0</v>
      </c>
    </row>
    <row r="1042">
      <c r="A1042" s="7" t="s">
        <v>4371</v>
      </c>
      <c r="B1042" s="8" t="s">
        <v>4372</v>
      </c>
      <c r="C1042" s="7" t="s">
        <v>2329</v>
      </c>
      <c r="D1042" s="12" t="s">
        <v>39</v>
      </c>
      <c r="E1042" s="13" t="s">
        <v>41</v>
      </c>
      <c r="F1042" s="8" t="s">
        <v>42</v>
      </c>
      <c r="G1042" s="8" t="b">
        <v>0</v>
      </c>
      <c r="H1042" s="8" t="s">
        <v>4373</v>
      </c>
      <c r="I1042" s="8">
        <v>1.0</v>
      </c>
      <c r="J1042" s="8">
        <v>0.0</v>
      </c>
      <c r="K1042" s="8">
        <v>0.0</v>
      </c>
    </row>
    <row r="1043">
      <c r="A1043" s="7" t="s">
        <v>4374</v>
      </c>
      <c r="B1043" s="8" t="s">
        <v>4375</v>
      </c>
      <c r="C1043" s="7" t="s">
        <v>2332</v>
      </c>
      <c r="D1043" s="12" t="s">
        <v>190</v>
      </c>
      <c r="E1043" s="13" t="s">
        <v>41</v>
      </c>
      <c r="F1043" s="8" t="s">
        <v>191</v>
      </c>
      <c r="G1043" s="8" t="b">
        <v>0</v>
      </c>
      <c r="I1043" s="8">
        <v>1.0</v>
      </c>
      <c r="J1043" s="8">
        <v>0.0</v>
      </c>
      <c r="K1043" s="8">
        <v>1.0</v>
      </c>
    </row>
    <row r="1044">
      <c r="A1044" s="7" t="s">
        <v>4376</v>
      </c>
      <c r="B1044" s="8" t="s">
        <v>4377</v>
      </c>
      <c r="C1044" s="7" t="s">
        <v>2336</v>
      </c>
      <c r="D1044" s="12" t="s">
        <v>554</v>
      </c>
      <c r="E1044" s="13" t="s">
        <v>41</v>
      </c>
      <c r="F1044" s="8" t="s">
        <v>555</v>
      </c>
      <c r="G1044" s="8" t="b">
        <v>0</v>
      </c>
      <c r="I1044" s="8">
        <v>1.0</v>
      </c>
      <c r="J1044" s="8">
        <v>0.0</v>
      </c>
      <c r="K1044" s="8">
        <v>0.0</v>
      </c>
    </row>
    <row r="1045">
      <c r="A1045" s="7" t="s">
        <v>4378</v>
      </c>
      <c r="B1045" s="8" t="s">
        <v>4379</v>
      </c>
      <c r="C1045" s="7" t="s">
        <v>2340</v>
      </c>
      <c r="D1045" s="12" t="s">
        <v>766</v>
      </c>
      <c r="E1045" s="13" t="s">
        <v>41</v>
      </c>
      <c r="F1045" s="8" t="s">
        <v>767</v>
      </c>
      <c r="G1045" s="8" t="b">
        <v>0</v>
      </c>
      <c r="I1045" s="8">
        <v>1.0</v>
      </c>
      <c r="J1045" s="8">
        <v>0.0</v>
      </c>
      <c r="K1045" s="8">
        <v>0.0</v>
      </c>
    </row>
    <row r="1046">
      <c r="A1046" s="7" t="s">
        <v>4380</v>
      </c>
      <c r="B1046" s="8" t="s">
        <v>4381</v>
      </c>
      <c r="C1046" s="7" t="s">
        <v>855</v>
      </c>
      <c r="D1046" s="12" t="s">
        <v>554</v>
      </c>
      <c r="E1046" s="13" t="s">
        <v>41</v>
      </c>
      <c r="F1046" s="8" t="s">
        <v>555</v>
      </c>
      <c r="G1046" s="8" t="b">
        <v>0</v>
      </c>
      <c r="I1046" s="8">
        <v>1.0</v>
      </c>
      <c r="J1046" s="8">
        <v>0.0</v>
      </c>
      <c r="K1046" s="8">
        <v>1.0</v>
      </c>
    </row>
    <row r="1047">
      <c r="A1047" s="7" t="s">
        <v>4382</v>
      </c>
      <c r="B1047" s="8" t="s">
        <v>4383</v>
      </c>
      <c r="C1047" s="7" t="s">
        <v>855</v>
      </c>
      <c r="D1047" s="12" t="s">
        <v>190</v>
      </c>
      <c r="E1047" s="13" t="s">
        <v>41</v>
      </c>
      <c r="F1047" s="8" t="s">
        <v>191</v>
      </c>
      <c r="G1047" s="8" t="b">
        <v>0</v>
      </c>
      <c r="I1047" s="8">
        <v>1.0</v>
      </c>
      <c r="J1047" s="8">
        <v>0.0</v>
      </c>
      <c r="K1047" s="8">
        <v>1.0</v>
      </c>
    </row>
    <row r="1048">
      <c r="A1048" s="7" t="s">
        <v>4384</v>
      </c>
      <c r="B1048" s="8" t="s">
        <v>4385</v>
      </c>
      <c r="C1048" s="7" t="s">
        <v>2348</v>
      </c>
      <c r="D1048" s="12" t="s">
        <v>766</v>
      </c>
      <c r="E1048" s="13" t="s">
        <v>41</v>
      </c>
      <c r="F1048" s="8" t="s">
        <v>767</v>
      </c>
      <c r="G1048" s="8" t="b">
        <v>0</v>
      </c>
      <c r="H1048" s="8" t="s">
        <v>4386</v>
      </c>
      <c r="I1048" s="8">
        <v>1.0</v>
      </c>
      <c r="J1048" s="8">
        <v>0.0</v>
      </c>
      <c r="K1048" s="8">
        <v>1.0</v>
      </c>
    </row>
    <row r="1049">
      <c r="A1049" s="7" t="s">
        <v>4387</v>
      </c>
      <c r="B1049" s="8" t="s">
        <v>4388</v>
      </c>
      <c r="C1049" s="7" t="s">
        <v>2352</v>
      </c>
      <c r="D1049" s="12" t="s">
        <v>766</v>
      </c>
      <c r="E1049" s="13" t="s">
        <v>41</v>
      </c>
      <c r="F1049" s="8" t="s">
        <v>767</v>
      </c>
      <c r="G1049" s="8" t="b">
        <v>0</v>
      </c>
      <c r="H1049" s="8" t="s">
        <v>186</v>
      </c>
      <c r="I1049" s="8">
        <v>1.0</v>
      </c>
      <c r="J1049" s="8">
        <v>0.0</v>
      </c>
      <c r="K1049" s="8">
        <v>0.0</v>
      </c>
    </row>
    <row r="1050">
      <c r="A1050" s="7" t="s">
        <v>4389</v>
      </c>
      <c r="B1050" s="8" t="s">
        <v>4390</v>
      </c>
      <c r="C1050" s="7" t="s">
        <v>2355</v>
      </c>
      <c r="D1050" s="12" t="s">
        <v>693</v>
      </c>
      <c r="E1050" s="13" t="s">
        <v>694</v>
      </c>
      <c r="F1050" s="8" t="s">
        <v>695</v>
      </c>
      <c r="G1050" s="8" t="b">
        <v>0</v>
      </c>
      <c r="I1050" s="8">
        <v>1.0</v>
      </c>
      <c r="J1050" s="8">
        <v>0.0</v>
      </c>
      <c r="K1050" s="8">
        <v>0.0</v>
      </c>
    </row>
    <row r="1051">
      <c r="A1051" s="7" t="s">
        <v>4391</v>
      </c>
      <c r="B1051" s="8" t="s">
        <v>4392</v>
      </c>
      <c r="C1051" s="7" t="s">
        <v>2752</v>
      </c>
      <c r="D1051" s="12" t="s">
        <v>39</v>
      </c>
      <c r="E1051" s="13" t="s">
        <v>753</v>
      </c>
      <c r="F1051" s="8" t="s">
        <v>42</v>
      </c>
      <c r="G1051" s="8" t="b">
        <v>0</v>
      </c>
      <c r="H1051" s="8" t="s">
        <v>4393</v>
      </c>
      <c r="I1051" s="8">
        <v>1.0</v>
      </c>
      <c r="J1051" s="8">
        <v>0.0</v>
      </c>
      <c r="K1051" s="8">
        <v>1.0</v>
      </c>
    </row>
    <row r="1052">
      <c r="A1052" s="7" t="s">
        <v>4394</v>
      </c>
      <c r="B1052" s="8" t="s">
        <v>4395</v>
      </c>
      <c r="C1052" s="7" t="s">
        <v>2358</v>
      </c>
      <c r="D1052" s="12" t="s">
        <v>190</v>
      </c>
      <c r="E1052" s="13" t="s">
        <v>753</v>
      </c>
      <c r="F1052" s="8" t="s">
        <v>191</v>
      </c>
      <c r="G1052" s="8" t="b">
        <v>0</v>
      </c>
      <c r="H1052" s="8" t="s">
        <v>4396</v>
      </c>
      <c r="I1052" s="8">
        <v>1.0</v>
      </c>
      <c r="J1052" s="8">
        <v>0.0</v>
      </c>
      <c r="K1052" s="8">
        <v>1.0</v>
      </c>
    </row>
    <row r="1053">
      <c r="A1053" s="7" t="s">
        <v>4397</v>
      </c>
      <c r="B1053" s="8" t="s">
        <v>4398</v>
      </c>
      <c r="C1053" s="7" t="s">
        <v>1069</v>
      </c>
      <c r="D1053" s="12" t="s">
        <v>766</v>
      </c>
      <c r="E1053" s="13" t="s">
        <v>22</v>
      </c>
      <c r="F1053" s="8" t="s">
        <v>767</v>
      </c>
      <c r="G1053" s="8" t="b">
        <v>0</v>
      </c>
      <c r="H1053" s="8" t="s">
        <v>1071</v>
      </c>
      <c r="I1053" s="8">
        <v>1.0</v>
      </c>
      <c r="J1053" s="8">
        <v>0.0</v>
      </c>
      <c r="K1053" s="8">
        <v>0.0</v>
      </c>
    </row>
    <row r="1054">
      <c r="A1054" s="7" t="s">
        <v>4399</v>
      </c>
      <c r="B1054" s="8" t="s">
        <v>4400</v>
      </c>
      <c r="C1054" s="7" t="s">
        <v>2363</v>
      </c>
      <c r="D1054" s="12" t="s">
        <v>39</v>
      </c>
      <c r="E1054" s="13" t="s">
        <v>41</v>
      </c>
      <c r="F1054" s="8" t="s">
        <v>42</v>
      </c>
      <c r="G1054" s="8" t="b">
        <v>0</v>
      </c>
      <c r="H1054" s="8" t="s">
        <v>186</v>
      </c>
      <c r="I1054" s="8">
        <v>1.0</v>
      </c>
      <c r="J1054" s="8">
        <v>0.0</v>
      </c>
      <c r="K1054" s="8">
        <v>0.0</v>
      </c>
    </row>
    <row r="1055">
      <c r="A1055" s="7" t="s">
        <v>4401</v>
      </c>
      <c r="B1055" s="8" t="s">
        <v>4402</v>
      </c>
      <c r="C1055" s="7" t="s">
        <v>2365</v>
      </c>
      <c r="D1055" s="12" t="s">
        <v>39</v>
      </c>
      <c r="E1055" s="13" t="s">
        <v>41</v>
      </c>
      <c r="F1055" s="8" t="s">
        <v>42</v>
      </c>
      <c r="G1055" s="8" t="b">
        <v>0</v>
      </c>
      <c r="H1055" s="8" t="s">
        <v>4403</v>
      </c>
      <c r="I1055" s="8">
        <v>1.0</v>
      </c>
      <c r="J1055" s="8">
        <v>0.0</v>
      </c>
      <c r="K1055" s="8">
        <v>2.0</v>
      </c>
    </row>
    <row r="1056">
      <c r="A1056" s="7" t="s">
        <v>4404</v>
      </c>
      <c r="B1056" s="8" t="s">
        <v>4405</v>
      </c>
      <c r="C1056" s="7" t="s">
        <v>2369</v>
      </c>
      <c r="D1056" s="12" t="s">
        <v>39</v>
      </c>
      <c r="E1056" s="13" t="s">
        <v>41</v>
      </c>
      <c r="F1056" s="8" t="s">
        <v>42</v>
      </c>
      <c r="G1056" s="8" t="b">
        <v>0</v>
      </c>
      <c r="H1056" s="8" t="s">
        <v>186</v>
      </c>
      <c r="I1056" s="8">
        <v>1.0</v>
      </c>
      <c r="J1056" s="8">
        <v>0.0</v>
      </c>
      <c r="K1056" s="8">
        <v>0.0</v>
      </c>
    </row>
    <row r="1057">
      <c r="A1057" s="7" t="s">
        <v>4406</v>
      </c>
      <c r="C1057" s="8" t="s">
        <v>2373</v>
      </c>
      <c r="D1057" s="12" t="s">
        <v>190</v>
      </c>
      <c r="E1057" s="13" t="s">
        <v>41</v>
      </c>
      <c r="F1057" s="8" t="s">
        <v>191</v>
      </c>
      <c r="H1057" s="8" t="s">
        <v>1246</v>
      </c>
      <c r="I1057" s="8">
        <v>1.0</v>
      </c>
      <c r="J1057" s="8">
        <v>0.0</v>
      </c>
      <c r="K1057" s="8">
        <v>0.0</v>
      </c>
    </row>
    <row r="1058">
      <c r="A1058" s="7" t="s">
        <v>4407</v>
      </c>
      <c r="B1058" s="8" t="s">
        <v>4408</v>
      </c>
      <c r="C1058" s="8" t="s">
        <v>2374</v>
      </c>
      <c r="D1058" s="12" t="s">
        <v>39</v>
      </c>
      <c r="E1058" s="13" t="s">
        <v>41</v>
      </c>
      <c r="F1058" s="8" t="s">
        <v>42</v>
      </c>
      <c r="G1058" s="8" t="b">
        <v>0</v>
      </c>
      <c r="H1058" s="8" t="s">
        <v>4409</v>
      </c>
      <c r="I1058" s="8">
        <v>1.0</v>
      </c>
      <c r="J1058" s="8">
        <v>0.0</v>
      </c>
      <c r="K1058" s="8">
        <v>0.0</v>
      </c>
    </row>
    <row r="1059">
      <c r="A1059" s="7" t="s">
        <v>4410</v>
      </c>
      <c r="B1059" s="8" t="s">
        <v>4411</v>
      </c>
      <c r="C1059" s="7" t="s">
        <v>2377</v>
      </c>
      <c r="D1059" s="12" t="s">
        <v>554</v>
      </c>
      <c r="E1059" s="13" t="s">
        <v>41</v>
      </c>
      <c r="F1059" s="8" t="s">
        <v>555</v>
      </c>
      <c r="G1059" s="8" t="b">
        <v>0</v>
      </c>
      <c r="H1059" s="8" t="s">
        <v>498</v>
      </c>
      <c r="I1059" s="8">
        <v>1.0</v>
      </c>
      <c r="J1059" s="8">
        <v>0.0</v>
      </c>
      <c r="K1059" s="8">
        <v>0.0</v>
      </c>
    </row>
    <row r="1060">
      <c r="A1060" s="7" t="s">
        <v>4412</v>
      </c>
      <c r="B1060" s="8" t="s">
        <v>4413</v>
      </c>
      <c r="C1060" s="7" t="s">
        <v>2381</v>
      </c>
      <c r="D1060" s="12" t="s">
        <v>39</v>
      </c>
      <c r="E1060" s="13" t="s">
        <v>41</v>
      </c>
      <c r="F1060" s="8" t="s">
        <v>42</v>
      </c>
      <c r="G1060" s="8" t="b">
        <v>0</v>
      </c>
      <c r="H1060" s="8" t="s">
        <v>4414</v>
      </c>
      <c r="I1060" s="8">
        <v>1.0</v>
      </c>
      <c r="J1060" s="8">
        <v>0.0</v>
      </c>
      <c r="K1060" s="8">
        <v>1.0</v>
      </c>
    </row>
    <row r="1061">
      <c r="A1061" s="7" t="s">
        <v>4415</v>
      </c>
      <c r="B1061" s="8" t="s">
        <v>4416</v>
      </c>
      <c r="C1061" s="7" t="s">
        <v>290</v>
      </c>
      <c r="D1061" s="12" t="s">
        <v>39</v>
      </c>
      <c r="E1061" s="13" t="s">
        <v>41</v>
      </c>
      <c r="F1061" s="8" t="s">
        <v>42</v>
      </c>
      <c r="G1061" s="8" t="b">
        <v>0</v>
      </c>
      <c r="H1061" s="8" t="s">
        <v>4417</v>
      </c>
      <c r="I1061" s="8">
        <v>1.0</v>
      </c>
      <c r="J1061" s="8">
        <v>0.0</v>
      </c>
      <c r="K1061" s="8">
        <v>0.0</v>
      </c>
    </row>
    <row r="1062">
      <c r="A1062" s="7" t="s">
        <v>4418</v>
      </c>
      <c r="B1062" s="8" t="s">
        <v>4419</v>
      </c>
      <c r="C1062" s="7" t="s">
        <v>290</v>
      </c>
      <c r="D1062" s="12" t="s">
        <v>39</v>
      </c>
      <c r="E1062" s="13" t="s">
        <v>41</v>
      </c>
      <c r="F1062" s="8" t="s">
        <v>42</v>
      </c>
      <c r="G1062" s="8" t="b">
        <v>0</v>
      </c>
      <c r="H1062" s="8" t="s">
        <v>724</v>
      </c>
      <c r="I1062" s="8">
        <v>1.0</v>
      </c>
      <c r="J1062" s="8">
        <v>0.0</v>
      </c>
      <c r="K1062" s="8">
        <v>0.0</v>
      </c>
    </row>
    <row r="1063">
      <c r="A1063" s="7" t="s">
        <v>4420</v>
      </c>
      <c r="B1063" s="8" t="s">
        <v>4421</v>
      </c>
      <c r="C1063" s="7" t="s">
        <v>290</v>
      </c>
      <c r="D1063" s="12" t="s">
        <v>560</v>
      </c>
      <c r="E1063" s="13" t="s">
        <v>41</v>
      </c>
      <c r="F1063" s="8" t="s">
        <v>561</v>
      </c>
      <c r="G1063" s="8" t="b">
        <v>0</v>
      </c>
      <c r="I1063" s="8">
        <v>1.0</v>
      </c>
      <c r="J1063" s="8">
        <v>0.0</v>
      </c>
      <c r="K1063" s="8">
        <v>0.0</v>
      </c>
    </row>
    <row r="1064">
      <c r="A1064" s="7" t="s">
        <v>4422</v>
      </c>
      <c r="B1064" s="8" t="s">
        <v>4423</v>
      </c>
      <c r="C1064" s="7" t="s">
        <v>290</v>
      </c>
      <c r="D1064" s="12" t="s">
        <v>39</v>
      </c>
      <c r="E1064" s="13" t="s">
        <v>41</v>
      </c>
      <c r="F1064" s="8" t="s">
        <v>42</v>
      </c>
      <c r="G1064" s="8" t="b">
        <v>0</v>
      </c>
      <c r="I1064" s="8">
        <v>1.0</v>
      </c>
      <c r="J1064" s="8">
        <v>0.0</v>
      </c>
      <c r="K1064" s="8">
        <v>0.0</v>
      </c>
    </row>
    <row r="1065">
      <c r="A1065" s="7" t="s">
        <v>4424</v>
      </c>
      <c r="B1065" s="8" t="s">
        <v>4425</v>
      </c>
      <c r="C1065" s="7" t="s">
        <v>290</v>
      </c>
      <c r="D1065" s="12" t="s">
        <v>39</v>
      </c>
      <c r="E1065" s="13" t="s">
        <v>41</v>
      </c>
      <c r="F1065" s="8" t="s">
        <v>42</v>
      </c>
      <c r="G1065" s="8" t="b">
        <v>0</v>
      </c>
      <c r="I1065" s="8">
        <v>1.0</v>
      </c>
      <c r="J1065" s="8">
        <v>0.0</v>
      </c>
      <c r="K1065" s="8">
        <v>0.0</v>
      </c>
    </row>
    <row r="1066">
      <c r="A1066" s="7" t="s">
        <v>4426</v>
      </c>
      <c r="B1066" s="8" t="s">
        <v>4427</v>
      </c>
      <c r="C1066" s="7" t="s">
        <v>290</v>
      </c>
      <c r="D1066" s="12" t="s">
        <v>39</v>
      </c>
      <c r="E1066" s="13" t="s">
        <v>41</v>
      </c>
      <c r="F1066" s="8" t="s">
        <v>42</v>
      </c>
      <c r="G1066" s="8" t="b">
        <v>0</v>
      </c>
      <c r="H1066" s="8" t="s">
        <v>498</v>
      </c>
      <c r="I1066" s="8">
        <v>1.0</v>
      </c>
      <c r="J1066" s="8">
        <v>0.0</v>
      </c>
      <c r="K1066" s="8">
        <v>0.0</v>
      </c>
    </row>
    <row r="1067">
      <c r="A1067" s="7" t="s">
        <v>4428</v>
      </c>
      <c r="B1067" s="8" t="s">
        <v>4429</v>
      </c>
      <c r="C1067" s="7" t="s">
        <v>290</v>
      </c>
      <c r="D1067" s="12" t="s">
        <v>39</v>
      </c>
      <c r="E1067" s="13" t="s">
        <v>41</v>
      </c>
      <c r="F1067" s="8" t="s">
        <v>42</v>
      </c>
      <c r="G1067" s="8" t="b">
        <v>0</v>
      </c>
      <c r="H1067" s="8" t="s">
        <v>4430</v>
      </c>
      <c r="I1067" s="8">
        <v>1.0</v>
      </c>
      <c r="J1067" s="8">
        <v>0.0</v>
      </c>
      <c r="K1067" s="8">
        <v>2.0</v>
      </c>
    </row>
    <row r="1068">
      <c r="A1068" s="7" t="s">
        <v>4431</v>
      </c>
      <c r="B1068" s="8" t="s">
        <v>4432</v>
      </c>
      <c r="C1068" s="7" t="s">
        <v>290</v>
      </c>
      <c r="D1068" s="12" t="s">
        <v>39</v>
      </c>
      <c r="E1068" s="13" t="s">
        <v>41</v>
      </c>
      <c r="F1068" s="8" t="s">
        <v>42</v>
      </c>
      <c r="G1068" s="8" t="b">
        <v>0</v>
      </c>
      <c r="H1068" s="8" t="s">
        <v>4433</v>
      </c>
      <c r="I1068" s="8">
        <v>1.0</v>
      </c>
      <c r="J1068" s="8">
        <v>0.0</v>
      </c>
      <c r="K1068" s="8">
        <v>0.0</v>
      </c>
    </row>
    <row r="1069">
      <c r="A1069" s="7" t="s">
        <v>4434</v>
      </c>
      <c r="B1069" s="8" t="s">
        <v>4435</v>
      </c>
      <c r="C1069" s="7" t="s">
        <v>2386</v>
      </c>
      <c r="D1069" s="12" t="s">
        <v>39</v>
      </c>
      <c r="E1069" s="13" t="s">
        <v>41</v>
      </c>
      <c r="F1069" s="8" t="s">
        <v>42</v>
      </c>
      <c r="G1069" s="8" t="b">
        <v>0</v>
      </c>
      <c r="H1069" s="8" t="s">
        <v>2389</v>
      </c>
      <c r="I1069" s="8">
        <v>1.0</v>
      </c>
      <c r="J1069" s="8">
        <v>0.0</v>
      </c>
      <c r="K1069" s="8">
        <v>0.0</v>
      </c>
    </row>
    <row r="1070">
      <c r="A1070" s="7" t="s">
        <v>4436</v>
      </c>
      <c r="B1070" s="8" t="s">
        <v>4437</v>
      </c>
      <c r="C1070" s="7" t="s">
        <v>2390</v>
      </c>
      <c r="D1070" s="12" t="s">
        <v>39</v>
      </c>
      <c r="E1070" s="13" t="s">
        <v>41</v>
      </c>
      <c r="F1070" s="8" t="s">
        <v>42</v>
      </c>
      <c r="G1070" s="8" t="b">
        <v>0</v>
      </c>
      <c r="I1070" s="8">
        <v>1.0</v>
      </c>
      <c r="J1070" s="8">
        <v>0.0</v>
      </c>
      <c r="K1070" s="8">
        <v>1.0</v>
      </c>
    </row>
    <row r="1071">
      <c r="A1071" s="7" t="s">
        <v>4438</v>
      </c>
      <c r="B1071" s="8" t="s">
        <v>4439</v>
      </c>
      <c r="C1071" s="7" t="s">
        <v>200</v>
      </c>
      <c r="D1071" s="12" t="s">
        <v>190</v>
      </c>
      <c r="E1071" s="13" t="s">
        <v>190</v>
      </c>
      <c r="F1071" s="8" t="s">
        <v>191</v>
      </c>
      <c r="G1071" s="8" t="b">
        <v>0</v>
      </c>
      <c r="H1071" s="8" t="s">
        <v>4440</v>
      </c>
      <c r="I1071" s="8">
        <v>1.0</v>
      </c>
      <c r="J1071" s="8">
        <v>0.0</v>
      </c>
      <c r="K1071" s="8">
        <v>1.0</v>
      </c>
    </row>
    <row r="1072">
      <c r="A1072" s="7" t="s">
        <v>4441</v>
      </c>
      <c r="B1072" s="8" t="s">
        <v>4442</v>
      </c>
      <c r="C1072" s="7" t="s">
        <v>200</v>
      </c>
      <c r="D1072" s="12" t="s">
        <v>21</v>
      </c>
      <c r="E1072" s="13" t="s">
        <v>190</v>
      </c>
      <c r="F1072" s="8" t="s">
        <v>24</v>
      </c>
      <c r="G1072" s="8" t="b">
        <v>0</v>
      </c>
      <c r="H1072" s="8" t="s">
        <v>3069</v>
      </c>
      <c r="I1072" s="8">
        <v>1.0</v>
      </c>
      <c r="J1072" s="8">
        <v>0.0</v>
      </c>
      <c r="K1072" s="8">
        <v>0.0</v>
      </c>
    </row>
    <row r="1073">
      <c r="A1073" s="7" t="s">
        <v>4443</v>
      </c>
      <c r="B1073" s="8" t="s">
        <v>4444</v>
      </c>
      <c r="C1073" s="7" t="s">
        <v>2392</v>
      </c>
      <c r="D1073" s="12" t="s">
        <v>39</v>
      </c>
      <c r="E1073" s="13" t="s">
        <v>73</v>
      </c>
      <c r="F1073" s="8" t="s">
        <v>42</v>
      </c>
      <c r="G1073" s="8" t="b">
        <v>0</v>
      </c>
      <c r="H1073" s="8" t="s">
        <v>4445</v>
      </c>
      <c r="I1073" s="8">
        <v>1.0</v>
      </c>
      <c r="J1073" s="8">
        <v>0.0</v>
      </c>
      <c r="K1073" s="8">
        <v>1.0</v>
      </c>
    </row>
    <row r="1074">
      <c r="A1074" s="7" t="s">
        <v>4446</v>
      </c>
      <c r="B1074" s="8" t="s">
        <v>4447</v>
      </c>
      <c r="C1074" s="7" t="s">
        <v>2397</v>
      </c>
      <c r="D1074" s="12" t="s">
        <v>39</v>
      </c>
      <c r="E1074" s="13" t="s">
        <v>73</v>
      </c>
      <c r="F1074" s="8" t="s">
        <v>42</v>
      </c>
      <c r="G1074" s="8" t="b">
        <v>0</v>
      </c>
      <c r="H1074" s="8" t="s">
        <v>4448</v>
      </c>
      <c r="I1074" s="8">
        <v>1.0</v>
      </c>
      <c r="J1074" s="8">
        <v>0.0</v>
      </c>
      <c r="K1074" s="8">
        <v>0.0</v>
      </c>
    </row>
    <row r="1075">
      <c r="A1075" s="7" t="s">
        <v>4449</v>
      </c>
      <c r="B1075" s="8" t="s">
        <v>4450</v>
      </c>
      <c r="C1075" s="7" t="s">
        <v>15</v>
      </c>
      <c r="D1075" s="12" t="s">
        <v>21</v>
      </c>
      <c r="E1075" s="13" t="s">
        <v>22</v>
      </c>
      <c r="F1075" s="8" t="s">
        <v>24</v>
      </c>
      <c r="G1075" s="8" t="b">
        <v>0</v>
      </c>
      <c r="H1075" s="8" t="s">
        <v>4451</v>
      </c>
      <c r="I1075" s="8">
        <v>1.0</v>
      </c>
      <c r="J1075" s="8">
        <v>0.0</v>
      </c>
      <c r="K1075" s="8">
        <v>0.0</v>
      </c>
    </row>
    <row r="1076">
      <c r="A1076" s="7" t="s">
        <v>4452</v>
      </c>
      <c r="B1076" s="8" t="s">
        <v>4453</v>
      </c>
      <c r="C1076" s="7" t="s">
        <v>15</v>
      </c>
      <c r="D1076" s="12" t="s">
        <v>21</v>
      </c>
      <c r="E1076" s="13" t="s">
        <v>22</v>
      </c>
      <c r="F1076" s="8" t="s">
        <v>24</v>
      </c>
      <c r="G1076" s="8" t="b">
        <v>0</v>
      </c>
      <c r="H1076" s="8" t="s">
        <v>4454</v>
      </c>
      <c r="I1076" s="8">
        <v>1.0</v>
      </c>
      <c r="J1076" s="8">
        <v>0.0</v>
      </c>
      <c r="K1076" s="8">
        <v>0.0</v>
      </c>
    </row>
    <row r="1077">
      <c r="A1077" s="7" t="s">
        <v>4455</v>
      </c>
      <c r="B1077" s="8" t="s">
        <v>4456</v>
      </c>
      <c r="C1077" s="7" t="s">
        <v>15</v>
      </c>
      <c r="D1077" s="12" t="s">
        <v>72</v>
      </c>
      <c r="E1077" s="13" t="s">
        <v>22</v>
      </c>
      <c r="F1077" s="8" t="s">
        <v>74</v>
      </c>
      <c r="G1077" s="8" t="b">
        <v>0</v>
      </c>
      <c r="H1077" s="8" t="s">
        <v>4457</v>
      </c>
      <c r="I1077" s="8">
        <v>1.0</v>
      </c>
      <c r="J1077" s="8">
        <v>0.0</v>
      </c>
      <c r="K1077" s="8">
        <v>0.0</v>
      </c>
    </row>
    <row r="1078">
      <c r="A1078" s="7" t="s">
        <v>4458</v>
      </c>
      <c r="B1078" s="8" t="s">
        <v>4459</v>
      </c>
      <c r="C1078" s="7" t="s">
        <v>15</v>
      </c>
      <c r="D1078" s="12" t="s">
        <v>21</v>
      </c>
      <c r="E1078" s="13" t="s">
        <v>22</v>
      </c>
      <c r="F1078" s="8" t="s">
        <v>24</v>
      </c>
      <c r="G1078" s="8" t="b">
        <v>0</v>
      </c>
      <c r="H1078" s="8" t="s">
        <v>4460</v>
      </c>
      <c r="I1078" s="8">
        <v>1.0</v>
      </c>
      <c r="J1078" s="8">
        <v>0.0</v>
      </c>
      <c r="K1078" s="8">
        <v>0.0</v>
      </c>
    </row>
    <row r="1079">
      <c r="A1079" s="7" t="s">
        <v>4461</v>
      </c>
      <c r="B1079" s="8" t="s">
        <v>4462</v>
      </c>
      <c r="C1079" s="7" t="s">
        <v>15</v>
      </c>
      <c r="D1079" s="12" t="s">
        <v>21</v>
      </c>
      <c r="E1079" s="13" t="s">
        <v>22</v>
      </c>
      <c r="F1079" s="8" t="s">
        <v>24</v>
      </c>
      <c r="G1079" s="8" t="b">
        <v>0</v>
      </c>
      <c r="H1079" s="8" t="s">
        <v>4463</v>
      </c>
      <c r="I1079" s="8">
        <v>1.0</v>
      </c>
      <c r="J1079" s="8">
        <v>0.0</v>
      </c>
      <c r="K1079" s="8">
        <v>0.0</v>
      </c>
    </row>
    <row r="1080">
      <c r="A1080" s="7" t="s">
        <v>4464</v>
      </c>
      <c r="B1080" s="8" t="s">
        <v>4465</v>
      </c>
      <c r="C1080" s="7" t="s">
        <v>15</v>
      </c>
      <c r="D1080" s="12" t="s">
        <v>39</v>
      </c>
      <c r="E1080" s="13" t="s">
        <v>22</v>
      </c>
      <c r="F1080" s="8" t="s">
        <v>42</v>
      </c>
      <c r="G1080" s="8" t="b">
        <v>0</v>
      </c>
      <c r="H1080" s="8" t="s">
        <v>4466</v>
      </c>
      <c r="I1080" s="8">
        <v>1.0</v>
      </c>
      <c r="J1080" s="8">
        <v>0.0</v>
      </c>
      <c r="K1080" s="8">
        <v>2.0</v>
      </c>
    </row>
    <row r="1081">
      <c r="A1081" s="7" t="s">
        <v>4467</v>
      </c>
      <c r="B1081" s="8" t="s">
        <v>4468</v>
      </c>
      <c r="C1081" s="7" t="s">
        <v>15</v>
      </c>
      <c r="D1081" s="12" t="s">
        <v>72</v>
      </c>
      <c r="E1081" s="13" t="s">
        <v>22</v>
      </c>
      <c r="F1081" s="8" t="s">
        <v>74</v>
      </c>
      <c r="G1081" s="8" t="b">
        <v>0</v>
      </c>
      <c r="H1081" s="8" t="s">
        <v>4469</v>
      </c>
      <c r="I1081" s="8">
        <v>1.0</v>
      </c>
      <c r="J1081" s="8">
        <v>0.0</v>
      </c>
      <c r="K1081" s="8">
        <v>1.0</v>
      </c>
    </row>
    <row r="1082">
      <c r="A1082" s="7" t="s">
        <v>4470</v>
      </c>
      <c r="B1082" s="8" t="s">
        <v>4471</v>
      </c>
      <c r="C1082" s="7" t="s">
        <v>15</v>
      </c>
      <c r="D1082" s="12" t="s">
        <v>21</v>
      </c>
      <c r="E1082" s="13" t="s">
        <v>22</v>
      </c>
      <c r="F1082" s="8" t="s">
        <v>24</v>
      </c>
      <c r="G1082" s="8" t="b">
        <v>0</v>
      </c>
      <c r="H1082" s="8" t="s">
        <v>115</v>
      </c>
      <c r="I1082" s="8">
        <v>1.0</v>
      </c>
      <c r="J1082" s="8">
        <v>0.0</v>
      </c>
      <c r="K1082" s="8">
        <v>0.0</v>
      </c>
    </row>
    <row r="1083">
      <c r="A1083" s="7" t="s">
        <v>4472</v>
      </c>
      <c r="B1083" s="8" t="s">
        <v>4473</v>
      </c>
      <c r="C1083" s="7" t="s">
        <v>15</v>
      </c>
      <c r="D1083" s="12" t="s">
        <v>21</v>
      </c>
      <c r="E1083" s="13" t="s">
        <v>22</v>
      </c>
      <c r="F1083" s="8" t="s">
        <v>24</v>
      </c>
      <c r="G1083" s="8" t="b">
        <v>0</v>
      </c>
      <c r="H1083" s="8" t="s">
        <v>4474</v>
      </c>
      <c r="I1083" s="8">
        <v>1.0</v>
      </c>
      <c r="J1083" s="8">
        <v>0.0</v>
      </c>
      <c r="K1083" s="8">
        <v>0.0</v>
      </c>
    </row>
    <row r="1084">
      <c r="A1084" s="7" t="s">
        <v>4475</v>
      </c>
      <c r="B1084" s="8" t="s">
        <v>4476</v>
      </c>
      <c r="C1084" s="7" t="s">
        <v>15</v>
      </c>
      <c r="D1084" s="12" t="s">
        <v>190</v>
      </c>
      <c r="E1084" s="13" t="s">
        <v>22</v>
      </c>
      <c r="F1084" s="8" t="s">
        <v>191</v>
      </c>
      <c r="G1084" s="8" t="b">
        <v>0</v>
      </c>
      <c r="H1084" s="8" t="s">
        <v>4477</v>
      </c>
      <c r="I1084" s="8">
        <v>1.0</v>
      </c>
      <c r="J1084" s="8">
        <v>0.0</v>
      </c>
      <c r="K1084" s="8">
        <v>1.0</v>
      </c>
    </row>
    <row r="1085">
      <c r="A1085" s="7" t="s">
        <v>4478</v>
      </c>
      <c r="B1085" s="8" t="s">
        <v>4479</v>
      </c>
      <c r="C1085" s="7" t="s">
        <v>15</v>
      </c>
      <c r="D1085" s="12" t="s">
        <v>21</v>
      </c>
      <c r="E1085" s="13" t="s">
        <v>22</v>
      </c>
      <c r="F1085" s="8" t="s">
        <v>24</v>
      </c>
      <c r="G1085" s="8" t="b">
        <v>0</v>
      </c>
      <c r="H1085" s="8" t="s">
        <v>4480</v>
      </c>
      <c r="I1085" s="8">
        <v>1.0</v>
      </c>
      <c r="J1085" s="8">
        <v>0.0</v>
      </c>
      <c r="K1085" s="8">
        <v>0.0</v>
      </c>
    </row>
    <row r="1086">
      <c r="A1086" s="7" t="s">
        <v>4481</v>
      </c>
      <c r="B1086" s="8" t="s">
        <v>4482</v>
      </c>
      <c r="C1086" s="7" t="s">
        <v>15</v>
      </c>
      <c r="D1086" s="12" t="s">
        <v>766</v>
      </c>
      <c r="E1086" s="13" t="s">
        <v>22</v>
      </c>
      <c r="F1086" s="8" t="s">
        <v>767</v>
      </c>
      <c r="G1086" s="8" t="b">
        <v>0</v>
      </c>
      <c r="H1086" s="8" t="s">
        <v>192</v>
      </c>
      <c r="I1086" s="8">
        <v>1.0</v>
      </c>
      <c r="J1086" s="8">
        <v>0.0</v>
      </c>
      <c r="K1086" s="8">
        <v>0.0</v>
      </c>
    </row>
    <row r="1087">
      <c r="A1087" s="7" t="s">
        <v>4483</v>
      </c>
      <c r="B1087" s="8" t="s">
        <v>189</v>
      </c>
      <c r="C1087" s="7" t="s">
        <v>15</v>
      </c>
      <c r="D1087" s="12" t="s">
        <v>21</v>
      </c>
      <c r="E1087" s="13" t="s">
        <v>22</v>
      </c>
      <c r="F1087" s="8" t="s">
        <v>24</v>
      </c>
      <c r="G1087" s="8" t="b">
        <v>0</v>
      </c>
      <c r="H1087" s="8" t="s">
        <v>192</v>
      </c>
      <c r="I1087" s="8">
        <v>1.0</v>
      </c>
      <c r="J1087" s="8">
        <v>0.0</v>
      </c>
      <c r="K1087" s="8">
        <v>0.0</v>
      </c>
    </row>
    <row r="1088">
      <c r="A1088" s="7" t="s">
        <v>4484</v>
      </c>
      <c r="B1088" s="8" t="s">
        <v>4485</v>
      </c>
      <c r="C1088" s="7" t="s">
        <v>15</v>
      </c>
      <c r="D1088" s="12" t="s">
        <v>190</v>
      </c>
      <c r="E1088" s="13" t="s">
        <v>22</v>
      </c>
      <c r="F1088" s="8" t="s">
        <v>191</v>
      </c>
      <c r="G1088" s="8" t="b">
        <v>0</v>
      </c>
      <c r="H1088" s="8" t="s">
        <v>1007</v>
      </c>
      <c r="I1088" s="8">
        <v>1.0</v>
      </c>
      <c r="J1088" s="8">
        <v>0.0</v>
      </c>
      <c r="K1088" s="8">
        <v>0.0</v>
      </c>
    </row>
    <row r="1089">
      <c r="A1089" s="7" t="s">
        <v>4486</v>
      </c>
      <c r="B1089" s="8" t="s">
        <v>4487</v>
      </c>
      <c r="C1089" s="7" t="s">
        <v>15</v>
      </c>
      <c r="D1089" s="12" t="s">
        <v>21</v>
      </c>
      <c r="E1089" s="13" t="s">
        <v>22</v>
      </c>
      <c r="F1089" s="8" t="s">
        <v>24</v>
      </c>
      <c r="G1089" s="8" t="b">
        <v>0</v>
      </c>
      <c r="H1089" s="8" t="s">
        <v>4488</v>
      </c>
      <c r="I1089" s="8">
        <v>1.0</v>
      </c>
      <c r="J1089" s="8">
        <v>0.0</v>
      </c>
      <c r="K1089" s="8">
        <v>0.0</v>
      </c>
    </row>
    <row r="1090">
      <c r="A1090" s="7" t="s">
        <v>4489</v>
      </c>
      <c r="B1090" s="8" t="s">
        <v>4490</v>
      </c>
      <c r="C1090" s="7" t="s">
        <v>15</v>
      </c>
      <c r="D1090" s="12" t="s">
        <v>21</v>
      </c>
      <c r="E1090" s="13" t="s">
        <v>22</v>
      </c>
      <c r="F1090" s="8" t="s">
        <v>24</v>
      </c>
      <c r="G1090" s="8" t="b">
        <v>0</v>
      </c>
      <c r="H1090" s="8" t="s">
        <v>4491</v>
      </c>
      <c r="I1090" s="8">
        <v>1.0</v>
      </c>
      <c r="J1090" s="8">
        <v>0.0</v>
      </c>
      <c r="K1090" s="8">
        <v>1.0</v>
      </c>
    </row>
    <row r="1091">
      <c r="A1091" s="7" t="s">
        <v>4492</v>
      </c>
      <c r="B1091" s="8" t="s">
        <v>938</v>
      </c>
      <c r="C1091" s="7" t="s">
        <v>15</v>
      </c>
      <c r="D1091" s="12" t="s">
        <v>21</v>
      </c>
      <c r="E1091" s="13" t="s">
        <v>22</v>
      </c>
      <c r="F1091" s="8" t="s">
        <v>24</v>
      </c>
      <c r="G1091" s="8" t="b">
        <v>0</v>
      </c>
      <c r="H1091" s="8" t="s">
        <v>4493</v>
      </c>
      <c r="I1091" s="8">
        <v>1.0</v>
      </c>
      <c r="J1091" s="8">
        <v>0.0</v>
      </c>
      <c r="K1091" s="8">
        <v>0.0</v>
      </c>
    </row>
    <row r="1092">
      <c r="A1092" s="7" t="s">
        <v>4494</v>
      </c>
      <c r="B1092" s="8" t="s">
        <v>1155</v>
      </c>
      <c r="C1092" s="7" t="s">
        <v>15</v>
      </c>
      <c r="D1092" s="12" t="s">
        <v>21</v>
      </c>
      <c r="E1092" s="13" t="s">
        <v>22</v>
      </c>
      <c r="F1092" s="8" t="s">
        <v>24</v>
      </c>
      <c r="G1092" s="8" t="b">
        <v>0</v>
      </c>
      <c r="H1092" s="8" t="s">
        <v>4495</v>
      </c>
      <c r="I1092" s="8">
        <v>1.0</v>
      </c>
      <c r="J1092" s="8">
        <v>0.0</v>
      </c>
      <c r="K1092" s="8">
        <v>0.0</v>
      </c>
    </row>
    <row r="1093">
      <c r="A1093" s="7" t="s">
        <v>4496</v>
      </c>
      <c r="B1093" s="8" t="s">
        <v>1155</v>
      </c>
      <c r="C1093" s="7" t="s">
        <v>15</v>
      </c>
      <c r="D1093" s="12" t="s">
        <v>21</v>
      </c>
      <c r="E1093" s="13" t="s">
        <v>22</v>
      </c>
      <c r="F1093" s="8" t="s">
        <v>24</v>
      </c>
      <c r="G1093" s="8" t="b">
        <v>0</v>
      </c>
      <c r="H1093" s="8" t="s">
        <v>4495</v>
      </c>
      <c r="I1093" s="8">
        <v>1.0</v>
      </c>
      <c r="J1093" s="8">
        <v>0.0</v>
      </c>
      <c r="K1093" s="8">
        <v>0.0</v>
      </c>
    </row>
    <row r="1094">
      <c r="A1094" s="7" t="s">
        <v>4497</v>
      </c>
      <c r="B1094" s="8" t="s">
        <v>1155</v>
      </c>
      <c r="C1094" s="7" t="s">
        <v>15</v>
      </c>
      <c r="D1094" s="12" t="s">
        <v>21</v>
      </c>
      <c r="E1094" s="13" t="s">
        <v>22</v>
      </c>
      <c r="F1094" s="8" t="s">
        <v>24</v>
      </c>
      <c r="G1094" s="8" t="b">
        <v>0</v>
      </c>
      <c r="H1094" s="8" t="s">
        <v>4495</v>
      </c>
      <c r="I1094" s="8">
        <v>1.0</v>
      </c>
      <c r="J1094" s="8">
        <v>0.0</v>
      </c>
      <c r="K1094" s="8">
        <v>0.0</v>
      </c>
    </row>
    <row r="1095">
      <c r="A1095" s="7" t="s">
        <v>4498</v>
      </c>
      <c r="B1095" s="8" t="s">
        <v>4499</v>
      </c>
      <c r="C1095" s="7" t="s">
        <v>15</v>
      </c>
      <c r="D1095" s="12" t="s">
        <v>21</v>
      </c>
      <c r="E1095" s="13" t="s">
        <v>22</v>
      </c>
      <c r="F1095" s="8" t="s">
        <v>24</v>
      </c>
      <c r="G1095" s="8" t="b">
        <v>0</v>
      </c>
      <c r="H1095" s="8" t="s">
        <v>4500</v>
      </c>
      <c r="I1095" s="8">
        <v>1.0</v>
      </c>
      <c r="J1095" s="8">
        <v>0.0</v>
      </c>
      <c r="K1095" s="8">
        <v>0.0</v>
      </c>
    </row>
    <row r="1096">
      <c r="A1096" s="7" t="s">
        <v>4501</v>
      </c>
      <c r="B1096" s="8" t="s">
        <v>4502</v>
      </c>
      <c r="C1096" s="7" t="s">
        <v>15</v>
      </c>
      <c r="D1096" s="12" t="s">
        <v>21</v>
      </c>
      <c r="E1096" s="13" t="s">
        <v>22</v>
      </c>
      <c r="F1096" s="8" t="s">
        <v>24</v>
      </c>
      <c r="G1096" s="8" t="b">
        <v>0</v>
      </c>
      <c r="H1096" s="8" t="s">
        <v>4503</v>
      </c>
      <c r="I1096" s="8">
        <v>1.0</v>
      </c>
      <c r="J1096" s="8">
        <v>0.0</v>
      </c>
      <c r="K1096" s="8">
        <v>6.0</v>
      </c>
    </row>
    <row r="1097">
      <c r="A1097" s="7" t="s">
        <v>4504</v>
      </c>
      <c r="B1097" s="8" t="s">
        <v>4505</v>
      </c>
      <c r="C1097" s="7" t="s">
        <v>15</v>
      </c>
      <c r="D1097" s="12" t="s">
        <v>21</v>
      </c>
      <c r="E1097" s="13" t="s">
        <v>22</v>
      </c>
      <c r="F1097" s="8" t="s">
        <v>24</v>
      </c>
      <c r="G1097" s="8" t="b">
        <v>0</v>
      </c>
      <c r="H1097" s="8" t="s">
        <v>584</v>
      </c>
      <c r="I1097" s="8">
        <v>1.0</v>
      </c>
      <c r="J1097" s="8">
        <v>0.0</v>
      </c>
      <c r="K1097" s="8">
        <v>0.0</v>
      </c>
    </row>
    <row r="1098">
      <c r="A1098" s="7" t="s">
        <v>4506</v>
      </c>
      <c r="B1098" s="8" t="s">
        <v>4507</v>
      </c>
      <c r="C1098" s="7" t="s">
        <v>15</v>
      </c>
      <c r="D1098" s="12" t="s">
        <v>21</v>
      </c>
      <c r="E1098" s="13" t="s">
        <v>22</v>
      </c>
      <c r="F1098" s="8" t="s">
        <v>24</v>
      </c>
      <c r="G1098" s="8" t="b">
        <v>0</v>
      </c>
      <c r="H1098" s="8" t="s">
        <v>4508</v>
      </c>
      <c r="I1098" s="8">
        <v>1.0</v>
      </c>
      <c r="J1098" s="8">
        <v>0.0</v>
      </c>
      <c r="K1098" s="8">
        <v>0.0</v>
      </c>
    </row>
    <row r="1099">
      <c r="A1099" s="7" t="s">
        <v>4509</v>
      </c>
      <c r="B1099" s="8" t="s">
        <v>4510</v>
      </c>
      <c r="C1099" s="7" t="s">
        <v>15</v>
      </c>
      <c r="D1099" s="12" t="s">
        <v>21</v>
      </c>
      <c r="E1099" s="13" t="s">
        <v>22</v>
      </c>
      <c r="F1099" s="8" t="s">
        <v>24</v>
      </c>
      <c r="G1099" s="8" t="b">
        <v>0</v>
      </c>
      <c r="H1099" s="8" t="s">
        <v>4511</v>
      </c>
      <c r="I1099" s="8">
        <v>1.0</v>
      </c>
      <c r="J1099" s="8">
        <v>0.0</v>
      </c>
      <c r="K1099" s="8">
        <v>0.0</v>
      </c>
    </row>
    <row r="1100">
      <c r="A1100" s="7" t="s">
        <v>4512</v>
      </c>
      <c r="B1100" s="8" t="s">
        <v>4513</v>
      </c>
      <c r="C1100" s="7" t="s">
        <v>15</v>
      </c>
      <c r="D1100" s="12" t="s">
        <v>21</v>
      </c>
      <c r="E1100" s="13" t="s">
        <v>22</v>
      </c>
      <c r="F1100" s="8" t="s">
        <v>24</v>
      </c>
      <c r="G1100" s="8" t="b">
        <v>0</v>
      </c>
      <c r="H1100" s="8" t="s">
        <v>4514</v>
      </c>
      <c r="I1100" s="8">
        <v>1.0</v>
      </c>
      <c r="J1100" s="8">
        <v>0.0</v>
      </c>
      <c r="K1100" s="8">
        <v>1.0</v>
      </c>
    </row>
    <row r="1101">
      <c r="A1101" s="7" t="s">
        <v>4515</v>
      </c>
      <c r="B1101" s="8" t="s">
        <v>4516</v>
      </c>
      <c r="C1101" s="7" t="s">
        <v>15</v>
      </c>
      <c r="D1101" s="12" t="s">
        <v>21</v>
      </c>
      <c r="E1101" s="13" t="s">
        <v>22</v>
      </c>
      <c r="F1101" s="8" t="s">
        <v>24</v>
      </c>
      <c r="G1101" s="8" t="b">
        <v>0</v>
      </c>
      <c r="H1101" s="8" t="s">
        <v>4517</v>
      </c>
      <c r="I1101" s="8">
        <v>1.0</v>
      </c>
      <c r="J1101" s="8">
        <v>0.0</v>
      </c>
      <c r="K1101" s="8">
        <v>0.0</v>
      </c>
    </row>
    <row r="1102">
      <c r="A1102" s="7" t="s">
        <v>4518</v>
      </c>
      <c r="B1102" s="8" t="s">
        <v>4519</v>
      </c>
      <c r="C1102" s="7" t="s">
        <v>15</v>
      </c>
      <c r="D1102" s="12" t="s">
        <v>21</v>
      </c>
      <c r="E1102" s="13" t="s">
        <v>22</v>
      </c>
      <c r="F1102" s="8" t="s">
        <v>24</v>
      </c>
      <c r="G1102" s="8" t="b">
        <v>0</v>
      </c>
      <c r="H1102" s="8" t="s">
        <v>186</v>
      </c>
      <c r="I1102" s="8">
        <v>1.0</v>
      </c>
      <c r="J1102" s="8">
        <v>0.0</v>
      </c>
      <c r="K1102" s="8">
        <v>0.0</v>
      </c>
    </row>
    <row r="1103">
      <c r="A1103" s="7" t="s">
        <v>4520</v>
      </c>
      <c r="B1103" s="8" t="s">
        <v>4521</v>
      </c>
      <c r="C1103" s="7" t="s">
        <v>2400</v>
      </c>
      <c r="D1103" s="12" t="s">
        <v>39</v>
      </c>
      <c r="E1103" s="13" t="s">
        <v>190</v>
      </c>
      <c r="F1103" s="8" t="s">
        <v>42</v>
      </c>
      <c r="G1103" s="8" t="b">
        <v>0</v>
      </c>
      <c r="H1103" s="8" t="s">
        <v>4522</v>
      </c>
      <c r="I1103" s="8">
        <v>1.0</v>
      </c>
      <c r="J1103" s="8">
        <v>0.0</v>
      </c>
      <c r="K1103" s="8">
        <v>1.0</v>
      </c>
    </row>
    <row r="1104">
      <c r="A1104" s="7" t="s">
        <v>4523</v>
      </c>
      <c r="B1104" s="8" t="s">
        <v>4524</v>
      </c>
      <c r="C1104" s="7" t="s">
        <v>1676</v>
      </c>
      <c r="D1104" s="12" t="s">
        <v>693</v>
      </c>
      <c r="E1104" s="13" t="s">
        <v>76</v>
      </c>
      <c r="F1104" s="8" t="s">
        <v>695</v>
      </c>
      <c r="G1104" s="8" t="b">
        <v>0</v>
      </c>
      <c r="H1104" s="8" t="s">
        <v>4525</v>
      </c>
      <c r="I1104" s="8">
        <v>1.0</v>
      </c>
      <c r="J1104" s="8">
        <v>0.0</v>
      </c>
      <c r="K1104" s="8">
        <v>1.0</v>
      </c>
    </row>
    <row r="1105">
      <c r="A1105" s="7" t="s">
        <v>4526</v>
      </c>
      <c r="B1105" s="8" t="s">
        <v>4527</v>
      </c>
      <c r="C1105" s="7" t="s">
        <v>1676</v>
      </c>
      <c r="D1105" s="12" t="s">
        <v>190</v>
      </c>
      <c r="E1105" s="13" t="s">
        <v>76</v>
      </c>
      <c r="F1105" s="8" t="s">
        <v>191</v>
      </c>
      <c r="G1105" s="8" t="b">
        <v>0</v>
      </c>
      <c r="H1105" s="8" t="s">
        <v>1464</v>
      </c>
      <c r="I1105" s="8">
        <v>1.0</v>
      </c>
      <c r="J1105" s="8">
        <v>0.0</v>
      </c>
      <c r="K1105" s="8">
        <v>1.0</v>
      </c>
    </row>
    <row r="1106">
      <c r="A1106" s="7" t="s">
        <v>4528</v>
      </c>
      <c r="B1106" s="8" t="s">
        <v>4529</v>
      </c>
      <c r="C1106" s="7" t="s">
        <v>2404</v>
      </c>
      <c r="D1106" s="12" t="s">
        <v>190</v>
      </c>
      <c r="E1106" s="13" t="s">
        <v>41</v>
      </c>
      <c r="F1106" s="8" t="s">
        <v>191</v>
      </c>
      <c r="G1106" s="8" t="b">
        <v>0</v>
      </c>
      <c r="H1106" s="8" t="s">
        <v>186</v>
      </c>
      <c r="I1106" s="8">
        <v>1.0</v>
      </c>
      <c r="J1106" s="8">
        <v>0.0</v>
      </c>
      <c r="K1106" s="8">
        <v>1.0</v>
      </c>
    </row>
    <row r="1107">
      <c r="A1107" s="7" t="s">
        <v>4530</v>
      </c>
      <c r="B1107" s="8" t="s">
        <v>4531</v>
      </c>
      <c r="C1107" s="7" t="s">
        <v>2408</v>
      </c>
      <c r="D1107" s="12" t="s">
        <v>766</v>
      </c>
      <c r="E1107" s="13" t="s">
        <v>41</v>
      </c>
      <c r="F1107" s="8" t="s">
        <v>767</v>
      </c>
      <c r="G1107" s="8" t="b">
        <v>0</v>
      </c>
      <c r="H1107" s="8" t="s">
        <v>1658</v>
      </c>
      <c r="I1107" s="8">
        <v>1.0</v>
      </c>
      <c r="J1107" s="8">
        <v>0.0</v>
      </c>
      <c r="K1107" s="8">
        <v>1.0</v>
      </c>
    </row>
    <row r="1108">
      <c r="A1108" s="7" t="s">
        <v>4532</v>
      </c>
      <c r="B1108" s="8" t="s">
        <v>4533</v>
      </c>
      <c r="C1108" s="7" t="s">
        <v>2410</v>
      </c>
      <c r="D1108" s="12" t="s">
        <v>39</v>
      </c>
      <c r="E1108" s="13" t="s">
        <v>41</v>
      </c>
      <c r="F1108" s="8" t="s">
        <v>42</v>
      </c>
      <c r="G1108" s="8" t="b">
        <v>0</v>
      </c>
      <c r="H1108" s="8" t="s">
        <v>4534</v>
      </c>
      <c r="I1108" s="8">
        <v>1.0</v>
      </c>
      <c r="J1108" s="8">
        <v>0.0</v>
      </c>
      <c r="K1108" s="8">
        <v>0.0</v>
      </c>
    </row>
    <row r="1109">
      <c r="A1109" s="7" t="s">
        <v>4535</v>
      </c>
      <c r="B1109" s="8" t="s">
        <v>4536</v>
      </c>
      <c r="C1109" s="7" t="s">
        <v>2413</v>
      </c>
      <c r="D1109" s="12" t="s">
        <v>21</v>
      </c>
      <c r="E1109" s="13" t="s">
        <v>41</v>
      </c>
      <c r="F1109" s="8" t="s">
        <v>24</v>
      </c>
      <c r="G1109" s="8" t="b">
        <v>0</v>
      </c>
      <c r="H1109" s="8" t="s">
        <v>2417</v>
      </c>
      <c r="I1109" s="8">
        <v>1.0</v>
      </c>
      <c r="J1109" s="8">
        <v>0.0</v>
      </c>
      <c r="K1109" s="8">
        <v>1.0</v>
      </c>
    </row>
    <row r="1110">
      <c r="A1110" s="7" t="s">
        <v>4537</v>
      </c>
      <c r="B1110" s="8" t="s">
        <v>4538</v>
      </c>
      <c r="C1110" s="7" t="s">
        <v>161</v>
      </c>
      <c r="D1110" s="12" t="s">
        <v>39</v>
      </c>
      <c r="E1110" s="13" t="s">
        <v>22</v>
      </c>
      <c r="F1110" s="8" t="s">
        <v>42</v>
      </c>
      <c r="G1110" s="8" t="b">
        <v>0</v>
      </c>
      <c r="H1110" s="8" t="s">
        <v>4539</v>
      </c>
      <c r="I1110" s="8">
        <v>1.0</v>
      </c>
      <c r="J1110" s="8">
        <v>0.0</v>
      </c>
      <c r="K1110" s="8">
        <v>1.0</v>
      </c>
    </row>
    <row r="1111">
      <c r="A1111" s="7" t="s">
        <v>4540</v>
      </c>
      <c r="B1111" s="8" t="s">
        <v>4541</v>
      </c>
      <c r="C1111" s="7" t="s">
        <v>161</v>
      </c>
      <c r="D1111" s="12" t="s">
        <v>39</v>
      </c>
      <c r="E1111" s="13" t="s">
        <v>22</v>
      </c>
      <c r="F1111" s="8" t="s">
        <v>42</v>
      </c>
      <c r="G1111" s="8" t="b">
        <v>0</v>
      </c>
      <c r="H1111" s="8" t="s">
        <v>4542</v>
      </c>
      <c r="I1111" s="8">
        <v>1.0</v>
      </c>
      <c r="J1111" s="8">
        <v>0.0</v>
      </c>
      <c r="K1111" s="8">
        <v>1.0</v>
      </c>
    </row>
    <row r="1112">
      <c r="A1112" s="7" t="s">
        <v>4543</v>
      </c>
      <c r="B1112" s="8" t="s">
        <v>4544</v>
      </c>
      <c r="C1112" s="7" t="s">
        <v>161</v>
      </c>
      <c r="D1112" s="12" t="s">
        <v>39</v>
      </c>
      <c r="E1112" s="13" t="s">
        <v>22</v>
      </c>
      <c r="F1112" s="8" t="s">
        <v>42</v>
      </c>
      <c r="G1112" s="8" t="b">
        <v>0</v>
      </c>
      <c r="H1112" s="8" t="s">
        <v>4545</v>
      </c>
      <c r="I1112" s="8">
        <v>1.0</v>
      </c>
      <c r="J1112" s="8">
        <v>0.0</v>
      </c>
      <c r="K1112" s="8">
        <v>1.0</v>
      </c>
    </row>
    <row r="1113">
      <c r="A1113" s="7" t="s">
        <v>4546</v>
      </c>
      <c r="B1113" s="8" t="s">
        <v>4547</v>
      </c>
      <c r="C1113" s="7" t="s">
        <v>161</v>
      </c>
      <c r="D1113" s="12" t="s">
        <v>39</v>
      </c>
      <c r="E1113" s="13" t="s">
        <v>22</v>
      </c>
      <c r="F1113" s="8" t="s">
        <v>42</v>
      </c>
      <c r="G1113" s="8" t="b">
        <v>0</v>
      </c>
      <c r="H1113" s="8" t="s">
        <v>4548</v>
      </c>
      <c r="I1113" s="8">
        <v>1.0</v>
      </c>
      <c r="J1113" s="8">
        <v>0.0</v>
      </c>
      <c r="K1113" s="8">
        <v>1.0</v>
      </c>
    </row>
    <row r="1114">
      <c r="A1114" s="7" t="s">
        <v>4549</v>
      </c>
      <c r="B1114" s="8" t="s">
        <v>4550</v>
      </c>
      <c r="C1114" s="7" t="s">
        <v>161</v>
      </c>
      <c r="D1114" s="12" t="s">
        <v>39</v>
      </c>
      <c r="E1114" s="13" t="s">
        <v>22</v>
      </c>
      <c r="F1114" s="8" t="s">
        <v>42</v>
      </c>
      <c r="G1114" s="8" t="b">
        <v>0</v>
      </c>
      <c r="H1114" s="8" t="s">
        <v>1012</v>
      </c>
      <c r="I1114" s="8">
        <v>1.0</v>
      </c>
      <c r="J1114" s="8">
        <v>0.0</v>
      </c>
      <c r="K1114" s="8">
        <v>1.0</v>
      </c>
    </row>
    <row r="1115">
      <c r="A1115" s="7" t="s">
        <v>4551</v>
      </c>
      <c r="B1115" s="8" t="s">
        <v>4552</v>
      </c>
      <c r="C1115" s="7" t="s">
        <v>161</v>
      </c>
      <c r="D1115" s="12" t="s">
        <v>39</v>
      </c>
      <c r="E1115" s="13" t="s">
        <v>22</v>
      </c>
      <c r="F1115" s="8" t="s">
        <v>42</v>
      </c>
      <c r="G1115" s="8" t="b">
        <v>0</v>
      </c>
      <c r="H1115" s="8" t="s">
        <v>4553</v>
      </c>
      <c r="I1115" s="8">
        <v>1.0</v>
      </c>
      <c r="J1115" s="8">
        <v>0.0</v>
      </c>
      <c r="K1115" s="8">
        <v>1.0</v>
      </c>
    </row>
    <row r="1116">
      <c r="A1116" s="7" t="s">
        <v>4554</v>
      </c>
      <c r="B1116" s="8" t="s">
        <v>4555</v>
      </c>
      <c r="C1116" s="7" t="s">
        <v>161</v>
      </c>
      <c r="D1116" s="12" t="s">
        <v>39</v>
      </c>
      <c r="E1116" s="13" t="s">
        <v>22</v>
      </c>
      <c r="F1116" s="8" t="s">
        <v>42</v>
      </c>
      <c r="G1116" s="8" t="b">
        <v>0</v>
      </c>
      <c r="H1116" s="8" t="s">
        <v>579</v>
      </c>
      <c r="I1116" s="8">
        <v>1.0</v>
      </c>
      <c r="J1116" s="8">
        <v>0.0</v>
      </c>
      <c r="K1116" s="8">
        <v>1.0</v>
      </c>
    </row>
    <row r="1117">
      <c r="A1117" s="7" t="s">
        <v>4556</v>
      </c>
      <c r="B1117" s="8" t="s">
        <v>4557</v>
      </c>
      <c r="C1117" s="7" t="s">
        <v>161</v>
      </c>
      <c r="D1117" s="12" t="s">
        <v>39</v>
      </c>
      <c r="E1117" s="13" t="s">
        <v>22</v>
      </c>
      <c r="F1117" s="8" t="s">
        <v>42</v>
      </c>
      <c r="G1117" s="8" t="b">
        <v>0</v>
      </c>
      <c r="H1117" s="8" t="s">
        <v>4558</v>
      </c>
      <c r="I1117" s="8">
        <v>1.0</v>
      </c>
      <c r="J1117" s="8">
        <v>0.0</v>
      </c>
      <c r="K1117" s="8">
        <v>1.0</v>
      </c>
    </row>
    <row r="1118">
      <c r="A1118" s="7" t="s">
        <v>4559</v>
      </c>
      <c r="B1118" s="8" t="s">
        <v>4560</v>
      </c>
      <c r="C1118" s="7" t="s">
        <v>161</v>
      </c>
      <c r="D1118" s="12" t="s">
        <v>39</v>
      </c>
      <c r="E1118" s="13" t="s">
        <v>22</v>
      </c>
      <c r="F1118" s="8" t="s">
        <v>42</v>
      </c>
      <c r="G1118" s="8" t="b">
        <v>0</v>
      </c>
      <c r="H1118" s="8" t="s">
        <v>4558</v>
      </c>
      <c r="I1118" s="8">
        <v>1.0</v>
      </c>
      <c r="J1118" s="8">
        <v>0.0</v>
      </c>
      <c r="K1118" s="8">
        <v>1.0</v>
      </c>
    </row>
    <row r="1119">
      <c r="A1119" s="7" t="s">
        <v>4561</v>
      </c>
      <c r="B1119" s="8" t="s">
        <v>4562</v>
      </c>
      <c r="C1119" s="7" t="s">
        <v>793</v>
      </c>
      <c r="D1119" s="12" t="s">
        <v>39</v>
      </c>
      <c r="E1119" s="13" t="s">
        <v>41</v>
      </c>
      <c r="F1119" s="8" t="s">
        <v>42</v>
      </c>
      <c r="G1119" s="8" t="b">
        <v>0</v>
      </c>
      <c r="H1119" s="8" t="s">
        <v>4563</v>
      </c>
      <c r="I1119" s="8">
        <v>1.0</v>
      </c>
      <c r="J1119" s="8">
        <v>0.0</v>
      </c>
      <c r="K1119" s="8">
        <v>0.0</v>
      </c>
    </row>
    <row r="1120">
      <c r="A1120" s="7" t="s">
        <v>4564</v>
      </c>
      <c r="B1120" s="8" t="s">
        <v>4565</v>
      </c>
      <c r="C1120" s="7" t="s">
        <v>2418</v>
      </c>
      <c r="D1120" s="12" t="s">
        <v>39</v>
      </c>
      <c r="E1120" s="13" t="s">
        <v>41</v>
      </c>
      <c r="F1120" s="8" t="s">
        <v>42</v>
      </c>
      <c r="G1120" s="8" t="b">
        <v>0</v>
      </c>
      <c r="H1120" s="8" t="s">
        <v>4566</v>
      </c>
      <c r="I1120" s="8">
        <v>1.0</v>
      </c>
      <c r="J1120" s="8">
        <v>0.0</v>
      </c>
      <c r="K1120" s="8">
        <v>1.0</v>
      </c>
    </row>
    <row r="1121">
      <c r="A1121" s="7" t="s">
        <v>4567</v>
      </c>
      <c r="B1121" s="8" t="s">
        <v>4568</v>
      </c>
      <c r="C1121" s="7" t="s">
        <v>2421</v>
      </c>
      <c r="D1121" s="12" t="s">
        <v>190</v>
      </c>
      <c r="E1121" s="13" t="s">
        <v>41</v>
      </c>
      <c r="F1121" s="8" t="s">
        <v>191</v>
      </c>
      <c r="G1121" s="8" t="b">
        <v>0</v>
      </c>
      <c r="H1121" s="8" t="s">
        <v>4569</v>
      </c>
      <c r="I1121" s="8">
        <v>1.0</v>
      </c>
      <c r="J1121" s="8">
        <v>0.0</v>
      </c>
      <c r="K1121" s="8">
        <v>1.0</v>
      </c>
    </row>
    <row r="1122">
      <c r="A1122" s="7" t="s">
        <v>4570</v>
      </c>
      <c r="B1122" s="8" t="s">
        <v>4571</v>
      </c>
      <c r="C1122" s="7" t="s">
        <v>281</v>
      </c>
      <c r="D1122" s="12" t="s">
        <v>39</v>
      </c>
      <c r="E1122" s="13" t="s">
        <v>41</v>
      </c>
      <c r="F1122" s="8" t="s">
        <v>42</v>
      </c>
      <c r="G1122" s="8" t="b">
        <v>0</v>
      </c>
      <c r="H1122" s="8" t="s">
        <v>4572</v>
      </c>
      <c r="I1122" s="8">
        <v>1.0</v>
      </c>
      <c r="J1122" s="8">
        <v>0.0</v>
      </c>
      <c r="K1122" s="8">
        <v>1.0</v>
      </c>
    </row>
    <row r="1123">
      <c r="A1123" s="7" t="s">
        <v>4573</v>
      </c>
      <c r="B1123" s="8" t="s">
        <v>4574</v>
      </c>
      <c r="C1123" s="7" t="s">
        <v>281</v>
      </c>
      <c r="D1123" s="12" t="s">
        <v>693</v>
      </c>
      <c r="E1123" s="13" t="s">
        <v>41</v>
      </c>
      <c r="F1123" s="8" t="s">
        <v>695</v>
      </c>
      <c r="G1123" s="8" t="b">
        <v>0</v>
      </c>
      <c r="H1123" s="8" t="s">
        <v>4575</v>
      </c>
      <c r="I1123" s="8">
        <v>1.0</v>
      </c>
      <c r="J1123" s="8">
        <v>0.0</v>
      </c>
      <c r="K1123" s="8">
        <v>1.0</v>
      </c>
    </row>
    <row r="1124">
      <c r="A1124" s="7" t="s">
        <v>4576</v>
      </c>
      <c r="B1124" s="8" t="s">
        <v>4577</v>
      </c>
      <c r="C1124" s="7" t="s">
        <v>281</v>
      </c>
      <c r="D1124" s="12" t="s">
        <v>39</v>
      </c>
      <c r="E1124" s="13" t="s">
        <v>41</v>
      </c>
      <c r="F1124" s="8" t="s">
        <v>42</v>
      </c>
      <c r="G1124" s="8" t="b">
        <v>0</v>
      </c>
      <c r="H1124" s="8" t="s">
        <v>4578</v>
      </c>
      <c r="I1124" s="8">
        <v>1.0</v>
      </c>
      <c r="J1124" s="8">
        <v>0.0</v>
      </c>
      <c r="K1124" s="8">
        <v>1.0</v>
      </c>
    </row>
    <row r="1125">
      <c r="A1125" s="7" t="s">
        <v>4579</v>
      </c>
      <c r="B1125" s="8" t="s">
        <v>4580</v>
      </c>
      <c r="C1125" s="7" t="s">
        <v>2425</v>
      </c>
      <c r="D1125" s="12" t="s">
        <v>39</v>
      </c>
      <c r="E1125" s="13" t="s">
        <v>41</v>
      </c>
      <c r="F1125" s="8" t="s">
        <v>42</v>
      </c>
      <c r="G1125" s="8" t="b">
        <v>0</v>
      </c>
      <c r="H1125" s="8" t="s">
        <v>4581</v>
      </c>
      <c r="I1125" s="8">
        <v>1.0</v>
      </c>
      <c r="J1125" s="8">
        <v>0.0</v>
      </c>
      <c r="K1125" s="8">
        <v>1.0</v>
      </c>
    </row>
    <row r="1126">
      <c r="A1126" s="7" t="s">
        <v>4582</v>
      </c>
      <c r="B1126" s="8" t="s">
        <v>4583</v>
      </c>
      <c r="C1126" s="7" t="s">
        <v>1692</v>
      </c>
      <c r="D1126" s="12" t="s">
        <v>39</v>
      </c>
      <c r="E1126" s="13" t="s">
        <v>41</v>
      </c>
      <c r="F1126" s="8" t="s">
        <v>42</v>
      </c>
      <c r="G1126" s="8" t="b">
        <v>0</v>
      </c>
      <c r="H1126" s="8" t="s">
        <v>4584</v>
      </c>
      <c r="I1126" s="8">
        <v>1.0</v>
      </c>
      <c r="J1126" s="8">
        <v>0.0</v>
      </c>
      <c r="K1126" s="8">
        <v>1.0</v>
      </c>
    </row>
    <row r="1127">
      <c r="A1127" s="7" t="s">
        <v>4585</v>
      </c>
      <c r="B1127" s="8" t="s">
        <v>4586</v>
      </c>
      <c r="C1127" s="7" t="s">
        <v>1692</v>
      </c>
      <c r="D1127" s="12" t="s">
        <v>39</v>
      </c>
      <c r="E1127" s="13" t="s">
        <v>41</v>
      </c>
      <c r="F1127" s="8" t="s">
        <v>42</v>
      </c>
      <c r="G1127" s="8" t="b">
        <v>0</v>
      </c>
      <c r="H1127" s="8" t="s">
        <v>4587</v>
      </c>
      <c r="I1127" s="8">
        <v>1.0</v>
      </c>
      <c r="J1127" s="8">
        <v>0.0</v>
      </c>
      <c r="K1127" s="8">
        <v>1.0</v>
      </c>
    </row>
    <row r="1128">
      <c r="A1128" s="7" t="s">
        <v>4588</v>
      </c>
      <c r="C1128" s="7" t="s">
        <v>2429</v>
      </c>
      <c r="D1128" s="12" t="s">
        <v>554</v>
      </c>
      <c r="E1128" s="13" t="s">
        <v>41</v>
      </c>
      <c r="F1128" s="8" t="s">
        <v>555</v>
      </c>
      <c r="H1128" s="8" t="s">
        <v>1246</v>
      </c>
      <c r="I1128" s="8">
        <v>1.0</v>
      </c>
      <c r="J1128" s="8">
        <v>0.0</v>
      </c>
      <c r="K1128" s="8">
        <v>0.0</v>
      </c>
    </row>
    <row r="1129">
      <c r="A1129" s="7" t="s">
        <v>4589</v>
      </c>
      <c r="C1129" s="7" t="s">
        <v>2028</v>
      </c>
      <c r="D1129" s="12" t="s">
        <v>554</v>
      </c>
      <c r="E1129" s="13" t="s">
        <v>41</v>
      </c>
      <c r="F1129" s="8" t="s">
        <v>555</v>
      </c>
      <c r="H1129" s="8" t="s">
        <v>1246</v>
      </c>
      <c r="I1129" s="8">
        <v>1.0</v>
      </c>
      <c r="J1129" s="8">
        <v>0.0</v>
      </c>
      <c r="K1129" s="8">
        <v>2.0</v>
      </c>
    </row>
    <row r="1130">
      <c r="A1130" s="7" t="s">
        <v>4590</v>
      </c>
      <c r="C1130" s="7" t="s">
        <v>2028</v>
      </c>
      <c r="D1130" s="12" t="s">
        <v>190</v>
      </c>
      <c r="E1130" s="13" t="s">
        <v>41</v>
      </c>
      <c r="F1130" s="8" t="s">
        <v>191</v>
      </c>
      <c r="H1130" s="8" t="s">
        <v>1246</v>
      </c>
      <c r="I1130" s="8">
        <v>1.0</v>
      </c>
      <c r="J1130" s="8">
        <v>0.0</v>
      </c>
      <c r="K1130" s="8">
        <v>0.0</v>
      </c>
    </row>
    <row r="1131">
      <c r="A1131" s="7" t="s">
        <v>4591</v>
      </c>
      <c r="B1131" s="8" t="s">
        <v>4592</v>
      </c>
      <c r="C1131" s="8" t="s">
        <v>2431</v>
      </c>
      <c r="D1131" s="12" t="s">
        <v>39</v>
      </c>
      <c r="E1131" s="13" t="s">
        <v>41</v>
      </c>
      <c r="F1131" s="8" t="s">
        <v>42</v>
      </c>
      <c r="G1131" s="8" t="b">
        <v>0</v>
      </c>
      <c r="H1131" s="8" t="s">
        <v>4593</v>
      </c>
      <c r="I1131" s="8">
        <v>1.0</v>
      </c>
      <c r="J1131" s="8">
        <v>0.0</v>
      </c>
      <c r="K1131" s="8">
        <v>0.0</v>
      </c>
    </row>
    <row r="1132">
      <c r="A1132" s="7" t="s">
        <v>4594</v>
      </c>
      <c r="B1132" s="8" t="s">
        <v>4595</v>
      </c>
      <c r="C1132" s="7" t="s">
        <v>2433</v>
      </c>
      <c r="D1132" s="12" t="s">
        <v>39</v>
      </c>
      <c r="E1132" s="13" t="s">
        <v>41</v>
      </c>
      <c r="F1132" s="8" t="s">
        <v>42</v>
      </c>
      <c r="G1132" s="8" t="b">
        <v>0</v>
      </c>
      <c r="H1132" s="8" t="s">
        <v>4596</v>
      </c>
      <c r="I1132" s="8">
        <v>1.0</v>
      </c>
      <c r="J1132" s="8">
        <v>0.0</v>
      </c>
      <c r="K1132" s="8">
        <v>0.0</v>
      </c>
    </row>
    <row r="1133">
      <c r="A1133" s="7" t="s">
        <v>4597</v>
      </c>
      <c r="B1133" s="8" t="s">
        <v>4598</v>
      </c>
      <c r="C1133" s="7" t="s">
        <v>275</v>
      </c>
      <c r="D1133" s="12" t="s">
        <v>39</v>
      </c>
      <c r="E1133" s="13" t="s">
        <v>190</v>
      </c>
      <c r="F1133" s="8" t="s">
        <v>42</v>
      </c>
      <c r="G1133" s="8" t="b">
        <v>0</v>
      </c>
      <c r="H1133" s="8" t="s">
        <v>4599</v>
      </c>
      <c r="I1133" s="8">
        <v>1.0</v>
      </c>
      <c r="J1133" s="8">
        <v>0.0</v>
      </c>
      <c r="K1133" s="8">
        <v>0.0</v>
      </c>
    </row>
    <row r="1134">
      <c r="A1134" s="7" t="s">
        <v>4600</v>
      </c>
      <c r="B1134" s="8" t="s">
        <v>803</v>
      </c>
      <c r="C1134" s="7" t="s">
        <v>2435</v>
      </c>
      <c r="D1134" s="12" t="s">
        <v>72</v>
      </c>
      <c r="E1134" s="13" t="s">
        <v>73</v>
      </c>
      <c r="F1134" s="8" t="s">
        <v>74</v>
      </c>
      <c r="G1134" s="8" t="b">
        <v>0</v>
      </c>
      <c r="H1134" s="8" t="s">
        <v>803</v>
      </c>
      <c r="I1134" s="8">
        <v>1.0</v>
      </c>
      <c r="J1134" s="8">
        <v>0.0</v>
      </c>
      <c r="K1134" s="8">
        <v>1.0</v>
      </c>
    </row>
    <row r="1135">
      <c r="A1135" s="7" t="s">
        <v>4601</v>
      </c>
      <c r="B1135" s="8" t="s">
        <v>4602</v>
      </c>
      <c r="C1135" s="7" t="s">
        <v>2438</v>
      </c>
      <c r="D1135" s="12" t="s">
        <v>39</v>
      </c>
      <c r="E1135" s="13" t="s">
        <v>41</v>
      </c>
      <c r="F1135" s="8" t="s">
        <v>42</v>
      </c>
      <c r="G1135" s="8" t="b">
        <v>0</v>
      </c>
      <c r="H1135" s="8" t="s">
        <v>2441</v>
      </c>
      <c r="I1135" s="8">
        <v>1.0</v>
      </c>
      <c r="J1135" s="8">
        <v>0.0</v>
      </c>
      <c r="K1135" s="8">
        <v>1.0</v>
      </c>
    </row>
    <row r="1136">
      <c r="A1136" s="7" t="s">
        <v>4603</v>
      </c>
      <c r="B1136" s="8" t="s">
        <v>4604</v>
      </c>
      <c r="C1136" s="7" t="s">
        <v>2443</v>
      </c>
      <c r="D1136" s="12" t="s">
        <v>693</v>
      </c>
      <c r="E1136" s="13" t="s">
        <v>41</v>
      </c>
      <c r="F1136" s="8" t="s">
        <v>695</v>
      </c>
      <c r="G1136" s="8" t="b">
        <v>0</v>
      </c>
      <c r="I1136" s="8">
        <v>1.0</v>
      </c>
      <c r="J1136" s="8">
        <v>0.0</v>
      </c>
      <c r="K1136" s="8">
        <v>1.0</v>
      </c>
    </row>
    <row r="1137">
      <c r="A1137" s="7" t="s">
        <v>4605</v>
      </c>
      <c r="B1137" s="8" t="s">
        <v>4606</v>
      </c>
      <c r="C1137" s="7" t="s">
        <v>1576</v>
      </c>
      <c r="D1137" s="12" t="s">
        <v>693</v>
      </c>
      <c r="E1137" s="13" t="s">
        <v>41</v>
      </c>
      <c r="F1137" s="8" t="s">
        <v>695</v>
      </c>
      <c r="G1137" s="8" t="b">
        <v>0</v>
      </c>
      <c r="I1137" s="8">
        <v>1.0</v>
      </c>
      <c r="J1137" s="8">
        <v>0.0</v>
      </c>
      <c r="K1137" s="8">
        <v>1.0</v>
      </c>
    </row>
    <row r="1138">
      <c r="A1138" s="7" t="s">
        <v>4607</v>
      </c>
      <c r="B1138" s="8" t="s">
        <v>4608</v>
      </c>
      <c r="C1138" s="7" t="s">
        <v>1576</v>
      </c>
      <c r="D1138" s="12" t="s">
        <v>190</v>
      </c>
      <c r="E1138" s="13" t="s">
        <v>41</v>
      </c>
      <c r="F1138" s="8" t="s">
        <v>191</v>
      </c>
      <c r="G1138" s="8" t="b">
        <v>0</v>
      </c>
      <c r="I1138" s="8">
        <v>1.0</v>
      </c>
      <c r="J1138" s="8">
        <v>0.0</v>
      </c>
      <c r="K1138" s="8">
        <v>2.0</v>
      </c>
    </row>
    <row r="1139">
      <c r="A1139" s="7" t="s">
        <v>4609</v>
      </c>
      <c r="B1139" s="8" t="s">
        <v>4610</v>
      </c>
      <c r="C1139" s="7" t="s">
        <v>2445</v>
      </c>
      <c r="D1139" s="12" t="s">
        <v>72</v>
      </c>
      <c r="E1139" s="13" t="s">
        <v>73</v>
      </c>
      <c r="F1139" s="8" t="s">
        <v>74</v>
      </c>
      <c r="G1139" s="8" t="b">
        <v>0</v>
      </c>
      <c r="H1139" s="8" t="s">
        <v>186</v>
      </c>
      <c r="I1139" s="8">
        <v>1.0</v>
      </c>
      <c r="J1139" s="8">
        <v>0.0</v>
      </c>
      <c r="K1139" s="8">
        <v>1.0</v>
      </c>
    </row>
    <row r="1140">
      <c r="A1140" s="7" t="s">
        <v>4611</v>
      </c>
      <c r="B1140" s="8" t="s">
        <v>4612</v>
      </c>
      <c r="C1140" s="7" t="s">
        <v>2449</v>
      </c>
      <c r="D1140" s="12" t="s">
        <v>39</v>
      </c>
      <c r="E1140" s="13" t="s">
        <v>41</v>
      </c>
      <c r="F1140" s="8" t="s">
        <v>42</v>
      </c>
      <c r="G1140" s="8" t="b">
        <v>0</v>
      </c>
      <c r="H1140" s="8" t="s">
        <v>4122</v>
      </c>
      <c r="I1140" s="8">
        <v>1.0</v>
      </c>
      <c r="J1140" s="8">
        <v>0.0</v>
      </c>
      <c r="K1140" s="8">
        <v>1.0</v>
      </c>
    </row>
    <row r="1141">
      <c r="A1141" s="7" t="s">
        <v>4613</v>
      </c>
      <c r="B1141" s="8" t="s">
        <v>4614</v>
      </c>
      <c r="C1141" s="7" t="s">
        <v>2452</v>
      </c>
      <c r="D1141" s="12" t="s">
        <v>554</v>
      </c>
      <c r="E1141" s="13" t="s">
        <v>41</v>
      </c>
      <c r="F1141" s="8" t="s">
        <v>555</v>
      </c>
      <c r="G1141" s="8" t="b">
        <v>0</v>
      </c>
      <c r="I1141" s="8">
        <v>1.0</v>
      </c>
      <c r="J1141" s="8">
        <v>0.0</v>
      </c>
      <c r="K1141" s="8">
        <v>0.0</v>
      </c>
    </row>
    <row r="1142">
      <c r="A1142" s="7" t="s">
        <v>4615</v>
      </c>
      <c r="B1142" s="8" t="s">
        <v>2359</v>
      </c>
      <c r="C1142" s="7" t="s">
        <v>158</v>
      </c>
      <c r="D1142" s="12" t="s">
        <v>39</v>
      </c>
      <c r="E1142" s="13" t="s">
        <v>22</v>
      </c>
      <c r="F1142" s="8" t="s">
        <v>42</v>
      </c>
      <c r="G1142" s="8" t="b">
        <v>0</v>
      </c>
      <c r="H1142" s="8" t="s">
        <v>2360</v>
      </c>
      <c r="I1142" s="8">
        <v>1.0</v>
      </c>
      <c r="J1142" s="8">
        <v>0.0</v>
      </c>
      <c r="K1142" s="8">
        <v>3.0</v>
      </c>
    </row>
    <row r="1143">
      <c r="A1143" s="7" t="s">
        <v>4616</v>
      </c>
      <c r="B1143" s="8" t="s">
        <v>4617</v>
      </c>
      <c r="C1143" s="7" t="s">
        <v>158</v>
      </c>
      <c r="D1143" s="12" t="s">
        <v>39</v>
      </c>
      <c r="E1143" s="13" t="s">
        <v>22</v>
      </c>
      <c r="F1143" s="8" t="s">
        <v>42</v>
      </c>
      <c r="G1143" s="8" t="b">
        <v>0</v>
      </c>
      <c r="H1143" s="8" t="s">
        <v>4618</v>
      </c>
      <c r="I1143" s="8">
        <v>1.0</v>
      </c>
      <c r="J1143" s="8">
        <v>0.0</v>
      </c>
      <c r="K1143" s="8">
        <v>3.0</v>
      </c>
    </row>
    <row r="1144">
      <c r="A1144" s="7" t="s">
        <v>4619</v>
      </c>
      <c r="B1144" s="8" t="s">
        <v>4620</v>
      </c>
      <c r="C1144" s="7" t="s">
        <v>158</v>
      </c>
      <c r="D1144" s="12" t="s">
        <v>39</v>
      </c>
      <c r="E1144" s="13" t="s">
        <v>22</v>
      </c>
      <c r="F1144" s="8" t="s">
        <v>42</v>
      </c>
      <c r="G1144" s="8" t="b">
        <v>0</v>
      </c>
      <c r="H1144" s="8" t="s">
        <v>4621</v>
      </c>
      <c r="I1144" s="8">
        <v>1.0</v>
      </c>
      <c r="J1144" s="8">
        <v>0.0</v>
      </c>
      <c r="K1144" s="8">
        <v>1.0</v>
      </c>
    </row>
    <row r="1145">
      <c r="A1145" s="7" t="s">
        <v>4622</v>
      </c>
      <c r="B1145" s="8" t="s">
        <v>4623</v>
      </c>
      <c r="C1145" s="7" t="s">
        <v>2455</v>
      </c>
      <c r="D1145" s="12" t="s">
        <v>39</v>
      </c>
      <c r="E1145" s="13" t="s">
        <v>41</v>
      </c>
      <c r="F1145" s="8" t="s">
        <v>42</v>
      </c>
      <c r="G1145" s="8" t="b">
        <v>0</v>
      </c>
      <c r="H1145" s="8" t="s">
        <v>4624</v>
      </c>
      <c r="I1145" s="8">
        <v>1.0</v>
      </c>
      <c r="J1145" s="8">
        <v>0.0</v>
      </c>
      <c r="K1145" s="8">
        <v>0.0</v>
      </c>
    </row>
    <row r="1146">
      <c r="A1146" s="7" t="s">
        <v>4625</v>
      </c>
      <c r="C1146" s="7" t="s">
        <v>2743</v>
      </c>
      <c r="D1146" s="12" t="s">
        <v>190</v>
      </c>
      <c r="E1146" s="13" t="s">
        <v>190</v>
      </c>
      <c r="F1146" s="8" t="s">
        <v>191</v>
      </c>
      <c r="H1146" s="8" t="s">
        <v>1246</v>
      </c>
      <c r="I1146" s="8">
        <v>1.0</v>
      </c>
      <c r="J1146" s="8">
        <v>0.0</v>
      </c>
      <c r="K1146" s="8">
        <v>1.0</v>
      </c>
    </row>
    <row r="1147">
      <c r="A1147" s="7" t="s">
        <v>4626</v>
      </c>
      <c r="B1147" s="8" t="s">
        <v>4627</v>
      </c>
      <c r="C1147" s="7" t="s">
        <v>54</v>
      </c>
      <c r="D1147" s="12" t="s">
        <v>39</v>
      </c>
      <c r="E1147" s="13" t="s">
        <v>41</v>
      </c>
      <c r="F1147" s="8" t="s">
        <v>42</v>
      </c>
      <c r="G1147" s="8" t="b">
        <v>0</v>
      </c>
      <c r="H1147" s="8" t="s">
        <v>4628</v>
      </c>
      <c r="I1147" s="8">
        <v>1.0</v>
      </c>
      <c r="J1147" s="8">
        <v>0.0</v>
      </c>
      <c r="K1147" s="8">
        <v>1.0</v>
      </c>
    </row>
    <row r="1148">
      <c r="A1148" s="7" t="s">
        <v>4629</v>
      </c>
      <c r="B1148" s="8" t="s">
        <v>4630</v>
      </c>
      <c r="C1148" s="7" t="s">
        <v>54</v>
      </c>
      <c r="D1148" s="12" t="s">
        <v>39</v>
      </c>
      <c r="E1148" s="13" t="s">
        <v>41</v>
      </c>
      <c r="F1148" s="8" t="s">
        <v>42</v>
      </c>
      <c r="G1148" s="8" t="b">
        <v>0</v>
      </c>
      <c r="H1148" s="8" t="s">
        <v>4631</v>
      </c>
      <c r="I1148" s="8">
        <v>1.0</v>
      </c>
      <c r="J1148" s="8">
        <v>0.0</v>
      </c>
      <c r="K1148" s="8">
        <v>0.0</v>
      </c>
    </row>
    <row r="1149">
      <c r="A1149" s="7" t="s">
        <v>4632</v>
      </c>
      <c r="B1149" s="8" t="s">
        <v>4633</v>
      </c>
      <c r="C1149" s="7" t="s">
        <v>2462</v>
      </c>
      <c r="D1149" s="12" t="s">
        <v>693</v>
      </c>
      <c r="E1149" s="13" t="s">
        <v>41</v>
      </c>
      <c r="F1149" s="8" t="s">
        <v>695</v>
      </c>
      <c r="G1149" s="8" t="b">
        <v>0</v>
      </c>
      <c r="I1149" s="8">
        <v>1.0</v>
      </c>
      <c r="J1149" s="8">
        <v>0.0</v>
      </c>
      <c r="K1149" s="8">
        <v>1.0</v>
      </c>
    </row>
    <row r="1150">
      <c r="A1150" s="7" t="s">
        <v>4634</v>
      </c>
      <c r="B1150" s="8" t="s">
        <v>4635</v>
      </c>
      <c r="C1150" s="7" t="s">
        <v>2464</v>
      </c>
      <c r="D1150" s="12" t="s">
        <v>554</v>
      </c>
      <c r="E1150" s="13" t="s">
        <v>41</v>
      </c>
      <c r="F1150" s="8" t="s">
        <v>555</v>
      </c>
      <c r="G1150" s="8" t="b">
        <v>0</v>
      </c>
      <c r="H1150" s="8" t="s">
        <v>498</v>
      </c>
      <c r="I1150" s="8">
        <v>1.0</v>
      </c>
      <c r="J1150" s="8">
        <v>0.0</v>
      </c>
      <c r="K1150" s="8">
        <v>0.0</v>
      </c>
    </row>
    <row r="1151">
      <c r="A1151" s="7" t="s">
        <v>4636</v>
      </c>
      <c r="B1151" s="8" t="s">
        <v>4637</v>
      </c>
      <c r="C1151" s="8" t="s">
        <v>1359</v>
      </c>
      <c r="D1151" s="12" t="s">
        <v>39</v>
      </c>
      <c r="E1151" s="13" t="s">
        <v>41</v>
      </c>
      <c r="F1151" s="8" t="s">
        <v>42</v>
      </c>
      <c r="G1151" s="8" t="b">
        <v>0</v>
      </c>
      <c r="H1151" s="8" t="s">
        <v>4638</v>
      </c>
      <c r="I1151" s="8">
        <v>1.0</v>
      </c>
      <c r="J1151" s="8">
        <v>0.0</v>
      </c>
      <c r="K1151" s="8">
        <v>1.0</v>
      </c>
    </row>
    <row r="1152">
      <c r="A1152" s="7" t="s">
        <v>4639</v>
      </c>
      <c r="B1152" s="8" t="s">
        <v>4640</v>
      </c>
      <c r="C1152" s="8" t="s">
        <v>1359</v>
      </c>
      <c r="D1152" s="12" t="s">
        <v>39</v>
      </c>
      <c r="E1152" s="13" t="s">
        <v>41</v>
      </c>
      <c r="F1152" s="8" t="s">
        <v>42</v>
      </c>
      <c r="G1152" s="8" t="b">
        <v>0</v>
      </c>
      <c r="H1152" s="8" t="s">
        <v>4641</v>
      </c>
      <c r="I1152" s="8">
        <v>1.0</v>
      </c>
      <c r="J1152" s="8">
        <v>0.0</v>
      </c>
      <c r="K1152" s="8">
        <v>1.0</v>
      </c>
    </row>
    <row r="1153">
      <c r="A1153" s="7" t="s">
        <v>4642</v>
      </c>
      <c r="B1153" s="8" t="s">
        <v>4643</v>
      </c>
      <c r="C1153" s="7" t="s">
        <v>624</v>
      </c>
      <c r="D1153" s="12" t="s">
        <v>693</v>
      </c>
      <c r="E1153" s="13" t="s">
        <v>753</v>
      </c>
      <c r="F1153" s="8" t="s">
        <v>695</v>
      </c>
      <c r="G1153" s="8" t="b">
        <v>0</v>
      </c>
      <c r="H1153" s="8" t="s">
        <v>1077</v>
      </c>
      <c r="I1153" s="8">
        <v>1.0</v>
      </c>
      <c r="J1153" s="8">
        <v>0.0</v>
      </c>
      <c r="K1153" s="8">
        <v>2.0</v>
      </c>
    </row>
    <row r="1154">
      <c r="A1154" s="7" t="s">
        <v>4644</v>
      </c>
      <c r="B1154" s="8" t="s">
        <v>4645</v>
      </c>
      <c r="C1154" s="7" t="s">
        <v>624</v>
      </c>
      <c r="D1154" s="12" t="s">
        <v>693</v>
      </c>
      <c r="E1154" s="13" t="s">
        <v>753</v>
      </c>
      <c r="F1154" s="8" t="s">
        <v>695</v>
      </c>
      <c r="G1154" s="8" t="b">
        <v>0</v>
      </c>
      <c r="H1154" s="8" t="s">
        <v>1077</v>
      </c>
      <c r="I1154" s="8">
        <v>1.0</v>
      </c>
      <c r="J1154" s="8">
        <v>0.0</v>
      </c>
      <c r="K1154" s="8">
        <v>1.0</v>
      </c>
    </row>
    <row r="1155">
      <c r="A1155" s="7" t="s">
        <v>4646</v>
      </c>
      <c r="B1155" s="8" t="s">
        <v>4647</v>
      </c>
      <c r="C1155" s="7" t="s">
        <v>2467</v>
      </c>
      <c r="D1155" s="12" t="s">
        <v>39</v>
      </c>
      <c r="E1155" s="13" t="s">
        <v>41</v>
      </c>
      <c r="F1155" s="8" t="s">
        <v>42</v>
      </c>
      <c r="G1155" s="8" t="b">
        <v>0</v>
      </c>
      <c r="I1155" s="8">
        <v>1.0</v>
      </c>
      <c r="J1155" s="8">
        <v>0.0</v>
      </c>
      <c r="K1155" s="8">
        <v>0.0</v>
      </c>
    </row>
    <row r="1156">
      <c r="A1156" s="7" t="s">
        <v>4648</v>
      </c>
      <c r="B1156" s="8" t="s">
        <v>4649</v>
      </c>
      <c r="C1156" s="7" t="s">
        <v>2470</v>
      </c>
      <c r="D1156" s="12" t="s">
        <v>39</v>
      </c>
      <c r="E1156" s="13" t="s">
        <v>753</v>
      </c>
      <c r="F1156" s="8" t="s">
        <v>42</v>
      </c>
      <c r="G1156" s="8" t="b">
        <v>0</v>
      </c>
      <c r="H1156" s="8" t="s">
        <v>4650</v>
      </c>
      <c r="I1156" s="8">
        <v>1.0</v>
      </c>
      <c r="J1156" s="8">
        <v>0.0</v>
      </c>
      <c r="K1156" s="8">
        <v>1.0</v>
      </c>
    </row>
    <row r="1157">
      <c r="A1157" s="7" t="s">
        <v>4651</v>
      </c>
      <c r="B1157" s="8" t="s">
        <v>4652</v>
      </c>
      <c r="C1157" s="7" t="s">
        <v>2474</v>
      </c>
      <c r="D1157" s="12" t="s">
        <v>766</v>
      </c>
      <c r="E1157" s="13" t="s">
        <v>41</v>
      </c>
      <c r="F1157" s="8" t="s">
        <v>767</v>
      </c>
      <c r="G1157" s="8" t="b">
        <v>0</v>
      </c>
      <c r="I1157" s="8">
        <v>1.0</v>
      </c>
      <c r="J1157" s="8">
        <v>0.0</v>
      </c>
      <c r="K1157" s="8">
        <v>1.0</v>
      </c>
    </row>
    <row r="1158">
      <c r="A1158" s="7" t="s">
        <v>4653</v>
      </c>
      <c r="B1158" s="8" t="s">
        <v>4654</v>
      </c>
      <c r="C1158" s="7" t="s">
        <v>1701</v>
      </c>
      <c r="D1158" s="12" t="s">
        <v>554</v>
      </c>
      <c r="E1158" s="13" t="s">
        <v>22</v>
      </c>
      <c r="F1158" s="8" t="s">
        <v>555</v>
      </c>
      <c r="G1158" s="8" t="b">
        <v>0</v>
      </c>
      <c r="H1158" s="8" t="s">
        <v>4655</v>
      </c>
      <c r="I1158" s="8">
        <v>1.0</v>
      </c>
      <c r="J1158" s="8">
        <v>0.0</v>
      </c>
      <c r="K1158" s="8">
        <v>2.0</v>
      </c>
    </row>
    <row r="1159">
      <c r="A1159" s="7" t="s">
        <v>4656</v>
      </c>
      <c r="B1159" s="8" t="s">
        <v>4657</v>
      </c>
      <c r="C1159" s="7" t="s">
        <v>1701</v>
      </c>
      <c r="D1159" s="12" t="s">
        <v>766</v>
      </c>
      <c r="E1159" s="13" t="s">
        <v>22</v>
      </c>
      <c r="F1159" s="8" t="s">
        <v>767</v>
      </c>
      <c r="G1159" s="8" t="b">
        <v>0</v>
      </c>
      <c r="H1159" s="8" t="s">
        <v>1252</v>
      </c>
      <c r="I1159" s="8">
        <v>1.0</v>
      </c>
      <c r="J1159" s="8">
        <v>0.0</v>
      </c>
      <c r="K1159" s="8">
        <v>1.0</v>
      </c>
    </row>
    <row r="1160">
      <c r="A1160" s="7" t="s">
        <v>4658</v>
      </c>
      <c r="B1160" s="8" t="s">
        <v>4659</v>
      </c>
      <c r="C1160" s="7" t="s">
        <v>876</v>
      </c>
      <c r="D1160" s="12" t="s">
        <v>39</v>
      </c>
      <c r="E1160" s="13" t="s">
        <v>41</v>
      </c>
      <c r="F1160" s="8" t="s">
        <v>42</v>
      </c>
      <c r="G1160" s="8" t="b">
        <v>0</v>
      </c>
      <c r="H1160" s="8" t="s">
        <v>4660</v>
      </c>
      <c r="I1160" s="8">
        <v>1.0</v>
      </c>
      <c r="J1160" s="8">
        <v>0.0</v>
      </c>
      <c r="K1160" s="8">
        <v>1.0</v>
      </c>
    </row>
    <row r="1161">
      <c r="A1161" s="7" t="s">
        <v>4661</v>
      </c>
      <c r="B1161" s="8" t="s">
        <v>4662</v>
      </c>
      <c r="C1161" s="7" t="s">
        <v>26</v>
      </c>
      <c r="D1161" s="12" t="s">
        <v>21</v>
      </c>
      <c r="E1161" s="13" t="s">
        <v>41</v>
      </c>
      <c r="F1161" s="8" t="s">
        <v>24</v>
      </c>
      <c r="G1161" s="8" t="b">
        <v>0</v>
      </c>
      <c r="H1161" s="8" t="s">
        <v>4663</v>
      </c>
      <c r="I1161" s="8">
        <v>1.0</v>
      </c>
      <c r="J1161" s="8">
        <v>0.0</v>
      </c>
      <c r="K1161" s="8">
        <v>0.0</v>
      </c>
    </row>
    <row r="1162">
      <c r="A1162" s="7" t="s">
        <v>4664</v>
      </c>
      <c r="B1162" s="8" t="s">
        <v>4665</v>
      </c>
      <c r="C1162" s="7" t="s">
        <v>26</v>
      </c>
      <c r="D1162" s="12" t="s">
        <v>21</v>
      </c>
      <c r="E1162" s="13" t="s">
        <v>41</v>
      </c>
      <c r="F1162" s="8" t="s">
        <v>24</v>
      </c>
      <c r="G1162" s="8" t="b">
        <v>0</v>
      </c>
      <c r="H1162" s="8" t="s">
        <v>4666</v>
      </c>
      <c r="I1162" s="8">
        <v>1.0</v>
      </c>
      <c r="J1162" s="8">
        <v>0.0</v>
      </c>
      <c r="K1162" s="8">
        <v>0.0</v>
      </c>
    </row>
    <row r="1163">
      <c r="A1163" s="7" t="s">
        <v>4667</v>
      </c>
      <c r="B1163" s="8" t="s">
        <v>4668</v>
      </c>
      <c r="C1163" s="7" t="s">
        <v>26</v>
      </c>
      <c r="D1163" s="12" t="s">
        <v>21</v>
      </c>
      <c r="E1163" s="13" t="s">
        <v>41</v>
      </c>
      <c r="F1163" s="8" t="s">
        <v>24</v>
      </c>
      <c r="G1163" s="8" t="b">
        <v>0</v>
      </c>
      <c r="H1163" s="8" t="s">
        <v>4669</v>
      </c>
      <c r="I1163" s="8">
        <v>1.0</v>
      </c>
      <c r="J1163" s="8">
        <v>0.0</v>
      </c>
      <c r="K1163" s="8">
        <v>0.0</v>
      </c>
    </row>
    <row r="1164">
      <c r="A1164" s="7" t="s">
        <v>4670</v>
      </c>
      <c r="B1164" s="8" t="s">
        <v>4671</v>
      </c>
      <c r="C1164" s="7" t="s">
        <v>26</v>
      </c>
      <c r="D1164" s="12" t="s">
        <v>39</v>
      </c>
      <c r="E1164" s="13" t="s">
        <v>41</v>
      </c>
      <c r="F1164" s="8" t="s">
        <v>42</v>
      </c>
      <c r="G1164" s="8" t="b">
        <v>0</v>
      </c>
      <c r="I1164" s="8">
        <v>1.0</v>
      </c>
      <c r="J1164" s="8">
        <v>0.0</v>
      </c>
      <c r="K1164" s="8">
        <v>1.0</v>
      </c>
    </row>
    <row r="1165">
      <c r="A1165" s="7" t="s">
        <v>4672</v>
      </c>
      <c r="B1165" s="8" t="s">
        <v>4673</v>
      </c>
      <c r="C1165" s="7" t="s">
        <v>786</v>
      </c>
      <c r="D1165" s="12" t="s">
        <v>39</v>
      </c>
      <c r="E1165" s="13" t="s">
        <v>41</v>
      </c>
      <c r="F1165" s="8" t="s">
        <v>42</v>
      </c>
      <c r="G1165" s="8" t="b">
        <v>0</v>
      </c>
      <c r="I1165" s="8">
        <v>1.0</v>
      </c>
      <c r="J1165" s="8">
        <v>0.0</v>
      </c>
      <c r="K1165" s="8">
        <v>1.0</v>
      </c>
    </row>
    <row r="1166">
      <c r="A1166" s="7" t="s">
        <v>4674</v>
      </c>
      <c r="B1166" s="8" t="s">
        <v>4675</v>
      </c>
      <c r="C1166" s="7" t="s">
        <v>2478</v>
      </c>
      <c r="D1166" s="12" t="s">
        <v>39</v>
      </c>
      <c r="E1166" s="13" t="s">
        <v>41</v>
      </c>
      <c r="F1166" s="8" t="s">
        <v>42</v>
      </c>
      <c r="G1166" s="8" t="b">
        <v>0</v>
      </c>
      <c r="H1166" s="8" t="s">
        <v>4676</v>
      </c>
      <c r="I1166" s="8">
        <v>1.0</v>
      </c>
      <c r="J1166" s="8">
        <v>0.0</v>
      </c>
      <c r="K1166" s="8">
        <v>1.0</v>
      </c>
    </row>
    <row r="1167">
      <c r="A1167" s="7" t="s">
        <v>4677</v>
      </c>
      <c r="B1167" s="8" t="s">
        <v>4678</v>
      </c>
      <c r="C1167" s="7" t="s">
        <v>2482</v>
      </c>
      <c r="D1167" s="12" t="s">
        <v>766</v>
      </c>
      <c r="E1167" s="13" t="s">
        <v>41</v>
      </c>
      <c r="F1167" s="8" t="s">
        <v>767</v>
      </c>
      <c r="G1167" s="8" t="b">
        <v>0</v>
      </c>
      <c r="I1167" s="8">
        <v>1.0</v>
      </c>
      <c r="J1167" s="8">
        <v>0.0</v>
      </c>
      <c r="K1167" s="8">
        <v>1.0</v>
      </c>
    </row>
    <row r="1168">
      <c r="A1168" s="7" t="s">
        <v>4679</v>
      </c>
      <c r="C1168" s="7" t="s">
        <v>2485</v>
      </c>
      <c r="D1168" s="12" t="s">
        <v>190</v>
      </c>
      <c r="E1168" s="13" t="s">
        <v>41</v>
      </c>
      <c r="F1168" s="8" t="s">
        <v>191</v>
      </c>
      <c r="G1168" s="8" t="b">
        <v>0</v>
      </c>
      <c r="I1168" s="8">
        <v>1.0</v>
      </c>
      <c r="J1168" s="8">
        <v>0.0</v>
      </c>
      <c r="K1168" s="8">
        <v>1.0</v>
      </c>
    </row>
    <row r="1169">
      <c r="A1169" s="7" t="s">
        <v>4680</v>
      </c>
      <c r="B1169" s="8" t="s">
        <v>4681</v>
      </c>
      <c r="C1169" s="7" t="s">
        <v>2488</v>
      </c>
      <c r="D1169" s="12" t="s">
        <v>39</v>
      </c>
      <c r="E1169" s="13" t="s">
        <v>41</v>
      </c>
      <c r="F1169" s="8" t="s">
        <v>42</v>
      </c>
      <c r="G1169" s="8" t="b">
        <v>0</v>
      </c>
      <c r="H1169" s="8" t="s">
        <v>4682</v>
      </c>
      <c r="I1169" s="8">
        <v>1.0</v>
      </c>
      <c r="J1169" s="8">
        <v>0.0</v>
      </c>
      <c r="K1169" s="8">
        <v>1.0</v>
      </c>
    </row>
    <row r="1170">
      <c r="A1170" s="7" t="s">
        <v>4683</v>
      </c>
      <c r="B1170" s="8" t="s">
        <v>4684</v>
      </c>
      <c r="C1170" s="7" t="s">
        <v>46</v>
      </c>
      <c r="D1170" s="12" t="s">
        <v>21</v>
      </c>
      <c r="E1170" s="13" t="s">
        <v>73</v>
      </c>
      <c r="F1170" s="8" t="s">
        <v>24</v>
      </c>
      <c r="G1170" s="8" t="b">
        <v>0</v>
      </c>
      <c r="H1170" s="8" t="s">
        <v>4685</v>
      </c>
      <c r="I1170" s="8">
        <v>1.0</v>
      </c>
      <c r="J1170" s="8">
        <v>0.0</v>
      </c>
      <c r="K1170" s="8">
        <v>1.0</v>
      </c>
    </row>
    <row r="1171">
      <c r="A1171" s="7" t="s">
        <v>4686</v>
      </c>
      <c r="B1171" s="8" t="s">
        <v>4687</v>
      </c>
      <c r="C1171" s="7" t="s">
        <v>46</v>
      </c>
      <c r="D1171" s="12" t="s">
        <v>21</v>
      </c>
      <c r="E1171" s="13" t="s">
        <v>73</v>
      </c>
      <c r="F1171" s="8" t="s">
        <v>24</v>
      </c>
      <c r="G1171" s="8" t="b">
        <v>0</v>
      </c>
      <c r="H1171" s="8" t="s">
        <v>4688</v>
      </c>
      <c r="I1171" s="8">
        <v>1.0</v>
      </c>
      <c r="J1171" s="8">
        <v>0.0</v>
      </c>
      <c r="K1171" s="8">
        <v>1.0</v>
      </c>
    </row>
    <row r="1172">
      <c r="A1172" s="7" t="s">
        <v>4689</v>
      </c>
      <c r="B1172" s="8" t="s">
        <v>4690</v>
      </c>
      <c r="C1172" s="7" t="s">
        <v>46</v>
      </c>
      <c r="D1172" s="12" t="s">
        <v>72</v>
      </c>
      <c r="E1172" s="13" t="s">
        <v>73</v>
      </c>
      <c r="F1172" s="8" t="s">
        <v>74</v>
      </c>
      <c r="G1172" s="8" t="b">
        <v>0</v>
      </c>
      <c r="H1172" s="8" t="s">
        <v>1320</v>
      </c>
      <c r="I1172" s="8">
        <v>1.0</v>
      </c>
      <c r="J1172" s="8">
        <v>0.0</v>
      </c>
      <c r="K1172" s="8">
        <v>0.0</v>
      </c>
    </row>
    <row r="1173">
      <c r="A1173" s="7" t="s">
        <v>4691</v>
      </c>
      <c r="B1173" s="8" t="s">
        <v>4692</v>
      </c>
      <c r="C1173" s="7" t="s">
        <v>46</v>
      </c>
      <c r="D1173" s="12" t="s">
        <v>72</v>
      </c>
      <c r="E1173" s="13" t="s">
        <v>73</v>
      </c>
      <c r="F1173" s="8" t="s">
        <v>74</v>
      </c>
      <c r="G1173" s="8" t="b">
        <v>0</v>
      </c>
      <c r="H1173" s="8" t="s">
        <v>1786</v>
      </c>
      <c r="I1173" s="8">
        <v>1.0</v>
      </c>
      <c r="J1173" s="8">
        <v>0.0</v>
      </c>
      <c r="K1173" s="8">
        <v>1.0</v>
      </c>
    </row>
    <row r="1174">
      <c r="A1174" s="7" t="s">
        <v>4693</v>
      </c>
      <c r="B1174" s="8" t="s">
        <v>4694</v>
      </c>
      <c r="C1174" s="7" t="s">
        <v>46</v>
      </c>
      <c r="D1174" s="12" t="s">
        <v>693</v>
      </c>
      <c r="E1174" s="13" t="s">
        <v>73</v>
      </c>
      <c r="F1174" s="8" t="s">
        <v>695</v>
      </c>
      <c r="G1174" s="8" t="b">
        <v>0</v>
      </c>
      <c r="H1174" s="8" t="s">
        <v>4695</v>
      </c>
      <c r="I1174" s="8">
        <v>1.0</v>
      </c>
      <c r="J1174" s="8">
        <v>0.0</v>
      </c>
      <c r="K1174" s="8">
        <v>2.0</v>
      </c>
    </row>
    <row r="1175">
      <c r="A1175" s="7" t="s">
        <v>4696</v>
      </c>
      <c r="B1175" s="8" t="s">
        <v>4697</v>
      </c>
      <c r="C1175" s="7" t="s">
        <v>2032</v>
      </c>
      <c r="D1175" s="12" t="s">
        <v>190</v>
      </c>
      <c r="E1175" s="13" t="s">
        <v>41</v>
      </c>
      <c r="F1175" s="8" t="s">
        <v>191</v>
      </c>
      <c r="G1175" s="8" t="b">
        <v>0</v>
      </c>
      <c r="H1175" s="8" t="s">
        <v>3318</v>
      </c>
      <c r="I1175" s="8">
        <v>1.0</v>
      </c>
      <c r="J1175" s="8">
        <v>0.0</v>
      </c>
      <c r="K1175" s="8">
        <v>0.0</v>
      </c>
    </row>
    <row r="1176">
      <c r="A1176" s="7" t="s">
        <v>4698</v>
      </c>
      <c r="B1176" s="8" t="s">
        <v>4699</v>
      </c>
      <c r="C1176" s="7" t="s">
        <v>2032</v>
      </c>
      <c r="D1176" s="12" t="s">
        <v>560</v>
      </c>
      <c r="E1176" s="13" t="s">
        <v>41</v>
      </c>
      <c r="F1176" s="8" t="s">
        <v>561</v>
      </c>
      <c r="G1176" s="8" t="b">
        <v>0</v>
      </c>
      <c r="H1176" s="8" t="s">
        <v>4700</v>
      </c>
      <c r="I1176" s="8">
        <v>1.0</v>
      </c>
      <c r="J1176" s="8">
        <v>0.0</v>
      </c>
      <c r="K1176" s="8">
        <v>0.0</v>
      </c>
    </row>
    <row r="1177">
      <c r="A1177" s="7" t="s">
        <v>4701</v>
      </c>
      <c r="B1177" s="8" t="s">
        <v>4702</v>
      </c>
      <c r="C1177" s="7" t="s">
        <v>880</v>
      </c>
      <c r="D1177" s="12" t="s">
        <v>39</v>
      </c>
      <c r="E1177" s="13" t="s">
        <v>76</v>
      </c>
      <c r="F1177" s="8" t="s">
        <v>42</v>
      </c>
      <c r="G1177" s="8" t="b">
        <v>0</v>
      </c>
      <c r="H1177" s="8" t="s">
        <v>724</v>
      </c>
      <c r="I1177" s="8">
        <v>1.0</v>
      </c>
      <c r="J1177" s="8">
        <v>0.0</v>
      </c>
      <c r="K1177" s="8">
        <v>0.0</v>
      </c>
    </row>
    <row r="1178">
      <c r="A1178" s="7" t="s">
        <v>4703</v>
      </c>
      <c r="B1178" s="8" t="s">
        <v>4704</v>
      </c>
      <c r="C1178" s="7" t="s">
        <v>1049</v>
      </c>
      <c r="D1178" s="12" t="s">
        <v>39</v>
      </c>
      <c r="E1178" s="13" t="s">
        <v>41</v>
      </c>
      <c r="F1178" s="8" t="s">
        <v>42</v>
      </c>
      <c r="G1178" s="8" t="b">
        <v>0</v>
      </c>
      <c r="H1178" s="8" t="s">
        <v>2255</v>
      </c>
      <c r="I1178" s="8">
        <v>1.0</v>
      </c>
      <c r="J1178" s="8">
        <v>0.0</v>
      </c>
      <c r="K1178" s="8">
        <v>2.0</v>
      </c>
    </row>
    <row r="1179">
      <c r="A1179" s="7" t="s">
        <v>4705</v>
      </c>
      <c r="B1179" s="8" t="s">
        <v>2672</v>
      </c>
      <c r="C1179" s="7" t="s">
        <v>1049</v>
      </c>
      <c r="D1179" s="12" t="s">
        <v>39</v>
      </c>
      <c r="E1179" s="13" t="s">
        <v>41</v>
      </c>
      <c r="F1179" s="8" t="s">
        <v>42</v>
      </c>
      <c r="G1179" s="8" t="b">
        <v>0</v>
      </c>
      <c r="H1179" s="8" t="s">
        <v>2674</v>
      </c>
      <c r="I1179" s="8">
        <v>1.0</v>
      </c>
      <c r="J1179" s="8">
        <v>0.0</v>
      </c>
      <c r="K1179" s="8">
        <v>1.0</v>
      </c>
    </row>
    <row r="1180">
      <c r="A1180" s="7" t="s">
        <v>4706</v>
      </c>
      <c r="B1180" s="8" t="s">
        <v>4707</v>
      </c>
      <c r="C1180" s="7" t="s">
        <v>2491</v>
      </c>
      <c r="D1180" s="12" t="s">
        <v>554</v>
      </c>
      <c r="E1180" s="13" t="s">
        <v>41</v>
      </c>
      <c r="F1180" s="8" t="s">
        <v>555</v>
      </c>
      <c r="G1180" s="8" t="b">
        <v>0</v>
      </c>
      <c r="I1180" s="8">
        <v>1.0</v>
      </c>
      <c r="J1180" s="8">
        <v>0.0</v>
      </c>
      <c r="K1180" s="8">
        <v>1.0</v>
      </c>
    </row>
    <row r="1181">
      <c r="A1181" s="7" t="s">
        <v>4708</v>
      </c>
      <c r="B1181" s="8" t="s">
        <v>4709</v>
      </c>
      <c r="C1181" s="7" t="s">
        <v>52</v>
      </c>
      <c r="D1181" s="12" t="s">
        <v>39</v>
      </c>
      <c r="E1181" s="13" t="s">
        <v>22</v>
      </c>
      <c r="F1181" s="8" t="s">
        <v>42</v>
      </c>
      <c r="G1181" s="8" t="b">
        <v>0</v>
      </c>
      <c r="H1181" s="8" t="s">
        <v>4710</v>
      </c>
      <c r="I1181" s="8">
        <v>1.0</v>
      </c>
      <c r="J1181" s="8">
        <v>0.0</v>
      </c>
      <c r="K1181" s="8">
        <v>1.0</v>
      </c>
    </row>
    <row r="1182">
      <c r="A1182" s="7" t="s">
        <v>4711</v>
      </c>
      <c r="B1182" s="8" t="s">
        <v>4712</v>
      </c>
      <c r="C1182" s="7" t="s">
        <v>52</v>
      </c>
      <c r="D1182" s="12" t="s">
        <v>39</v>
      </c>
      <c r="E1182" s="13" t="s">
        <v>22</v>
      </c>
      <c r="F1182" s="8" t="s">
        <v>42</v>
      </c>
      <c r="G1182" s="8" t="b">
        <v>0</v>
      </c>
      <c r="H1182" s="8" t="s">
        <v>4713</v>
      </c>
      <c r="I1182" s="8">
        <v>1.0</v>
      </c>
      <c r="J1182" s="8">
        <v>0.0</v>
      </c>
      <c r="K1182" s="8">
        <v>1.0</v>
      </c>
    </row>
    <row r="1183">
      <c r="A1183" s="7" t="s">
        <v>4714</v>
      </c>
      <c r="C1183" s="7" t="s">
        <v>52</v>
      </c>
      <c r="D1183" s="12" t="s">
        <v>190</v>
      </c>
      <c r="E1183" s="13" t="s">
        <v>22</v>
      </c>
      <c r="F1183" s="8" t="s">
        <v>191</v>
      </c>
      <c r="G1183" s="8" t="b">
        <v>0</v>
      </c>
      <c r="H1183" s="8" t="s">
        <v>3085</v>
      </c>
      <c r="I1183" s="8">
        <v>1.0</v>
      </c>
      <c r="J1183" s="8">
        <v>0.0</v>
      </c>
      <c r="K1183" s="8">
        <v>1.0</v>
      </c>
    </row>
    <row r="1184">
      <c r="A1184" s="7" t="s">
        <v>4715</v>
      </c>
      <c r="B1184" s="8" t="s">
        <v>4716</v>
      </c>
      <c r="C1184" s="7" t="s">
        <v>2495</v>
      </c>
      <c r="D1184" s="12" t="s">
        <v>766</v>
      </c>
      <c r="E1184" s="13" t="s">
        <v>41</v>
      </c>
      <c r="F1184" s="8" t="s">
        <v>767</v>
      </c>
      <c r="G1184" s="8" t="b">
        <v>0</v>
      </c>
      <c r="H1184" s="8" t="s">
        <v>186</v>
      </c>
      <c r="I1184" s="8">
        <v>1.0</v>
      </c>
      <c r="J1184" s="8">
        <v>0.0</v>
      </c>
      <c r="K1184" s="8">
        <v>1.0</v>
      </c>
    </row>
    <row r="1185">
      <c r="A1185" s="7" t="s">
        <v>4717</v>
      </c>
      <c r="B1185" s="8" t="s">
        <v>4718</v>
      </c>
      <c r="C1185" s="7" t="s">
        <v>165</v>
      </c>
      <c r="D1185" s="12" t="s">
        <v>766</v>
      </c>
      <c r="E1185" s="13" t="s">
        <v>22</v>
      </c>
      <c r="F1185" s="8" t="s">
        <v>767</v>
      </c>
      <c r="G1185" s="8" t="b">
        <v>0</v>
      </c>
      <c r="H1185" s="8" t="s">
        <v>4719</v>
      </c>
      <c r="I1185" s="8">
        <v>1.0</v>
      </c>
      <c r="J1185" s="8">
        <v>0.0</v>
      </c>
      <c r="K1185" s="8">
        <v>1.0</v>
      </c>
    </row>
    <row r="1186">
      <c r="A1186" s="7" t="s">
        <v>4720</v>
      </c>
      <c r="B1186" s="8" t="s">
        <v>4721</v>
      </c>
      <c r="C1186" s="7" t="s">
        <v>165</v>
      </c>
      <c r="D1186" s="12" t="s">
        <v>39</v>
      </c>
      <c r="E1186" s="13" t="s">
        <v>22</v>
      </c>
      <c r="F1186" s="8" t="s">
        <v>42</v>
      </c>
      <c r="G1186" s="8" t="b">
        <v>0</v>
      </c>
      <c r="H1186" s="8" t="s">
        <v>4722</v>
      </c>
      <c r="I1186" s="8">
        <v>1.0</v>
      </c>
      <c r="J1186" s="8">
        <v>0.0</v>
      </c>
      <c r="K1186" s="8">
        <v>1.0</v>
      </c>
    </row>
    <row r="1187">
      <c r="A1187" s="7" t="s">
        <v>4723</v>
      </c>
      <c r="B1187" s="8" t="s">
        <v>4724</v>
      </c>
      <c r="C1187" s="7" t="s">
        <v>165</v>
      </c>
      <c r="D1187" s="12" t="s">
        <v>39</v>
      </c>
      <c r="E1187" s="13" t="s">
        <v>22</v>
      </c>
      <c r="F1187" s="8" t="s">
        <v>42</v>
      </c>
      <c r="G1187" s="8" t="b">
        <v>0</v>
      </c>
      <c r="H1187" s="8" t="s">
        <v>4725</v>
      </c>
      <c r="I1187" s="8">
        <v>1.0</v>
      </c>
      <c r="J1187" s="8">
        <v>0.0</v>
      </c>
      <c r="K1187" s="8">
        <v>1.0</v>
      </c>
    </row>
    <row r="1188">
      <c r="A1188" s="7" t="s">
        <v>4726</v>
      </c>
      <c r="B1188" s="8" t="s">
        <v>4727</v>
      </c>
      <c r="C1188" s="7" t="s">
        <v>165</v>
      </c>
      <c r="D1188" s="12" t="s">
        <v>104</v>
      </c>
      <c r="E1188" s="13" t="s">
        <v>22</v>
      </c>
      <c r="F1188" s="8" t="s">
        <v>106</v>
      </c>
      <c r="G1188" s="8" t="b">
        <v>0</v>
      </c>
      <c r="H1188" s="8" t="s">
        <v>4728</v>
      </c>
      <c r="I1188" s="8">
        <v>1.0</v>
      </c>
      <c r="J1188" s="8">
        <v>0.0</v>
      </c>
      <c r="K1188" s="8">
        <v>2.0</v>
      </c>
    </row>
    <row r="1189">
      <c r="A1189" s="7" t="s">
        <v>4729</v>
      </c>
      <c r="B1189" s="8" t="s">
        <v>4730</v>
      </c>
      <c r="C1189" s="7" t="s">
        <v>165</v>
      </c>
      <c r="D1189" s="12" t="s">
        <v>766</v>
      </c>
      <c r="E1189" s="13" t="s">
        <v>22</v>
      </c>
      <c r="F1189" s="8" t="s">
        <v>767</v>
      </c>
      <c r="G1189" s="8" t="b">
        <v>0</v>
      </c>
      <c r="H1189" s="8" t="s">
        <v>679</v>
      </c>
      <c r="I1189" s="8">
        <v>1.0</v>
      </c>
      <c r="J1189" s="8">
        <v>0.0</v>
      </c>
      <c r="K1189" s="8">
        <v>1.0</v>
      </c>
    </row>
    <row r="1190">
      <c r="A1190" s="7" t="s">
        <v>4731</v>
      </c>
      <c r="C1190" s="7" t="s">
        <v>2498</v>
      </c>
      <c r="D1190" s="12" t="s">
        <v>190</v>
      </c>
      <c r="E1190" s="13" t="s">
        <v>190</v>
      </c>
      <c r="F1190" s="8" t="s">
        <v>191</v>
      </c>
      <c r="H1190" s="8" t="s">
        <v>1246</v>
      </c>
      <c r="I1190" s="8">
        <v>1.0</v>
      </c>
      <c r="J1190" s="8">
        <v>0.0</v>
      </c>
      <c r="K1190" s="8">
        <v>1.0</v>
      </c>
    </row>
    <row r="1191">
      <c r="A1191" s="7" t="s">
        <v>4732</v>
      </c>
      <c r="B1191" s="8" t="s">
        <v>4733</v>
      </c>
      <c r="C1191" s="7" t="s">
        <v>2501</v>
      </c>
      <c r="D1191" s="12" t="s">
        <v>39</v>
      </c>
      <c r="E1191" s="13" t="s">
        <v>190</v>
      </c>
      <c r="F1191" s="8" t="s">
        <v>42</v>
      </c>
      <c r="G1191" s="8" t="b">
        <v>0</v>
      </c>
      <c r="H1191" s="8" t="s">
        <v>2504</v>
      </c>
      <c r="I1191" s="8">
        <v>1.0</v>
      </c>
      <c r="J1191" s="8">
        <v>0.0</v>
      </c>
      <c r="K1191" s="8">
        <v>0.0</v>
      </c>
    </row>
    <row r="1192">
      <c r="A1192" s="7" t="s">
        <v>4734</v>
      </c>
      <c r="B1192" s="8" t="s">
        <v>4735</v>
      </c>
      <c r="C1192" s="7" t="s">
        <v>2505</v>
      </c>
      <c r="D1192" s="12" t="s">
        <v>39</v>
      </c>
      <c r="E1192" s="13" t="s">
        <v>41</v>
      </c>
      <c r="F1192" s="8" t="s">
        <v>42</v>
      </c>
      <c r="G1192" s="8" t="b">
        <v>0</v>
      </c>
      <c r="I1192" s="8">
        <v>1.0</v>
      </c>
      <c r="J1192" s="8">
        <v>0.0</v>
      </c>
      <c r="K1192" s="8">
        <v>0.0</v>
      </c>
    </row>
    <row r="1193">
      <c r="A1193" s="7" t="s">
        <v>4736</v>
      </c>
      <c r="B1193" s="8" t="s">
        <v>4737</v>
      </c>
      <c r="C1193" s="7" t="s">
        <v>2509</v>
      </c>
      <c r="D1193" s="12" t="s">
        <v>39</v>
      </c>
      <c r="E1193" s="13" t="s">
        <v>41</v>
      </c>
      <c r="F1193" s="8" t="s">
        <v>42</v>
      </c>
      <c r="G1193" s="8" t="b">
        <v>0</v>
      </c>
      <c r="H1193" s="8" t="s">
        <v>4738</v>
      </c>
      <c r="I1193" s="8">
        <v>1.0</v>
      </c>
      <c r="J1193" s="8">
        <v>0.0</v>
      </c>
      <c r="K1193" s="8">
        <v>1.0</v>
      </c>
    </row>
    <row r="1194">
      <c r="A1194" s="7" t="s">
        <v>4739</v>
      </c>
      <c r="B1194" s="8" t="s">
        <v>4740</v>
      </c>
      <c r="C1194" s="7" t="s">
        <v>2514</v>
      </c>
      <c r="D1194" s="12" t="s">
        <v>39</v>
      </c>
      <c r="E1194" s="13" t="s">
        <v>41</v>
      </c>
      <c r="F1194" s="8" t="s">
        <v>42</v>
      </c>
      <c r="G1194" s="8" t="b">
        <v>0</v>
      </c>
      <c r="H1194" s="8" t="s">
        <v>2517</v>
      </c>
      <c r="I1194" s="8">
        <v>1.0</v>
      </c>
      <c r="J1194" s="8">
        <v>0.0</v>
      </c>
      <c r="K1194" s="8">
        <v>1.0</v>
      </c>
    </row>
    <row r="1195">
      <c r="A1195" s="7" t="s">
        <v>4741</v>
      </c>
      <c r="B1195" s="8" t="s">
        <v>4742</v>
      </c>
      <c r="C1195" s="7" t="s">
        <v>2519</v>
      </c>
      <c r="D1195" s="12" t="s">
        <v>39</v>
      </c>
      <c r="E1195" s="13" t="s">
        <v>190</v>
      </c>
      <c r="F1195" s="8" t="s">
        <v>42</v>
      </c>
      <c r="G1195" s="8" t="b">
        <v>0</v>
      </c>
      <c r="H1195" s="8" t="s">
        <v>2173</v>
      </c>
      <c r="I1195" s="8">
        <v>1.0</v>
      </c>
      <c r="J1195" s="8">
        <v>0.0</v>
      </c>
      <c r="K1195" s="8">
        <v>1.0</v>
      </c>
    </row>
    <row r="1196">
      <c r="A1196" s="7" t="s">
        <v>4743</v>
      </c>
      <c r="B1196" s="8" t="s">
        <v>4744</v>
      </c>
      <c r="C1196" s="7" t="s">
        <v>2718</v>
      </c>
      <c r="D1196" s="12" t="s">
        <v>72</v>
      </c>
      <c r="E1196" s="13" t="s">
        <v>41</v>
      </c>
      <c r="F1196" s="8" t="s">
        <v>74</v>
      </c>
      <c r="G1196" s="8" t="b">
        <v>0</v>
      </c>
      <c r="H1196" s="8" t="s">
        <v>1431</v>
      </c>
      <c r="I1196" s="8">
        <v>1.0</v>
      </c>
      <c r="J1196" s="8">
        <v>0.0</v>
      </c>
      <c r="K1196" s="8">
        <v>1.0</v>
      </c>
    </row>
    <row r="1197">
      <c r="A1197" s="7" t="s">
        <v>4745</v>
      </c>
      <c r="B1197" s="8" t="s">
        <v>4746</v>
      </c>
      <c r="C1197" s="7" t="s">
        <v>2521</v>
      </c>
      <c r="D1197" s="12" t="s">
        <v>190</v>
      </c>
      <c r="E1197" s="13" t="s">
        <v>41</v>
      </c>
      <c r="F1197" s="8" t="s">
        <v>191</v>
      </c>
      <c r="G1197" s="8" t="b">
        <v>0</v>
      </c>
      <c r="I1197" s="8">
        <v>1.0</v>
      </c>
      <c r="J1197" s="8">
        <v>0.0</v>
      </c>
      <c r="K1197" s="8">
        <v>1.0</v>
      </c>
    </row>
    <row r="1198">
      <c r="A1198" s="7" t="s">
        <v>4747</v>
      </c>
      <c r="B1198" s="8" t="s">
        <v>4748</v>
      </c>
      <c r="C1198" s="7" t="s">
        <v>2524</v>
      </c>
      <c r="D1198" s="12" t="s">
        <v>693</v>
      </c>
      <c r="E1198" s="13" t="s">
        <v>41</v>
      </c>
      <c r="F1198" s="8" t="s">
        <v>695</v>
      </c>
      <c r="G1198" s="8" t="b">
        <v>0</v>
      </c>
      <c r="I1198" s="8">
        <v>1.0</v>
      </c>
      <c r="J1198" s="8">
        <v>0.0</v>
      </c>
      <c r="K1198" s="8">
        <v>1.0</v>
      </c>
    </row>
    <row r="1199">
      <c r="A1199" s="7" t="s">
        <v>4749</v>
      </c>
      <c r="B1199" s="8" t="s">
        <v>4750</v>
      </c>
      <c r="C1199" s="7" t="s">
        <v>2527</v>
      </c>
      <c r="D1199" s="12" t="s">
        <v>554</v>
      </c>
      <c r="E1199" s="13" t="s">
        <v>41</v>
      </c>
      <c r="F1199" s="8" t="s">
        <v>555</v>
      </c>
      <c r="G1199" s="8" t="b">
        <v>0</v>
      </c>
      <c r="I1199" s="8">
        <v>1.0</v>
      </c>
      <c r="J1199" s="8">
        <v>0.0</v>
      </c>
      <c r="K1199" s="8">
        <v>0.0</v>
      </c>
    </row>
    <row r="1200">
      <c r="A1200" s="7" t="s">
        <v>4751</v>
      </c>
      <c r="B1200" s="8" t="s">
        <v>4752</v>
      </c>
      <c r="C1200" s="7" t="s">
        <v>2530</v>
      </c>
      <c r="D1200" s="12" t="s">
        <v>39</v>
      </c>
      <c r="E1200" s="13" t="s">
        <v>41</v>
      </c>
      <c r="F1200" s="8" t="s">
        <v>42</v>
      </c>
      <c r="G1200" s="8" t="b">
        <v>0</v>
      </c>
      <c r="H1200" s="8" t="s">
        <v>4753</v>
      </c>
      <c r="I1200" s="8">
        <v>1.0</v>
      </c>
      <c r="J1200" s="8">
        <v>0.0</v>
      </c>
      <c r="K1200" s="8">
        <v>2.0</v>
      </c>
    </row>
    <row r="1201">
      <c r="A1201" s="7" t="s">
        <v>4754</v>
      </c>
      <c r="B1201" s="8" t="s">
        <v>4755</v>
      </c>
      <c r="C1201" s="7" t="s">
        <v>2534</v>
      </c>
      <c r="D1201" s="12" t="s">
        <v>39</v>
      </c>
      <c r="E1201" s="13" t="s">
        <v>41</v>
      </c>
      <c r="F1201" s="8" t="s">
        <v>42</v>
      </c>
      <c r="G1201" s="8" t="b">
        <v>0</v>
      </c>
      <c r="H1201" s="8" t="s">
        <v>4756</v>
      </c>
      <c r="I1201" s="8">
        <v>1.0</v>
      </c>
      <c r="J1201" s="8">
        <v>0.0</v>
      </c>
      <c r="K1201" s="8">
        <v>1.0</v>
      </c>
    </row>
    <row r="1202">
      <c r="A1202" s="7" t="s">
        <v>4757</v>
      </c>
      <c r="B1202" s="8" t="s">
        <v>4758</v>
      </c>
      <c r="C1202" s="7" t="s">
        <v>884</v>
      </c>
      <c r="D1202" s="12" t="s">
        <v>39</v>
      </c>
      <c r="E1202" s="13" t="s">
        <v>41</v>
      </c>
      <c r="F1202" s="8" t="s">
        <v>42</v>
      </c>
      <c r="G1202" s="8" t="b">
        <v>0</v>
      </c>
      <c r="H1202" s="8" t="s">
        <v>2151</v>
      </c>
      <c r="I1202" s="8">
        <v>1.0</v>
      </c>
      <c r="J1202" s="8">
        <v>0.0</v>
      </c>
      <c r="K1202" s="8">
        <v>1.0</v>
      </c>
    </row>
    <row r="1203">
      <c r="A1203" s="7" t="s">
        <v>4759</v>
      </c>
      <c r="B1203" s="8" t="s">
        <v>4760</v>
      </c>
      <c r="C1203" s="7" t="s">
        <v>2537</v>
      </c>
      <c r="D1203" s="12" t="s">
        <v>560</v>
      </c>
      <c r="E1203" s="13" t="s">
        <v>190</v>
      </c>
      <c r="F1203" s="8" t="s">
        <v>561</v>
      </c>
      <c r="G1203" s="8" t="b">
        <v>0</v>
      </c>
      <c r="I1203" s="8">
        <v>1.0</v>
      </c>
      <c r="J1203" s="8">
        <v>0.0</v>
      </c>
      <c r="K1203" s="8">
        <v>0.0</v>
      </c>
    </row>
    <row r="1204">
      <c r="A1204" s="7" t="s">
        <v>4761</v>
      </c>
      <c r="B1204" s="8" t="s">
        <v>4762</v>
      </c>
      <c r="C1204" s="7" t="s">
        <v>2540</v>
      </c>
      <c r="D1204" s="12" t="s">
        <v>554</v>
      </c>
      <c r="E1204" s="13" t="s">
        <v>41</v>
      </c>
      <c r="F1204" s="8" t="s">
        <v>555</v>
      </c>
      <c r="G1204" s="8" t="b">
        <v>0</v>
      </c>
      <c r="I1204" s="8">
        <v>1.0</v>
      </c>
      <c r="J1204" s="8">
        <v>0.0</v>
      </c>
      <c r="K1204" s="8">
        <v>0.0</v>
      </c>
    </row>
    <row r="1205">
      <c r="A1205" s="7" t="s">
        <v>4763</v>
      </c>
      <c r="B1205" s="8" t="s">
        <v>4764</v>
      </c>
      <c r="C1205" s="7" t="s">
        <v>2544</v>
      </c>
      <c r="D1205" s="12" t="s">
        <v>39</v>
      </c>
      <c r="E1205" s="13" t="s">
        <v>41</v>
      </c>
      <c r="F1205" s="8" t="s">
        <v>42</v>
      </c>
      <c r="G1205" s="8" t="b">
        <v>0</v>
      </c>
      <c r="H1205" s="8" t="s">
        <v>186</v>
      </c>
      <c r="I1205" s="8">
        <v>1.0</v>
      </c>
      <c r="J1205" s="8">
        <v>0.0</v>
      </c>
      <c r="K1205" s="8">
        <v>1.0</v>
      </c>
    </row>
    <row r="1206">
      <c r="A1206" s="7" t="s">
        <v>4765</v>
      </c>
      <c r="B1206" s="8" t="s">
        <v>3629</v>
      </c>
      <c r="C1206" s="7" t="s">
        <v>914</v>
      </c>
      <c r="D1206" s="12" t="s">
        <v>693</v>
      </c>
      <c r="E1206" s="13" t="s">
        <v>73</v>
      </c>
      <c r="F1206" s="8" t="s">
        <v>695</v>
      </c>
      <c r="G1206" s="8" t="b">
        <v>0</v>
      </c>
      <c r="H1206" s="8" t="s">
        <v>3630</v>
      </c>
      <c r="I1206" s="8">
        <v>1.0</v>
      </c>
      <c r="J1206" s="8">
        <v>0.0</v>
      </c>
      <c r="K1206" s="8">
        <v>0.0</v>
      </c>
    </row>
    <row r="1207">
      <c r="A1207" s="7" t="s">
        <v>4766</v>
      </c>
      <c r="B1207" s="8" t="s">
        <v>4767</v>
      </c>
      <c r="C1207" s="7" t="s">
        <v>914</v>
      </c>
      <c r="D1207" s="12" t="s">
        <v>72</v>
      </c>
      <c r="E1207" s="13" t="s">
        <v>73</v>
      </c>
      <c r="F1207" s="8" t="s">
        <v>74</v>
      </c>
      <c r="G1207" s="8" t="b">
        <v>0</v>
      </c>
      <c r="H1207" s="8" t="s">
        <v>4768</v>
      </c>
      <c r="I1207" s="8">
        <v>1.0</v>
      </c>
      <c r="J1207" s="8">
        <v>0.0</v>
      </c>
      <c r="K1207" s="8">
        <v>1.0</v>
      </c>
    </row>
    <row r="1208">
      <c r="A1208" s="7" t="s">
        <v>4769</v>
      </c>
      <c r="B1208" s="8" t="s">
        <v>4767</v>
      </c>
      <c r="C1208" s="7" t="s">
        <v>914</v>
      </c>
      <c r="D1208" s="12" t="s">
        <v>72</v>
      </c>
      <c r="E1208" s="13" t="s">
        <v>73</v>
      </c>
      <c r="F1208" s="8" t="s">
        <v>74</v>
      </c>
      <c r="G1208" s="8" t="b">
        <v>0</v>
      </c>
      <c r="H1208" s="8" t="s">
        <v>4768</v>
      </c>
      <c r="I1208" s="8">
        <v>1.0</v>
      </c>
      <c r="J1208" s="8">
        <v>0.0</v>
      </c>
      <c r="K1208" s="8">
        <v>0.0</v>
      </c>
    </row>
    <row r="1209">
      <c r="A1209" s="7" t="s">
        <v>4770</v>
      </c>
      <c r="B1209" s="8" t="s">
        <v>4771</v>
      </c>
      <c r="C1209" s="7" t="s">
        <v>914</v>
      </c>
      <c r="D1209" s="12" t="s">
        <v>693</v>
      </c>
      <c r="E1209" s="13" t="s">
        <v>73</v>
      </c>
      <c r="F1209" s="8" t="s">
        <v>695</v>
      </c>
      <c r="G1209" s="8" t="b">
        <v>0</v>
      </c>
      <c r="H1209" s="8" t="s">
        <v>4772</v>
      </c>
      <c r="I1209" s="8">
        <v>1.0</v>
      </c>
      <c r="J1209" s="8">
        <v>0.0</v>
      </c>
      <c r="K1209" s="8">
        <v>1.0</v>
      </c>
    </row>
    <row r="1210">
      <c r="A1210" s="7" t="s">
        <v>4773</v>
      </c>
      <c r="B1210" s="8" t="s">
        <v>4774</v>
      </c>
      <c r="C1210" s="7" t="s">
        <v>2546</v>
      </c>
      <c r="D1210" s="12" t="s">
        <v>190</v>
      </c>
      <c r="E1210" s="13" t="s">
        <v>190</v>
      </c>
      <c r="F1210" s="8" t="s">
        <v>191</v>
      </c>
      <c r="G1210" s="8" t="b">
        <v>0</v>
      </c>
      <c r="I1210" s="8">
        <v>1.0</v>
      </c>
      <c r="J1210" s="8">
        <v>0.0</v>
      </c>
      <c r="K1210" s="8">
        <v>1.0</v>
      </c>
    </row>
    <row r="1211">
      <c r="A1211" s="7" t="s">
        <v>4775</v>
      </c>
      <c r="C1211" s="8" t="s">
        <v>572</v>
      </c>
      <c r="D1211" s="12" t="s">
        <v>190</v>
      </c>
      <c r="E1211" s="13" t="s">
        <v>190</v>
      </c>
      <c r="F1211" s="8" t="s">
        <v>191</v>
      </c>
      <c r="H1211" s="8" t="s">
        <v>1246</v>
      </c>
      <c r="I1211" s="8">
        <v>1.0</v>
      </c>
      <c r="J1211" s="8">
        <v>0.0</v>
      </c>
      <c r="K1211" s="8">
        <v>1.0</v>
      </c>
    </row>
    <row r="1212">
      <c r="A1212" s="7" t="s">
        <v>4776</v>
      </c>
      <c r="B1212" s="8" t="s">
        <v>4777</v>
      </c>
      <c r="C1212" s="8" t="s">
        <v>2548</v>
      </c>
      <c r="D1212" s="12" t="s">
        <v>39</v>
      </c>
      <c r="E1212" s="13" t="s">
        <v>41</v>
      </c>
      <c r="F1212" s="8" t="s">
        <v>42</v>
      </c>
      <c r="G1212" s="8" t="b">
        <v>0</v>
      </c>
      <c r="H1212" s="8" t="s">
        <v>4778</v>
      </c>
      <c r="I1212" s="8">
        <v>1.0</v>
      </c>
      <c r="J1212" s="8">
        <v>0.0</v>
      </c>
      <c r="K1212" s="8">
        <v>4.0</v>
      </c>
    </row>
    <row r="1213">
      <c r="A1213" s="7" t="s">
        <v>4779</v>
      </c>
      <c r="B1213" s="8" t="s">
        <v>4780</v>
      </c>
      <c r="C1213" s="7" t="s">
        <v>2551</v>
      </c>
      <c r="D1213" s="12" t="s">
        <v>72</v>
      </c>
      <c r="E1213" s="13" t="s">
        <v>41</v>
      </c>
      <c r="F1213" s="8" t="s">
        <v>74</v>
      </c>
      <c r="G1213" s="8" t="b">
        <v>0</v>
      </c>
      <c r="H1213" s="8" t="s">
        <v>4781</v>
      </c>
      <c r="I1213" s="8">
        <v>1.0</v>
      </c>
      <c r="J1213" s="8">
        <v>0.0</v>
      </c>
      <c r="K1213" s="8">
        <v>1.0</v>
      </c>
    </row>
    <row r="1214">
      <c r="A1214" s="7" t="s">
        <v>4782</v>
      </c>
      <c r="B1214" s="8" t="s">
        <v>4783</v>
      </c>
      <c r="C1214" s="7" t="s">
        <v>2040</v>
      </c>
      <c r="D1214" s="12" t="s">
        <v>554</v>
      </c>
      <c r="E1214" s="13" t="s">
        <v>41</v>
      </c>
      <c r="F1214" s="8" t="s">
        <v>555</v>
      </c>
      <c r="G1214" s="8" t="b">
        <v>0</v>
      </c>
      <c r="I1214" s="8">
        <v>1.0</v>
      </c>
      <c r="J1214" s="8">
        <v>0.0</v>
      </c>
      <c r="K1214" s="8">
        <v>2.0</v>
      </c>
    </row>
    <row r="1215">
      <c r="A1215" s="7" t="s">
        <v>4784</v>
      </c>
      <c r="B1215" s="8" t="s">
        <v>4785</v>
      </c>
      <c r="C1215" s="7" t="s">
        <v>1345</v>
      </c>
      <c r="D1215" s="12" t="s">
        <v>766</v>
      </c>
      <c r="E1215" s="13" t="s">
        <v>22</v>
      </c>
      <c r="F1215" s="8" t="s">
        <v>767</v>
      </c>
      <c r="G1215" s="8" t="b">
        <v>0</v>
      </c>
      <c r="H1215" s="8" t="s">
        <v>3461</v>
      </c>
      <c r="I1215" s="8">
        <v>1.0</v>
      </c>
      <c r="J1215" s="8">
        <v>0.0</v>
      </c>
      <c r="K1215" s="8">
        <v>1.0</v>
      </c>
    </row>
    <row r="1216">
      <c r="A1216" s="7" t="s">
        <v>4786</v>
      </c>
      <c r="B1216" s="8" t="s">
        <v>4787</v>
      </c>
      <c r="C1216" s="7" t="s">
        <v>2555</v>
      </c>
      <c r="D1216" s="12" t="s">
        <v>39</v>
      </c>
      <c r="E1216" s="13" t="s">
        <v>41</v>
      </c>
      <c r="F1216" s="8" t="s">
        <v>42</v>
      </c>
      <c r="G1216" s="8" t="b">
        <v>0</v>
      </c>
      <c r="I1216" s="8">
        <v>1.0</v>
      </c>
      <c r="J1216" s="8">
        <v>0.0</v>
      </c>
      <c r="K1216" s="8">
        <v>0.0</v>
      </c>
    </row>
    <row r="1217">
      <c r="A1217" s="7" t="s">
        <v>4788</v>
      </c>
      <c r="B1217" s="8" t="s">
        <v>4789</v>
      </c>
      <c r="C1217" s="7" t="s">
        <v>1726</v>
      </c>
      <c r="D1217" s="12" t="s">
        <v>693</v>
      </c>
      <c r="E1217" s="13" t="s">
        <v>41</v>
      </c>
      <c r="F1217" s="8" t="s">
        <v>695</v>
      </c>
      <c r="G1217" s="8" t="b">
        <v>0</v>
      </c>
      <c r="I1217" s="8">
        <v>1.0</v>
      </c>
      <c r="J1217" s="8">
        <v>0.0</v>
      </c>
      <c r="K1217" s="8">
        <v>1.0</v>
      </c>
    </row>
    <row r="1218">
      <c r="A1218" s="7" t="s">
        <v>4790</v>
      </c>
      <c r="B1218" s="8" t="s">
        <v>4791</v>
      </c>
      <c r="C1218" s="7" t="s">
        <v>1726</v>
      </c>
      <c r="D1218" s="12" t="s">
        <v>766</v>
      </c>
      <c r="E1218" s="13" t="s">
        <v>41</v>
      </c>
      <c r="F1218" s="8" t="s">
        <v>767</v>
      </c>
      <c r="G1218" s="8" t="b">
        <v>0</v>
      </c>
      <c r="I1218" s="8">
        <v>1.0</v>
      </c>
      <c r="J1218" s="8">
        <v>0.0</v>
      </c>
      <c r="K1218" s="8">
        <v>0.0</v>
      </c>
    </row>
    <row r="1219">
      <c r="A1219" s="7" t="s">
        <v>4792</v>
      </c>
      <c r="B1219" s="8" t="s">
        <v>4793</v>
      </c>
      <c r="C1219" s="7" t="s">
        <v>1728</v>
      </c>
      <c r="D1219" s="12" t="s">
        <v>554</v>
      </c>
      <c r="E1219" s="13" t="s">
        <v>41</v>
      </c>
      <c r="F1219" s="8" t="s">
        <v>555</v>
      </c>
      <c r="G1219" s="8" t="b">
        <v>0</v>
      </c>
      <c r="I1219" s="8">
        <v>1.0</v>
      </c>
      <c r="J1219" s="8">
        <v>0.0</v>
      </c>
      <c r="K1219" s="8">
        <v>1.0</v>
      </c>
    </row>
    <row r="1220">
      <c r="A1220" s="7" t="s">
        <v>4794</v>
      </c>
      <c r="B1220" s="8" t="s">
        <v>4795</v>
      </c>
      <c r="C1220" s="7" t="s">
        <v>1728</v>
      </c>
      <c r="D1220" s="12" t="s">
        <v>766</v>
      </c>
      <c r="E1220" s="13" t="s">
        <v>41</v>
      </c>
      <c r="F1220" s="8" t="s">
        <v>767</v>
      </c>
      <c r="G1220" s="8" t="b">
        <v>0</v>
      </c>
      <c r="I1220" s="8">
        <v>1.0</v>
      </c>
      <c r="J1220" s="8">
        <v>0.0</v>
      </c>
      <c r="K1220" s="8">
        <v>0.0</v>
      </c>
    </row>
    <row r="1221">
      <c r="A1221" s="7" t="s">
        <v>4796</v>
      </c>
      <c r="B1221" s="8" t="s">
        <v>4797</v>
      </c>
      <c r="C1221" s="7" t="s">
        <v>2557</v>
      </c>
      <c r="D1221" s="12" t="s">
        <v>190</v>
      </c>
      <c r="E1221" s="13" t="s">
        <v>76</v>
      </c>
      <c r="F1221" s="8" t="s">
        <v>191</v>
      </c>
      <c r="G1221" s="8" t="b">
        <v>0</v>
      </c>
      <c r="I1221" s="8">
        <v>1.0</v>
      </c>
      <c r="J1221" s="8">
        <v>0.0</v>
      </c>
      <c r="K1221" s="8">
        <v>0.0</v>
      </c>
    </row>
    <row r="1222">
      <c r="A1222" s="7" t="s">
        <v>4798</v>
      </c>
      <c r="C1222" s="7" t="s">
        <v>1731</v>
      </c>
      <c r="D1222" s="12" t="s">
        <v>190</v>
      </c>
      <c r="E1222" s="13" t="s">
        <v>76</v>
      </c>
      <c r="F1222" s="8" t="s">
        <v>191</v>
      </c>
      <c r="G1222" s="8" t="b">
        <v>0</v>
      </c>
      <c r="H1222" s="8" t="s">
        <v>4799</v>
      </c>
      <c r="I1222" s="8">
        <v>1.0</v>
      </c>
      <c r="J1222" s="8">
        <v>0.0</v>
      </c>
      <c r="K1222" s="8">
        <v>1.0</v>
      </c>
    </row>
    <row r="1223">
      <c r="A1223" s="7" t="s">
        <v>4800</v>
      </c>
      <c r="B1223" s="8" t="s">
        <v>4801</v>
      </c>
      <c r="C1223" s="7" t="s">
        <v>1731</v>
      </c>
      <c r="D1223" s="12" t="s">
        <v>72</v>
      </c>
      <c r="E1223" s="13" t="s">
        <v>76</v>
      </c>
      <c r="F1223" s="8" t="s">
        <v>74</v>
      </c>
      <c r="G1223" s="8" t="b">
        <v>0</v>
      </c>
      <c r="I1223" s="8">
        <v>1.0</v>
      </c>
      <c r="J1223" s="8">
        <v>0.0</v>
      </c>
      <c r="K1223" s="8">
        <v>1.0</v>
      </c>
    </row>
    <row r="1224">
      <c r="A1224" s="7" t="s">
        <v>4802</v>
      </c>
      <c r="B1224" s="8" t="s">
        <v>4803</v>
      </c>
      <c r="C1224" s="7" t="s">
        <v>2561</v>
      </c>
      <c r="D1224" s="12" t="s">
        <v>39</v>
      </c>
      <c r="E1224" s="13" t="s">
        <v>41</v>
      </c>
      <c r="F1224" s="8" t="s">
        <v>42</v>
      </c>
      <c r="G1224" s="8" t="b">
        <v>0</v>
      </c>
      <c r="H1224" s="8" t="s">
        <v>4804</v>
      </c>
      <c r="I1224" s="8">
        <v>1.0</v>
      </c>
      <c r="J1224" s="8">
        <v>0.0</v>
      </c>
      <c r="K1224" s="8">
        <v>0.0</v>
      </c>
    </row>
    <row r="1225">
      <c r="A1225" s="7" t="s">
        <v>4805</v>
      </c>
      <c r="B1225" s="8" t="s">
        <v>4806</v>
      </c>
      <c r="C1225" s="7" t="s">
        <v>1580</v>
      </c>
      <c r="D1225" s="12" t="s">
        <v>21</v>
      </c>
      <c r="E1225" s="13" t="s">
        <v>73</v>
      </c>
      <c r="F1225" s="8" t="s">
        <v>24</v>
      </c>
      <c r="G1225" s="8" t="b">
        <v>0</v>
      </c>
      <c r="H1225" s="8" t="s">
        <v>803</v>
      </c>
      <c r="I1225" s="8">
        <v>1.0</v>
      </c>
      <c r="J1225" s="8">
        <v>0.0</v>
      </c>
      <c r="K1225" s="8">
        <v>0.0</v>
      </c>
    </row>
    <row r="1226">
      <c r="A1226" s="7" t="s">
        <v>4807</v>
      </c>
      <c r="B1226" s="8" t="s">
        <v>4808</v>
      </c>
      <c r="C1226" s="7" t="s">
        <v>1580</v>
      </c>
      <c r="D1226" s="12" t="s">
        <v>21</v>
      </c>
      <c r="E1226" s="13" t="s">
        <v>73</v>
      </c>
      <c r="F1226" s="8" t="s">
        <v>24</v>
      </c>
      <c r="G1226" s="8" t="b">
        <v>0</v>
      </c>
      <c r="I1226" s="8">
        <v>1.0</v>
      </c>
      <c r="J1226" s="8">
        <v>0.0</v>
      </c>
      <c r="K1226" s="8">
        <v>0.0</v>
      </c>
    </row>
    <row r="1227">
      <c r="A1227" s="7" t="s">
        <v>4809</v>
      </c>
      <c r="B1227" s="8" t="s">
        <v>4810</v>
      </c>
      <c r="C1227" s="7" t="s">
        <v>1580</v>
      </c>
      <c r="D1227" s="12" t="s">
        <v>21</v>
      </c>
      <c r="E1227" s="13" t="s">
        <v>73</v>
      </c>
      <c r="F1227" s="8" t="s">
        <v>24</v>
      </c>
      <c r="G1227" s="8" t="b">
        <v>0</v>
      </c>
      <c r="I1227" s="8">
        <v>1.0</v>
      </c>
      <c r="J1227" s="8">
        <v>0.0</v>
      </c>
      <c r="K1227" s="8">
        <v>0.0</v>
      </c>
    </row>
    <row r="1228">
      <c r="A1228" s="7" t="s">
        <v>4811</v>
      </c>
      <c r="B1228" s="8" t="s">
        <v>4812</v>
      </c>
      <c r="C1228" s="7" t="s">
        <v>2564</v>
      </c>
      <c r="D1228" s="12" t="s">
        <v>39</v>
      </c>
      <c r="E1228" s="13" t="s">
        <v>41</v>
      </c>
      <c r="F1228" s="8" t="s">
        <v>42</v>
      </c>
      <c r="G1228" s="8" t="b">
        <v>0</v>
      </c>
      <c r="I1228" s="8">
        <v>1.0</v>
      </c>
      <c r="J1228" s="8">
        <v>0.0</v>
      </c>
      <c r="K1228" s="8">
        <v>2.0</v>
      </c>
    </row>
    <row r="1229">
      <c r="A1229" s="7" t="s">
        <v>4813</v>
      </c>
      <c r="B1229" s="8" t="s">
        <v>4814</v>
      </c>
      <c r="C1229" s="8" t="s">
        <v>621</v>
      </c>
      <c r="D1229" s="12" t="s">
        <v>39</v>
      </c>
      <c r="E1229" s="13" t="s">
        <v>41</v>
      </c>
      <c r="F1229" s="8" t="s">
        <v>42</v>
      </c>
      <c r="G1229" s="8" t="b">
        <v>0</v>
      </c>
      <c r="H1229" s="8" t="s">
        <v>4815</v>
      </c>
      <c r="I1229" s="8">
        <v>1.0</v>
      </c>
      <c r="J1229" s="8">
        <v>0.0</v>
      </c>
      <c r="K1229" s="8">
        <v>8.0</v>
      </c>
    </row>
    <row r="1230">
      <c r="A1230" s="7" t="s">
        <v>4816</v>
      </c>
      <c r="B1230" s="8" t="s">
        <v>4817</v>
      </c>
      <c r="C1230" s="7" t="s">
        <v>2566</v>
      </c>
      <c r="D1230" s="12" t="s">
        <v>72</v>
      </c>
      <c r="E1230" s="13" t="s">
        <v>41</v>
      </c>
      <c r="F1230" s="8" t="s">
        <v>74</v>
      </c>
      <c r="G1230" s="8" t="b">
        <v>0</v>
      </c>
      <c r="I1230" s="8">
        <v>1.0</v>
      </c>
      <c r="J1230" s="8">
        <v>0.0</v>
      </c>
      <c r="K1230" s="8">
        <v>1.0</v>
      </c>
    </row>
    <row r="1231">
      <c r="A1231" s="7" t="s">
        <v>4818</v>
      </c>
      <c r="B1231" s="8" t="s">
        <v>4819</v>
      </c>
      <c r="C1231" s="7" t="s">
        <v>1208</v>
      </c>
      <c r="D1231" s="12" t="s">
        <v>39</v>
      </c>
      <c r="E1231" s="13" t="s">
        <v>190</v>
      </c>
      <c r="F1231" s="8" t="s">
        <v>42</v>
      </c>
      <c r="G1231" s="8" t="b">
        <v>0</v>
      </c>
      <c r="H1231" s="8" t="s">
        <v>4820</v>
      </c>
      <c r="I1231" s="8">
        <v>1.0</v>
      </c>
      <c r="J1231" s="8">
        <v>0.0</v>
      </c>
      <c r="K1231" s="8">
        <v>0.0</v>
      </c>
    </row>
    <row r="1232">
      <c r="A1232" s="7" t="s">
        <v>4821</v>
      </c>
      <c r="B1232" s="8" t="s">
        <v>4822</v>
      </c>
      <c r="C1232" s="7" t="s">
        <v>2569</v>
      </c>
      <c r="D1232" s="12" t="s">
        <v>554</v>
      </c>
      <c r="E1232" s="13" t="s">
        <v>41</v>
      </c>
      <c r="F1232" s="8" t="s">
        <v>555</v>
      </c>
      <c r="G1232" s="8" t="b">
        <v>0</v>
      </c>
      <c r="I1232" s="8">
        <v>1.0</v>
      </c>
      <c r="J1232" s="8">
        <v>0.0</v>
      </c>
      <c r="K1232" s="8">
        <v>0.0</v>
      </c>
    </row>
    <row r="1233">
      <c r="A1233" s="7" t="s">
        <v>4823</v>
      </c>
      <c r="B1233" s="8" t="s">
        <v>4824</v>
      </c>
      <c r="C1233" s="7" t="s">
        <v>2571</v>
      </c>
      <c r="D1233" s="12" t="s">
        <v>39</v>
      </c>
      <c r="E1233" s="13" t="s">
        <v>41</v>
      </c>
      <c r="F1233" s="8" t="s">
        <v>42</v>
      </c>
      <c r="G1233" s="8" t="b">
        <v>0</v>
      </c>
      <c r="I1233" s="8">
        <v>1.0</v>
      </c>
      <c r="J1233" s="8">
        <v>0.0</v>
      </c>
      <c r="K1233" s="8">
        <v>1.0</v>
      </c>
    </row>
    <row r="1234">
      <c r="A1234" s="7" t="s">
        <v>4825</v>
      </c>
      <c r="B1234" s="8" t="s">
        <v>4826</v>
      </c>
      <c r="C1234" s="7" t="s">
        <v>133</v>
      </c>
      <c r="D1234" s="12" t="s">
        <v>190</v>
      </c>
      <c r="E1234" s="13" t="s">
        <v>22</v>
      </c>
      <c r="F1234" s="8" t="s">
        <v>191</v>
      </c>
      <c r="G1234" s="8" t="b">
        <v>0</v>
      </c>
      <c r="H1234" s="8" t="s">
        <v>4827</v>
      </c>
      <c r="I1234" s="8">
        <v>1.0</v>
      </c>
      <c r="J1234" s="8">
        <v>0.0</v>
      </c>
      <c r="K1234" s="8">
        <v>1.0</v>
      </c>
    </row>
    <row r="1235">
      <c r="A1235" s="7" t="s">
        <v>4828</v>
      </c>
      <c r="B1235" s="8" t="s">
        <v>4829</v>
      </c>
      <c r="C1235" s="7" t="s">
        <v>133</v>
      </c>
      <c r="D1235" s="12" t="s">
        <v>39</v>
      </c>
      <c r="E1235" s="13" t="s">
        <v>22</v>
      </c>
      <c r="F1235" s="8" t="s">
        <v>42</v>
      </c>
      <c r="G1235" s="8" t="b">
        <v>0</v>
      </c>
      <c r="H1235" s="8" t="s">
        <v>4830</v>
      </c>
      <c r="I1235" s="8">
        <v>1.0</v>
      </c>
      <c r="J1235" s="8">
        <v>0.0</v>
      </c>
      <c r="K1235" s="8">
        <v>1.0</v>
      </c>
    </row>
    <row r="1236">
      <c r="A1236" s="7" t="s">
        <v>4831</v>
      </c>
      <c r="B1236" s="8" t="s">
        <v>4832</v>
      </c>
      <c r="C1236" s="7" t="s">
        <v>133</v>
      </c>
      <c r="D1236" s="12" t="s">
        <v>39</v>
      </c>
      <c r="E1236" s="13" t="s">
        <v>22</v>
      </c>
      <c r="F1236" s="8" t="s">
        <v>42</v>
      </c>
      <c r="G1236" s="8" t="b">
        <v>0</v>
      </c>
      <c r="H1236" s="8" t="s">
        <v>4833</v>
      </c>
      <c r="I1236" s="8">
        <v>1.0</v>
      </c>
      <c r="J1236" s="8">
        <v>0.0</v>
      </c>
      <c r="K1236" s="8">
        <v>1.0</v>
      </c>
    </row>
    <row r="1237">
      <c r="A1237" s="7" t="s">
        <v>4834</v>
      </c>
      <c r="B1237" s="8" t="s">
        <v>4835</v>
      </c>
      <c r="C1237" s="7" t="s">
        <v>133</v>
      </c>
      <c r="D1237" s="12" t="s">
        <v>190</v>
      </c>
      <c r="E1237" s="13" t="s">
        <v>22</v>
      </c>
      <c r="F1237" s="8" t="s">
        <v>191</v>
      </c>
      <c r="G1237" s="8" t="b">
        <v>0</v>
      </c>
      <c r="H1237" s="8" t="s">
        <v>4836</v>
      </c>
      <c r="I1237" s="8">
        <v>1.0</v>
      </c>
      <c r="J1237" s="8">
        <v>0.0</v>
      </c>
      <c r="K1237" s="8">
        <v>2.0</v>
      </c>
    </row>
    <row r="1238">
      <c r="A1238" s="7" t="s">
        <v>4837</v>
      </c>
      <c r="B1238" s="8" t="s">
        <v>4838</v>
      </c>
      <c r="C1238" s="7" t="s">
        <v>2573</v>
      </c>
      <c r="D1238" s="12" t="s">
        <v>39</v>
      </c>
      <c r="E1238" s="13" t="s">
        <v>41</v>
      </c>
      <c r="F1238" s="8" t="s">
        <v>42</v>
      </c>
      <c r="G1238" s="8" t="b">
        <v>0</v>
      </c>
      <c r="H1238" s="8" t="s">
        <v>4839</v>
      </c>
      <c r="I1238" s="8">
        <v>1.0</v>
      </c>
      <c r="J1238" s="8">
        <v>0.0</v>
      </c>
      <c r="K1238" s="8">
        <v>0.0</v>
      </c>
    </row>
    <row r="1239">
      <c r="A1239" s="7" t="s">
        <v>4840</v>
      </c>
      <c r="B1239" s="8" t="s">
        <v>4841</v>
      </c>
      <c r="C1239" s="7" t="s">
        <v>2576</v>
      </c>
      <c r="D1239" s="12" t="s">
        <v>39</v>
      </c>
      <c r="E1239" s="13" t="s">
        <v>41</v>
      </c>
      <c r="F1239" s="8" t="s">
        <v>42</v>
      </c>
      <c r="G1239" s="8" t="b">
        <v>0</v>
      </c>
      <c r="H1239" s="8" t="s">
        <v>4842</v>
      </c>
      <c r="I1239" s="8">
        <v>1.0</v>
      </c>
      <c r="J1239" s="8">
        <v>0.0</v>
      </c>
      <c r="K1239" s="8">
        <v>1.0</v>
      </c>
    </row>
    <row r="1240">
      <c r="A1240" s="7" t="s">
        <v>4843</v>
      </c>
      <c r="B1240" s="8" t="s">
        <v>4844</v>
      </c>
      <c r="C1240" s="7" t="s">
        <v>1584</v>
      </c>
      <c r="D1240" s="12" t="s">
        <v>39</v>
      </c>
      <c r="E1240" s="13" t="s">
        <v>41</v>
      </c>
      <c r="F1240" s="8" t="s">
        <v>42</v>
      </c>
      <c r="G1240" s="8" t="b">
        <v>0</v>
      </c>
      <c r="H1240" s="8" t="s">
        <v>4845</v>
      </c>
      <c r="I1240" s="8">
        <v>1.0</v>
      </c>
      <c r="J1240" s="8">
        <v>0.0</v>
      </c>
      <c r="K1240" s="8">
        <v>0.0</v>
      </c>
    </row>
    <row r="1241">
      <c r="A1241" s="7" t="s">
        <v>4846</v>
      </c>
      <c r="B1241" s="8" t="s">
        <v>4847</v>
      </c>
      <c r="C1241" s="7" t="s">
        <v>1584</v>
      </c>
      <c r="D1241" s="12" t="s">
        <v>190</v>
      </c>
      <c r="E1241" s="13" t="s">
        <v>41</v>
      </c>
      <c r="F1241" s="8" t="s">
        <v>191</v>
      </c>
      <c r="G1241" s="8" t="b">
        <v>0</v>
      </c>
      <c r="H1241" s="8" t="s">
        <v>4848</v>
      </c>
      <c r="I1241" s="8">
        <v>1.0</v>
      </c>
      <c r="J1241" s="8">
        <v>0.0</v>
      </c>
      <c r="K1241" s="8">
        <v>2.0</v>
      </c>
    </row>
    <row r="1242">
      <c r="A1242" s="7" t="s">
        <v>4849</v>
      </c>
      <c r="B1242" s="8" t="s">
        <v>4850</v>
      </c>
      <c r="C1242" s="7" t="s">
        <v>1418</v>
      </c>
      <c r="D1242" s="12" t="s">
        <v>39</v>
      </c>
      <c r="E1242" s="13" t="s">
        <v>41</v>
      </c>
      <c r="F1242" s="8" t="s">
        <v>42</v>
      </c>
      <c r="G1242" s="8" t="b">
        <v>0</v>
      </c>
      <c r="H1242" s="8" t="s">
        <v>792</v>
      </c>
      <c r="I1242" s="8">
        <v>1.0</v>
      </c>
      <c r="J1242" s="8">
        <v>0.0</v>
      </c>
      <c r="K1242" s="8">
        <v>1.0</v>
      </c>
    </row>
    <row r="1243">
      <c r="A1243" s="7" t="s">
        <v>4851</v>
      </c>
      <c r="B1243" s="8" t="s">
        <v>4852</v>
      </c>
      <c r="C1243" s="7" t="s">
        <v>2580</v>
      </c>
      <c r="D1243" s="12" t="s">
        <v>39</v>
      </c>
      <c r="E1243" s="13" t="s">
        <v>41</v>
      </c>
      <c r="F1243" s="8" t="s">
        <v>42</v>
      </c>
      <c r="G1243" s="8" t="b">
        <v>0</v>
      </c>
      <c r="H1243" s="8" t="s">
        <v>4853</v>
      </c>
      <c r="I1243" s="8">
        <v>1.0</v>
      </c>
      <c r="J1243" s="8">
        <v>0.0</v>
      </c>
      <c r="K1243" s="8">
        <v>0.0</v>
      </c>
    </row>
    <row r="1244">
      <c r="A1244" s="7" t="s">
        <v>4854</v>
      </c>
      <c r="B1244" s="8" t="s">
        <v>4855</v>
      </c>
      <c r="C1244" s="7" t="s">
        <v>728</v>
      </c>
      <c r="D1244" s="12" t="s">
        <v>39</v>
      </c>
      <c r="E1244" s="13" t="s">
        <v>41</v>
      </c>
      <c r="F1244" s="8" t="s">
        <v>42</v>
      </c>
      <c r="G1244" s="8" t="b">
        <v>0</v>
      </c>
      <c r="H1244" s="8" t="s">
        <v>4856</v>
      </c>
      <c r="I1244" s="8">
        <v>1.0</v>
      </c>
      <c r="J1244" s="8">
        <v>0.0</v>
      </c>
      <c r="K1244" s="8">
        <v>2.0</v>
      </c>
    </row>
    <row r="1245">
      <c r="A1245" s="7" t="s">
        <v>4857</v>
      </c>
      <c r="B1245" s="8" t="s">
        <v>4858</v>
      </c>
      <c r="C1245" s="7" t="s">
        <v>2584</v>
      </c>
      <c r="D1245" s="12" t="s">
        <v>693</v>
      </c>
      <c r="E1245" s="13" t="s">
        <v>41</v>
      </c>
      <c r="F1245" s="8" t="s">
        <v>695</v>
      </c>
      <c r="G1245" s="8" t="b">
        <v>0</v>
      </c>
      <c r="H1245" s="8" t="s">
        <v>186</v>
      </c>
      <c r="I1245" s="8">
        <v>1.0</v>
      </c>
      <c r="J1245" s="8">
        <v>0.0</v>
      </c>
      <c r="K1245" s="8">
        <v>0.0</v>
      </c>
    </row>
    <row r="1246">
      <c r="A1246" s="7" t="s">
        <v>4859</v>
      </c>
      <c r="B1246" s="8" t="s">
        <v>4860</v>
      </c>
      <c r="C1246" s="7" t="s">
        <v>2587</v>
      </c>
      <c r="D1246" s="12" t="s">
        <v>766</v>
      </c>
      <c r="E1246" s="13" t="s">
        <v>41</v>
      </c>
      <c r="F1246" s="8" t="s">
        <v>767</v>
      </c>
      <c r="G1246" s="8" t="b">
        <v>0</v>
      </c>
      <c r="I1246" s="8">
        <v>1.0</v>
      </c>
      <c r="J1246" s="8">
        <v>0.0</v>
      </c>
      <c r="K1246" s="8">
        <v>1.0</v>
      </c>
    </row>
    <row r="1247">
      <c r="A1247" s="7" t="s">
        <v>4861</v>
      </c>
      <c r="B1247" s="8" t="s">
        <v>4862</v>
      </c>
      <c r="C1247" s="7" t="s">
        <v>2589</v>
      </c>
      <c r="D1247" s="12" t="s">
        <v>766</v>
      </c>
      <c r="E1247" s="13" t="s">
        <v>41</v>
      </c>
      <c r="F1247" s="8" t="s">
        <v>767</v>
      </c>
      <c r="G1247" s="8" t="b">
        <v>0</v>
      </c>
      <c r="I1247" s="8">
        <v>1.0</v>
      </c>
      <c r="J1247" s="8">
        <v>0.0</v>
      </c>
      <c r="K1247" s="8">
        <v>0.0</v>
      </c>
    </row>
    <row r="1248">
      <c r="A1248" s="7" t="s">
        <v>4863</v>
      </c>
      <c r="B1248" s="8" t="s">
        <v>4864</v>
      </c>
      <c r="C1248" s="7" t="s">
        <v>2592</v>
      </c>
      <c r="D1248" s="12" t="s">
        <v>766</v>
      </c>
      <c r="E1248" s="13" t="s">
        <v>41</v>
      </c>
      <c r="F1248" s="8" t="s">
        <v>767</v>
      </c>
      <c r="G1248" s="8" t="b">
        <v>0</v>
      </c>
      <c r="H1248" s="8" t="s">
        <v>724</v>
      </c>
      <c r="I1248" s="8">
        <v>1.0</v>
      </c>
      <c r="J1248" s="8">
        <v>0.0</v>
      </c>
      <c r="K1248" s="8">
        <v>0.0</v>
      </c>
    </row>
    <row r="1249">
      <c r="A1249" s="7" t="s">
        <v>4865</v>
      </c>
      <c r="B1249" s="8" t="s">
        <v>4866</v>
      </c>
      <c r="C1249" s="7" t="s">
        <v>2595</v>
      </c>
      <c r="D1249" s="12" t="s">
        <v>554</v>
      </c>
      <c r="E1249" s="13" t="s">
        <v>41</v>
      </c>
      <c r="F1249" s="8" t="s">
        <v>555</v>
      </c>
      <c r="G1249" s="8" t="b">
        <v>0</v>
      </c>
      <c r="I1249" s="8">
        <v>1.0</v>
      </c>
      <c r="J1249" s="8">
        <v>0.0</v>
      </c>
      <c r="K1249" s="8">
        <v>0.0</v>
      </c>
    </row>
    <row r="1250">
      <c r="A1250" s="7" t="s">
        <v>4867</v>
      </c>
      <c r="B1250" s="8" t="s">
        <v>4868</v>
      </c>
      <c r="C1250" s="7" t="s">
        <v>1422</v>
      </c>
      <c r="D1250" s="12" t="s">
        <v>39</v>
      </c>
      <c r="E1250" s="13" t="s">
        <v>76</v>
      </c>
      <c r="F1250" s="8" t="s">
        <v>42</v>
      </c>
      <c r="G1250" s="8" t="b">
        <v>0</v>
      </c>
      <c r="H1250" s="8" t="s">
        <v>4869</v>
      </c>
      <c r="I1250" s="8">
        <v>1.0</v>
      </c>
      <c r="J1250" s="8">
        <v>0.0</v>
      </c>
      <c r="K1250" s="8">
        <v>1.0</v>
      </c>
    </row>
    <row r="1251">
      <c r="A1251" s="7" t="s">
        <v>4870</v>
      </c>
      <c r="B1251" s="8" t="s">
        <v>4871</v>
      </c>
      <c r="C1251" s="7" t="s">
        <v>1422</v>
      </c>
      <c r="D1251" s="12" t="s">
        <v>39</v>
      </c>
      <c r="E1251" s="13" t="s">
        <v>76</v>
      </c>
      <c r="F1251" s="8" t="s">
        <v>42</v>
      </c>
      <c r="G1251" s="8" t="b">
        <v>0</v>
      </c>
      <c r="H1251" s="8" t="s">
        <v>4872</v>
      </c>
      <c r="I1251" s="8">
        <v>1.0</v>
      </c>
      <c r="J1251" s="8">
        <v>0.0</v>
      </c>
      <c r="K1251" s="8">
        <v>1.0</v>
      </c>
    </row>
    <row r="1252">
      <c r="A1252" s="7" t="s">
        <v>4873</v>
      </c>
      <c r="B1252" s="8" t="s">
        <v>4874</v>
      </c>
      <c r="C1252" s="7" t="s">
        <v>1422</v>
      </c>
      <c r="D1252" s="12" t="s">
        <v>39</v>
      </c>
      <c r="E1252" s="13" t="s">
        <v>76</v>
      </c>
      <c r="F1252" s="8" t="s">
        <v>42</v>
      </c>
      <c r="G1252" s="8" t="b">
        <v>0</v>
      </c>
      <c r="H1252" s="8" t="s">
        <v>4875</v>
      </c>
      <c r="I1252" s="8">
        <v>1.0</v>
      </c>
      <c r="J1252" s="8">
        <v>0.0</v>
      </c>
      <c r="K1252" s="8">
        <v>0.0</v>
      </c>
    </row>
    <row r="1253">
      <c r="A1253" s="7" t="s">
        <v>4876</v>
      </c>
      <c r="B1253" s="8" t="s">
        <v>4877</v>
      </c>
      <c r="C1253" s="7" t="s">
        <v>2599</v>
      </c>
      <c r="D1253" s="12" t="s">
        <v>554</v>
      </c>
      <c r="E1253" s="13" t="s">
        <v>41</v>
      </c>
      <c r="F1253" s="8" t="s">
        <v>555</v>
      </c>
      <c r="G1253" s="8" t="b">
        <v>0</v>
      </c>
      <c r="H1253" s="8" t="s">
        <v>2602</v>
      </c>
      <c r="I1253" s="8">
        <v>1.0</v>
      </c>
      <c r="J1253" s="8">
        <v>0.0</v>
      </c>
      <c r="K1253" s="8">
        <v>0.0</v>
      </c>
    </row>
    <row r="1254">
      <c r="A1254" s="7" t="s">
        <v>4878</v>
      </c>
      <c r="B1254" s="8" t="s">
        <v>4879</v>
      </c>
      <c r="C1254" s="7" t="s">
        <v>339</v>
      </c>
      <c r="D1254" s="12" t="s">
        <v>21</v>
      </c>
      <c r="E1254" s="13" t="s">
        <v>76</v>
      </c>
      <c r="F1254" s="8" t="s">
        <v>24</v>
      </c>
      <c r="G1254" s="8" t="b">
        <v>0</v>
      </c>
      <c r="H1254" s="8" t="s">
        <v>4880</v>
      </c>
      <c r="I1254" s="8">
        <v>1.0</v>
      </c>
      <c r="J1254" s="8">
        <v>0.0</v>
      </c>
      <c r="K1254" s="8">
        <v>1.0</v>
      </c>
    </row>
    <row r="1255">
      <c r="A1255" s="7" t="s">
        <v>4881</v>
      </c>
      <c r="B1255" s="8" t="s">
        <v>4882</v>
      </c>
      <c r="C1255" s="7" t="s">
        <v>2603</v>
      </c>
      <c r="D1255" s="12" t="s">
        <v>766</v>
      </c>
      <c r="E1255" s="13" t="s">
        <v>41</v>
      </c>
      <c r="F1255" s="8" t="s">
        <v>767</v>
      </c>
      <c r="G1255" s="8" t="b">
        <v>0</v>
      </c>
      <c r="H1255" s="8" t="s">
        <v>724</v>
      </c>
      <c r="I1255" s="8">
        <v>1.0</v>
      </c>
      <c r="J1255" s="8">
        <v>0.0</v>
      </c>
      <c r="K1255" s="8">
        <v>0.0</v>
      </c>
    </row>
    <row r="1256">
      <c r="A1256" s="7" t="s">
        <v>4883</v>
      </c>
      <c r="B1256" s="8" t="s">
        <v>4884</v>
      </c>
      <c r="C1256" s="7" t="s">
        <v>138</v>
      </c>
      <c r="D1256" s="12" t="s">
        <v>72</v>
      </c>
      <c r="E1256" s="13" t="s">
        <v>41</v>
      </c>
      <c r="F1256" s="8" t="s">
        <v>74</v>
      </c>
      <c r="G1256" s="8" t="b">
        <v>0</v>
      </c>
      <c r="H1256" s="8" t="s">
        <v>4885</v>
      </c>
      <c r="I1256" s="8">
        <v>1.0</v>
      </c>
      <c r="J1256" s="8">
        <v>0.0</v>
      </c>
      <c r="K1256" s="8">
        <v>1.0</v>
      </c>
    </row>
    <row r="1257">
      <c r="A1257" s="7" t="s">
        <v>4886</v>
      </c>
      <c r="B1257" s="8" t="s">
        <v>4887</v>
      </c>
      <c r="C1257" s="7" t="s">
        <v>2606</v>
      </c>
      <c r="D1257" s="12" t="s">
        <v>190</v>
      </c>
      <c r="E1257" s="13" t="s">
        <v>753</v>
      </c>
      <c r="F1257" s="8" t="s">
        <v>191</v>
      </c>
      <c r="G1257" s="8" t="b">
        <v>0</v>
      </c>
      <c r="H1257" s="8" t="s">
        <v>1241</v>
      </c>
      <c r="I1257" s="8">
        <v>1.0</v>
      </c>
      <c r="J1257" s="8">
        <v>0.0</v>
      </c>
      <c r="K1257" s="8">
        <v>1.0</v>
      </c>
    </row>
    <row r="1258">
      <c r="A1258" s="7" t="s">
        <v>4888</v>
      </c>
      <c r="B1258" s="8" t="s">
        <v>4889</v>
      </c>
      <c r="C1258" s="7" t="s">
        <v>1737</v>
      </c>
      <c r="D1258" s="12" t="s">
        <v>39</v>
      </c>
      <c r="E1258" s="13" t="s">
        <v>41</v>
      </c>
      <c r="F1258" s="8" t="s">
        <v>42</v>
      </c>
      <c r="G1258" s="8" t="b">
        <v>0</v>
      </c>
      <c r="H1258" s="8" t="s">
        <v>4890</v>
      </c>
      <c r="I1258" s="8">
        <v>1.0</v>
      </c>
      <c r="J1258" s="8">
        <v>0.0</v>
      </c>
      <c r="K1258" s="8">
        <v>1.0</v>
      </c>
    </row>
    <row r="1259">
      <c r="A1259" s="7" t="s">
        <v>4891</v>
      </c>
      <c r="B1259" s="8" t="s">
        <v>4892</v>
      </c>
      <c r="C1259" s="7" t="s">
        <v>1737</v>
      </c>
      <c r="D1259" s="12" t="s">
        <v>39</v>
      </c>
      <c r="E1259" s="13" t="s">
        <v>41</v>
      </c>
      <c r="F1259" s="8" t="s">
        <v>42</v>
      </c>
      <c r="G1259" s="8" t="b">
        <v>0</v>
      </c>
      <c r="H1259" s="8" t="s">
        <v>4893</v>
      </c>
      <c r="I1259" s="8">
        <v>1.0</v>
      </c>
      <c r="J1259" s="8">
        <v>0.0</v>
      </c>
      <c r="K1259" s="8">
        <v>0.0</v>
      </c>
    </row>
    <row r="1260">
      <c r="A1260" s="7" t="s">
        <v>4894</v>
      </c>
      <c r="B1260" s="8" t="s">
        <v>4895</v>
      </c>
      <c r="C1260" s="7" t="s">
        <v>2608</v>
      </c>
      <c r="D1260" s="12" t="s">
        <v>39</v>
      </c>
      <c r="E1260" s="13" t="s">
        <v>41</v>
      </c>
      <c r="F1260" s="8" t="s">
        <v>42</v>
      </c>
      <c r="G1260" s="8" t="b">
        <v>0</v>
      </c>
      <c r="H1260" s="8" t="s">
        <v>2611</v>
      </c>
      <c r="I1260" s="8">
        <v>1.0</v>
      </c>
      <c r="J1260" s="8">
        <v>0.0</v>
      </c>
      <c r="K1260" s="8">
        <v>1.0</v>
      </c>
    </row>
    <row r="1261">
      <c r="A1261" s="7" t="s">
        <v>4896</v>
      </c>
      <c r="B1261" s="8" t="s">
        <v>4897</v>
      </c>
      <c r="C1261" s="7" t="s">
        <v>2614</v>
      </c>
      <c r="D1261" s="12" t="s">
        <v>39</v>
      </c>
      <c r="E1261" s="13" t="s">
        <v>41</v>
      </c>
      <c r="F1261" s="8" t="s">
        <v>42</v>
      </c>
      <c r="G1261" s="8" t="b">
        <v>0</v>
      </c>
      <c r="H1261" s="8" t="s">
        <v>4898</v>
      </c>
      <c r="I1261" s="8">
        <v>1.0</v>
      </c>
      <c r="J1261" s="8">
        <v>0.0</v>
      </c>
      <c r="K1261" s="8">
        <v>0.0</v>
      </c>
    </row>
    <row r="1262">
      <c r="A1262" s="7" t="s">
        <v>4899</v>
      </c>
      <c r="B1262" s="8" t="s">
        <v>4900</v>
      </c>
      <c r="C1262" s="7" t="s">
        <v>2618</v>
      </c>
      <c r="D1262" s="12" t="s">
        <v>554</v>
      </c>
      <c r="E1262" s="13" t="s">
        <v>41</v>
      </c>
      <c r="F1262" s="8" t="s">
        <v>555</v>
      </c>
      <c r="G1262" s="8" t="b">
        <v>0</v>
      </c>
      <c r="I1262" s="8">
        <v>1.0</v>
      </c>
      <c r="J1262" s="8">
        <v>0.0</v>
      </c>
      <c r="K1262" s="8">
        <v>0.0</v>
      </c>
    </row>
    <row r="1263">
      <c r="A1263" s="7" t="s">
        <v>4901</v>
      </c>
      <c r="B1263" s="8" t="s">
        <v>4902</v>
      </c>
      <c r="C1263" s="7" t="s">
        <v>2621</v>
      </c>
      <c r="D1263" s="12" t="s">
        <v>693</v>
      </c>
      <c r="E1263" s="13" t="s">
        <v>41</v>
      </c>
      <c r="F1263" s="8" t="s">
        <v>695</v>
      </c>
      <c r="G1263" s="8" t="b">
        <v>0</v>
      </c>
      <c r="I1263" s="8">
        <v>1.0</v>
      </c>
      <c r="J1263" s="8">
        <v>0.0</v>
      </c>
      <c r="K1263" s="8">
        <v>1.0</v>
      </c>
    </row>
    <row r="1264">
      <c r="A1264" s="7" t="s">
        <v>4903</v>
      </c>
      <c r="B1264" s="8" t="s">
        <v>4904</v>
      </c>
      <c r="C1264" s="7" t="s">
        <v>2624</v>
      </c>
      <c r="D1264" s="12" t="s">
        <v>190</v>
      </c>
      <c r="E1264" s="13" t="s">
        <v>41</v>
      </c>
      <c r="F1264" s="8" t="s">
        <v>191</v>
      </c>
      <c r="G1264" s="8" t="b">
        <v>0</v>
      </c>
      <c r="H1264" s="8" t="s">
        <v>4905</v>
      </c>
      <c r="I1264" s="8">
        <v>1.0</v>
      </c>
      <c r="J1264" s="8">
        <v>0.0</v>
      </c>
      <c r="K1264" s="8">
        <v>1.0</v>
      </c>
    </row>
    <row r="1265">
      <c r="A1265" s="7" t="s">
        <v>4906</v>
      </c>
      <c r="B1265" s="8" t="s">
        <v>4907</v>
      </c>
      <c r="C1265" s="7" t="s">
        <v>2626</v>
      </c>
      <c r="D1265" s="12" t="s">
        <v>766</v>
      </c>
      <c r="E1265" s="13" t="s">
        <v>190</v>
      </c>
      <c r="F1265" s="8" t="s">
        <v>767</v>
      </c>
      <c r="G1265" s="8" t="b">
        <v>0</v>
      </c>
      <c r="I1265" s="8">
        <v>1.0</v>
      </c>
      <c r="J1265" s="8">
        <v>0.0</v>
      </c>
      <c r="K1265" s="8">
        <v>1.0</v>
      </c>
    </row>
    <row r="1266">
      <c r="A1266" s="7" t="s">
        <v>4908</v>
      </c>
      <c r="B1266" s="8" t="s">
        <v>4909</v>
      </c>
      <c r="C1266" s="7" t="s">
        <v>924</v>
      </c>
      <c r="D1266" s="12" t="s">
        <v>766</v>
      </c>
      <c r="E1266" s="13" t="s">
        <v>22</v>
      </c>
      <c r="F1266" s="8" t="s">
        <v>767</v>
      </c>
      <c r="G1266" s="8" t="b">
        <v>0</v>
      </c>
      <c r="H1266" s="8" t="s">
        <v>925</v>
      </c>
      <c r="I1266" s="8">
        <v>1.0</v>
      </c>
      <c r="J1266" s="8">
        <v>0.0</v>
      </c>
      <c r="K1266" s="8">
        <v>1.0</v>
      </c>
    </row>
    <row r="1267">
      <c r="A1267" s="7" t="s">
        <v>4910</v>
      </c>
      <c r="B1267" s="8" t="s">
        <v>4911</v>
      </c>
      <c r="C1267" s="7" t="s">
        <v>2628</v>
      </c>
      <c r="D1267" s="12" t="s">
        <v>39</v>
      </c>
      <c r="E1267" s="13" t="s">
        <v>41</v>
      </c>
      <c r="F1267" s="8" t="s">
        <v>42</v>
      </c>
      <c r="G1267" s="8" t="b">
        <v>0</v>
      </c>
      <c r="I1267" s="8">
        <v>1.0</v>
      </c>
      <c r="J1267" s="8">
        <v>0.0</v>
      </c>
      <c r="K1267" s="8">
        <v>0.0</v>
      </c>
    </row>
    <row r="1268">
      <c r="A1268" s="7" t="s">
        <v>4912</v>
      </c>
      <c r="B1268" s="8" t="s">
        <v>4913</v>
      </c>
      <c r="C1268" s="7" t="s">
        <v>2631</v>
      </c>
      <c r="D1268" s="12" t="s">
        <v>39</v>
      </c>
      <c r="E1268" s="13" t="s">
        <v>41</v>
      </c>
      <c r="F1268" s="8" t="s">
        <v>42</v>
      </c>
      <c r="G1268" s="8" t="b">
        <v>0</v>
      </c>
      <c r="H1268" s="8" t="s">
        <v>2633</v>
      </c>
      <c r="I1268" s="8">
        <v>1.0</v>
      </c>
      <c r="J1268" s="8">
        <v>0.0</v>
      </c>
      <c r="K1268" s="8">
        <v>1.0</v>
      </c>
    </row>
    <row r="1269">
      <c r="A1269" s="7" t="s">
        <v>4914</v>
      </c>
      <c r="B1269" s="8" t="s">
        <v>4915</v>
      </c>
      <c r="C1269" s="7" t="s">
        <v>1743</v>
      </c>
      <c r="D1269" s="12" t="s">
        <v>39</v>
      </c>
      <c r="E1269" s="13" t="s">
        <v>73</v>
      </c>
      <c r="F1269" s="8" t="s">
        <v>42</v>
      </c>
      <c r="G1269" s="8" t="b">
        <v>0</v>
      </c>
      <c r="H1269" s="8" t="s">
        <v>4916</v>
      </c>
      <c r="I1269" s="8">
        <v>1.0</v>
      </c>
      <c r="J1269" s="8">
        <v>0.0</v>
      </c>
      <c r="K1269" s="8">
        <v>0.0</v>
      </c>
    </row>
    <row r="1270">
      <c r="A1270" s="7" t="s">
        <v>4917</v>
      </c>
      <c r="B1270" s="8" t="s">
        <v>4918</v>
      </c>
      <c r="C1270" s="7" t="s">
        <v>1743</v>
      </c>
      <c r="D1270" s="12" t="s">
        <v>39</v>
      </c>
      <c r="E1270" s="13" t="s">
        <v>73</v>
      </c>
      <c r="F1270" s="8" t="s">
        <v>42</v>
      </c>
      <c r="G1270" s="8" t="b">
        <v>0</v>
      </c>
      <c r="H1270" s="8" t="s">
        <v>4919</v>
      </c>
      <c r="I1270" s="8">
        <v>1.0</v>
      </c>
      <c r="J1270" s="8">
        <v>0.0</v>
      </c>
      <c r="K1270" s="8">
        <v>0.0</v>
      </c>
    </row>
    <row r="1271">
      <c r="A1271" s="7" t="s">
        <v>4920</v>
      </c>
      <c r="B1271" s="8" t="s">
        <v>4921</v>
      </c>
      <c r="C1271" s="7" t="s">
        <v>2634</v>
      </c>
      <c r="D1271" s="12" t="s">
        <v>39</v>
      </c>
      <c r="E1271" s="13" t="s">
        <v>22</v>
      </c>
      <c r="F1271" s="8" t="s">
        <v>42</v>
      </c>
      <c r="G1271" s="8" t="b">
        <v>0</v>
      </c>
      <c r="H1271" s="8" t="s">
        <v>4922</v>
      </c>
      <c r="I1271" s="8">
        <v>1.0</v>
      </c>
      <c r="J1271" s="8">
        <v>0.0</v>
      </c>
      <c r="K1271" s="8">
        <v>1.0</v>
      </c>
    </row>
    <row r="1272">
      <c r="A1272" s="7" t="s">
        <v>4923</v>
      </c>
      <c r="B1272" s="8" t="s">
        <v>4924</v>
      </c>
      <c r="C1272" s="7" t="s">
        <v>1747</v>
      </c>
      <c r="D1272" s="12" t="s">
        <v>39</v>
      </c>
      <c r="E1272" s="13" t="s">
        <v>41</v>
      </c>
      <c r="F1272" s="8" t="s">
        <v>42</v>
      </c>
      <c r="G1272" s="8" t="b">
        <v>0</v>
      </c>
      <c r="H1272" s="8" t="s">
        <v>4925</v>
      </c>
      <c r="I1272" s="8">
        <v>1.0</v>
      </c>
      <c r="J1272" s="8">
        <v>0.0</v>
      </c>
      <c r="K1272" s="8">
        <v>3.0</v>
      </c>
    </row>
    <row r="1273">
      <c r="A1273" s="7" t="s">
        <v>4926</v>
      </c>
      <c r="B1273" s="8" t="s">
        <v>4927</v>
      </c>
      <c r="C1273" s="7" t="s">
        <v>1747</v>
      </c>
      <c r="D1273" s="12" t="s">
        <v>39</v>
      </c>
      <c r="E1273" s="13" t="s">
        <v>41</v>
      </c>
      <c r="F1273" s="8" t="s">
        <v>42</v>
      </c>
      <c r="G1273" s="8" t="b">
        <v>0</v>
      </c>
      <c r="H1273" s="8" t="s">
        <v>4928</v>
      </c>
      <c r="I1273" s="8">
        <v>1.0</v>
      </c>
      <c r="J1273" s="8">
        <v>0.0</v>
      </c>
      <c r="K1273" s="8">
        <v>0.0</v>
      </c>
    </row>
    <row r="1274">
      <c r="A1274" s="7" t="s">
        <v>4929</v>
      </c>
      <c r="B1274" s="8" t="s">
        <v>4930</v>
      </c>
      <c r="C1274" s="7" t="s">
        <v>2639</v>
      </c>
      <c r="D1274" s="12" t="s">
        <v>104</v>
      </c>
      <c r="E1274" s="13" t="s">
        <v>41</v>
      </c>
      <c r="F1274" s="8" t="s">
        <v>106</v>
      </c>
      <c r="G1274" s="8" t="b">
        <v>0</v>
      </c>
      <c r="H1274" s="8" t="s">
        <v>1000</v>
      </c>
      <c r="I1274" s="8">
        <v>1.0</v>
      </c>
      <c r="J1274" s="8">
        <v>0.0</v>
      </c>
      <c r="K1274" s="8">
        <v>3.0</v>
      </c>
    </row>
    <row r="1275">
      <c r="A1275" s="7" t="s">
        <v>4931</v>
      </c>
      <c r="B1275" s="8" t="s">
        <v>1688</v>
      </c>
      <c r="C1275" s="7" t="s">
        <v>99</v>
      </c>
      <c r="D1275" s="12" t="s">
        <v>39</v>
      </c>
      <c r="E1275" s="13" t="s">
        <v>76</v>
      </c>
      <c r="F1275" s="8" t="s">
        <v>42</v>
      </c>
      <c r="G1275" s="8" t="b">
        <v>0</v>
      </c>
      <c r="H1275" s="8" t="s">
        <v>498</v>
      </c>
      <c r="I1275" s="8">
        <v>1.0</v>
      </c>
      <c r="J1275" s="8">
        <v>0.0</v>
      </c>
      <c r="K1275" s="8">
        <v>0.0</v>
      </c>
    </row>
    <row r="1276">
      <c r="A1276" s="7" t="s">
        <v>4932</v>
      </c>
      <c r="B1276" s="8" t="s">
        <v>1688</v>
      </c>
      <c r="C1276" s="7" t="s">
        <v>99</v>
      </c>
      <c r="D1276" s="12" t="s">
        <v>21</v>
      </c>
      <c r="E1276" s="13" t="s">
        <v>76</v>
      </c>
      <c r="F1276" s="8" t="s">
        <v>24</v>
      </c>
      <c r="G1276" s="8" t="b">
        <v>0</v>
      </c>
      <c r="H1276" s="8" t="s">
        <v>4933</v>
      </c>
      <c r="I1276" s="8">
        <v>1.0</v>
      </c>
      <c r="J1276" s="8">
        <v>0.0</v>
      </c>
      <c r="K1276" s="8">
        <v>0.0</v>
      </c>
    </row>
    <row r="1277">
      <c r="A1277" s="7" t="s">
        <v>4934</v>
      </c>
      <c r="B1277" s="8" t="s">
        <v>4935</v>
      </c>
      <c r="C1277" s="7" t="s">
        <v>99</v>
      </c>
      <c r="D1277" s="12" t="s">
        <v>190</v>
      </c>
      <c r="E1277" s="13" t="s">
        <v>76</v>
      </c>
      <c r="F1277" s="8" t="s">
        <v>191</v>
      </c>
      <c r="G1277" s="8" t="b">
        <v>0</v>
      </c>
      <c r="H1277" s="8" t="s">
        <v>792</v>
      </c>
      <c r="I1277" s="8">
        <v>1.0</v>
      </c>
      <c r="J1277" s="8">
        <v>0.0</v>
      </c>
      <c r="K1277" s="8">
        <v>0.0</v>
      </c>
    </row>
    <row r="1278">
      <c r="A1278" s="7" t="s">
        <v>4936</v>
      </c>
      <c r="B1278" s="8" t="s">
        <v>4937</v>
      </c>
      <c r="C1278" s="7" t="s">
        <v>99</v>
      </c>
      <c r="D1278" s="12" t="s">
        <v>21</v>
      </c>
      <c r="E1278" s="13" t="s">
        <v>76</v>
      </c>
      <c r="F1278" s="8" t="s">
        <v>24</v>
      </c>
      <c r="G1278" s="8" t="b">
        <v>0</v>
      </c>
      <c r="H1278" s="8" t="s">
        <v>4938</v>
      </c>
      <c r="I1278" s="8">
        <v>1.0</v>
      </c>
      <c r="J1278" s="8">
        <v>0.0</v>
      </c>
      <c r="K1278" s="8">
        <v>0.0</v>
      </c>
    </row>
    <row r="1279">
      <c r="A1279" s="7" t="s">
        <v>4939</v>
      </c>
      <c r="B1279" s="8" t="s">
        <v>213</v>
      </c>
      <c r="C1279" s="7" t="s">
        <v>99</v>
      </c>
      <c r="D1279" s="12" t="s">
        <v>190</v>
      </c>
      <c r="E1279" s="13" t="s">
        <v>76</v>
      </c>
      <c r="F1279" s="8" t="s">
        <v>191</v>
      </c>
      <c r="G1279" s="8" t="b">
        <v>0</v>
      </c>
      <c r="H1279" s="8" t="s">
        <v>4940</v>
      </c>
      <c r="I1279" s="8">
        <v>1.0</v>
      </c>
      <c r="J1279" s="8">
        <v>0.0</v>
      </c>
      <c r="K1279" s="8">
        <v>0.0</v>
      </c>
    </row>
    <row r="1280">
      <c r="A1280" s="7" t="s">
        <v>4941</v>
      </c>
      <c r="B1280" s="8" t="s">
        <v>213</v>
      </c>
      <c r="C1280" s="7" t="s">
        <v>99</v>
      </c>
      <c r="D1280" s="12" t="s">
        <v>190</v>
      </c>
      <c r="E1280" s="13" t="s">
        <v>76</v>
      </c>
      <c r="F1280" s="8" t="s">
        <v>191</v>
      </c>
      <c r="G1280" s="8" t="b">
        <v>0</v>
      </c>
      <c r="H1280" s="8" t="s">
        <v>4942</v>
      </c>
      <c r="I1280" s="8">
        <v>1.0</v>
      </c>
      <c r="J1280" s="8">
        <v>0.0</v>
      </c>
      <c r="K1280" s="8">
        <v>0.0</v>
      </c>
    </row>
    <row r="1281">
      <c r="A1281" s="7" t="s">
        <v>4943</v>
      </c>
      <c r="B1281" s="8" t="s">
        <v>213</v>
      </c>
      <c r="C1281" s="7" t="s">
        <v>99</v>
      </c>
      <c r="D1281" s="12" t="s">
        <v>190</v>
      </c>
      <c r="E1281" s="13" t="s">
        <v>76</v>
      </c>
      <c r="F1281" s="8" t="s">
        <v>191</v>
      </c>
      <c r="G1281" s="8" t="b">
        <v>0</v>
      </c>
      <c r="H1281" s="8" t="s">
        <v>4944</v>
      </c>
      <c r="I1281" s="8">
        <v>1.0</v>
      </c>
      <c r="J1281" s="8">
        <v>0.0</v>
      </c>
      <c r="K1281" s="8">
        <v>0.0</v>
      </c>
    </row>
    <row r="1282">
      <c r="A1282" s="7" t="s">
        <v>4945</v>
      </c>
      <c r="B1282" s="8" t="s">
        <v>213</v>
      </c>
      <c r="C1282" s="7" t="s">
        <v>99</v>
      </c>
      <c r="D1282" s="12" t="s">
        <v>190</v>
      </c>
      <c r="E1282" s="13" t="s">
        <v>76</v>
      </c>
      <c r="F1282" s="8" t="s">
        <v>191</v>
      </c>
      <c r="G1282" s="8" t="b">
        <v>0</v>
      </c>
      <c r="H1282" s="8" t="s">
        <v>4946</v>
      </c>
      <c r="I1282" s="8">
        <v>1.0</v>
      </c>
      <c r="J1282" s="8">
        <v>0.0</v>
      </c>
      <c r="K1282" s="8">
        <v>0.0</v>
      </c>
    </row>
    <row r="1283">
      <c r="A1283" s="7" t="s">
        <v>4947</v>
      </c>
      <c r="B1283" s="8" t="s">
        <v>4948</v>
      </c>
      <c r="C1283" s="7" t="s">
        <v>99</v>
      </c>
      <c r="D1283" s="12" t="s">
        <v>21</v>
      </c>
      <c r="E1283" s="13" t="s">
        <v>76</v>
      </c>
      <c r="F1283" s="8" t="s">
        <v>24</v>
      </c>
      <c r="G1283" s="8" t="b">
        <v>0</v>
      </c>
      <c r="H1283" s="8" t="s">
        <v>4949</v>
      </c>
      <c r="I1283" s="8">
        <v>1.0</v>
      </c>
      <c r="J1283" s="8">
        <v>0.0</v>
      </c>
      <c r="K1283" s="8">
        <v>0.0</v>
      </c>
    </row>
    <row r="1284">
      <c r="A1284" s="7" t="s">
        <v>4950</v>
      </c>
      <c r="B1284" s="8" t="s">
        <v>4951</v>
      </c>
      <c r="C1284" s="7" t="s">
        <v>99</v>
      </c>
      <c r="D1284" s="12" t="s">
        <v>21</v>
      </c>
      <c r="E1284" s="13" t="s">
        <v>76</v>
      </c>
      <c r="F1284" s="8" t="s">
        <v>24</v>
      </c>
      <c r="G1284" s="8" t="b">
        <v>0</v>
      </c>
      <c r="H1284" s="8" t="s">
        <v>4952</v>
      </c>
      <c r="I1284" s="8">
        <v>1.0</v>
      </c>
      <c r="J1284" s="8">
        <v>0.0</v>
      </c>
      <c r="K1284" s="8">
        <v>0.0</v>
      </c>
    </row>
    <row r="1285">
      <c r="A1285" s="7" t="s">
        <v>4953</v>
      </c>
      <c r="C1285" s="7" t="s">
        <v>200</v>
      </c>
      <c r="D1285" s="12" t="s">
        <v>190</v>
      </c>
      <c r="E1285" s="13" t="s">
        <v>190</v>
      </c>
      <c r="F1285" s="8" t="s">
        <v>191</v>
      </c>
      <c r="H1285" s="8" t="s">
        <v>1246</v>
      </c>
      <c r="I1285" s="8">
        <v>1.0</v>
      </c>
      <c r="J1285" s="8">
        <v>0.0</v>
      </c>
      <c r="K1285" s="8">
        <v>0.0</v>
      </c>
    </row>
    <row r="1286">
      <c r="A1286" s="7" t="s">
        <v>4954</v>
      </c>
      <c r="C1286" s="7" t="s">
        <v>200</v>
      </c>
      <c r="D1286" s="12" t="s">
        <v>190</v>
      </c>
      <c r="E1286" s="13" t="s">
        <v>190</v>
      </c>
      <c r="F1286" s="8" t="s">
        <v>191</v>
      </c>
      <c r="H1286" s="8" t="s">
        <v>1246</v>
      </c>
      <c r="I1286" s="8">
        <v>1.0</v>
      </c>
      <c r="J1286" s="8">
        <v>0.0</v>
      </c>
      <c r="K1286" s="8">
        <v>1.0</v>
      </c>
    </row>
    <row r="1287">
      <c r="A1287" s="7" t="s">
        <v>4955</v>
      </c>
      <c r="C1287" s="7" t="s">
        <v>200</v>
      </c>
      <c r="D1287" s="12" t="s">
        <v>190</v>
      </c>
      <c r="E1287" s="13" t="s">
        <v>190</v>
      </c>
      <c r="F1287" s="8" t="s">
        <v>191</v>
      </c>
      <c r="H1287" s="8" t="s">
        <v>1246</v>
      </c>
      <c r="I1287" s="8">
        <v>1.0</v>
      </c>
      <c r="J1287" s="8">
        <v>0.0</v>
      </c>
      <c r="K1287" s="8">
        <v>0.0</v>
      </c>
    </row>
    <row r="1288">
      <c r="A1288" s="7" t="s">
        <v>4956</v>
      </c>
      <c r="C1288" s="7" t="s">
        <v>200</v>
      </c>
      <c r="D1288" s="12" t="s">
        <v>190</v>
      </c>
      <c r="E1288" s="13" t="s">
        <v>190</v>
      </c>
      <c r="F1288" s="8" t="s">
        <v>191</v>
      </c>
      <c r="H1288" s="8" t="s">
        <v>1246</v>
      </c>
      <c r="I1288" s="8">
        <v>1.0</v>
      </c>
      <c r="J1288" s="8">
        <v>0.0</v>
      </c>
      <c r="K1288" s="8">
        <v>0.0</v>
      </c>
    </row>
    <row r="1289">
      <c r="A1289" s="7" t="s">
        <v>4957</v>
      </c>
      <c r="C1289" s="7" t="s">
        <v>200</v>
      </c>
      <c r="D1289" s="12" t="s">
        <v>190</v>
      </c>
      <c r="E1289" s="13" t="s">
        <v>190</v>
      </c>
      <c r="F1289" s="8" t="s">
        <v>191</v>
      </c>
      <c r="H1289" s="8" t="s">
        <v>1246</v>
      </c>
      <c r="I1289" s="8">
        <v>1.0</v>
      </c>
      <c r="J1289" s="8">
        <v>0.0</v>
      </c>
      <c r="K1289" s="8">
        <v>0.0</v>
      </c>
    </row>
    <row r="1290">
      <c r="A1290" s="7" t="s">
        <v>4958</v>
      </c>
      <c r="C1290" s="7" t="s">
        <v>200</v>
      </c>
      <c r="D1290" s="12" t="s">
        <v>190</v>
      </c>
      <c r="E1290" s="13" t="s">
        <v>190</v>
      </c>
      <c r="F1290" s="8" t="s">
        <v>191</v>
      </c>
      <c r="H1290" s="8" t="s">
        <v>1246</v>
      </c>
      <c r="I1290" s="8">
        <v>1.0</v>
      </c>
      <c r="J1290" s="8">
        <v>0.0</v>
      </c>
      <c r="K1290" s="8">
        <v>0.0</v>
      </c>
    </row>
    <row r="1291">
      <c r="A1291" s="7" t="s">
        <v>4959</v>
      </c>
      <c r="C1291" s="7" t="s">
        <v>200</v>
      </c>
      <c r="D1291" s="12" t="s">
        <v>190</v>
      </c>
      <c r="E1291" s="13" t="s">
        <v>190</v>
      </c>
      <c r="F1291" s="8" t="s">
        <v>191</v>
      </c>
      <c r="H1291" s="8" t="s">
        <v>1246</v>
      </c>
      <c r="I1291" s="8">
        <v>1.0</v>
      </c>
      <c r="J1291" s="8">
        <v>0.0</v>
      </c>
      <c r="K1291" s="8">
        <v>0.0</v>
      </c>
    </row>
    <row r="1292">
      <c r="A1292" s="7" t="s">
        <v>4960</v>
      </c>
      <c r="C1292" s="7" t="s">
        <v>200</v>
      </c>
      <c r="D1292" s="12" t="s">
        <v>190</v>
      </c>
      <c r="E1292" s="13" t="s">
        <v>190</v>
      </c>
      <c r="F1292" s="8" t="s">
        <v>191</v>
      </c>
      <c r="H1292" s="8" t="s">
        <v>1246</v>
      </c>
      <c r="I1292" s="8">
        <v>1.0</v>
      </c>
      <c r="J1292" s="8">
        <v>0.0</v>
      </c>
      <c r="K1292" s="8">
        <v>0.0</v>
      </c>
    </row>
    <row r="1293">
      <c r="A1293" s="7" t="s">
        <v>4961</v>
      </c>
      <c r="C1293" s="7" t="s">
        <v>200</v>
      </c>
      <c r="D1293" s="12" t="s">
        <v>190</v>
      </c>
      <c r="E1293" s="13" t="s">
        <v>190</v>
      </c>
      <c r="F1293" s="8" t="s">
        <v>191</v>
      </c>
      <c r="H1293" s="8" t="s">
        <v>1246</v>
      </c>
      <c r="I1293" s="8">
        <v>1.0</v>
      </c>
      <c r="J1293" s="8">
        <v>0.0</v>
      </c>
      <c r="K1293" s="8">
        <v>0.0</v>
      </c>
    </row>
    <row r="1294">
      <c r="A1294" s="7" t="s">
        <v>4962</v>
      </c>
      <c r="B1294" s="8" t="s">
        <v>4963</v>
      </c>
      <c r="C1294" s="7" t="s">
        <v>2642</v>
      </c>
      <c r="D1294" s="12" t="s">
        <v>554</v>
      </c>
      <c r="E1294" s="13" t="s">
        <v>41</v>
      </c>
      <c r="F1294" s="8" t="s">
        <v>555</v>
      </c>
      <c r="G1294" s="8" t="b">
        <v>0</v>
      </c>
      <c r="I1294" s="8">
        <v>1.0</v>
      </c>
      <c r="J1294" s="8">
        <v>0.0</v>
      </c>
      <c r="K1294" s="8">
        <v>0.0</v>
      </c>
    </row>
    <row r="1295">
      <c r="A1295" s="7" t="s">
        <v>4964</v>
      </c>
      <c r="B1295" s="8" t="s">
        <v>4965</v>
      </c>
      <c r="C1295" s="7" t="s">
        <v>2645</v>
      </c>
      <c r="D1295" s="12" t="s">
        <v>766</v>
      </c>
      <c r="E1295" s="13" t="s">
        <v>41</v>
      </c>
      <c r="F1295" s="8" t="s">
        <v>767</v>
      </c>
      <c r="G1295" s="8" t="b">
        <v>0</v>
      </c>
      <c r="I1295" s="8">
        <v>1.0</v>
      </c>
      <c r="J1295" s="8">
        <v>0.0</v>
      </c>
      <c r="K1295" s="8">
        <v>1.0</v>
      </c>
    </row>
    <row r="1296">
      <c r="A1296" s="7" t="s">
        <v>4966</v>
      </c>
      <c r="B1296" s="8" t="s">
        <v>4967</v>
      </c>
      <c r="C1296" s="7" t="s">
        <v>2001</v>
      </c>
      <c r="D1296" s="12" t="s">
        <v>560</v>
      </c>
      <c r="E1296" s="13" t="s">
        <v>41</v>
      </c>
      <c r="F1296" s="8" t="s">
        <v>561</v>
      </c>
      <c r="G1296" s="8" t="b">
        <v>0</v>
      </c>
      <c r="H1296" s="8" t="s">
        <v>498</v>
      </c>
      <c r="I1296" s="8">
        <v>1.0</v>
      </c>
      <c r="J1296" s="8">
        <v>0.0</v>
      </c>
      <c r="K1296" s="8">
        <v>3.0</v>
      </c>
    </row>
    <row r="1297">
      <c r="A1297" s="7" t="s">
        <v>4968</v>
      </c>
      <c r="B1297" s="8" t="s">
        <v>4969</v>
      </c>
      <c r="C1297" s="7" t="s">
        <v>2648</v>
      </c>
      <c r="D1297" s="12" t="s">
        <v>21</v>
      </c>
      <c r="E1297" s="13" t="s">
        <v>73</v>
      </c>
      <c r="F1297" s="8" t="s">
        <v>24</v>
      </c>
      <c r="G1297" s="8" t="b">
        <v>0</v>
      </c>
      <c r="I1297" s="8">
        <v>1.0</v>
      </c>
      <c r="J1297" s="8">
        <v>0.0</v>
      </c>
      <c r="K1297" s="8">
        <v>0.0</v>
      </c>
    </row>
    <row r="1298">
      <c r="A1298" s="7" t="s">
        <v>4970</v>
      </c>
      <c r="B1298" s="8" t="s">
        <v>4971</v>
      </c>
      <c r="C1298" s="7" t="s">
        <v>1754</v>
      </c>
      <c r="D1298" s="12" t="s">
        <v>39</v>
      </c>
      <c r="E1298" s="13" t="s">
        <v>190</v>
      </c>
      <c r="F1298" s="8" t="s">
        <v>42</v>
      </c>
      <c r="G1298" s="8" t="b">
        <v>1</v>
      </c>
      <c r="H1298" s="8" t="s">
        <v>4972</v>
      </c>
      <c r="I1298" s="8">
        <v>1.0</v>
      </c>
      <c r="J1298" s="8">
        <v>0.0</v>
      </c>
      <c r="K1298" s="8">
        <v>1.0</v>
      </c>
    </row>
    <row r="1299">
      <c r="A1299" s="7" t="s">
        <v>4973</v>
      </c>
      <c r="B1299" s="8" t="s">
        <v>4974</v>
      </c>
      <c r="C1299" s="7" t="s">
        <v>1754</v>
      </c>
      <c r="D1299" s="12" t="s">
        <v>39</v>
      </c>
      <c r="E1299" s="13" t="s">
        <v>190</v>
      </c>
      <c r="F1299" s="8" t="s">
        <v>42</v>
      </c>
      <c r="G1299" s="8" t="b">
        <v>0</v>
      </c>
      <c r="H1299" s="8" t="s">
        <v>4975</v>
      </c>
      <c r="I1299" s="8">
        <v>1.0</v>
      </c>
      <c r="J1299" s="8">
        <v>0.0</v>
      </c>
      <c r="K1299" s="8">
        <v>1.0</v>
      </c>
    </row>
    <row r="1300">
      <c r="A1300" s="7" t="s">
        <v>4976</v>
      </c>
      <c r="B1300" s="8" t="s">
        <v>4977</v>
      </c>
      <c r="C1300" s="7" t="s">
        <v>2652</v>
      </c>
      <c r="D1300" s="12" t="s">
        <v>190</v>
      </c>
      <c r="E1300" s="13" t="s">
        <v>41</v>
      </c>
      <c r="F1300" s="8" t="s">
        <v>191</v>
      </c>
      <c r="G1300" s="8" t="b">
        <v>0</v>
      </c>
      <c r="H1300" s="8" t="s">
        <v>4978</v>
      </c>
      <c r="I1300" s="8">
        <v>1.0</v>
      </c>
      <c r="J1300" s="8">
        <v>0.0</v>
      </c>
      <c r="K1300" s="8">
        <v>2.0</v>
      </c>
    </row>
    <row r="1301">
      <c r="A1301" s="7" t="s">
        <v>4979</v>
      </c>
      <c r="B1301" s="8" t="s">
        <v>4980</v>
      </c>
      <c r="C1301" s="7" t="s">
        <v>2656</v>
      </c>
      <c r="D1301" s="12" t="s">
        <v>39</v>
      </c>
      <c r="E1301" s="13" t="s">
        <v>41</v>
      </c>
      <c r="F1301" s="8" t="s">
        <v>42</v>
      </c>
      <c r="G1301" s="8" t="b">
        <v>0</v>
      </c>
      <c r="H1301" s="8" t="s">
        <v>4981</v>
      </c>
      <c r="I1301" s="8">
        <v>1.0</v>
      </c>
      <c r="J1301" s="8">
        <v>0.0</v>
      </c>
      <c r="K1301" s="8">
        <v>1.0</v>
      </c>
    </row>
    <row r="1302">
      <c r="A1302" s="7" t="s">
        <v>4982</v>
      </c>
      <c r="B1302" s="8" t="s">
        <v>4983</v>
      </c>
      <c r="C1302" s="7" t="s">
        <v>2659</v>
      </c>
      <c r="D1302" s="12" t="s">
        <v>560</v>
      </c>
      <c r="E1302" s="13" t="s">
        <v>41</v>
      </c>
      <c r="F1302" s="8" t="s">
        <v>561</v>
      </c>
      <c r="G1302" s="8" t="b">
        <v>0</v>
      </c>
      <c r="H1302" s="8" t="s">
        <v>1044</v>
      </c>
      <c r="I1302" s="8">
        <v>1.0</v>
      </c>
      <c r="J1302" s="8">
        <v>0.0</v>
      </c>
      <c r="K1302" s="8">
        <v>0.0</v>
      </c>
    </row>
    <row r="1303">
      <c r="A1303" s="7" t="s">
        <v>4984</v>
      </c>
      <c r="B1303" s="8" t="s">
        <v>4985</v>
      </c>
      <c r="C1303" s="7" t="s">
        <v>2663</v>
      </c>
      <c r="D1303" s="12" t="s">
        <v>39</v>
      </c>
      <c r="E1303" s="13" t="s">
        <v>41</v>
      </c>
      <c r="F1303" s="8" t="s">
        <v>42</v>
      </c>
      <c r="G1303" s="8" t="b">
        <v>0</v>
      </c>
      <c r="H1303" s="8" t="s">
        <v>4986</v>
      </c>
      <c r="I1303" s="8">
        <v>1.0</v>
      </c>
      <c r="J1303" s="8">
        <v>0.0</v>
      </c>
      <c r="K1303" s="8">
        <v>0.0</v>
      </c>
    </row>
    <row r="1304">
      <c r="A1304" s="7" t="s">
        <v>4987</v>
      </c>
      <c r="B1304" s="8" t="s">
        <v>4988</v>
      </c>
      <c r="C1304" s="8" t="s">
        <v>2666</v>
      </c>
      <c r="D1304" s="12" t="s">
        <v>39</v>
      </c>
      <c r="E1304" s="13" t="s">
        <v>41</v>
      </c>
      <c r="F1304" s="8" t="s">
        <v>42</v>
      </c>
      <c r="G1304" s="8" t="b">
        <v>0</v>
      </c>
      <c r="H1304" s="8" t="s">
        <v>4989</v>
      </c>
      <c r="I1304" s="8">
        <v>1.0</v>
      </c>
      <c r="J1304" s="8">
        <v>0.0</v>
      </c>
      <c r="K1304" s="8">
        <v>0.0</v>
      </c>
    </row>
    <row r="1305">
      <c r="A1305" s="7" t="s">
        <v>4990</v>
      </c>
      <c r="B1305" s="8" t="s">
        <v>4991</v>
      </c>
      <c r="C1305" s="7" t="s">
        <v>2668</v>
      </c>
      <c r="D1305" s="12" t="s">
        <v>766</v>
      </c>
      <c r="E1305" s="13" t="s">
        <v>41</v>
      </c>
      <c r="F1305" s="8" t="s">
        <v>767</v>
      </c>
      <c r="G1305" s="8" t="b">
        <v>0</v>
      </c>
      <c r="I1305" s="8">
        <v>1.0</v>
      </c>
      <c r="J1305" s="8">
        <v>0.0</v>
      </c>
      <c r="K1305" s="8">
        <v>1.0</v>
      </c>
    </row>
    <row r="1306">
      <c r="A1306" s="7" t="s">
        <v>4992</v>
      </c>
      <c r="B1306" s="8" t="s">
        <v>4993</v>
      </c>
      <c r="C1306" s="7" t="s">
        <v>1167</v>
      </c>
      <c r="D1306" s="12" t="s">
        <v>766</v>
      </c>
      <c r="E1306" s="13" t="s">
        <v>753</v>
      </c>
      <c r="F1306" s="8" t="s">
        <v>767</v>
      </c>
      <c r="G1306" s="8" t="b">
        <v>0</v>
      </c>
      <c r="I1306" s="8">
        <v>1.0</v>
      </c>
      <c r="J1306" s="8">
        <v>0.0</v>
      </c>
      <c r="K1306" s="8">
        <v>1.0</v>
      </c>
    </row>
    <row r="1307">
      <c r="A1307" s="7" t="s">
        <v>4994</v>
      </c>
      <c r="B1307" s="8" t="s">
        <v>4995</v>
      </c>
      <c r="C1307" s="7" t="s">
        <v>2671</v>
      </c>
      <c r="D1307" s="12" t="s">
        <v>766</v>
      </c>
      <c r="E1307" s="13" t="s">
        <v>41</v>
      </c>
      <c r="F1307" s="8" t="s">
        <v>767</v>
      </c>
      <c r="G1307" s="8" t="b">
        <v>0</v>
      </c>
      <c r="H1307" s="8" t="s">
        <v>2673</v>
      </c>
      <c r="I1307" s="8">
        <v>1.0</v>
      </c>
      <c r="J1307" s="8">
        <v>0.0</v>
      </c>
      <c r="K1307" s="8">
        <v>1.0</v>
      </c>
    </row>
    <row r="1308">
      <c r="A1308" s="7" t="s">
        <v>4996</v>
      </c>
      <c r="B1308" s="8" t="s">
        <v>4997</v>
      </c>
      <c r="C1308" s="7" t="s">
        <v>2675</v>
      </c>
      <c r="D1308" s="12" t="s">
        <v>39</v>
      </c>
      <c r="E1308" s="13" t="s">
        <v>41</v>
      </c>
      <c r="F1308" s="8" t="s">
        <v>42</v>
      </c>
      <c r="G1308" s="8" t="b">
        <v>0</v>
      </c>
      <c r="H1308" s="8" t="s">
        <v>4998</v>
      </c>
      <c r="I1308" s="8">
        <v>1.0</v>
      </c>
      <c r="J1308" s="8">
        <v>0.0</v>
      </c>
      <c r="K1308" s="8">
        <v>1.0</v>
      </c>
    </row>
    <row r="1309">
      <c r="A1309" s="7" t="s">
        <v>4999</v>
      </c>
      <c r="B1309" s="8" t="s">
        <v>5000</v>
      </c>
      <c r="C1309" s="7" t="s">
        <v>344</v>
      </c>
      <c r="D1309" s="12" t="s">
        <v>39</v>
      </c>
      <c r="E1309" s="13" t="s">
        <v>41</v>
      </c>
      <c r="F1309" s="8" t="s">
        <v>42</v>
      </c>
      <c r="G1309" s="8" t="b">
        <v>0</v>
      </c>
      <c r="H1309" s="8" t="s">
        <v>5001</v>
      </c>
      <c r="I1309" s="8">
        <v>1.0</v>
      </c>
      <c r="J1309" s="8">
        <v>0.0</v>
      </c>
      <c r="K1309" s="8">
        <v>1.0</v>
      </c>
    </row>
    <row r="1310">
      <c r="A1310" s="7" t="s">
        <v>5002</v>
      </c>
      <c r="B1310" s="8" t="s">
        <v>5003</v>
      </c>
      <c r="C1310" s="7" t="s">
        <v>2678</v>
      </c>
      <c r="D1310" s="12" t="s">
        <v>39</v>
      </c>
      <c r="E1310" s="13" t="s">
        <v>41</v>
      </c>
      <c r="F1310" s="8" t="s">
        <v>42</v>
      </c>
      <c r="G1310" s="8" t="b">
        <v>0</v>
      </c>
      <c r="H1310" s="8" t="s">
        <v>5004</v>
      </c>
      <c r="I1310" s="8">
        <v>1.0</v>
      </c>
      <c r="J1310" s="8">
        <v>0.0</v>
      </c>
      <c r="K1310" s="8">
        <v>1.0</v>
      </c>
    </row>
    <row r="1311">
      <c r="A1311" s="7" t="s">
        <v>5005</v>
      </c>
      <c r="B1311" s="8" t="s">
        <v>5006</v>
      </c>
      <c r="C1311" s="7" t="s">
        <v>1284</v>
      </c>
      <c r="D1311" s="12" t="s">
        <v>39</v>
      </c>
      <c r="E1311" s="13" t="s">
        <v>41</v>
      </c>
      <c r="F1311" s="8" t="s">
        <v>42</v>
      </c>
      <c r="G1311" s="8" t="b">
        <v>0</v>
      </c>
      <c r="H1311" s="8" t="s">
        <v>5007</v>
      </c>
      <c r="I1311" s="8">
        <v>1.0</v>
      </c>
      <c r="J1311" s="8">
        <v>0.0</v>
      </c>
      <c r="K1311" s="8">
        <v>1.0</v>
      </c>
    </row>
    <row r="1312">
      <c r="A1312" s="7" t="s">
        <v>5008</v>
      </c>
      <c r="B1312" s="8" t="s">
        <v>5009</v>
      </c>
      <c r="C1312" s="7" t="s">
        <v>2683</v>
      </c>
      <c r="D1312" s="12" t="s">
        <v>560</v>
      </c>
      <c r="E1312" s="13" t="s">
        <v>694</v>
      </c>
      <c r="F1312" s="8" t="s">
        <v>561</v>
      </c>
      <c r="G1312" s="8" t="b">
        <v>0</v>
      </c>
      <c r="I1312" s="8">
        <v>1.0</v>
      </c>
      <c r="J1312" s="8">
        <v>0.0</v>
      </c>
      <c r="K1312" s="8">
        <v>1.0</v>
      </c>
    </row>
    <row r="1313">
      <c r="A1313" s="7" t="s">
        <v>5010</v>
      </c>
      <c r="B1313" s="8" t="s">
        <v>5011</v>
      </c>
      <c r="C1313" s="7" t="s">
        <v>2687</v>
      </c>
      <c r="D1313" s="12" t="s">
        <v>554</v>
      </c>
      <c r="E1313" s="13" t="s">
        <v>41</v>
      </c>
      <c r="F1313" s="8" t="s">
        <v>555</v>
      </c>
      <c r="G1313" s="8" t="b">
        <v>0</v>
      </c>
      <c r="H1313" s="8" t="s">
        <v>724</v>
      </c>
      <c r="I1313" s="8">
        <v>1.0</v>
      </c>
      <c r="J1313" s="8">
        <v>0.0</v>
      </c>
      <c r="K1313" s="8">
        <v>1.0</v>
      </c>
    </row>
    <row r="1314">
      <c r="A1314" s="7" t="s">
        <v>5012</v>
      </c>
      <c r="B1314" s="8" t="s">
        <v>5013</v>
      </c>
      <c r="C1314" s="7" t="s">
        <v>2690</v>
      </c>
      <c r="D1314" s="12" t="s">
        <v>104</v>
      </c>
      <c r="E1314" s="13" t="s">
        <v>190</v>
      </c>
      <c r="F1314" s="8" t="s">
        <v>106</v>
      </c>
      <c r="G1314" s="8" t="b">
        <v>0</v>
      </c>
      <c r="H1314" s="8" t="s">
        <v>5014</v>
      </c>
      <c r="I1314" s="8">
        <v>1.0</v>
      </c>
      <c r="J1314" s="8">
        <v>0.0</v>
      </c>
      <c r="K1314" s="8">
        <v>1.0</v>
      </c>
    </row>
    <row r="1315">
      <c r="A1315" s="7" t="s">
        <v>5015</v>
      </c>
      <c r="B1315" s="8" t="s">
        <v>5016</v>
      </c>
      <c r="C1315" s="7" t="s">
        <v>2695</v>
      </c>
      <c r="D1315" s="12" t="s">
        <v>39</v>
      </c>
      <c r="E1315" s="13" t="s">
        <v>41</v>
      </c>
      <c r="F1315" s="8" t="s">
        <v>42</v>
      </c>
      <c r="G1315" s="8" t="b">
        <v>0</v>
      </c>
      <c r="H1315" s="8" t="s">
        <v>5017</v>
      </c>
      <c r="I1315" s="8">
        <v>1.0</v>
      </c>
      <c r="J1315" s="8">
        <v>0.0</v>
      </c>
      <c r="K1315" s="8">
        <v>1.0</v>
      </c>
    </row>
    <row r="1316">
      <c r="A1316" s="7" t="s">
        <v>5018</v>
      </c>
      <c r="B1316" s="8" t="s">
        <v>5019</v>
      </c>
      <c r="C1316" s="7" t="s">
        <v>1287</v>
      </c>
      <c r="D1316" s="12" t="s">
        <v>39</v>
      </c>
      <c r="E1316" s="13" t="s">
        <v>41</v>
      </c>
      <c r="F1316" s="8" t="s">
        <v>42</v>
      </c>
      <c r="G1316" s="8" t="b">
        <v>0</v>
      </c>
      <c r="H1316" s="8" t="s">
        <v>724</v>
      </c>
      <c r="I1316" s="8">
        <v>1.0</v>
      </c>
      <c r="J1316" s="8">
        <v>0.0</v>
      </c>
      <c r="K1316" s="8">
        <v>1.0</v>
      </c>
    </row>
    <row r="1317">
      <c r="A1317" s="7" t="s">
        <v>5020</v>
      </c>
      <c r="B1317" s="8" t="s">
        <v>5021</v>
      </c>
      <c r="C1317" s="7" t="s">
        <v>369</v>
      </c>
      <c r="D1317" s="12" t="s">
        <v>554</v>
      </c>
      <c r="E1317" s="13" t="s">
        <v>22</v>
      </c>
      <c r="F1317" s="8" t="s">
        <v>555</v>
      </c>
      <c r="G1317" s="8" t="b">
        <v>0</v>
      </c>
      <c r="H1317" s="8" t="s">
        <v>960</v>
      </c>
      <c r="I1317" s="8">
        <v>1.0</v>
      </c>
      <c r="J1317" s="8">
        <v>0.0</v>
      </c>
      <c r="K1317" s="8">
        <v>1.0</v>
      </c>
    </row>
    <row r="1318">
      <c r="A1318" s="7" t="s">
        <v>5022</v>
      </c>
      <c r="B1318" s="8" t="s">
        <v>5023</v>
      </c>
      <c r="C1318" s="7" t="s">
        <v>369</v>
      </c>
      <c r="D1318" s="12" t="s">
        <v>693</v>
      </c>
      <c r="E1318" s="13" t="s">
        <v>22</v>
      </c>
      <c r="F1318" s="8" t="s">
        <v>695</v>
      </c>
      <c r="G1318" s="8" t="b">
        <v>0</v>
      </c>
      <c r="H1318" s="8" t="s">
        <v>969</v>
      </c>
      <c r="I1318" s="8">
        <v>1.0</v>
      </c>
      <c r="J1318" s="8">
        <v>0.0</v>
      </c>
      <c r="K1318" s="8">
        <v>1.0</v>
      </c>
    </row>
    <row r="1319">
      <c r="A1319" s="7" t="s">
        <v>5024</v>
      </c>
      <c r="B1319" s="8" t="s">
        <v>5025</v>
      </c>
      <c r="C1319" s="7" t="s">
        <v>369</v>
      </c>
      <c r="D1319" s="12" t="s">
        <v>693</v>
      </c>
      <c r="E1319" s="13" t="s">
        <v>22</v>
      </c>
      <c r="F1319" s="8" t="s">
        <v>695</v>
      </c>
      <c r="G1319" s="8" t="b">
        <v>0</v>
      </c>
      <c r="H1319" s="8" t="s">
        <v>969</v>
      </c>
      <c r="I1319" s="8">
        <v>1.0</v>
      </c>
      <c r="J1319" s="8">
        <v>0.0</v>
      </c>
      <c r="K1319" s="8">
        <v>1.0</v>
      </c>
    </row>
    <row r="1320">
      <c r="A1320" s="7" t="s">
        <v>5026</v>
      </c>
      <c r="B1320" s="8" t="s">
        <v>5027</v>
      </c>
      <c r="C1320" s="7" t="s">
        <v>2699</v>
      </c>
      <c r="D1320" s="12" t="s">
        <v>766</v>
      </c>
      <c r="E1320" s="13" t="s">
        <v>41</v>
      </c>
      <c r="F1320" s="8" t="s">
        <v>767</v>
      </c>
      <c r="G1320" s="8" t="b">
        <v>0</v>
      </c>
      <c r="H1320" s="8" t="s">
        <v>186</v>
      </c>
      <c r="I1320" s="8">
        <v>1.0</v>
      </c>
      <c r="J1320" s="8">
        <v>0.0</v>
      </c>
      <c r="K1320" s="8">
        <v>0.0</v>
      </c>
    </row>
    <row r="1321">
      <c r="A1321" s="7" t="s">
        <v>5028</v>
      </c>
      <c r="B1321" s="8" t="s">
        <v>5029</v>
      </c>
      <c r="C1321" s="7" t="s">
        <v>1434</v>
      </c>
      <c r="D1321" s="12" t="s">
        <v>39</v>
      </c>
      <c r="E1321" s="13" t="s">
        <v>22</v>
      </c>
      <c r="F1321" s="8" t="s">
        <v>42</v>
      </c>
      <c r="G1321" s="8" t="b">
        <v>0</v>
      </c>
      <c r="H1321" s="8" t="s">
        <v>5030</v>
      </c>
      <c r="I1321" s="8">
        <v>1.0</v>
      </c>
      <c r="J1321" s="8">
        <v>0.0</v>
      </c>
      <c r="K1321" s="8">
        <v>1.0</v>
      </c>
    </row>
    <row r="1322">
      <c r="A1322" s="7" t="s">
        <v>5031</v>
      </c>
      <c r="B1322" s="8" t="s">
        <v>5032</v>
      </c>
      <c r="C1322" s="7" t="s">
        <v>1434</v>
      </c>
      <c r="D1322" s="12" t="s">
        <v>39</v>
      </c>
      <c r="E1322" s="13" t="s">
        <v>22</v>
      </c>
      <c r="F1322" s="8" t="s">
        <v>42</v>
      </c>
      <c r="G1322" s="8" t="b">
        <v>0</v>
      </c>
      <c r="H1322" s="8" t="s">
        <v>5033</v>
      </c>
      <c r="I1322" s="8">
        <v>1.0</v>
      </c>
      <c r="J1322" s="8">
        <v>0.0</v>
      </c>
      <c r="K1322" s="8">
        <v>0.0</v>
      </c>
    </row>
    <row r="1323">
      <c r="A1323" s="7" t="s">
        <v>5034</v>
      </c>
      <c r="B1323" s="8" t="s">
        <v>5035</v>
      </c>
      <c r="C1323" s="7" t="s">
        <v>1434</v>
      </c>
      <c r="D1323" s="12" t="s">
        <v>39</v>
      </c>
      <c r="E1323" s="13" t="s">
        <v>22</v>
      </c>
      <c r="F1323" s="8" t="s">
        <v>42</v>
      </c>
      <c r="G1323" s="8" t="b">
        <v>0</v>
      </c>
      <c r="H1323" s="8" t="s">
        <v>5036</v>
      </c>
      <c r="I1323" s="8">
        <v>1.0</v>
      </c>
      <c r="J1323" s="8">
        <v>0.0</v>
      </c>
      <c r="K1323" s="8">
        <v>1.0</v>
      </c>
    </row>
    <row r="1324">
      <c r="A1324" s="7" t="s">
        <v>5037</v>
      </c>
      <c r="B1324" s="8" t="s">
        <v>5038</v>
      </c>
      <c r="C1324" s="7" t="s">
        <v>2702</v>
      </c>
      <c r="D1324" s="12" t="s">
        <v>554</v>
      </c>
      <c r="E1324" s="13" t="s">
        <v>41</v>
      </c>
      <c r="F1324" s="8" t="s">
        <v>555</v>
      </c>
      <c r="G1324" s="8" t="b">
        <v>0</v>
      </c>
      <c r="I1324" s="8">
        <v>1.0</v>
      </c>
      <c r="J1324" s="8">
        <v>0.0</v>
      </c>
      <c r="K1324" s="8">
        <v>0.0</v>
      </c>
    </row>
    <row r="1325">
      <c r="A1325" s="7" t="s">
        <v>5039</v>
      </c>
      <c r="B1325" s="8" t="s">
        <v>5040</v>
      </c>
      <c r="C1325" s="7" t="s">
        <v>1759</v>
      </c>
      <c r="D1325" s="12" t="s">
        <v>39</v>
      </c>
      <c r="E1325" s="13" t="s">
        <v>41</v>
      </c>
      <c r="F1325" s="8" t="s">
        <v>42</v>
      </c>
      <c r="G1325" s="8" t="b">
        <v>0</v>
      </c>
      <c r="H1325" s="8" t="s">
        <v>5041</v>
      </c>
      <c r="I1325" s="8">
        <v>1.0</v>
      </c>
      <c r="J1325" s="8">
        <v>0.0</v>
      </c>
      <c r="K1325" s="8">
        <v>1.0</v>
      </c>
    </row>
    <row r="1326">
      <c r="A1326" s="7" t="s">
        <v>5042</v>
      </c>
      <c r="B1326" s="8" t="s">
        <v>5043</v>
      </c>
      <c r="C1326" s="7" t="s">
        <v>1759</v>
      </c>
      <c r="D1326" s="12" t="s">
        <v>39</v>
      </c>
      <c r="E1326" s="13" t="s">
        <v>41</v>
      </c>
      <c r="F1326" s="8" t="s">
        <v>42</v>
      </c>
      <c r="G1326" s="8" t="b">
        <v>0</v>
      </c>
      <c r="H1326" s="8" t="s">
        <v>5044</v>
      </c>
      <c r="I1326" s="8">
        <v>1.0</v>
      </c>
      <c r="J1326" s="8">
        <v>0.0</v>
      </c>
      <c r="K1326" s="8">
        <v>1.0</v>
      </c>
    </row>
    <row r="1327">
      <c r="A1327" s="7" t="s">
        <v>5045</v>
      </c>
      <c r="B1327" s="8" t="s">
        <v>5046</v>
      </c>
      <c r="C1327" s="7" t="s">
        <v>1350</v>
      </c>
      <c r="D1327" s="12" t="s">
        <v>39</v>
      </c>
      <c r="E1327" s="13" t="s">
        <v>22</v>
      </c>
      <c r="F1327" s="8" t="s">
        <v>42</v>
      </c>
      <c r="G1327" s="8" t="b">
        <v>0</v>
      </c>
      <c r="H1327" s="8" t="s">
        <v>5047</v>
      </c>
      <c r="I1327" s="8">
        <v>1.0</v>
      </c>
      <c r="J1327" s="8">
        <v>0.0</v>
      </c>
      <c r="K1327" s="8">
        <v>0.0</v>
      </c>
    </row>
    <row r="1328">
      <c r="A1328" s="7" t="s">
        <v>5048</v>
      </c>
      <c r="B1328" s="8" t="s">
        <v>5049</v>
      </c>
      <c r="C1328" s="7" t="s">
        <v>1764</v>
      </c>
      <c r="D1328" s="12" t="s">
        <v>39</v>
      </c>
      <c r="E1328" s="13" t="s">
        <v>41</v>
      </c>
      <c r="F1328" s="8" t="s">
        <v>42</v>
      </c>
      <c r="G1328" s="8" t="b">
        <v>0</v>
      </c>
      <c r="H1328" s="8" t="s">
        <v>5050</v>
      </c>
      <c r="I1328" s="8">
        <v>1.0</v>
      </c>
      <c r="J1328" s="8">
        <v>0.0</v>
      </c>
      <c r="K1328" s="8">
        <v>0.0</v>
      </c>
    </row>
    <row r="1329">
      <c r="A1329" s="7" t="s">
        <v>5051</v>
      </c>
      <c r="B1329" s="8" t="s">
        <v>5052</v>
      </c>
      <c r="C1329" s="7" t="s">
        <v>1764</v>
      </c>
      <c r="D1329" s="12" t="s">
        <v>39</v>
      </c>
      <c r="E1329" s="13" t="s">
        <v>41</v>
      </c>
      <c r="F1329" s="8" t="s">
        <v>42</v>
      </c>
      <c r="G1329" s="8" t="b">
        <v>0</v>
      </c>
      <c r="H1329" s="8" t="s">
        <v>5053</v>
      </c>
      <c r="I1329" s="8">
        <v>1.0</v>
      </c>
      <c r="J1329" s="8">
        <v>0.0</v>
      </c>
      <c r="K1329" s="8">
        <v>1.0</v>
      </c>
    </row>
    <row r="1330">
      <c r="A1330" s="7" t="s">
        <v>5054</v>
      </c>
      <c r="B1330" s="8" t="s">
        <v>5055</v>
      </c>
      <c r="C1330" s="7" t="s">
        <v>2706</v>
      </c>
      <c r="D1330" s="12" t="s">
        <v>766</v>
      </c>
      <c r="E1330" s="13" t="s">
        <v>41</v>
      </c>
      <c r="F1330" s="8" t="s">
        <v>767</v>
      </c>
      <c r="G1330" s="8" t="b">
        <v>0</v>
      </c>
      <c r="H1330" s="8" t="s">
        <v>1000</v>
      </c>
      <c r="I1330" s="8">
        <v>1.0</v>
      </c>
      <c r="J1330" s="8">
        <v>0.0</v>
      </c>
      <c r="K1330" s="8">
        <v>1.0</v>
      </c>
    </row>
    <row r="1331">
      <c r="A1331" s="7" t="s">
        <v>5056</v>
      </c>
      <c r="B1331" s="8" t="s">
        <v>5057</v>
      </c>
      <c r="C1331" s="7" t="s">
        <v>2708</v>
      </c>
      <c r="D1331" s="12" t="s">
        <v>39</v>
      </c>
      <c r="E1331" s="13" t="s">
        <v>41</v>
      </c>
      <c r="F1331" s="8" t="s">
        <v>42</v>
      </c>
      <c r="G1331" s="8" t="b">
        <v>0</v>
      </c>
      <c r="H1331" s="8" t="s">
        <v>5058</v>
      </c>
      <c r="I1331" s="8">
        <v>1.0</v>
      </c>
      <c r="J1331" s="8">
        <v>0.0</v>
      </c>
      <c r="K1331" s="8">
        <v>1.0</v>
      </c>
    </row>
    <row r="1332">
      <c r="A1332" s="7" t="s">
        <v>5059</v>
      </c>
      <c r="B1332" s="8" t="s">
        <v>5060</v>
      </c>
      <c r="C1332" s="7" t="s">
        <v>2713</v>
      </c>
      <c r="D1332" s="12" t="s">
        <v>39</v>
      </c>
      <c r="E1332" s="13" t="s">
        <v>41</v>
      </c>
      <c r="F1332" s="8" t="s">
        <v>42</v>
      </c>
      <c r="G1332" s="8" t="b">
        <v>0</v>
      </c>
      <c r="H1332" s="8" t="s">
        <v>5061</v>
      </c>
      <c r="I1332" s="8">
        <v>1.0</v>
      </c>
      <c r="J1332" s="8">
        <v>0.0</v>
      </c>
      <c r="K1332" s="8">
        <v>0.0</v>
      </c>
    </row>
    <row r="1333">
      <c r="A1333" s="7" t="s">
        <v>5062</v>
      </c>
      <c r="B1333" s="8" t="s">
        <v>5063</v>
      </c>
      <c r="C1333" s="8" t="s">
        <v>2720</v>
      </c>
      <c r="D1333" s="12" t="s">
        <v>39</v>
      </c>
      <c r="E1333" s="13" t="s">
        <v>41</v>
      </c>
      <c r="F1333" s="8" t="s">
        <v>42</v>
      </c>
      <c r="G1333" s="8" t="b">
        <v>0</v>
      </c>
      <c r="I1333" s="8">
        <v>1.0</v>
      </c>
      <c r="J1333" s="8">
        <v>0.0</v>
      </c>
      <c r="K1333" s="8">
        <v>0.0</v>
      </c>
    </row>
    <row r="1334">
      <c r="A1334" s="7" t="s">
        <v>5064</v>
      </c>
      <c r="B1334" s="8" t="s">
        <v>5065</v>
      </c>
      <c r="C1334" s="7" t="s">
        <v>2722</v>
      </c>
      <c r="D1334" s="12" t="s">
        <v>560</v>
      </c>
      <c r="E1334" s="13" t="s">
        <v>41</v>
      </c>
      <c r="F1334" s="8" t="s">
        <v>561</v>
      </c>
      <c r="G1334" s="8" t="b">
        <v>0</v>
      </c>
      <c r="H1334" s="8" t="s">
        <v>498</v>
      </c>
      <c r="I1334" s="8">
        <v>1.0</v>
      </c>
      <c r="J1334" s="8">
        <v>0.0</v>
      </c>
      <c r="K1334" s="8">
        <v>0.0</v>
      </c>
    </row>
    <row r="1335">
      <c r="A1335" s="7" t="s">
        <v>5066</v>
      </c>
      <c r="B1335" s="8" t="s">
        <v>5067</v>
      </c>
      <c r="C1335" s="7" t="s">
        <v>2725</v>
      </c>
      <c r="D1335" s="12" t="s">
        <v>554</v>
      </c>
      <c r="E1335" s="13" t="s">
        <v>41</v>
      </c>
      <c r="F1335" s="8" t="s">
        <v>555</v>
      </c>
      <c r="G1335" s="8" t="b">
        <v>0</v>
      </c>
      <c r="H1335" s="8" t="s">
        <v>498</v>
      </c>
      <c r="I1335" s="8">
        <v>1.0</v>
      </c>
      <c r="J1335" s="8">
        <v>0.0</v>
      </c>
      <c r="K1335" s="8">
        <v>0.0</v>
      </c>
    </row>
    <row r="1336">
      <c r="A1336" s="7" t="s">
        <v>5068</v>
      </c>
      <c r="B1336" s="8" t="s">
        <v>5069</v>
      </c>
      <c r="C1336" s="7" t="s">
        <v>1995</v>
      </c>
      <c r="D1336" s="12" t="s">
        <v>39</v>
      </c>
      <c r="E1336" s="13" t="s">
        <v>41</v>
      </c>
      <c r="F1336" s="8" t="s">
        <v>42</v>
      </c>
      <c r="G1336" s="8" t="b">
        <v>0</v>
      </c>
      <c r="H1336" s="8" t="s">
        <v>5070</v>
      </c>
      <c r="I1336" s="8">
        <v>1.0</v>
      </c>
      <c r="J1336" s="8">
        <v>0.0</v>
      </c>
      <c r="K1336" s="8">
        <v>4.0</v>
      </c>
    </row>
    <row r="1337">
      <c r="A1337" s="7" t="s">
        <v>5071</v>
      </c>
      <c r="B1337" s="8" t="s">
        <v>5072</v>
      </c>
      <c r="C1337" s="7" t="s">
        <v>2729</v>
      </c>
      <c r="D1337" s="12" t="s">
        <v>72</v>
      </c>
      <c r="E1337" s="13" t="s">
        <v>694</v>
      </c>
      <c r="F1337" s="8" t="s">
        <v>74</v>
      </c>
      <c r="G1337" s="8" t="b">
        <v>0</v>
      </c>
      <c r="I1337" s="8">
        <v>1.0</v>
      </c>
      <c r="J1337" s="8">
        <v>0.0</v>
      </c>
      <c r="K1337" s="8">
        <v>1.0</v>
      </c>
    </row>
    <row r="1338">
      <c r="A1338" s="7" t="s">
        <v>5073</v>
      </c>
      <c r="B1338" s="8" t="s">
        <v>5074</v>
      </c>
      <c r="C1338" s="7" t="s">
        <v>2731</v>
      </c>
      <c r="D1338" s="12" t="s">
        <v>766</v>
      </c>
      <c r="E1338" s="13" t="s">
        <v>22</v>
      </c>
      <c r="F1338" s="8" t="s">
        <v>767</v>
      </c>
      <c r="G1338" s="8" t="b">
        <v>0</v>
      </c>
      <c r="H1338" s="8" t="s">
        <v>792</v>
      </c>
      <c r="I1338" s="8">
        <v>1.0</v>
      </c>
      <c r="J1338" s="8">
        <v>0.0</v>
      </c>
      <c r="K1338" s="8">
        <v>2.0</v>
      </c>
    </row>
    <row r="1339">
      <c r="A1339" s="7" t="s">
        <v>5075</v>
      </c>
      <c r="B1339" s="8" t="s">
        <v>5076</v>
      </c>
      <c r="C1339" s="7" t="s">
        <v>1589</v>
      </c>
      <c r="D1339" s="12" t="s">
        <v>39</v>
      </c>
      <c r="E1339" s="13" t="s">
        <v>41</v>
      </c>
      <c r="F1339" s="8" t="s">
        <v>42</v>
      </c>
      <c r="G1339" s="8" t="b">
        <v>0</v>
      </c>
      <c r="H1339" s="8" t="s">
        <v>5077</v>
      </c>
      <c r="I1339" s="8">
        <v>1.0</v>
      </c>
      <c r="J1339" s="8">
        <v>0.0</v>
      </c>
      <c r="K1339" s="8">
        <v>0.0</v>
      </c>
    </row>
    <row r="1340">
      <c r="A1340" s="7" t="s">
        <v>5078</v>
      </c>
      <c r="B1340" s="8" t="s">
        <v>5079</v>
      </c>
      <c r="C1340" s="7" t="s">
        <v>2734</v>
      </c>
      <c r="D1340" s="12" t="s">
        <v>766</v>
      </c>
      <c r="E1340" s="13" t="s">
        <v>41</v>
      </c>
      <c r="F1340" s="8" t="s">
        <v>767</v>
      </c>
      <c r="G1340" s="8" t="b">
        <v>0</v>
      </c>
      <c r="H1340" s="8" t="s">
        <v>498</v>
      </c>
      <c r="I1340" s="8">
        <v>1.0</v>
      </c>
      <c r="J1340" s="8">
        <v>0.0</v>
      </c>
      <c r="K1340" s="8">
        <v>0.0</v>
      </c>
    </row>
    <row r="1341">
      <c r="A1341" s="7" t="s">
        <v>5080</v>
      </c>
      <c r="B1341" s="8" t="s">
        <v>5081</v>
      </c>
      <c r="C1341" s="7" t="s">
        <v>989</v>
      </c>
      <c r="D1341" s="12" t="s">
        <v>39</v>
      </c>
      <c r="E1341" s="13" t="s">
        <v>190</v>
      </c>
      <c r="F1341" s="8" t="s">
        <v>42</v>
      </c>
      <c r="G1341" s="8" t="b">
        <v>0</v>
      </c>
      <c r="H1341" s="8" t="s">
        <v>5082</v>
      </c>
      <c r="I1341" s="8">
        <v>1.0</v>
      </c>
      <c r="J1341" s="8">
        <v>0.0</v>
      </c>
      <c r="K1341" s="8">
        <v>0.0</v>
      </c>
    </row>
    <row r="1342">
      <c r="A1342" s="7" t="s">
        <v>5083</v>
      </c>
      <c r="B1342" s="8" t="s">
        <v>5084</v>
      </c>
      <c r="C1342" s="7" t="s">
        <v>490</v>
      </c>
      <c r="D1342" s="12" t="s">
        <v>39</v>
      </c>
      <c r="E1342" s="13" t="s">
        <v>694</v>
      </c>
      <c r="F1342" s="8" t="s">
        <v>42</v>
      </c>
      <c r="G1342" s="8" t="b">
        <v>0</v>
      </c>
      <c r="H1342" s="8" t="s">
        <v>5085</v>
      </c>
      <c r="I1342" s="8">
        <v>1.0</v>
      </c>
      <c r="J1342" s="8">
        <v>0.0</v>
      </c>
      <c r="K1342" s="8">
        <v>2.0</v>
      </c>
    </row>
    <row r="1343">
      <c r="A1343" s="7" t="s">
        <v>5086</v>
      </c>
      <c r="B1343" s="8" t="s">
        <v>5087</v>
      </c>
      <c r="C1343" s="7" t="s">
        <v>2736</v>
      </c>
      <c r="D1343" s="12" t="s">
        <v>72</v>
      </c>
      <c r="E1343" s="13" t="s">
        <v>41</v>
      </c>
      <c r="F1343" s="8" t="s">
        <v>74</v>
      </c>
      <c r="G1343" s="8" t="b">
        <v>0</v>
      </c>
      <c r="H1343" s="8" t="s">
        <v>5088</v>
      </c>
      <c r="I1343" s="8">
        <v>1.0</v>
      </c>
      <c r="J1343" s="8">
        <v>0.0</v>
      </c>
      <c r="K1343" s="8">
        <v>0.0</v>
      </c>
    </row>
    <row r="1344">
      <c r="A1344" s="7" t="s">
        <v>5089</v>
      </c>
      <c r="B1344" s="8" t="s">
        <v>5090</v>
      </c>
      <c r="C1344" s="7" t="s">
        <v>2740</v>
      </c>
      <c r="D1344" s="12" t="s">
        <v>693</v>
      </c>
      <c r="E1344" s="13" t="s">
        <v>41</v>
      </c>
      <c r="F1344" s="8" t="s">
        <v>695</v>
      </c>
      <c r="G1344" s="8" t="b">
        <v>0</v>
      </c>
      <c r="H1344" s="8" t="s">
        <v>2741</v>
      </c>
      <c r="I1344" s="8">
        <v>1.0</v>
      </c>
      <c r="J1344" s="8">
        <v>0.0</v>
      </c>
      <c r="K1344" s="8">
        <v>1.0</v>
      </c>
    </row>
    <row r="1345">
      <c r="A1345" s="7" t="s">
        <v>5091</v>
      </c>
      <c r="B1345" s="8" t="s">
        <v>5092</v>
      </c>
      <c r="C1345" s="7" t="s">
        <v>707</v>
      </c>
      <c r="D1345" s="12" t="s">
        <v>39</v>
      </c>
      <c r="E1345" s="13" t="s">
        <v>41</v>
      </c>
      <c r="F1345" s="8" t="s">
        <v>42</v>
      </c>
      <c r="G1345" s="8" t="b">
        <v>0</v>
      </c>
      <c r="H1345" s="8" t="s">
        <v>5093</v>
      </c>
      <c r="I1345" s="8">
        <v>1.0</v>
      </c>
      <c r="J1345" s="8">
        <v>0.0</v>
      </c>
      <c r="K1345" s="8">
        <v>1.0</v>
      </c>
    </row>
    <row r="1346">
      <c r="A1346" s="7" t="s">
        <v>5094</v>
      </c>
      <c r="B1346" s="8" t="s">
        <v>5095</v>
      </c>
      <c r="C1346" s="7" t="s">
        <v>707</v>
      </c>
      <c r="D1346" s="12" t="s">
        <v>39</v>
      </c>
      <c r="E1346" s="13" t="s">
        <v>41</v>
      </c>
      <c r="F1346" s="8" t="s">
        <v>42</v>
      </c>
      <c r="G1346" s="8" t="b">
        <v>0</v>
      </c>
      <c r="H1346" s="8" t="s">
        <v>5096</v>
      </c>
      <c r="I1346" s="8">
        <v>1.0</v>
      </c>
      <c r="J1346" s="8">
        <v>0.0</v>
      </c>
      <c r="K1346" s="8">
        <v>1.0</v>
      </c>
    </row>
    <row r="1347">
      <c r="A1347" s="7" t="s">
        <v>5097</v>
      </c>
      <c r="B1347" s="8" t="s">
        <v>5098</v>
      </c>
      <c r="C1347" s="8" t="s">
        <v>35</v>
      </c>
      <c r="D1347" s="12" t="s">
        <v>39</v>
      </c>
      <c r="E1347" s="13" t="s">
        <v>22</v>
      </c>
      <c r="F1347" s="8" t="s">
        <v>42</v>
      </c>
      <c r="G1347" s="8" t="b">
        <v>0</v>
      </c>
      <c r="H1347" s="8" t="s">
        <v>5099</v>
      </c>
      <c r="I1347" s="8">
        <v>1.0</v>
      </c>
      <c r="J1347" s="8">
        <v>0.0</v>
      </c>
      <c r="K1347" s="8">
        <v>0.0</v>
      </c>
    </row>
    <row r="1348">
      <c r="A1348" s="7" t="s">
        <v>5100</v>
      </c>
      <c r="B1348" s="8" t="s">
        <v>5101</v>
      </c>
      <c r="C1348" s="8" t="s">
        <v>35</v>
      </c>
      <c r="D1348" s="12" t="s">
        <v>39</v>
      </c>
      <c r="E1348" s="13" t="s">
        <v>22</v>
      </c>
      <c r="F1348" s="8" t="s">
        <v>42</v>
      </c>
      <c r="G1348" s="8" t="b">
        <v>0</v>
      </c>
      <c r="H1348" s="8" t="s">
        <v>5102</v>
      </c>
      <c r="I1348" s="8">
        <v>1.0</v>
      </c>
      <c r="J1348" s="8">
        <v>0.0</v>
      </c>
      <c r="K1348" s="8">
        <v>1.0</v>
      </c>
    </row>
    <row r="1349">
      <c r="A1349" s="7" t="s">
        <v>5103</v>
      </c>
      <c r="B1349" s="8" t="s">
        <v>5104</v>
      </c>
      <c r="C1349" s="8" t="s">
        <v>35</v>
      </c>
      <c r="D1349" s="12" t="s">
        <v>39</v>
      </c>
      <c r="E1349" s="13" t="s">
        <v>22</v>
      </c>
      <c r="F1349" s="8" t="s">
        <v>42</v>
      </c>
      <c r="G1349" s="8" t="b">
        <v>0</v>
      </c>
      <c r="H1349" s="8" t="s">
        <v>5105</v>
      </c>
      <c r="I1349" s="8">
        <v>1.0</v>
      </c>
      <c r="J1349" s="8">
        <v>0.0</v>
      </c>
      <c r="K1349" s="8">
        <v>1.0</v>
      </c>
    </row>
    <row r="1350">
      <c r="A1350" s="7" t="s">
        <v>5106</v>
      </c>
      <c r="B1350" s="8" t="s">
        <v>5107</v>
      </c>
      <c r="C1350" s="8" t="s">
        <v>35</v>
      </c>
      <c r="D1350" s="12" t="s">
        <v>39</v>
      </c>
      <c r="E1350" s="13" t="s">
        <v>22</v>
      </c>
      <c r="F1350" s="8" t="s">
        <v>42</v>
      </c>
      <c r="G1350" s="8" t="b">
        <v>0</v>
      </c>
      <c r="H1350" s="8" t="s">
        <v>5108</v>
      </c>
      <c r="I1350" s="8">
        <v>1.0</v>
      </c>
      <c r="J1350" s="8">
        <v>0.0</v>
      </c>
      <c r="K1350" s="8">
        <v>0.0</v>
      </c>
    </row>
    <row r="1351">
      <c r="A1351" s="7" t="s">
        <v>5109</v>
      </c>
      <c r="B1351" s="8" t="s">
        <v>5110</v>
      </c>
      <c r="C1351" s="7" t="s">
        <v>474</v>
      </c>
      <c r="D1351" s="12" t="s">
        <v>39</v>
      </c>
      <c r="E1351" s="13" t="s">
        <v>41</v>
      </c>
      <c r="F1351" s="8" t="s">
        <v>42</v>
      </c>
      <c r="G1351" s="8" t="b">
        <v>0</v>
      </c>
      <c r="H1351" s="8" t="s">
        <v>5111</v>
      </c>
      <c r="I1351" s="8">
        <v>1.0</v>
      </c>
      <c r="J1351" s="8">
        <v>0.0</v>
      </c>
      <c r="K1351" s="8">
        <v>0.0</v>
      </c>
    </row>
    <row r="1352">
      <c r="A1352" s="7" t="s">
        <v>5112</v>
      </c>
      <c r="B1352" s="8" t="s">
        <v>5113</v>
      </c>
      <c r="C1352" s="7" t="s">
        <v>474</v>
      </c>
      <c r="D1352" s="12" t="s">
        <v>39</v>
      </c>
      <c r="E1352" s="13" t="s">
        <v>41</v>
      </c>
      <c r="F1352" s="8" t="s">
        <v>42</v>
      </c>
      <c r="G1352" s="8" t="b">
        <v>0</v>
      </c>
      <c r="H1352" s="8" t="s">
        <v>5114</v>
      </c>
      <c r="I1352" s="8">
        <v>1.0</v>
      </c>
      <c r="J1352" s="8">
        <v>0.0</v>
      </c>
      <c r="K1352" s="8">
        <v>0.0</v>
      </c>
    </row>
    <row r="1353">
      <c r="A1353" s="7" t="s">
        <v>5115</v>
      </c>
      <c r="B1353" s="8" t="s">
        <v>5116</v>
      </c>
      <c r="C1353" s="7" t="s">
        <v>689</v>
      </c>
      <c r="D1353" s="12" t="s">
        <v>766</v>
      </c>
      <c r="E1353" s="13" t="s">
        <v>41</v>
      </c>
      <c r="F1353" s="8" t="s">
        <v>767</v>
      </c>
      <c r="G1353" s="8" t="b">
        <v>0</v>
      </c>
      <c r="I1353" s="8">
        <v>1.0</v>
      </c>
      <c r="J1353" s="8">
        <v>0.0</v>
      </c>
      <c r="K1353" s="8">
        <v>0.0</v>
      </c>
    </row>
    <row r="1354">
      <c r="A1354" s="7" t="s">
        <v>5117</v>
      </c>
      <c r="B1354" s="8" t="s">
        <v>5118</v>
      </c>
      <c r="C1354" s="7" t="s">
        <v>1126</v>
      </c>
      <c r="D1354" s="12" t="s">
        <v>766</v>
      </c>
      <c r="E1354" s="13" t="s">
        <v>22</v>
      </c>
      <c r="F1354" s="8" t="s">
        <v>767</v>
      </c>
      <c r="G1354" s="8" t="b">
        <v>0</v>
      </c>
      <c r="H1354" s="8" t="s">
        <v>3086</v>
      </c>
      <c r="I1354" s="8">
        <v>1.0</v>
      </c>
      <c r="J1354" s="8">
        <v>0.0</v>
      </c>
      <c r="K1354" s="8">
        <v>1.0</v>
      </c>
    </row>
    <row r="1355">
      <c r="A1355" s="7" t="s">
        <v>5119</v>
      </c>
      <c r="B1355" s="8" t="s">
        <v>5120</v>
      </c>
      <c r="C1355" s="7" t="s">
        <v>1126</v>
      </c>
      <c r="D1355" s="12" t="s">
        <v>766</v>
      </c>
      <c r="E1355" s="13" t="s">
        <v>22</v>
      </c>
      <c r="F1355" s="8" t="s">
        <v>767</v>
      </c>
      <c r="G1355" s="8" t="b">
        <v>0</v>
      </c>
      <c r="H1355" s="8" t="s">
        <v>5121</v>
      </c>
      <c r="I1355" s="8">
        <v>1.0</v>
      </c>
      <c r="J1355" s="8">
        <v>0.0</v>
      </c>
      <c r="K1355" s="8">
        <v>1.0</v>
      </c>
    </row>
    <row r="1356">
      <c r="A1356" s="7" t="s">
        <v>5122</v>
      </c>
      <c r="B1356" s="8" t="s">
        <v>5123</v>
      </c>
      <c r="C1356" s="7" t="s">
        <v>1126</v>
      </c>
      <c r="D1356" s="12" t="s">
        <v>766</v>
      </c>
      <c r="E1356" s="13" t="s">
        <v>22</v>
      </c>
      <c r="F1356" s="8" t="s">
        <v>767</v>
      </c>
      <c r="G1356" s="8" t="b">
        <v>0</v>
      </c>
      <c r="H1356" s="8" t="s">
        <v>3086</v>
      </c>
      <c r="I1356" s="8">
        <v>1.0</v>
      </c>
      <c r="J1356" s="8">
        <v>0.0</v>
      </c>
      <c r="K1356" s="8">
        <v>1.0</v>
      </c>
    </row>
    <row r="1357">
      <c r="A1357" s="7" t="s">
        <v>5124</v>
      </c>
      <c r="B1357" s="8" t="s">
        <v>5125</v>
      </c>
      <c r="C1357" s="7" t="s">
        <v>1126</v>
      </c>
      <c r="D1357" s="12" t="s">
        <v>560</v>
      </c>
      <c r="E1357" s="13" t="s">
        <v>22</v>
      </c>
      <c r="F1357" s="8" t="s">
        <v>561</v>
      </c>
      <c r="G1357" s="8" t="b">
        <v>0</v>
      </c>
      <c r="H1357" s="8" t="s">
        <v>3086</v>
      </c>
      <c r="I1357" s="8">
        <v>1.0</v>
      </c>
      <c r="J1357" s="8">
        <v>0.0</v>
      </c>
      <c r="K1357" s="8">
        <v>1.0</v>
      </c>
    </row>
    <row r="1358">
      <c r="A1358" s="7" t="s">
        <v>5126</v>
      </c>
      <c r="B1358" s="8" t="s">
        <v>5127</v>
      </c>
      <c r="C1358" s="7" t="s">
        <v>1126</v>
      </c>
      <c r="D1358" s="12" t="s">
        <v>766</v>
      </c>
      <c r="E1358" s="13" t="s">
        <v>22</v>
      </c>
      <c r="F1358" s="8" t="s">
        <v>767</v>
      </c>
      <c r="G1358" s="8" t="b">
        <v>0</v>
      </c>
      <c r="H1358" s="8" t="s">
        <v>3086</v>
      </c>
      <c r="I1358" s="8">
        <v>1.0</v>
      </c>
      <c r="J1358" s="8">
        <v>0.0</v>
      </c>
      <c r="K1358" s="8">
        <v>1.0</v>
      </c>
    </row>
    <row r="1359">
      <c r="A1359" s="7" t="s">
        <v>5128</v>
      </c>
      <c r="B1359" s="8" t="s">
        <v>5129</v>
      </c>
      <c r="C1359" s="7" t="s">
        <v>2745</v>
      </c>
      <c r="D1359" s="12" t="s">
        <v>190</v>
      </c>
      <c r="E1359" s="13" t="s">
        <v>41</v>
      </c>
      <c r="F1359" s="8" t="s">
        <v>191</v>
      </c>
      <c r="G1359" s="8" t="b">
        <v>0</v>
      </c>
      <c r="I1359" s="8">
        <v>1.0</v>
      </c>
      <c r="J1359" s="8">
        <v>0.0</v>
      </c>
      <c r="K1359" s="8">
        <v>1.0</v>
      </c>
    </row>
    <row r="1360">
      <c r="A1360" s="7" t="s">
        <v>5130</v>
      </c>
      <c r="B1360" s="8" t="s">
        <v>5131</v>
      </c>
      <c r="C1360" s="7" t="s">
        <v>2747</v>
      </c>
      <c r="D1360" s="12" t="s">
        <v>39</v>
      </c>
      <c r="E1360" s="13" t="s">
        <v>753</v>
      </c>
      <c r="F1360" s="8" t="s">
        <v>42</v>
      </c>
      <c r="G1360" s="8" t="b">
        <v>0</v>
      </c>
      <c r="H1360" s="8" t="s">
        <v>2590</v>
      </c>
      <c r="I1360" s="8">
        <v>1.0</v>
      </c>
      <c r="J1360" s="8">
        <v>0.0</v>
      </c>
      <c r="K1360" s="8">
        <v>11.0</v>
      </c>
    </row>
    <row r="1361">
      <c r="A1361" s="7" t="s">
        <v>5132</v>
      </c>
      <c r="B1361" s="8" t="s">
        <v>5133</v>
      </c>
      <c r="C1361" s="7" t="s">
        <v>2005</v>
      </c>
      <c r="D1361" s="12" t="s">
        <v>39</v>
      </c>
      <c r="E1361" s="13" t="s">
        <v>76</v>
      </c>
      <c r="F1361" s="8" t="s">
        <v>42</v>
      </c>
      <c r="G1361" s="8" t="b">
        <v>0</v>
      </c>
      <c r="H1361" s="8" t="s">
        <v>5134</v>
      </c>
      <c r="I1361" s="8">
        <v>1.0</v>
      </c>
      <c r="J1361" s="8">
        <v>0.0</v>
      </c>
      <c r="K1361" s="8">
        <v>3.0</v>
      </c>
    </row>
    <row r="1362">
      <c r="A1362" s="7" t="s">
        <v>5135</v>
      </c>
      <c r="B1362" s="8" t="s">
        <v>5136</v>
      </c>
      <c r="C1362" s="7" t="s">
        <v>37</v>
      </c>
      <c r="D1362" s="12" t="s">
        <v>39</v>
      </c>
      <c r="E1362" s="13" t="s">
        <v>41</v>
      </c>
      <c r="F1362" s="8" t="s">
        <v>42</v>
      </c>
      <c r="G1362" s="8" t="b">
        <v>0</v>
      </c>
      <c r="H1362" s="8" t="s">
        <v>43</v>
      </c>
      <c r="I1362" s="8">
        <v>1.0</v>
      </c>
      <c r="J1362" s="8">
        <v>0.0</v>
      </c>
      <c r="K1362" s="8">
        <v>0.0</v>
      </c>
    </row>
    <row r="1363">
      <c r="A1363" s="7" t="s">
        <v>5137</v>
      </c>
      <c r="B1363" s="8" t="s">
        <v>5138</v>
      </c>
      <c r="C1363" s="7" t="s">
        <v>180</v>
      </c>
      <c r="D1363" s="12" t="s">
        <v>39</v>
      </c>
      <c r="E1363" s="13" t="s">
        <v>73</v>
      </c>
      <c r="F1363" s="8" t="s">
        <v>42</v>
      </c>
      <c r="G1363" s="8" t="b">
        <v>0</v>
      </c>
      <c r="H1363" s="8" t="s">
        <v>5139</v>
      </c>
      <c r="I1363" s="8">
        <v>1.0</v>
      </c>
      <c r="J1363" s="8">
        <v>0.0</v>
      </c>
      <c r="K1363" s="8">
        <v>0.0</v>
      </c>
    </row>
    <row r="1364">
      <c r="A1364" s="7" t="s">
        <v>5140</v>
      </c>
      <c r="B1364" s="8" t="s">
        <v>5141</v>
      </c>
      <c r="C1364" s="7" t="s">
        <v>180</v>
      </c>
      <c r="D1364" s="12" t="s">
        <v>39</v>
      </c>
      <c r="E1364" s="13" t="s">
        <v>73</v>
      </c>
      <c r="F1364" s="8" t="s">
        <v>42</v>
      </c>
      <c r="G1364" s="8" t="b">
        <v>0</v>
      </c>
      <c r="H1364" s="8" t="s">
        <v>5142</v>
      </c>
      <c r="I1364" s="8">
        <v>1.0</v>
      </c>
      <c r="J1364" s="8">
        <v>0.0</v>
      </c>
      <c r="K1364" s="8">
        <v>4.0</v>
      </c>
    </row>
    <row r="1365">
      <c r="A1365" s="7" t="s">
        <v>5143</v>
      </c>
      <c r="B1365" s="8" t="s">
        <v>5144</v>
      </c>
      <c r="C1365" s="7" t="s">
        <v>1133</v>
      </c>
      <c r="D1365" s="12" t="s">
        <v>21</v>
      </c>
      <c r="E1365" s="13" t="s">
        <v>22</v>
      </c>
      <c r="F1365" s="8" t="s">
        <v>24</v>
      </c>
      <c r="G1365" s="8" t="b">
        <v>0</v>
      </c>
      <c r="H1365" s="8" t="s">
        <v>5145</v>
      </c>
      <c r="I1365" s="8">
        <v>1.0</v>
      </c>
      <c r="J1365" s="8">
        <v>0.0</v>
      </c>
      <c r="K1365" s="8">
        <v>1.0</v>
      </c>
    </row>
    <row r="1366">
      <c r="A1366" s="7" t="s">
        <v>5146</v>
      </c>
      <c r="B1366" s="8" t="s">
        <v>5147</v>
      </c>
      <c r="C1366" s="7" t="s">
        <v>1133</v>
      </c>
      <c r="D1366" s="12" t="s">
        <v>190</v>
      </c>
      <c r="E1366" s="13" t="s">
        <v>22</v>
      </c>
      <c r="F1366" s="8" t="s">
        <v>191</v>
      </c>
      <c r="G1366" s="8" t="b">
        <v>0</v>
      </c>
      <c r="H1366" s="8" t="s">
        <v>2401</v>
      </c>
      <c r="I1366" s="8">
        <v>1.0</v>
      </c>
      <c r="J1366" s="8">
        <v>0.0</v>
      </c>
      <c r="K1366" s="8">
        <v>2.0</v>
      </c>
    </row>
    <row r="1367">
      <c r="A1367" s="7" t="s">
        <v>5148</v>
      </c>
      <c r="B1367" s="8" t="s">
        <v>5149</v>
      </c>
      <c r="C1367" s="7" t="s">
        <v>2757</v>
      </c>
      <c r="D1367" s="12" t="s">
        <v>39</v>
      </c>
      <c r="E1367" s="13" t="s">
        <v>41</v>
      </c>
      <c r="F1367" s="8" t="s">
        <v>42</v>
      </c>
      <c r="G1367" s="8" t="b">
        <v>0</v>
      </c>
      <c r="H1367" s="8" t="s">
        <v>5150</v>
      </c>
      <c r="I1367" s="8">
        <v>1.0</v>
      </c>
      <c r="J1367" s="8">
        <v>0.0</v>
      </c>
      <c r="K1367" s="8">
        <v>1.0</v>
      </c>
    </row>
    <row r="1368">
      <c r="A1368" s="7" t="s">
        <v>5151</v>
      </c>
      <c r="B1368" s="8" t="s">
        <v>5152</v>
      </c>
      <c r="C1368" s="7" t="s">
        <v>2762</v>
      </c>
      <c r="D1368" s="12" t="s">
        <v>39</v>
      </c>
      <c r="E1368" s="13" t="s">
        <v>76</v>
      </c>
      <c r="F1368" s="8" t="s">
        <v>42</v>
      </c>
      <c r="G1368" s="8" t="b">
        <v>0</v>
      </c>
      <c r="H1368" s="8" t="s">
        <v>3899</v>
      </c>
      <c r="I1368" s="8">
        <v>1.0</v>
      </c>
      <c r="J1368" s="8">
        <v>0.0</v>
      </c>
      <c r="K1368" s="8">
        <v>1.0</v>
      </c>
    </row>
    <row r="1369">
      <c r="A1369" s="7" t="s">
        <v>5153</v>
      </c>
      <c r="B1369" s="8" t="s">
        <v>5154</v>
      </c>
      <c r="C1369" s="7" t="s">
        <v>613</v>
      </c>
      <c r="D1369" s="12" t="s">
        <v>39</v>
      </c>
      <c r="E1369" s="13" t="s">
        <v>76</v>
      </c>
      <c r="F1369" s="8" t="s">
        <v>42</v>
      </c>
      <c r="G1369" s="8" t="b">
        <v>0</v>
      </c>
      <c r="H1369" s="8" t="s">
        <v>5155</v>
      </c>
      <c r="I1369" s="8">
        <v>1.0</v>
      </c>
      <c r="J1369" s="8">
        <v>0.0</v>
      </c>
      <c r="K1369" s="8">
        <v>0.0</v>
      </c>
    </row>
    <row r="1370">
      <c r="A1370" s="7" t="s">
        <v>5156</v>
      </c>
      <c r="B1370" s="8" t="s">
        <v>5157</v>
      </c>
      <c r="C1370" s="7" t="s">
        <v>613</v>
      </c>
      <c r="D1370" s="12" t="s">
        <v>39</v>
      </c>
      <c r="E1370" s="13" t="s">
        <v>76</v>
      </c>
      <c r="F1370" s="8" t="s">
        <v>42</v>
      </c>
      <c r="G1370" s="8" t="b">
        <v>0</v>
      </c>
      <c r="H1370" s="8" t="s">
        <v>5158</v>
      </c>
      <c r="I1370" s="8">
        <v>1.0</v>
      </c>
      <c r="J1370" s="8">
        <v>0.0</v>
      </c>
      <c r="K1370" s="8">
        <v>1.0</v>
      </c>
    </row>
    <row r="1371">
      <c r="A1371" s="7" t="s">
        <v>5159</v>
      </c>
      <c r="B1371" s="8" t="s">
        <v>5160</v>
      </c>
      <c r="C1371" s="7" t="s">
        <v>2764</v>
      </c>
      <c r="D1371" s="12" t="s">
        <v>21</v>
      </c>
      <c r="E1371" s="13" t="s">
        <v>41</v>
      </c>
      <c r="F1371" s="8" t="s">
        <v>24</v>
      </c>
      <c r="G1371" s="8" t="b">
        <v>0</v>
      </c>
      <c r="I1371" s="8">
        <v>1.0</v>
      </c>
      <c r="J1371" s="8">
        <v>0.0</v>
      </c>
      <c r="K1371" s="8">
        <v>0.0</v>
      </c>
    </row>
    <row r="1372">
      <c r="A1372" s="7" t="s">
        <v>5161</v>
      </c>
      <c r="B1372" s="8" t="s">
        <v>5162</v>
      </c>
      <c r="C1372" s="7" t="s">
        <v>2767</v>
      </c>
      <c r="D1372" s="12" t="s">
        <v>21</v>
      </c>
      <c r="E1372" s="13" t="s">
        <v>22</v>
      </c>
      <c r="F1372" s="8" t="s">
        <v>24</v>
      </c>
      <c r="G1372" s="8" t="b">
        <v>0</v>
      </c>
      <c r="H1372" s="8" t="s">
        <v>1804</v>
      </c>
      <c r="I1372" s="8">
        <v>1.0</v>
      </c>
      <c r="J1372" s="8">
        <v>0.0</v>
      </c>
      <c r="K1372" s="8">
        <v>0.0</v>
      </c>
    </row>
    <row r="1373">
      <c r="A1373" s="7" t="s">
        <v>5163</v>
      </c>
      <c r="B1373" s="8" t="s">
        <v>5164</v>
      </c>
      <c r="C1373" s="7" t="s">
        <v>2770</v>
      </c>
      <c r="D1373" s="12" t="s">
        <v>39</v>
      </c>
      <c r="E1373" s="13" t="s">
        <v>41</v>
      </c>
      <c r="F1373" s="8" t="s">
        <v>42</v>
      </c>
      <c r="G1373" s="8" t="b">
        <v>0</v>
      </c>
      <c r="I1373" s="8">
        <v>1.0</v>
      </c>
      <c r="J1373" s="8">
        <v>0.0</v>
      </c>
      <c r="K1373" s="8">
        <v>1.0</v>
      </c>
    </row>
    <row r="1374">
      <c r="A1374" s="7" t="s">
        <v>5165</v>
      </c>
      <c r="B1374" s="8" t="s">
        <v>5166</v>
      </c>
      <c r="C1374" s="7" t="s">
        <v>2343</v>
      </c>
      <c r="D1374" s="12" t="s">
        <v>693</v>
      </c>
      <c r="E1374" s="13" t="s">
        <v>41</v>
      </c>
      <c r="F1374" s="8" t="s">
        <v>695</v>
      </c>
      <c r="G1374" s="8" t="b">
        <v>0</v>
      </c>
      <c r="H1374" s="8" t="s">
        <v>5167</v>
      </c>
      <c r="I1374" s="8">
        <v>1.0</v>
      </c>
      <c r="J1374" s="8">
        <v>0.0</v>
      </c>
      <c r="K1374" s="8">
        <v>1.0</v>
      </c>
    </row>
    <row r="1375">
      <c r="A1375" s="7" t="s">
        <v>5168</v>
      </c>
      <c r="B1375" s="8" t="s">
        <v>5169</v>
      </c>
      <c r="C1375" s="7" t="s">
        <v>2774</v>
      </c>
      <c r="D1375" s="12" t="s">
        <v>693</v>
      </c>
      <c r="E1375" s="13" t="s">
        <v>41</v>
      </c>
      <c r="F1375" s="8" t="s">
        <v>695</v>
      </c>
      <c r="G1375" s="8" t="b">
        <v>0</v>
      </c>
      <c r="I1375" s="8">
        <v>1.0</v>
      </c>
      <c r="J1375" s="8">
        <v>0.0</v>
      </c>
      <c r="K1375" s="8">
        <v>0.0</v>
      </c>
    </row>
    <row r="1376">
      <c r="A1376" s="7" t="s">
        <v>5170</v>
      </c>
      <c r="B1376" s="8" t="s">
        <v>5171</v>
      </c>
      <c r="C1376" s="7" t="s">
        <v>1024</v>
      </c>
      <c r="D1376" s="12" t="s">
        <v>21</v>
      </c>
      <c r="E1376" s="13" t="s">
        <v>73</v>
      </c>
      <c r="F1376" s="8" t="s">
        <v>24</v>
      </c>
      <c r="G1376" s="8" t="b">
        <v>0</v>
      </c>
      <c r="H1376" s="8" t="s">
        <v>5172</v>
      </c>
      <c r="I1376" s="8">
        <v>1.0</v>
      </c>
      <c r="J1376" s="8">
        <v>0.0</v>
      </c>
      <c r="K1376" s="8">
        <v>0.0</v>
      </c>
    </row>
    <row r="1377">
      <c r="A1377" s="7" t="s">
        <v>5173</v>
      </c>
      <c r="B1377" s="8" t="s">
        <v>5174</v>
      </c>
      <c r="C1377" s="7" t="s">
        <v>1024</v>
      </c>
      <c r="D1377" s="12" t="s">
        <v>39</v>
      </c>
      <c r="E1377" s="13" t="s">
        <v>73</v>
      </c>
      <c r="F1377" s="8" t="s">
        <v>42</v>
      </c>
      <c r="G1377" s="8" t="b">
        <v>0</v>
      </c>
      <c r="H1377" s="8" t="s">
        <v>5175</v>
      </c>
      <c r="I1377" s="8">
        <v>1.0</v>
      </c>
      <c r="J1377" s="8">
        <v>0.0</v>
      </c>
      <c r="K1377" s="8">
        <v>0.0</v>
      </c>
    </row>
    <row r="1378">
      <c r="A1378" s="7" t="s">
        <v>5176</v>
      </c>
      <c r="B1378" s="8" t="s">
        <v>5177</v>
      </c>
      <c r="C1378" s="7" t="s">
        <v>2777</v>
      </c>
      <c r="D1378" s="12" t="s">
        <v>190</v>
      </c>
      <c r="E1378" s="13" t="s">
        <v>41</v>
      </c>
      <c r="F1378" s="8" t="s">
        <v>191</v>
      </c>
      <c r="G1378" s="8" t="b">
        <v>0</v>
      </c>
      <c r="H1378" s="8" t="s">
        <v>186</v>
      </c>
      <c r="I1378" s="8">
        <v>1.0</v>
      </c>
      <c r="J1378" s="8">
        <v>0.0</v>
      </c>
      <c r="K1378" s="8">
        <v>0.0</v>
      </c>
    </row>
    <row r="1379">
      <c r="A1379" s="7" t="s">
        <v>5178</v>
      </c>
      <c r="B1379" s="8" t="s">
        <v>5179</v>
      </c>
      <c r="C1379" s="7" t="s">
        <v>2779</v>
      </c>
      <c r="D1379" s="12" t="s">
        <v>554</v>
      </c>
      <c r="E1379" s="13" t="s">
        <v>41</v>
      </c>
      <c r="F1379" s="8" t="s">
        <v>555</v>
      </c>
      <c r="G1379" s="8" t="b">
        <v>0</v>
      </c>
      <c r="H1379" s="8" t="s">
        <v>803</v>
      </c>
      <c r="I1379" s="8">
        <v>1.0</v>
      </c>
      <c r="J1379" s="8">
        <v>0.0</v>
      </c>
      <c r="K1379" s="8">
        <v>0.0</v>
      </c>
    </row>
    <row r="1380">
      <c r="A1380" s="7" t="s">
        <v>5180</v>
      </c>
      <c r="B1380" s="8" t="s">
        <v>5181</v>
      </c>
      <c r="C1380" s="7" t="s">
        <v>2781</v>
      </c>
      <c r="D1380" s="12" t="s">
        <v>39</v>
      </c>
      <c r="E1380" s="13" t="s">
        <v>41</v>
      </c>
      <c r="F1380" s="8" t="s">
        <v>42</v>
      </c>
      <c r="G1380" s="8" t="b">
        <v>0</v>
      </c>
      <c r="H1380" s="8" t="s">
        <v>5182</v>
      </c>
      <c r="I1380" s="8">
        <v>1.0</v>
      </c>
      <c r="J1380" s="8">
        <v>0.0</v>
      </c>
      <c r="K1380" s="8">
        <v>1.0</v>
      </c>
    </row>
    <row r="1381">
      <c r="A1381" s="7" t="s">
        <v>5183</v>
      </c>
      <c r="B1381" s="8" t="s">
        <v>5184</v>
      </c>
      <c r="C1381" s="7" t="s">
        <v>2787</v>
      </c>
      <c r="D1381" s="12" t="s">
        <v>693</v>
      </c>
      <c r="E1381" s="13" t="s">
        <v>41</v>
      </c>
      <c r="F1381" s="8" t="s">
        <v>695</v>
      </c>
      <c r="G1381" s="8" t="b">
        <v>0</v>
      </c>
      <c r="H1381" s="8" t="s">
        <v>2790</v>
      </c>
      <c r="I1381" s="8">
        <v>1.0</v>
      </c>
      <c r="J1381" s="8">
        <v>0.0</v>
      </c>
      <c r="K1381" s="8">
        <v>2.0</v>
      </c>
    </row>
    <row r="1382">
      <c r="A1382" s="7" t="s">
        <v>5185</v>
      </c>
      <c r="B1382" s="8" t="s">
        <v>5186</v>
      </c>
      <c r="C1382" s="7" t="s">
        <v>2791</v>
      </c>
      <c r="D1382" s="12" t="s">
        <v>766</v>
      </c>
      <c r="E1382" s="13" t="s">
        <v>41</v>
      </c>
      <c r="F1382" s="8" t="s">
        <v>767</v>
      </c>
      <c r="G1382" s="8" t="b">
        <v>0</v>
      </c>
      <c r="I1382" s="8">
        <v>1.0</v>
      </c>
      <c r="J1382" s="8">
        <v>0.0</v>
      </c>
      <c r="K1382" s="8">
        <v>0.0</v>
      </c>
    </row>
    <row r="1383">
      <c r="A1383" s="7" t="s">
        <v>5187</v>
      </c>
      <c r="B1383" s="8" t="s">
        <v>5188</v>
      </c>
      <c r="C1383" s="7" t="s">
        <v>2793</v>
      </c>
      <c r="D1383" s="12" t="s">
        <v>39</v>
      </c>
      <c r="E1383" s="13" t="s">
        <v>41</v>
      </c>
      <c r="F1383" s="8" t="s">
        <v>42</v>
      </c>
      <c r="G1383" s="8" t="b">
        <v>0</v>
      </c>
      <c r="H1383" s="8" t="s">
        <v>186</v>
      </c>
      <c r="I1383" s="8">
        <v>1.0</v>
      </c>
      <c r="J1383" s="8">
        <v>0.0</v>
      </c>
      <c r="K1383" s="8">
        <v>1.0</v>
      </c>
    </row>
    <row r="1384">
      <c r="A1384" s="7" t="s">
        <v>5189</v>
      </c>
      <c r="B1384" s="8" t="s">
        <v>5190</v>
      </c>
      <c r="C1384" s="7" t="s">
        <v>2796</v>
      </c>
      <c r="D1384" s="12" t="s">
        <v>39</v>
      </c>
      <c r="E1384" s="13" t="s">
        <v>41</v>
      </c>
      <c r="F1384" s="8" t="s">
        <v>42</v>
      </c>
      <c r="G1384" s="8" t="b">
        <v>0</v>
      </c>
      <c r="H1384" s="8" t="s">
        <v>5191</v>
      </c>
      <c r="I1384" s="8">
        <v>1.0</v>
      </c>
      <c r="J1384" s="8">
        <v>0.0</v>
      </c>
      <c r="K1384" s="8">
        <v>1.0</v>
      </c>
    </row>
    <row r="1385">
      <c r="A1385" s="7" t="s">
        <v>5192</v>
      </c>
      <c r="B1385" s="8" t="s">
        <v>5193</v>
      </c>
      <c r="C1385" s="7" t="s">
        <v>2806</v>
      </c>
      <c r="D1385" s="12" t="s">
        <v>766</v>
      </c>
      <c r="E1385" s="13" t="s">
        <v>41</v>
      </c>
      <c r="F1385" s="8" t="s">
        <v>767</v>
      </c>
      <c r="G1385" s="8" t="b">
        <v>0</v>
      </c>
      <c r="H1385" s="8" t="s">
        <v>5194</v>
      </c>
      <c r="I1385" s="8">
        <v>1.0</v>
      </c>
      <c r="J1385" s="8">
        <v>0.0</v>
      </c>
      <c r="K1385" s="8">
        <v>0.0</v>
      </c>
    </row>
    <row r="1386">
      <c r="A1386" s="7" t="s">
        <v>5195</v>
      </c>
      <c r="B1386" s="8" t="s">
        <v>5196</v>
      </c>
      <c r="C1386" s="7" t="s">
        <v>1594</v>
      </c>
      <c r="D1386" s="12" t="s">
        <v>554</v>
      </c>
      <c r="E1386" s="13" t="s">
        <v>22</v>
      </c>
      <c r="F1386" s="8" t="s">
        <v>555</v>
      </c>
      <c r="G1386" s="8" t="b">
        <v>0</v>
      </c>
      <c r="H1386" s="8" t="s">
        <v>5197</v>
      </c>
      <c r="I1386" s="8">
        <v>1.0</v>
      </c>
      <c r="J1386" s="8">
        <v>0.0</v>
      </c>
      <c r="K1386" s="8">
        <v>1.0</v>
      </c>
    </row>
    <row r="1387">
      <c r="A1387" s="7" t="s">
        <v>5198</v>
      </c>
      <c r="B1387" s="8" t="s">
        <v>5199</v>
      </c>
      <c r="C1387" s="7" t="s">
        <v>1594</v>
      </c>
      <c r="D1387" s="12" t="s">
        <v>766</v>
      </c>
      <c r="E1387" s="13" t="s">
        <v>22</v>
      </c>
      <c r="F1387" s="8" t="s">
        <v>767</v>
      </c>
      <c r="G1387" s="8" t="b">
        <v>0</v>
      </c>
      <c r="H1387" s="8" t="s">
        <v>3125</v>
      </c>
      <c r="I1387" s="8">
        <v>1.0</v>
      </c>
      <c r="J1387" s="8">
        <v>0.0</v>
      </c>
      <c r="K1387" s="8">
        <v>2.0</v>
      </c>
    </row>
    <row r="1388">
      <c r="A1388" s="7" t="s">
        <v>5200</v>
      </c>
      <c r="B1388" s="8" t="s">
        <v>5201</v>
      </c>
      <c r="C1388" s="7" t="s">
        <v>1594</v>
      </c>
      <c r="D1388" s="12" t="s">
        <v>766</v>
      </c>
      <c r="E1388" s="13" t="s">
        <v>22</v>
      </c>
      <c r="F1388" s="8" t="s">
        <v>767</v>
      </c>
      <c r="G1388" s="8" t="b">
        <v>0</v>
      </c>
      <c r="H1388" s="8" t="s">
        <v>5202</v>
      </c>
      <c r="I1388" s="8">
        <v>1.0</v>
      </c>
      <c r="J1388" s="8">
        <v>0.0</v>
      </c>
      <c r="K1388" s="8">
        <v>1.0</v>
      </c>
    </row>
    <row r="1389">
      <c r="A1389" s="7" t="s">
        <v>5203</v>
      </c>
      <c r="B1389" s="8" t="s">
        <v>5204</v>
      </c>
      <c r="C1389" s="7" t="s">
        <v>2810</v>
      </c>
      <c r="D1389" s="12" t="s">
        <v>39</v>
      </c>
      <c r="E1389" s="13" t="s">
        <v>41</v>
      </c>
      <c r="F1389" s="8" t="s">
        <v>42</v>
      </c>
      <c r="G1389" s="8" t="b">
        <v>0</v>
      </c>
      <c r="H1389" s="8" t="s">
        <v>5205</v>
      </c>
      <c r="I1389" s="8">
        <v>1.0</v>
      </c>
      <c r="J1389" s="8">
        <v>0.0</v>
      </c>
      <c r="K1389" s="8">
        <v>0.0</v>
      </c>
    </row>
    <row r="1390">
      <c r="A1390" s="7" t="s">
        <v>5206</v>
      </c>
      <c r="B1390" s="8" t="s">
        <v>5207</v>
      </c>
      <c r="C1390" s="7" t="s">
        <v>2815</v>
      </c>
      <c r="D1390" s="12" t="s">
        <v>39</v>
      </c>
      <c r="E1390" s="13" t="s">
        <v>41</v>
      </c>
      <c r="F1390" s="8" t="s">
        <v>42</v>
      </c>
      <c r="G1390" s="8" t="b">
        <v>0</v>
      </c>
      <c r="H1390" s="8" t="s">
        <v>5208</v>
      </c>
      <c r="I1390" s="8">
        <v>1.0</v>
      </c>
      <c r="J1390" s="8">
        <v>0.0</v>
      </c>
      <c r="K1390" s="8">
        <v>1.0</v>
      </c>
    </row>
    <row r="1391">
      <c r="A1391" s="7" t="s">
        <v>5209</v>
      </c>
      <c r="B1391" s="8" t="s">
        <v>5210</v>
      </c>
      <c r="C1391" s="7" t="s">
        <v>1597</v>
      </c>
      <c r="D1391" s="12" t="s">
        <v>766</v>
      </c>
      <c r="E1391" s="13" t="s">
        <v>41</v>
      </c>
      <c r="F1391" s="8" t="s">
        <v>767</v>
      </c>
      <c r="G1391" s="8" t="b">
        <v>0</v>
      </c>
      <c r="I1391" s="8">
        <v>1.0</v>
      </c>
      <c r="J1391" s="8">
        <v>0.0</v>
      </c>
      <c r="K1391" s="8">
        <v>1.0</v>
      </c>
    </row>
    <row r="1392">
      <c r="A1392" s="7" t="s">
        <v>5211</v>
      </c>
      <c r="B1392" s="8" t="s">
        <v>5212</v>
      </c>
      <c r="C1392" s="7" t="s">
        <v>1597</v>
      </c>
      <c r="D1392" s="12" t="s">
        <v>190</v>
      </c>
      <c r="E1392" s="13" t="s">
        <v>41</v>
      </c>
      <c r="F1392" s="8" t="s">
        <v>191</v>
      </c>
      <c r="G1392" s="8" t="b">
        <v>0</v>
      </c>
      <c r="I1392" s="8">
        <v>1.0</v>
      </c>
      <c r="J1392" s="8">
        <v>0.0</v>
      </c>
      <c r="K1392" s="8">
        <v>2.0</v>
      </c>
    </row>
    <row r="1393">
      <c r="A1393" s="7" t="s">
        <v>5213</v>
      </c>
      <c r="B1393" s="8" t="s">
        <v>5214</v>
      </c>
      <c r="C1393" s="7" t="s">
        <v>2819</v>
      </c>
      <c r="D1393" s="12" t="s">
        <v>39</v>
      </c>
      <c r="E1393" s="13" t="s">
        <v>41</v>
      </c>
      <c r="F1393" s="8" t="s">
        <v>42</v>
      </c>
      <c r="G1393" s="8" t="b">
        <v>0</v>
      </c>
      <c r="H1393" s="8" t="s">
        <v>5215</v>
      </c>
      <c r="I1393" s="8">
        <v>1.0</v>
      </c>
      <c r="J1393" s="8">
        <v>0.0</v>
      </c>
      <c r="K1393" s="8">
        <v>1.0</v>
      </c>
    </row>
    <row r="1394">
      <c r="A1394" s="7" t="s">
        <v>5216</v>
      </c>
      <c r="B1394" s="8" t="s">
        <v>5217</v>
      </c>
      <c r="C1394" s="7" t="s">
        <v>2824</v>
      </c>
      <c r="D1394" s="12" t="s">
        <v>72</v>
      </c>
      <c r="E1394" s="13" t="s">
        <v>753</v>
      </c>
      <c r="F1394" s="8" t="s">
        <v>74</v>
      </c>
      <c r="G1394" s="8" t="b">
        <v>0</v>
      </c>
      <c r="H1394" s="8" t="s">
        <v>2827</v>
      </c>
      <c r="I1394" s="8">
        <v>1.0</v>
      </c>
      <c r="J1394" s="8">
        <v>0.0</v>
      </c>
      <c r="K1394" s="8">
        <v>1.0</v>
      </c>
    </row>
    <row r="1395">
      <c r="A1395" s="7" t="s">
        <v>5218</v>
      </c>
      <c r="B1395" s="8" t="s">
        <v>5219</v>
      </c>
      <c r="C1395" s="7" t="s">
        <v>2829</v>
      </c>
      <c r="D1395" s="12" t="s">
        <v>190</v>
      </c>
      <c r="E1395" s="13" t="s">
        <v>41</v>
      </c>
      <c r="F1395" s="8" t="s">
        <v>191</v>
      </c>
      <c r="G1395" s="8" t="b">
        <v>0</v>
      </c>
      <c r="H1395" s="8" t="s">
        <v>5220</v>
      </c>
      <c r="I1395" s="8">
        <v>1.0</v>
      </c>
      <c r="J1395" s="8">
        <v>0.0</v>
      </c>
      <c r="K1395" s="8">
        <v>4.0</v>
      </c>
    </row>
    <row r="1396">
      <c r="A1396" s="7" t="s">
        <v>5221</v>
      </c>
      <c r="B1396" s="8" t="s">
        <v>5222</v>
      </c>
      <c r="C1396" s="8" t="s">
        <v>2833</v>
      </c>
      <c r="D1396" s="12" t="s">
        <v>766</v>
      </c>
      <c r="E1396" s="13" t="s">
        <v>41</v>
      </c>
      <c r="F1396" s="8" t="s">
        <v>767</v>
      </c>
      <c r="G1396" s="8" t="b">
        <v>0</v>
      </c>
      <c r="H1396" s="8" t="s">
        <v>186</v>
      </c>
      <c r="I1396" s="8">
        <v>1.0</v>
      </c>
      <c r="J1396" s="8">
        <v>0.0</v>
      </c>
      <c r="K1396" s="8">
        <v>1.0</v>
      </c>
    </row>
    <row r="1397">
      <c r="A1397" s="7" t="s">
        <v>5223</v>
      </c>
      <c r="B1397" s="8" t="s">
        <v>5224</v>
      </c>
      <c r="C1397" s="7" t="s">
        <v>2835</v>
      </c>
      <c r="D1397" s="12" t="s">
        <v>39</v>
      </c>
      <c r="E1397" s="13" t="s">
        <v>41</v>
      </c>
      <c r="F1397" s="8" t="s">
        <v>42</v>
      </c>
      <c r="G1397" s="8" t="b">
        <v>0</v>
      </c>
      <c r="H1397" s="8" t="s">
        <v>5225</v>
      </c>
      <c r="I1397" s="8">
        <v>1.0</v>
      </c>
      <c r="J1397" s="8">
        <v>0.0</v>
      </c>
      <c r="K1397" s="8">
        <v>1.0</v>
      </c>
    </row>
    <row r="1398">
      <c r="A1398" s="7" t="s">
        <v>5226</v>
      </c>
      <c r="B1398" s="8" t="s">
        <v>5227</v>
      </c>
      <c r="C1398" s="7" t="s">
        <v>2838</v>
      </c>
      <c r="D1398" s="12" t="s">
        <v>72</v>
      </c>
      <c r="E1398" s="13" t="s">
        <v>41</v>
      </c>
      <c r="F1398" s="8" t="s">
        <v>74</v>
      </c>
      <c r="G1398" s="8" t="b">
        <v>0</v>
      </c>
      <c r="H1398" s="8" t="s">
        <v>724</v>
      </c>
      <c r="I1398" s="8">
        <v>1.0</v>
      </c>
      <c r="J1398" s="8">
        <v>0.0</v>
      </c>
      <c r="K1398" s="8">
        <v>1.0</v>
      </c>
    </row>
    <row r="1399">
      <c r="A1399" s="7" t="s">
        <v>5228</v>
      </c>
      <c r="B1399" s="8" t="s">
        <v>5229</v>
      </c>
      <c r="C1399" s="7" t="s">
        <v>339</v>
      </c>
      <c r="D1399" s="12" t="s">
        <v>39</v>
      </c>
      <c r="E1399" s="13" t="s">
        <v>76</v>
      </c>
      <c r="F1399" s="8" t="s">
        <v>42</v>
      </c>
      <c r="G1399" s="8" t="b">
        <v>0</v>
      </c>
      <c r="H1399" s="8" t="s">
        <v>5230</v>
      </c>
      <c r="I1399" s="8">
        <v>1.0</v>
      </c>
      <c r="J1399" s="8">
        <v>0.0</v>
      </c>
      <c r="K1399" s="8">
        <v>1.0</v>
      </c>
    </row>
    <row r="1400">
      <c r="A1400" s="7" t="s">
        <v>5231</v>
      </c>
      <c r="B1400" s="8" t="s">
        <v>5232</v>
      </c>
      <c r="C1400" s="7" t="s">
        <v>577</v>
      </c>
      <c r="D1400" s="12" t="s">
        <v>39</v>
      </c>
      <c r="E1400" s="13" t="s">
        <v>41</v>
      </c>
      <c r="F1400" s="8" t="s">
        <v>42</v>
      </c>
      <c r="G1400" s="8" t="b">
        <v>0</v>
      </c>
      <c r="H1400" s="8" t="s">
        <v>5233</v>
      </c>
      <c r="I1400" s="8">
        <v>1.0</v>
      </c>
      <c r="J1400" s="8">
        <v>0.0</v>
      </c>
      <c r="K1400" s="8">
        <v>0.0</v>
      </c>
    </row>
    <row r="1401">
      <c r="A1401" s="7" t="s">
        <v>5234</v>
      </c>
      <c r="B1401" s="8" t="s">
        <v>5235</v>
      </c>
      <c r="C1401" s="7" t="s">
        <v>577</v>
      </c>
      <c r="D1401" s="12" t="s">
        <v>39</v>
      </c>
      <c r="E1401" s="13" t="s">
        <v>41</v>
      </c>
      <c r="F1401" s="8" t="s">
        <v>42</v>
      </c>
      <c r="G1401" s="8" t="b">
        <v>0</v>
      </c>
      <c r="H1401" s="8" t="s">
        <v>5236</v>
      </c>
      <c r="I1401" s="8">
        <v>1.0</v>
      </c>
      <c r="J1401" s="8">
        <v>0.0</v>
      </c>
      <c r="K1401" s="8">
        <v>1.0</v>
      </c>
    </row>
    <row r="1402">
      <c r="A1402" s="7" t="s">
        <v>5237</v>
      </c>
      <c r="B1402" s="8" t="s">
        <v>2183</v>
      </c>
      <c r="C1402" s="7" t="s">
        <v>298</v>
      </c>
      <c r="D1402" s="12" t="s">
        <v>766</v>
      </c>
      <c r="E1402" s="13" t="s">
        <v>22</v>
      </c>
      <c r="F1402" s="8" t="s">
        <v>767</v>
      </c>
      <c r="G1402" s="8" t="b">
        <v>0</v>
      </c>
      <c r="H1402" s="8" t="s">
        <v>2184</v>
      </c>
      <c r="I1402" s="8">
        <v>1.0</v>
      </c>
      <c r="J1402" s="8">
        <v>0.0</v>
      </c>
      <c r="K1402" s="8">
        <v>0.0</v>
      </c>
    </row>
    <row r="1403">
      <c r="A1403" s="7" t="s">
        <v>5238</v>
      </c>
      <c r="B1403" s="8" t="s">
        <v>5239</v>
      </c>
      <c r="C1403" s="7" t="s">
        <v>2841</v>
      </c>
      <c r="D1403" s="12" t="s">
        <v>554</v>
      </c>
      <c r="E1403" s="13" t="s">
        <v>41</v>
      </c>
      <c r="F1403" s="8" t="s">
        <v>555</v>
      </c>
      <c r="G1403" s="8" t="b">
        <v>0</v>
      </c>
      <c r="I1403" s="8">
        <v>1.0</v>
      </c>
      <c r="J1403" s="8">
        <v>0.0</v>
      </c>
      <c r="K1403" s="8">
        <v>0.0</v>
      </c>
    </row>
    <row r="1404">
      <c r="A1404" s="7" t="s">
        <v>5240</v>
      </c>
      <c r="B1404" s="8" t="s">
        <v>5241</v>
      </c>
      <c r="C1404" s="7" t="s">
        <v>2843</v>
      </c>
      <c r="D1404" s="12" t="s">
        <v>693</v>
      </c>
      <c r="E1404" s="13" t="s">
        <v>41</v>
      </c>
      <c r="F1404" s="8" t="s">
        <v>695</v>
      </c>
      <c r="G1404" s="8" t="b">
        <v>0</v>
      </c>
      <c r="I1404" s="8">
        <v>1.0</v>
      </c>
      <c r="J1404" s="8">
        <v>0.0</v>
      </c>
      <c r="K1404" s="8">
        <v>1.0</v>
      </c>
    </row>
    <row r="1405">
      <c r="A1405" s="7" t="s">
        <v>5242</v>
      </c>
      <c r="B1405" s="8" t="s">
        <v>5243</v>
      </c>
      <c r="C1405" s="7" t="s">
        <v>123</v>
      </c>
      <c r="D1405" s="12" t="s">
        <v>190</v>
      </c>
      <c r="E1405" s="13" t="s">
        <v>76</v>
      </c>
      <c r="F1405" s="8" t="s">
        <v>191</v>
      </c>
      <c r="G1405" s="8" t="b">
        <v>0</v>
      </c>
      <c r="H1405" s="8" t="s">
        <v>5244</v>
      </c>
      <c r="I1405" s="8">
        <v>1.0</v>
      </c>
      <c r="J1405" s="8">
        <v>0.0</v>
      </c>
      <c r="K1405" s="8">
        <v>1.0</v>
      </c>
    </row>
    <row r="1406">
      <c r="A1406" s="7" t="s">
        <v>5245</v>
      </c>
      <c r="B1406" s="8" t="s">
        <v>5246</v>
      </c>
      <c r="C1406" s="7" t="s">
        <v>123</v>
      </c>
      <c r="D1406" s="12" t="s">
        <v>72</v>
      </c>
      <c r="E1406" s="13" t="s">
        <v>76</v>
      </c>
      <c r="F1406" s="8" t="s">
        <v>74</v>
      </c>
      <c r="G1406" s="8" t="b">
        <v>0</v>
      </c>
      <c r="H1406" s="8" t="s">
        <v>5247</v>
      </c>
      <c r="I1406" s="8">
        <v>1.0</v>
      </c>
      <c r="J1406" s="8">
        <v>0.0</v>
      </c>
      <c r="K1406" s="8">
        <v>1.0</v>
      </c>
    </row>
    <row r="1407">
      <c r="A1407" s="7" t="s">
        <v>5248</v>
      </c>
      <c r="B1407" s="8" t="s">
        <v>5249</v>
      </c>
      <c r="C1407" s="7" t="s">
        <v>123</v>
      </c>
      <c r="D1407" s="12" t="s">
        <v>72</v>
      </c>
      <c r="E1407" s="13" t="s">
        <v>76</v>
      </c>
      <c r="F1407" s="8" t="s">
        <v>74</v>
      </c>
      <c r="G1407" s="8" t="b">
        <v>0</v>
      </c>
      <c r="H1407" s="8" t="s">
        <v>5250</v>
      </c>
      <c r="I1407" s="8">
        <v>1.0</v>
      </c>
      <c r="J1407" s="8">
        <v>0.0</v>
      </c>
      <c r="K1407" s="8">
        <v>1.0</v>
      </c>
    </row>
    <row r="1408">
      <c r="A1408" s="7" t="s">
        <v>5251</v>
      </c>
      <c r="B1408" s="8" t="s">
        <v>5252</v>
      </c>
      <c r="C1408" s="7" t="s">
        <v>123</v>
      </c>
      <c r="D1408" s="12" t="s">
        <v>72</v>
      </c>
      <c r="E1408" s="13" t="s">
        <v>76</v>
      </c>
      <c r="F1408" s="8" t="s">
        <v>74</v>
      </c>
      <c r="G1408" s="8" t="b">
        <v>0</v>
      </c>
      <c r="H1408" s="8" t="s">
        <v>5253</v>
      </c>
      <c r="I1408" s="8">
        <v>1.0</v>
      </c>
      <c r="J1408" s="8">
        <v>0.0</v>
      </c>
      <c r="K1408" s="8">
        <v>1.0</v>
      </c>
    </row>
    <row r="1409">
      <c r="A1409" s="7" t="s">
        <v>5254</v>
      </c>
      <c r="B1409" s="8" t="s">
        <v>5255</v>
      </c>
      <c r="C1409" s="7" t="s">
        <v>123</v>
      </c>
      <c r="D1409" s="12" t="s">
        <v>1425</v>
      </c>
      <c r="E1409" s="13" t="s">
        <v>76</v>
      </c>
      <c r="F1409" s="8" t="s">
        <v>1426</v>
      </c>
      <c r="G1409" s="8" t="b">
        <v>0</v>
      </c>
      <c r="H1409" s="8" t="s">
        <v>5256</v>
      </c>
      <c r="I1409" s="8">
        <v>1.0</v>
      </c>
      <c r="J1409" s="8">
        <v>0.0</v>
      </c>
      <c r="K1409" s="8">
        <v>0.0</v>
      </c>
    </row>
    <row r="1410">
      <c r="A1410" s="7" t="s">
        <v>5257</v>
      </c>
      <c r="B1410" s="8" t="s">
        <v>5258</v>
      </c>
      <c r="C1410" s="7" t="s">
        <v>123</v>
      </c>
      <c r="D1410" s="12" t="s">
        <v>1425</v>
      </c>
      <c r="E1410" s="13" t="s">
        <v>76</v>
      </c>
      <c r="F1410" s="8" t="s">
        <v>1426</v>
      </c>
      <c r="G1410" s="8" t="b">
        <v>0</v>
      </c>
      <c r="H1410" s="8" t="s">
        <v>5259</v>
      </c>
      <c r="I1410" s="8">
        <v>1.0</v>
      </c>
      <c r="J1410" s="8">
        <v>0.0</v>
      </c>
      <c r="K1410" s="8">
        <v>0.0</v>
      </c>
    </row>
    <row r="1411">
      <c r="A1411" s="7" t="s">
        <v>5260</v>
      </c>
      <c r="B1411" s="8" t="s">
        <v>5261</v>
      </c>
      <c r="C1411" s="7" t="s">
        <v>123</v>
      </c>
      <c r="D1411" s="12" t="s">
        <v>39</v>
      </c>
      <c r="E1411" s="13" t="s">
        <v>76</v>
      </c>
      <c r="F1411" s="8" t="s">
        <v>42</v>
      </c>
      <c r="G1411" s="8" t="b">
        <v>0</v>
      </c>
      <c r="H1411" s="8" t="s">
        <v>5262</v>
      </c>
      <c r="I1411" s="8">
        <v>1.0</v>
      </c>
      <c r="J1411" s="8">
        <v>0.0</v>
      </c>
      <c r="K1411" s="8">
        <v>0.0</v>
      </c>
    </row>
    <row r="1412">
      <c r="A1412" s="7" t="s">
        <v>5263</v>
      </c>
      <c r="B1412" s="8" t="s">
        <v>5264</v>
      </c>
      <c r="C1412" s="7" t="s">
        <v>123</v>
      </c>
      <c r="D1412" s="12" t="s">
        <v>39</v>
      </c>
      <c r="E1412" s="13" t="s">
        <v>76</v>
      </c>
      <c r="F1412" s="8" t="s">
        <v>42</v>
      </c>
      <c r="G1412" s="8" t="b">
        <v>0</v>
      </c>
      <c r="H1412" s="8" t="s">
        <v>5265</v>
      </c>
      <c r="I1412" s="8">
        <v>1.0</v>
      </c>
      <c r="J1412" s="8">
        <v>0.0</v>
      </c>
      <c r="K1412" s="8">
        <v>1.0</v>
      </c>
    </row>
    <row r="1413">
      <c r="A1413" s="7" t="s">
        <v>5266</v>
      </c>
      <c r="B1413" s="8" t="s">
        <v>5267</v>
      </c>
      <c r="C1413" s="7" t="s">
        <v>123</v>
      </c>
      <c r="D1413" s="12" t="s">
        <v>39</v>
      </c>
      <c r="E1413" s="13" t="s">
        <v>76</v>
      </c>
      <c r="F1413" s="8" t="s">
        <v>42</v>
      </c>
      <c r="G1413" s="8" t="b">
        <v>0</v>
      </c>
      <c r="H1413" s="8" t="s">
        <v>5268</v>
      </c>
      <c r="I1413" s="8">
        <v>1.0</v>
      </c>
      <c r="J1413" s="8">
        <v>0.0</v>
      </c>
      <c r="K1413" s="8">
        <v>1.0</v>
      </c>
    </row>
    <row r="1414">
      <c r="A1414" s="7" t="s">
        <v>5269</v>
      </c>
      <c r="B1414" s="8" t="s">
        <v>5270</v>
      </c>
      <c r="C1414" s="7" t="s">
        <v>123</v>
      </c>
      <c r="D1414" s="12" t="s">
        <v>693</v>
      </c>
      <c r="E1414" s="13" t="s">
        <v>76</v>
      </c>
      <c r="F1414" s="8" t="s">
        <v>695</v>
      </c>
      <c r="G1414" s="8" t="b">
        <v>0</v>
      </c>
      <c r="H1414" s="8" t="s">
        <v>2858</v>
      </c>
      <c r="I1414" s="8">
        <v>1.0</v>
      </c>
      <c r="J1414" s="8">
        <v>0.0</v>
      </c>
      <c r="K1414" s="8">
        <v>0.0</v>
      </c>
    </row>
    <row r="1415">
      <c r="A1415" s="7" t="s">
        <v>5271</v>
      </c>
      <c r="B1415" s="8" t="s">
        <v>5272</v>
      </c>
      <c r="C1415" s="7" t="s">
        <v>2847</v>
      </c>
      <c r="D1415" s="12" t="s">
        <v>39</v>
      </c>
      <c r="E1415" s="13" t="s">
        <v>41</v>
      </c>
      <c r="F1415" s="8" t="s">
        <v>42</v>
      </c>
      <c r="G1415" s="8" t="b">
        <v>0</v>
      </c>
      <c r="H1415" s="8" t="s">
        <v>5273</v>
      </c>
      <c r="I1415" s="8">
        <v>1.0</v>
      </c>
      <c r="J1415" s="8">
        <v>0.0</v>
      </c>
      <c r="K1415" s="8">
        <v>1.0</v>
      </c>
    </row>
    <row r="1416">
      <c r="A1416" s="7" t="s">
        <v>5274</v>
      </c>
      <c r="B1416" s="8" t="s">
        <v>5275</v>
      </c>
      <c r="C1416" s="7" t="s">
        <v>2851</v>
      </c>
      <c r="D1416" s="12" t="s">
        <v>39</v>
      </c>
      <c r="E1416" s="13" t="s">
        <v>41</v>
      </c>
      <c r="F1416" s="8" t="s">
        <v>42</v>
      </c>
      <c r="G1416" s="8" t="b">
        <v>0</v>
      </c>
      <c r="H1416" s="8" t="s">
        <v>186</v>
      </c>
      <c r="I1416" s="8">
        <v>1.0</v>
      </c>
      <c r="J1416" s="8">
        <v>0.0</v>
      </c>
      <c r="K1416" s="8">
        <v>1.0</v>
      </c>
    </row>
    <row r="1417">
      <c r="A1417" s="7" t="s">
        <v>5276</v>
      </c>
      <c r="B1417" s="8" t="s">
        <v>5277</v>
      </c>
      <c r="C1417" s="7" t="s">
        <v>2855</v>
      </c>
      <c r="D1417" s="12" t="s">
        <v>560</v>
      </c>
      <c r="E1417" s="13" t="s">
        <v>41</v>
      </c>
      <c r="F1417" s="8" t="s">
        <v>561</v>
      </c>
      <c r="G1417" s="8" t="b">
        <v>0</v>
      </c>
      <c r="H1417" s="8" t="s">
        <v>2858</v>
      </c>
      <c r="I1417" s="8">
        <v>1.0</v>
      </c>
      <c r="J1417" s="8">
        <v>0.0</v>
      </c>
      <c r="K1417" s="8">
        <v>0.0</v>
      </c>
    </row>
    <row r="1418">
      <c r="A1418" s="7" t="s">
        <v>5278</v>
      </c>
      <c r="B1418" s="8" t="s">
        <v>5279</v>
      </c>
      <c r="C1418" s="7" t="s">
        <v>2860</v>
      </c>
      <c r="D1418" s="12" t="s">
        <v>39</v>
      </c>
      <c r="E1418" s="13" t="s">
        <v>41</v>
      </c>
      <c r="F1418" s="8" t="s">
        <v>42</v>
      </c>
      <c r="G1418" s="8" t="b">
        <v>0</v>
      </c>
      <c r="H1418" s="8" t="s">
        <v>2255</v>
      </c>
      <c r="I1418" s="8">
        <v>1.0</v>
      </c>
      <c r="J1418" s="8">
        <v>0.0</v>
      </c>
      <c r="K1418" s="8">
        <v>1.0</v>
      </c>
    </row>
    <row r="1419">
      <c r="A1419" s="7" t="s">
        <v>5280</v>
      </c>
      <c r="B1419" s="8" t="s">
        <v>5281</v>
      </c>
      <c r="C1419" s="7" t="s">
        <v>2863</v>
      </c>
      <c r="D1419" s="12" t="s">
        <v>39</v>
      </c>
      <c r="E1419" s="13" t="s">
        <v>41</v>
      </c>
      <c r="F1419" s="8" t="s">
        <v>42</v>
      </c>
      <c r="G1419" s="8" t="b">
        <v>0</v>
      </c>
      <c r="H1419" s="8" t="s">
        <v>5282</v>
      </c>
      <c r="I1419" s="8">
        <v>1.0</v>
      </c>
      <c r="J1419" s="8">
        <v>0.0</v>
      </c>
      <c r="K1419" s="8">
        <v>1.0</v>
      </c>
    </row>
    <row r="1420">
      <c r="A1420" s="7" t="s">
        <v>5283</v>
      </c>
      <c r="B1420" s="8" t="s">
        <v>5284</v>
      </c>
      <c r="C1420" s="7" t="s">
        <v>2866</v>
      </c>
      <c r="D1420" s="12" t="s">
        <v>72</v>
      </c>
      <c r="E1420" s="13" t="s">
        <v>41</v>
      </c>
      <c r="F1420" s="8" t="s">
        <v>74</v>
      </c>
      <c r="G1420" s="8" t="b">
        <v>0</v>
      </c>
      <c r="I1420" s="8">
        <v>1.0</v>
      </c>
      <c r="J1420" s="8">
        <v>0.0</v>
      </c>
      <c r="K1420" s="8">
        <v>0.0</v>
      </c>
    </row>
    <row r="1421">
      <c r="A1421" s="7" t="s">
        <v>5285</v>
      </c>
      <c r="B1421" s="8" t="s">
        <v>5286</v>
      </c>
      <c r="C1421" s="7" t="s">
        <v>2869</v>
      </c>
      <c r="D1421" s="12" t="s">
        <v>766</v>
      </c>
      <c r="E1421" s="13" t="s">
        <v>41</v>
      </c>
      <c r="F1421" s="8" t="s">
        <v>767</v>
      </c>
      <c r="G1421" s="8" t="b">
        <v>0</v>
      </c>
      <c r="I1421" s="8">
        <v>1.0</v>
      </c>
      <c r="J1421" s="8">
        <v>0.0</v>
      </c>
      <c r="K1421" s="8">
        <v>0.0</v>
      </c>
    </row>
    <row r="1422">
      <c r="A1422" s="7" t="s">
        <v>5287</v>
      </c>
      <c r="B1422" s="8" t="s">
        <v>5288</v>
      </c>
      <c r="C1422" s="7" t="s">
        <v>2873</v>
      </c>
      <c r="D1422" s="12" t="s">
        <v>39</v>
      </c>
      <c r="E1422" s="13" t="s">
        <v>41</v>
      </c>
      <c r="F1422" s="8" t="s">
        <v>42</v>
      </c>
      <c r="G1422" s="8" t="b">
        <v>0</v>
      </c>
      <c r="H1422" s="8" t="s">
        <v>5289</v>
      </c>
      <c r="I1422" s="8">
        <v>1.0</v>
      </c>
      <c r="J1422" s="8">
        <v>0.0</v>
      </c>
      <c r="K1422" s="8">
        <v>2.0</v>
      </c>
    </row>
    <row r="1423">
      <c r="A1423" s="7" t="s">
        <v>5290</v>
      </c>
      <c r="B1423" s="8" t="s">
        <v>5291</v>
      </c>
      <c r="C1423" s="7" t="s">
        <v>126</v>
      </c>
      <c r="D1423" s="12" t="s">
        <v>39</v>
      </c>
      <c r="E1423" s="13" t="s">
        <v>41</v>
      </c>
      <c r="F1423" s="8" t="s">
        <v>42</v>
      </c>
      <c r="G1423" s="8" t="b">
        <v>0</v>
      </c>
      <c r="H1423" s="8" t="s">
        <v>5292</v>
      </c>
      <c r="I1423" s="8">
        <v>1.0</v>
      </c>
      <c r="J1423" s="8">
        <v>0.0</v>
      </c>
      <c r="K1423" s="8">
        <v>1.0</v>
      </c>
    </row>
    <row r="1424">
      <c r="A1424" s="7" t="s">
        <v>5293</v>
      </c>
      <c r="B1424" s="8" t="s">
        <v>5294</v>
      </c>
      <c r="C1424" s="7" t="s">
        <v>2876</v>
      </c>
      <c r="D1424" s="12" t="s">
        <v>39</v>
      </c>
      <c r="E1424" s="13" t="s">
        <v>41</v>
      </c>
      <c r="F1424" s="8" t="s">
        <v>42</v>
      </c>
      <c r="G1424" s="8" t="b">
        <v>0</v>
      </c>
      <c r="H1424" s="8" t="s">
        <v>5295</v>
      </c>
      <c r="I1424" s="8">
        <v>1.0</v>
      </c>
      <c r="J1424" s="8">
        <v>0.0</v>
      </c>
      <c r="K1424" s="8">
        <v>4.0</v>
      </c>
    </row>
    <row r="1425">
      <c r="A1425" s="7" t="s">
        <v>5296</v>
      </c>
      <c r="B1425" s="8" t="s">
        <v>5297</v>
      </c>
      <c r="C1425" s="7" t="s">
        <v>1719</v>
      </c>
      <c r="D1425" s="12" t="s">
        <v>693</v>
      </c>
      <c r="E1425" s="13" t="s">
        <v>753</v>
      </c>
      <c r="F1425" s="8" t="s">
        <v>695</v>
      </c>
      <c r="G1425" s="8" t="b">
        <v>0</v>
      </c>
      <c r="H1425" s="8" t="s">
        <v>5298</v>
      </c>
      <c r="I1425" s="8">
        <v>1.0</v>
      </c>
      <c r="J1425" s="8">
        <v>0.0</v>
      </c>
      <c r="K1425" s="8">
        <v>2.0</v>
      </c>
    </row>
    <row r="1426">
      <c r="A1426" s="7" t="s">
        <v>5299</v>
      </c>
      <c r="B1426" s="8" t="s">
        <v>5300</v>
      </c>
      <c r="C1426" s="7" t="s">
        <v>1719</v>
      </c>
      <c r="D1426" s="12" t="s">
        <v>190</v>
      </c>
      <c r="E1426" s="13" t="s">
        <v>753</v>
      </c>
      <c r="F1426" s="8" t="s">
        <v>191</v>
      </c>
      <c r="G1426" s="8" t="b">
        <v>0</v>
      </c>
      <c r="H1426" s="8" t="s">
        <v>5301</v>
      </c>
      <c r="I1426" s="8">
        <v>1.0</v>
      </c>
      <c r="J1426" s="8">
        <v>0.0</v>
      </c>
      <c r="K1426" s="8">
        <v>2.0</v>
      </c>
    </row>
    <row r="1427">
      <c r="A1427" s="7" t="s">
        <v>5302</v>
      </c>
      <c r="B1427" s="8" t="s">
        <v>5303</v>
      </c>
      <c r="C1427" s="7" t="s">
        <v>2879</v>
      </c>
      <c r="D1427" s="12" t="s">
        <v>39</v>
      </c>
      <c r="E1427" s="13" t="s">
        <v>41</v>
      </c>
      <c r="F1427" s="8" t="s">
        <v>42</v>
      </c>
      <c r="G1427" s="8" t="b">
        <v>0</v>
      </c>
      <c r="I1427" s="8">
        <v>1.0</v>
      </c>
      <c r="J1427" s="8">
        <v>0.0</v>
      </c>
      <c r="K1427" s="8">
        <v>1.0</v>
      </c>
    </row>
    <row r="1428">
      <c r="A1428" s="7" t="s">
        <v>5304</v>
      </c>
      <c r="B1428" s="8" t="s">
        <v>5305</v>
      </c>
      <c r="C1428" s="7" t="s">
        <v>2883</v>
      </c>
      <c r="D1428" s="12" t="s">
        <v>39</v>
      </c>
      <c r="E1428" s="13" t="s">
        <v>76</v>
      </c>
      <c r="F1428" s="8" t="s">
        <v>42</v>
      </c>
      <c r="G1428" s="8" t="b">
        <v>0</v>
      </c>
      <c r="H1428" s="8" t="s">
        <v>5306</v>
      </c>
      <c r="I1428" s="8">
        <v>1.0</v>
      </c>
      <c r="J1428" s="8">
        <v>0.0</v>
      </c>
      <c r="K1428" s="8">
        <v>0.0</v>
      </c>
    </row>
    <row r="1429">
      <c r="A1429" s="7" t="s">
        <v>5307</v>
      </c>
      <c r="B1429" s="8" t="s">
        <v>5308</v>
      </c>
      <c r="C1429" s="7" t="s">
        <v>2886</v>
      </c>
      <c r="D1429" s="12" t="s">
        <v>693</v>
      </c>
      <c r="E1429" s="13" t="s">
        <v>22</v>
      </c>
      <c r="F1429" s="8" t="s">
        <v>695</v>
      </c>
      <c r="G1429" s="8" t="b">
        <v>0</v>
      </c>
      <c r="H1429" s="8" t="s">
        <v>2889</v>
      </c>
      <c r="I1429" s="8">
        <v>1.0</v>
      </c>
      <c r="J1429" s="8">
        <v>0.0</v>
      </c>
      <c r="K1429" s="8">
        <v>2.0</v>
      </c>
    </row>
    <row r="1430">
      <c r="A1430" s="7" t="s">
        <v>5309</v>
      </c>
      <c r="B1430" s="8" t="s">
        <v>5310</v>
      </c>
      <c r="C1430" s="7" t="s">
        <v>2891</v>
      </c>
      <c r="D1430" s="12" t="s">
        <v>693</v>
      </c>
      <c r="E1430" s="13" t="s">
        <v>753</v>
      </c>
      <c r="F1430" s="8" t="s">
        <v>695</v>
      </c>
      <c r="G1430" s="8" t="b">
        <v>0</v>
      </c>
      <c r="H1430" s="8" t="s">
        <v>1044</v>
      </c>
      <c r="I1430" s="8">
        <v>1.0</v>
      </c>
      <c r="J1430" s="8">
        <v>0.0</v>
      </c>
      <c r="K1430" s="8">
        <v>1.0</v>
      </c>
    </row>
    <row r="1431">
      <c r="A1431" s="7" t="s">
        <v>5311</v>
      </c>
      <c r="B1431" s="8" t="s">
        <v>5312</v>
      </c>
      <c r="C1431" s="7" t="s">
        <v>2895</v>
      </c>
      <c r="D1431" s="12" t="s">
        <v>766</v>
      </c>
      <c r="E1431" s="13" t="s">
        <v>753</v>
      </c>
      <c r="F1431" s="8" t="s">
        <v>767</v>
      </c>
      <c r="G1431" s="8" t="b">
        <v>0</v>
      </c>
      <c r="I1431" s="8">
        <v>1.0</v>
      </c>
      <c r="J1431" s="8">
        <v>0.0</v>
      </c>
      <c r="K1431" s="8">
        <v>1.0</v>
      </c>
    </row>
    <row r="1432">
      <c r="A1432" s="7" t="s">
        <v>5313</v>
      </c>
      <c r="B1432" s="8" t="s">
        <v>5314</v>
      </c>
      <c r="C1432" s="7" t="s">
        <v>2899</v>
      </c>
      <c r="D1432" s="12" t="s">
        <v>766</v>
      </c>
      <c r="E1432" s="13" t="s">
        <v>22</v>
      </c>
      <c r="F1432" s="8" t="s">
        <v>767</v>
      </c>
      <c r="G1432" s="8" t="b">
        <v>0</v>
      </c>
      <c r="H1432" s="8" t="s">
        <v>2902</v>
      </c>
      <c r="I1432" s="8">
        <v>1.0</v>
      </c>
      <c r="J1432" s="8">
        <v>0.0</v>
      </c>
      <c r="K1432" s="8">
        <v>1.0</v>
      </c>
    </row>
    <row r="1433">
      <c r="A1433" s="7" t="s">
        <v>5315</v>
      </c>
      <c r="B1433" s="8" t="s">
        <v>5316</v>
      </c>
      <c r="C1433" s="7" t="s">
        <v>2903</v>
      </c>
      <c r="D1433" s="12" t="s">
        <v>766</v>
      </c>
      <c r="E1433" s="13" t="s">
        <v>41</v>
      </c>
      <c r="F1433" s="8" t="s">
        <v>767</v>
      </c>
      <c r="G1433" s="8" t="b">
        <v>0</v>
      </c>
      <c r="I1433" s="8">
        <v>1.0</v>
      </c>
      <c r="J1433" s="8">
        <v>0.0</v>
      </c>
      <c r="K1433" s="8">
        <v>2.0</v>
      </c>
    </row>
    <row r="1434">
      <c r="A1434" s="7" t="s">
        <v>5317</v>
      </c>
      <c r="B1434" s="8" t="s">
        <v>5318</v>
      </c>
      <c r="C1434" s="7" t="s">
        <v>536</v>
      </c>
      <c r="D1434" s="12" t="s">
        <v>190</v>
      </c>
      <c r="E1434" s="13" t="s">
        <v>41</v>
      </c>
      <c r="F1434" s="8" t="s">
        <v>191</v>
      </c>
      <c r="G1434" s="8" t="b">
        <v>0</v>
      </c>
      <c r="H1434" s="8" t="s">
        <v>186</v>
      </c>
      <c r="I1434" s="8">
        <v>1.0</v>
      </c>
      <c r="J1434" s="8">
        <v>0.0</v>
      </c>
      <c r="K1434" s="8">
        <v>4.0</v>
      </c>
    </row>
    <row r="1435">
      <c r="A1435" s="7" t="s">
        <v>5319</v>
      </c>
      <c r="B1435" s="8" t="s">
        <v>5320</v>
      </c>
      <c r="C1435" s="7" t="s">
        <v>536</v>
      </c>
      <c r="D1435" s="12" t="s">
        <v>39</v>
      </c>
      <c r="E1435" s="13" t="s">
        <v>41</v>
      </c>
      <c r="F1435" s="8" t="s">
        <v>42</v>
      </c>
      <c r="G1435" s="8" t="b">
        <v>0</v>
      </c>
      <c r="H1435" s="8" t="s">
        <v>5321</v>
      </c>
      <c r="I1435" s="8">
        <v>1.0</v>
      </c>
      <c r="J1435" s="8">
        <v>0.0</v>
      </c>
      <c r="K1435" s="8">
        <v>1.0</v>
      </c>
    </row>
    <row r="1436">
      <c r="A1436" s="7" t="s">
        <v>5322</v>
      </c>
      <c r="B1436" s="8" t="s">
        <v>5323</v>
      </c>
      <c r="C1436" s="7" t="s">
        <v>536</v>
      </c>
      <c r="D1436" s="12" t="s">
        <v>39</v>
      </c>
      <c r="E1436" s="13" t="s">
        <v>41</v>
      </c>
      <c r="F1436" s="8" t="s">
        <v>42</v>
      </c>
      <c r="G1436" s="8" t="b">
        <v>0</v>
      </c>
      <c r="H1436" s="8" t="s">
        <v>5324</v>
      </c>
      <c r="I1436" s="8">
        <v>1.0</v>
      </c>
      <c r="J1436" s="8">
        <v>0.0</v>
      </c>
      <c r="K1436" s="8">
        <v>1.0</v>
      </c>
    </row>
    <row r="1437">
      <c r="A1437" s="7" t="s">
        <v>5325</v>
      </c>
      <c r="B1437" s="8" t="s">
        <v>5326</v>
      </c>
      <c r="C1437" s="7" t="s">
        <v>2906</v>
      </c>
      <c r="D1437" s="12" t="s">
        <v>766</v>
      </c>
      <c r="E1437" s="13" t="s">
        <v>694</v>
      </c>
      <c r="F1437" s="8" t="s">
        <v>767</v>
      </c>
      <c r="G1437" s="8" t="b">
        <v>0</v>
      </c>
      <c r="I1437" s="8">
        <v>1.0</v>
      </c>
      <c r="J1437" s="8">
        <v>0.0</v>
      </c>
      <c r="K1437" s="8">
        <v>1.0</v>
      </c>
    </row>
    <row r="1438">
      <c r="A1438" s="7" t="s">
        <v>5327</v>
      </c>
      <c r="B1438" s="8" t="s">
        <v>5328</v>
      </c>
      <c r="C1438" s="7" t="s">
        <v>1600</v>
      </c>
      <c r="D1438" s="12" t="s">
        <v>766</v>
      </c>
      <c r="E1438" s="13" t="s">
        <v>41</v>
      </c>
      <c r="F1438" s="8" t="s">
        <v>767</v>
      </c>
      <c r="G1438" s="8" t="b">
        <v>0</v>
      </c>
      <c r="I1438" s="8">
        <v>1.0</v>
      </c>
      <c r="J1438" s="8">
        <v>0.0</v>
      </c>
      <c r="K1438" s="8">
        <v>0.0</v>
      </c>
    </row>
    <row r="1439">
      <c r="A1439" s="7" t="s">
        <v>5329</v>
      </c>
      <c r="B1439" s="8" t="s">
        <v>5330</v>
      </c>
      <c r="C1439" s="7" t="s">
        <v>1297</v>
      </c>
      <c r="D1439" s="12" t="s">
        <v>693</v>
      </c>
      <c r="E1439" s="13" t="s">
        <v>753</v>
      </c>
      <c r="F1439" s="8" t="s">
        <v>695</v>
      </c>
      <c r="G1439" s="8" t="b">
        <v>0</v>
      </c>
      <c r="I1439" s="8">
        <v>1.0</v>
      </c>
      <c r="J1439" s="8">
        <v>0.0</v>
      </c>
      <c r="K1439" s="8">
        <v>1.0</v>
      </c>
    </row>
    <row r="1440">
      <c r="A1440" s="7" t="s">
        <v>5331</v>
      </c>
      <c r="B1440" s="8" t="s">
        <v>5332</v>
      </c>
      <c r="C1440" s="7" t="s">
        <v>334</v>
      </c>
      <c r="D1440" s="12" t="s">
        <v>39</v>
      </c>
      <c r="E1440" s="13" t="s">
        <v>41</v>
      </c>
      <c r="F1440" s="8" t="s">
        <v>42</v>
      </c>
      <c r="G1440" s="8" t="b">
        <v>0</v>
      </c>
      <c r="H1440" s="8" t="s">
        <v>5333</v>
      </c>
      <c r="I1440" s="8">
        <v>1.0</v>
      </c>
      <c r="J1440" s="8">
        <v>0.0</v>
      </c>
      <c r="K1440" s="8">
        <v>1.0</v>
      </c>
    </row>
    <row r="1441">
      <c r="A1441" s="7" t="s">
        <v>5334</v>
      </c>
      <c r="B1441" s="8" t="s">
        <v>5335</v>
      </c>
      <c r="C1441" s="7" t="s">
        <v>334</v>
      </c>
      <c r="D1441" s="12" t="s">
        <v>39</v>
      </c>
      <c r="E1441" s="13" t="s">
        <v>41</v>
      </c>
      <c r="F1441" s="8" t="s">
        <v>42</v>
      </c>
      <c r="G1441" s="8" t="b">
        <v>0</v>
      </c>
      <c r="H1441" s="8" t="s">
        <v>5336</v>
      </c>
      <c r="I1441" s="8">
        <v>1.0</v>
      </c>
      <c r="J1441" s="8">
        <v>0.0</v>
      </c>
      <c r="K1441" s="8">
        <v>1.0</v>
      </c>
    </row>
    <row r="1442">
      <c r="A1442" s="7" t="s">
        <v>5337</v>
      </c>
      <c r="B1442" s="8" t="s">
        <v>5338</v>
      </c>
      <c r="C1442" s="7" t="s">
        <v>334</v>
      </c>
      <c r="D1442" s="12" t="s">
        <v>39</v>
      </c>
      <c r="E1442" s="13" t="s">
        <v>41</v>
      </c>
      <c r="F1442" s="8" t="s">
        <v>42</v>
      </c>
      <c r="G1442" s="8" t="b">
        <v>0</v>
      </c>
      <c r="H1442" s="8" t="s">
        <v>5339</v>
      </c>
      <c r="I1442" s="8">
        <v>1.0</v>
      </c>
      <c r="J1442" s="8">
        <v>0.0</v>
      </c>
      <c r="K1442" s="8">
        <v>1.0</v>
      </c>
    </row>
    <row r="1443">
      <c r="A1443" s="7" t="s">
        <v>5340</v>
      </c>
      <c r="C1443" s="7" t="s">
        <v>2911</v>
      </c>
      <c r="D1443" s="12" t="s">
        <v>190</v>
      </c>
      <c r="E1443" s="13" t="s">
        <v>190</v>
      </c>
      <c r="F1443" s="8" t="s">
        <v>191</v>
      </c>
      <c r="H1443" s="8" t="s">
        <v>1246</v>
      </c>
      <c r="I1443" s="8">
        <v>1.0</v>
      </c>
      <c r="J1443" s="8">
        <v>0.0</v>
      </c>
      <c r="K1443" s="8">
        <v>1.0</v>
      </c>
    </row>
    <row r="1444">
      <c r="A1444" s="7" t="s">
        <v>5341</v>
      </c>
      <c r="B1444" s="8" t="s">
        <v>5342</v>
      </c>
      <c r="C1444" s="7" t="s">
        <v>200</v>
      </c>
      <c r="D1444" s="12" t="s">
        <v>766</v>
      </c>
      <c r="E1444" s="13" t="s">
        <v>190</v>
      </c>
      <c r="F1444" s="8" t="s">
        <v>767</v>
      </c>
      <c r="G1444" s="8" t="b">
        <v>0</v>
      </c>
      <c r="I1444" s="8">
        <v>1.0</v>
      </c>
      <c r="J1444" s="8">
        <v>0.0</v>
      </c>
      <c r="K1444" s="8">
        <v>1.0</v>
      </c>
    </row>
    <row r="1445">
      <c r="A1445" s="7" t="s">
        <v>5343</v>
      </c>
      <c r="C1445" s="7" t="s">
        <v>200</v>
      </c>
      <c r="D1445" s="12" t="s">
        <v>190</v>
      </c>
      <c r="E1445" s="13" t="s">
        <v>190</v>
      </c>
      <c r="F1445" s="8" t="s">
        <v>191</v>
      </c>
      <c r="H1445" s="8" t="s">
        <v>1246</v>
      </c>
      <c r="I1445" s="8">
        <v>1.0</v>
      </c>
      <c r="J1445" s="8">
        <v>0.0</v>
      </c>
      <c r="K1445" s="8">
        <v>0.0</v>
      </c>
    </row>
    <row r="1446">
      <c r="A1446" s="7" t="s">
        <v>5344</v>
      </c>
      <c r="C1446" s="7" t="s">
        <v>200</v>
      </c>
      <c r="D1446" s="12" t="s">
        <v>190</v>
      </c>
      <c r="E1446" s="13" t="s">
        <v>190</v>
      </c>
      <c r="F1446" s="8" t="s">
        <v>191</v>
      </c>
      <c r="H1446" s="8" t="s">
        <v>1246</v>
      </c>
      <c r="I1446" s="8">
        <v>1.0</v>
      </c>
      <c r="J1446" s="8">
        <v>0.0</v>
      </c>
      <c r="K1446" s="8">
        <v>1.0</v>
      </c>
    </row>
    <row r="1447">
      <c r="A1447" s="7" t="s">
        <v>5345</v>
      </c>
      <c r="B1447" s="8" t="s">
        <v>5346</v>
      </c>
      <c r="C1447" s="7" t="s">
        <v>3284</v>
      </c>
      <c r="D1447" s="12" t="s">
        <v>554</v>
      </c>
      <c r="E1447" s="13" t="s">
        <v>41</v>
      </c>
      <c r="F1447" s="8" t="s">
        <v>555</v>
      </c>
      <c r="G1447" s="8" t="b">
        <v>0</v>
      </c>
      <c r="H1447" s="8" t="s">
        <v>3286</v>
      </c>
      <c r="I1447" s="8">
        <v>1.0</v>
      </c>
      <c r="J1447" s="8">
        <v>0.0</v>
      </c>
      <c r="K1447" s="8">
        <v>1.0</v>
      </c>
    </row>
    <row r="1448">
      <c r="A1448" s="7" t="s">
        <v>5347</v>
      </c>
      <c r="B1448" s="8" t="s">
        <v>5348</v>
      </c>
      <c r="C1448" s="7" t="s">
        <v>2914</v>
      </c>
      <c r="D1448" s="12" t="s">
        <v>39</v>
      </c>
      <c r="E1448" s="13" t="s">
        <v>190</v>
      </c>
      <c r="F1448" s="8" t="s">
        <v>42</v>
      </c>
      <c r="G1448" s="8" t="b">
        <v>0</v>
      </c>
      <c r="H1448" s="8" t="s">
        <v>186</v>
      </c>
      <c r="I1448" s="8">
        <v>1.0</v>
      </c>
      <c r="J1448" s="8">
        <v>0.0</v>
      </c>
      <c r="K1448" s="8">
        <v>1.0</v>
      </c>
    </row>
    <row r="1449">
      <c r="A1449" s="7" t="s">
        <v>5349</v>
      </c>
      <c r="B1449" s="8" t="s">
        <v>5350</v>
      </c>
      <c r="C1449" s="7" t="s">
        <v>2917</v>
      </c>
      <c r="D1449" s="12" t="s">
        <v>104</v>
      </c>
      <c r="E1449" s="13" t="s">
        <v>41</v>
      </c>
      <c r="F1449" s="8" t="s">
        <v>106</v>
      </c>
      <c r="G1449" s="8" t="b">
        <v>0</v>
      </c>
      <c r="I1449" s="8">
        <v>1.0</v>
      </c>
      <c r="J1449" s="8">
        <v>0.0</v>
      </c>
      <c r="K1449" s="8">
        <v>1.0</v>
      </c>
    </row>
    <row r="1450">
      <c r="A1450" s="7" t="s">
        <v>5351</v>
      </c>
      <c r="B1450" s="8" t="s">
        <v>5352</v>
      </c>
      <c r="C1450" s="7" t="s">
        <v>2919</v>
      </c>
      <c r="D1450" s="12" t="s">
        <v>39</v>
      </c>
      <c r="E1450" s="13" t="s">
        <v>41</v>
      </c>
      <c r="F1450" s="8" t="s">
        <v>42</v>
      </c>
      <c r="G1450" s="8" t="b">
        <v>0</v>
      </c>
      <c r="H1450" s="8" t="s">
        <v>5353</v>
      </c>
      <c r="I1450" s="8">
        <v>1.0</v>
      </c>
      <c r="J1450" s="8">
        <v>0.0</v>
      </c>
      <c r="K1450" s="8">
        <v>1.0</v>
      </c>
    </row>
    <row r="1451">
      <c r="A1451" s="7" t="s">
        <v>5354</v>
      </c>
      <c r="B1451" s="8" t="s">
        <v>5355</v>
      </c>
      <c r="C1451" s="7" t="s">
        <v>2922</v>
      </c>
      <c r="D1451" s="12" t="s">
        <v>560</v>
      </c>
      <c r="E1451" s="13" t="s">
        <v>694</v>
      </c>
      <c r="F1451" s="8" t="s">
        <v>561</v>
      </c>
      <c r="G1451" s="8" t="b">
        <v>0</v>
      </c>
      <c r="H1451" s="8" t="s">
        <v>2924</v>
      </c>
      <c r="I1451" s="8">
        <v>1.0</v>
      </c>
      <c r="J1451" s="8">
        <v>0.0</v>
      </c>
      <c r="K1451" s="8">
        <v>0.0</v>
      </c>
    </row>
    <row r="1452">
      <c r="A1452" s="7" t="s">
        <v>5356</v>
      </c>
      <c r="B1452" s="8" t="s">
        <v>5357</v>
      </c>
      <c r="C1452" s="7" t="s">
        <v>1552</v>
      </c>
      <c r="D1452" s="12" t="s">
        <v>39</v>
      </c>
      <c r="E1452" s="13" t="s">
        <v>41</v>
      </c>
      <c r="F1452" s="8" t="s">
        <v>42</v>
      </c>
      <c r="G1452" s="8" t="b">
        <v>0</v>
      </c>
      <c r="H1452" s="8" t="s">
        <v>5358</v>
      </c>
      <c r="I1452" s="8">
        <v>1.0</v>
      </c>
      <c r="J1452" s="8">
        <v>0.0</v>
      </c>
      <c r="K1452" s="8">
        <v>0.0</v>
      </c>
    </row>
    <row r="1453">
      <c r="A1453" s="7" t="s">
        <v>5359</v>
      </c>
      <c r="B1453" s="8" t="s">
        <v>5360</v>
      </c>
      <c r="C1453" s="7" t="s">
        <v>2925</v>
      </c>
      <c r="D1453" s="12" t="s">
        <v>39</v>
      </c>
      <c r="E1453" s="13" t="s">
        <v>41</v>
      </c>
      <c r="F1453" s="8" t="s">
        <v>42</v>
      </c>
      <c r="G1453" s="8" t="b">
        <v>0</v>
      </c>
      <c r="I1453" s="8">
        <v>1.0</v>
      </c>
      <c r="J1453" s="8">
        <v>0.0</v>
      </c>
      <c r="K1453" s="8">
        <v>1.0</v>
      </c>
    </row>
    <row r="1454">
      <c r="A1454" s="7" t="s">
        <v>5361</v>
      </c>
      <c r="B1454" s="8" t="s">
        <v>5362</v>
      </c>
      <c r="C1454" s="7" t="s">
        <v>1462</v>
      </c>
      <c r="D1454" s="12" t="s">
        <v>766</v>
      </c>
      <c r="E1454" s="13" t="s">
        <v>22</v>
      </c>
      <c r="F1454" s="8" t="s">
        <v>767</v>
      </c>
      <c r="G1454" s="8" t="b">
        <v>0</v>
      </c>
      <c r="H1454" s="8" t="s">
        <v>1044</v>
      </c>
      <c r="I1454" s="8">
        <v>1.0</v>
      </c>
      <c r="J1454" s="8">
        <v>0.0</v>
      </c>
      <c r="K1454" s="8">
        <v>0.0</v>
      </c>
    </row>
    <row r="1455">
      <c r="A1455" s="7" t="s">
        <v>5363</v>
      </c>
      <c r="B1455" s="8" t="s">
        <v>5364</v>
      </c>
      <c r="C1455" s="7" t="s">
        <v>2927</v>
      </c>
      <c r="D1455" s="12" t="s">
        <v>766</v>
      </c>
      <c r="E1455" s="13" t="s">
        <v>41</v>
      </c>
      <c r="F1455" s="8" t="s">
        <v>767</v>
      </c>
      <c r="G1455" s="8" t="b">
        <v>0</v>
      </c>
      <c r="I1455" s="8">
        <v>1.0</v>
      </c>
      <c r="J1455" s="8">
        <v>0.0</v>
      </c>
      <c r="K1455" s="8">
        <v>1.0</v>
      </c>
    </row>
    <row r="1456">
      <c r="A1456" s="7" t="s">
        <v>5365</v>
      </c>
      <c r="B1456" s="8" t="s">
        <v>5366</v>
      </c>
      <c r="C1456" s="7" t="s">
        <v>2930</v>
      </c>
      <c r="D1456" s="12" t="s">
        <v>39</v>
      </c>
      <c r="E1456" s="13" t="s">
        <v>41</v>
      </c>
      <c r="F1456" s="8" t="s">
        <v>42</v>
      </c>
      <c r="G1456" s="8" t="b">
        <v>0</v>
      </c>
      <c r="H1456" s="8" t="s">
        <v>5367</v>
      </c>
      <c r="I1456" s="8">
        <v>1.0</v>
      </c>
      <c r="J1456" s="8">
        <v>0.0</v>
      </c>
      <c r="K1456" s="8">
        <v>0.0</v>
      </c>
    </row>
    <row r="1457">
      <c r="A1457" s="7" t="s">
        <v>5368</v>
      </c>
      <c r="B1457" s="8" t="s">
        <v>5369</v>
      </c>
      <c r="C1457" s="7" t="s">
        <v>85</v>
      </c>
      <c r="D1457" s="12" t="s">
        <v>766</v>
      </c>
      <c r="E1457" s="13" t="s">
        <v>22</v>
      </c>
      <c r="F1457" s="8" t="s">
        <v>767</v>
      </c>
      <c r="G1457" s="8" t="b">
        <v>0</v>
      </c>
      <c r="H1457" s="8" t="s">
        <v>498</v>
      </c>
      <c r="I1457" s="8">
        <v>1.0</v>
      </c>
      <c r="J1457" s="8">
        <v>0.0</v>
      </c>
      <c r="K1457" s="8">
        <v>1.0</v>
      </c>
    </row>
    <row r="1458">
      <c r="A1458" s="7" t="s">
        <v>5370</v>
      </c>
      <c r="B1458" s="8" t="s">
        <v>5371</v>
      </c>
      <c r="C1458" s="7" t="s">
        <v>85</v>
      </c>
      <c r="D1458" s="12" t="s">
        <v>693</v>
      </c>
      <c r="E1458" s="13" t="s">
        <v>22</v>
      </c>
      <c r="F1458" s="8" t="s">
        <v>695</v>
      </c>
      <c r="G1458" s="8" t="b">
        <v>0</v>
      </c>
      <c r="H1458" s="8" t="s">
        <v>5372</v>
      </c>
      <c r="I1458" s="8">
        <v>1.0</v>
      </c>
      <c r="J1458" s="8">
        <v>0.0</v>
      </c>
      <c r="K1458" s="8">
        <v>1.0</v>
      </c>
    </row>
    <row r="1459">
      <c r="A1459" s="7" t="s">
        <v>5373</v>
      </c>
      <c r="B1459" s="8" t="s">
        <v>5374</v>
      </c>
      <c r="C1459" s="7" t="s">
        <v>85</v>
      </c>
      <c r="D1459" s="12" t="s">
        <v>766</v>
      </c>
      <c r="E1459" s="13" t="s">
        <v>22</v>
      </c>
      <c r="F1459" s="8" t="s">
        <v>767</v>
      </c>
      <c r="G1459" s="8" t="b">
        <v>0</v>
      </c>
      <c r="H1459" s="8" t="s">
        <v>498</v>
      </c>
      <c r="I1459" s="8">
        <v>1.0</v>
      </c>
      <c r="J1459" s="8">
        <v>0.0</v>
      </c>
      <c r="K1459" s="8">
        <v>0.0</v>
      </c>
    </row>
    <row r="1460">
      <c r="A1460" s="7" t="s">
        <v>5375</v>
      </c>
      <c r="B1460" s="8" t="s">
        <v>5376</v>
      </c>
      <c r="C1460" s="7" t="s">
        <v>85</v>
      </c>
      <c r="D1460" s="12" t="s">
        <v>766</v>
      </c>
      <c r="E1460" s="13" t="s">
        <v>22</v>
      </c>
      <c r="F1460" s="8" t="s">
        <v>767</v>
      </c>
      <c r="G1460" s="8" t="b">
        <v>0</v>
      </c>
      <c r="H1460" s="8" t="s">
        <v>498</v>
      </c>
      <c r="I1460" s="8">
        <v>1.0</v>
      </c>
      <c r="J1460" s="8">
        <v>0.0</v>
      </c>
      <c r="K1460" s="8">
        <v>0.0</v>
      </c>
    </row>
    <row r="1461">
      <c r="A1461" s="7" t="s">
        <v>5377</v>
      </c>
      <c r="B1461" s="8" t="s">
        <v>5378</v>
      </c>
      <c r="C1461" s="7" t="s">
        <v>1793</v>
      </c>
      <c r="D1461" s="12" t="s">
        <v>39</v>
      </c>
      <c r="E1461" s="13" t="s">
        <v>190</v>
      </c>
      <c r="F1461" s="8" t="s">
        <v>42</v>
      </c>
      <c r="G1461" s="8" t="b">
        <v>0</v>
      </c>
      <c r="H1461" s="8" t="s">
        <v>5379</v>
      </c>
      <c r="I1461" s="8">
        <v>1.0</v>
      </c>
      <c r="J1461" s="8">
        <v>0.0</v>
      </c>
      <c r="K1461" s="8">
        <v>0.0</v>
      </c>
    </row>
    <row r="1462">
      <c r="A1462" s="7" t="s">
        <v>5380</v>
      </c>
      <c r="B1462" s="8" t="s">
        <v>5381</v>
      </c>
      <c r="C1462" s="7" t="s">
        <v>1793</v>
      </c>
      <c r="D1462" s="12" t="s">
        <v>104</v>
      </c>
      <c r="E1462" s="13" t="s">
        <v>190</v>
      </c>
      <c r="F1462" s="8" t="s">
        <v>106</v>
      </c>
      <c r="G1462" s="8" t="b">
        <v>0</v>
      </c>
      <c r="H1462" s="8" t="s">
        <v>724</v>
      </c>
      <c r="I1462" s="8">
        <v>1.0</v>
      </c>
      <c r="J1462" s="8">
        <v>0.0</v>
      </c>
      <c r="K1462" s="8">
        <v>1.0</v>
      </c>
    </row>
    <row r="1463">
      <c r="A1463" s="7" t="s">
        <v>5382</v>
      </c>
      <c r="B1463" s="8" t="s">
        <v>5383</v>
      </c>
      <c r="C1463" s="7" t="s">
        <v>2935</v>
      </c>
      <c r="D1463" s="12" t="s">
        <v>693</v>
      </c>
      <c r="E1463" s="13" t="s">
        <v>753</v>
      </c>
      <c r="F1463" s="8" t="s">
        <v>695</v>
      </c>
      <c r="G1463" s="8" t="b">
        <v>0</v>
      </c>
      <c r="H1463" s="8" t="s">
        <v>5384</v>
      </c>
      <c r="I1463" s="8">
        <v>1.0</v>
      </c>
      <c r="J1463" s="8">
        <v>0.0</v>
      </c>
      <c r="K1463" s="8">
        <v>2.0</v>
      </c>
    </row>
    <row r="1464">
      <c r="A1464" s="7" t="s">
        <v>5385</v>
      </c>
      <c r="B1464" s="8" t="s">
        <v>5386</v>
      </c>
      <c r="C1464" s="7" t="s">
        <v>2010</v>
      </c>
      <c r="D1464" s="12" t="s">
        <v>39</v>
      </c>
      <c r="E1464" s="13" t="s">
        <v>41</v>
      </c>
      <c r="F1464" s="8" t="s">
        <v>42</v>
      </c>
      <c r="G1464" s="8" t="b">
        <v>0</v>
      </c>
      <c r="H1464" s="8" t="s">
        <v>5387</v>
      </c>
      <c r="I1464" s="8">
        <v>1.0</v>
      </c>
      <c r="J1464" s="8">
        <v>0.0</v>
      </c>
      <c r="K1464" s="8">
        <v>3.0</v>
      </c>
    </row>
    <row r="1465">
      <c r="A1465" s="7" t="s">
        <v>5388</v>
      </c>
      <c r="B1465" s="8" t="s">
        <v>5389</v>
      </c>
      <c r="C1465" s="7" t="s">
        <v>1798</v>
      </c>
      <c r="D1465" s="12" t="s">
        <v>39</v>
      </c>
      <c r="E1465" s="13" t="s">
        <v>76</v>
      </c>
      <c r="F1465" s="8" t="s">
        <v>42</v>
      </c>
      <c r="G1465" s="8" t="b">
        <v>0</v>
      </c>
      <c r="H1465" s="8" t="s">
        <v>5390</v>
      </c>
      <c r="I1465" s="8">
        <v>1.0</v>
      </c>
      <c r="J1465" s="8">
        <v>0.0</v>
      </c>
      <c r="K1465" s="8">
        <v>0.0</v>
      </c>
    </row>
    <row r="1466">
      <c r="A1466" s="7" t="s">
        <v>5391</v>
      </c>
      <c r="B1466" s="8" t="s">
        <v>5392</v>
      </c>
      <c r="C1466" s="7" t="s">
        <v>1798</v>
      </c>
      <c r="D1466" s="12" t="s">
        <v>104</v>
      </c>
      <c r="E1466" s="13" t="s">
        <v>76</v>
      </c>
      <c r="F1466" s="8" t="s">
        <v>106</v>
      </c>
      <c r="G1466" s="8" t="b">
        <v>0</v>
      </c>
      <c r="I1466" s="8">
        <v>1.0</v>
      </c>
      <c r="J1466" s="8">
        <v>0.0</v>
      </c>
      <c r="K1466" s="8">
        <v>1.0</v>
      </c>
    </row>
    <row r="1467">
      <c r="A1467" s="7" t="s">
        <v>5393</v>
      </c>
      <c r="B1467" s="8" t="s">
        <v>5394</v>
      </c>
      <c r="C1467" s="7" t="s">
        <v>2940</v>
      </c>
      <c r="D1467" s="12" t="s">
        <v>104</v>
      </c>
      <c r="E1467" s="13" t="s">
        <v>753</v>
      </c>
      <c r="F1467" s="8" t="s">
        <v>106</v>
      </c>
      <c r="G1467" s="8" t="b">
        <v>0</v>
      </c>
      <c r="H1467" s="8" t="s">
        <v>5395</v>
      </c>
      <c r="I1467" s="8">
        <v>1.0</v>
      </c>
      <c r="J1467" s="8">
        <v>0.0</v>
      </c>
      <c r="K1467" s="8">
        <v>0.0</v>
      </c>
    </row>
    <row r="1468">
      <c r="A1468" s="7" t="s">
        <v>5396</v>
      </c>
      <c r="B1468" s="8" t="s">
        <v>5397</v>
      </c>
      <c r="C1468" s="7" t="s">
        <v>2043</v>
      </c>
      <c r="D1468" s="12" t="s">
        <v>190</v>
      </c>
      <c r="E1468" s="13" t="s">
        <v>22</v>
      </c>
      <c r="F1468" s="8" t="s">
        <v>191</v>
      </c>
      <c r="G1468" s="8" t="b">
        <v>0</v>
      </c>
      <c r="H1468" s="8" t="s">
        <v>5398</v>
      </c>
      <c r="I1468" s="8">
        <v>1.0</v>
      </c>
      <c r="J1468" s="8">
        <v>0.0</v>
      </c>
      <c r="K1468" s="8">
        <v>1.0</v>
      </c>
    </row>
    <row r="1469">
      <c r="A1469" s="7" t="s">
        <v>5399</v>
      </c>
      <c r="B1469" s="8" t="s">
        <v>5400</v>
      </c>
      <c r="C1469" s="7" t="s">
        <v>2043</v>
      </c>
      <c r="D1469" s="12" t="s">
        <v>693</v>
      </c>
      <c r="E1469" s="13" t="s">
        <v>22</v>
      </c>
      <c r="F1469" s="8" t="s">
        <v>695</v>
      </c>
      <c r="G1469" s="8" t="b">
        <v>0</v>
      </c>
      <c r="H1469" s="8" t="s">
        <v>5401</v>
      </c>
      <c r="I1469" s="8">
        <v>1.0</v>
      </c>
      <c r="J1469" s="8">
        <v>0.0</v>
      </c>
      <c r="K1469" s="8">
        <v>1.0</v>
      </c>
    </row>
    <row r="1470">
      <c r="A1470" s="7" t="s">
        <v>5402</v>
      </c>
      <c r="B1470" s="8" t="s">
        <v>5403</v>
      </c>
      <c r="C1470" s="8" t="s">
        <v>2942</v>
      </c>
      <c r="D1470" s="12" t="s">
        <v>39</v>
      </c>
      <c r="E1470" s="13" t="s">
        <v>41</v>
      </c>
      <c r="F1470" s="8" t="s">
        <v>42</v>
      </c>
      <c r="G1470" s="8" t="b">
        <v>0</v>
      </c>
      <c r="H1470" s="8" t="s">
        <v>2943</v>
      </c>
      <c r="I1470" s="8">
        <v>1.0</v>
      </c>
      <c r="J1470" s="8">
        <v>0.0</v>
      </c>
      <c r="K1470" s="8">
        <v>1.0</v>
      </c>
    </row>
    <row r="1471">
      <c r="A1471" s="7" t="s">
        <v>5404</v>
      </c>
      <c r="C1471" s="8" t="s">
        <v>821</v>
      </c>
      <c r="D1471" s="12" t="s">
        <v>39</v>
      </c>
      <c r="E1471" s="13" t="s">
        <v>190</v>
      </c>
      <c r="F1471" s="8" t="s">
        <v>42</v>
      </c>
      <c r="G1471" s="8" t="b">
        <v>0</v>
      </c>
      <c r="H1471" s="8" t="s">
        <v>5405</v>
      </c>
      <c r="I1471" s="8">
        <v>1.0</v>
      </c>
      <c r="J1471" s="8">
        <v>0.0</v>
      </c>
      <c r="K1471" s="8">
        <v>0.0</v>
      </c>
    </row>
    <row r="1472">
      <c r="A1472" s="7" t="s">
        <v>5406</v>
      </c>
      <c r="B1472" s="8" t="s">
        <v>5407</v>
      </c>
      <c r="C1472" s="7" t="s">
        <v>2947</v>
      </c>
      <c r="D1472" s="12" t="s">
        <v>39</v>
      </c>
      <c r="E1472" s="13" t="s">
        <v>41</v>
      </c>
      <c r="F1472" s="8" t="s">
        <v>42</v>
      </c>
      <c r="G1472" s="8" t="b">
        <v>0</v>
      </c>
      <c r="H1472" s="8" t="s">
        <v>5408</v>
      </c>
      <c r="I1472" s="8">
        <v>1.0</v>
      </c>
      <c r="J1472" s="8">
        <v>0.0</v>
      </c>
      <c r="K1472" s="8">
        <v>0.0</v>
      </c>
    </row>
    <row r="1473">
      <c r="A1473" s="7" t="s">
        <v>5409</v>
      </c>
      <c r="B1473" s="8" t="s">
        <v>5410</v>
      </c>
      <c r="C1473" s="7" t="s">
        <v>1803</v>
      </c>
      <c r="D1473" s="12" t="s">
        <v>693</v>
      </c>
      <c r="E1473" s="13" t="s">
        <v>41</v>
      </c>
      <c r="F1473" s="8" t="s">
        <v>695</v>
      </c>
      <c r="G1473" s="8" t="b">
        <v>0</v>
      </c>
      <c r="I1473" s="8">
        <v>1.0</v>
      </c>
      <c r="J1473" s="8">
        <v>0.0</v>
      </c>
      <c r="K1473" s="8">
        <v>1.0</v>
      </c>
    </row>
    <row r="1474">
      <c r="A1474" s="7" t="s">
        <v>5411</v>
      </c>
      <c r="B1474" s="8" t="s">
        <v>5412</v>
      </c>
      <c r="C1474" s="7" t="s">
        <v>1803</v>
      </c>
      <c r="D1474" s="12" t="s">
        <v>39</v>
      </c>
      <c r="E1474" s="13" t="s">
        <v>41</v>
      </c>
      <c r="F1474" s="8" t="s">
        <v>42</v>
      </c>
      <c r="G1474" s="8" t="b">
        <v>0</v>
      </c>
      <c r="H1474" s="8" t="s">
        <v>1804</v>
      </c>
      <c r="I1474" s="8">
        <v>1.0</v>
      </c>
      <c r="J1474" s="8">
        <v>0.0</v>
      </c>
      <c r="K1474" s="8">
        <v>0.0</v>
      </c>
    </row>
    <row r="1475">
      <c r="A1475" s="7" t="s">
        <v>5413</v>
      </c>
      <c r="B1475" s="8" t="s">
        <v>5414</v>
      </c>
      <c r="C1475" s="7" t="s">
        <v>895</v>
      </c>
      <c r="D1475" s="12" t="s">
        <v>190</v>
      </c>
      <c r="E1475" s="13" t="s">
        <v>41</v>
      </c>
      <c r="F1475" s="8" t="s">
        <v>191</v>
      </c>
      <c r="G1475" s="8" t="b">
        <v>0</v>
      </c>
      <c r="H1475" s="8" t="s">
        <v>5415</v>
      </c>
      <c r="I1475" s="8">
        <v>1.0</v>
      </c>
      <c r="J1475" s="8">
        <v>0.0</v>
      </c>
      <c r="K1475" s="8">
        <v>1.0</v>
      </c>
    </row>
    <row r="1476">
      <c r="A1476" s="7" t="s">
        <v>5416</v>
      </c>
      <c r="B1476" s="8" t="s">
        <v>5417</v>
      </c>
      <c r="C1476" s="7" t="s">
        <v>895</v>
      </c>
      <c r="D1476" s="12" t="s">
        <v>39</v>
      </c>
      <c r="E1476" s="13" t="s">
        <v>41</v>
      </c>
      <c r="F1476" s="8" t="s">
        <v>42</v>
      </c>
      <c r="G1476" s="8" t="b">
        <v>0</v>
      </c>
      <c r="H1476" s="8" t="s">
        <v>5418</v>
      </c>
      <c r="I1476" s="8">
        <v>1.0</v>
      </c>
      <c r="J1476" s="8">
        <v>0.0</v>
      </c>
      <c r="K1476" s="8">
        <v>1.0</v>
      </c>
    </row>
    <row r="1477">
      <c r="A1477" s="7" t="s">
        <v>5419</v>
      </c>
      <c r="C1477" s="7" t="s">
        <v>2952</v>
      </c>
      <c r="D1477" s="12" t="s">
        <v>554</v>
      </c>
      <c r="E1477" s="13" t="s">
        <v>41</v>
      </c>
      <c r="F1477" s="8" t="s">
        <v>555</v>
      </c>
      <c r="H1477" s="8" t="s">
        <v>1246</v>
      </c>
      <c r="I1477" s="8">
        <v>1.0</v>
      </c>
      <c r="J1477" s="8">
        <v>0.0</v>
      </c>
      <c r="K1477" s="8">
        <v>2.0</v>
      </c>
    </row>
    <row r="1478">
      <c r="A1478" s="7" t="s">
        <v>5420</v>
      </c>
      <c r="B1478" s="8" t="s">
        <v>5421</v>
      </c>
      <c r="C1478" s="7" t="s">
        <v>853</v>
      </c>
      <c r="D1478" s="12" t="s">
        <v>766</v>
      </c>
      <c r="E1478" s="13" t="s">
        <v>41</v>
      </c>
      <c r="F1478" s="8" t="s">
        <v>767</v>
      </c>
      <c r="G1478" s="8" t="b">
        <v>0</v>
      </c>
      <c r="I1478" s="8">
        <v>1.0</v>
      </c>
      <c r="J1478" s="8">
        <v>0.0</v>
      </c>
      <c r="K1478" s="8">
        <v>0.0</v>
      </c>
    </row>
    <row r="1479">
      <c r="A1479" s="7" t="s">
        <v>5422</v>
      </c>
      <c r="B1479" s="8" t="s">
        <v>5423</v>
      </c>
      <c r="C1479" s="7" t="s">
        <v>825</v>
      </c>
      <c r="D1479" s="12" t="s">
        <v>39</v>
      </c>
      <c r="E1479" s="13" t="s">
        <v>41</v>
      </c>
      <c r="F1479" s="8" t="s">
        <v>42</v>
      </c>
      <c r="G1479" s="8" t="b">
        <v>0</v>
      </c>
      <c r="H1479" s="8" t="s">
        <v>5424</v>
      </c>
      <c r="I1479" s="8">
        <v>1.0</v>
      </c>
      <c r="J1479" s="8">
        <v>0.0</v>
      </c>
      <c r="K1479" s="8">
        <v>1.0</v>
      </c>
    </row>
    <row r="1480">
      <c r="A1480" s="7" t="s">
        <v>5425</v>
      </c>
      <c r="B1480" s="8" t="s">
        <v>5426</v>
      </c>
      <c r="C1480" s="7" t="s">
        <v>1605</v>
      </c>
      <c r="D1480" s="12" t="s">
        <v>766</v>
      </c>
      <c r="E1480" s="13" t="s">
        <v>22</v>
      </c>
      <c r="F1480" s="8" t="s">
        <v>767</v>
      </c>
      <c r="G1480" s="8" t="b">
        <v>0</v>
      </c>
      <c r="H1480" s="8" t="s">
        <v>5427</v>
      </c>
      <c r="I1480" s="8">
        <v>1.0</v>
      </c>
      <c r="J1480" s="8">
        <v>0.0</v>
      </c>
      <c r="K1480" s="8">
        <v>1.0</v>
      </c>
    </row>
    <row r="1481">
      <c r="A1481" s="7" t="s">
        <v>5428</v>
      </c>
      <c r="B1481" s="8" t="s">
        <v>5429</v>
      </c>
      <c r="C1481" s="7" t="s">
        <v>2046</v>
      </c>
      <c r="D1481" s="12" t="s">
        <v>39</v>
      </c>
      <c r="E1481" s="13" t="s">
        <v>41</v>
      </c>
      <c r="F1481" s="8" t="s">
        <v>42</v>
      </c>
      <c r="G1481" s="8" t="b">
        <v>0</v>
      </c>
      <c r="H1481" s="8" t="s">
        <v>5430</v>
      </c>
      <c r="I1481" s="8">
        <v>1.0</v>
      </c>
      <c r="J1481" s="8">
        <v>0.0</v>
      </c>
      <c r="K1481" s="8">
        <v>2.0</v>
      </c>
    </row>
    <row r="1482">
      <c r="A1482" s="7" t="s">
        <v>5431</v>
      </c>
      <c r="B1482" s="8" t="s">
        <v>5432</v>
      </c>
      <c r="C1482" s="8" t="s">
        <v>361</v>
      </c>
      <c r="D1482" s="12" t="s">
        <v>39</v>
      </c>
      <c r="E1482" s="13" t="s">
        <v>41</v>
      </c>
      <c r="F1482" s="8" t="s">
        <v>42</v>
      </c>
      <c r="G1482" s="8" t="b">
        <v>0</v>
      </c>
      <c r="H1482" s="8" t="s">
        <v>5433</v>
      </c>
      <c r="I1482" s="8">
        <v>1.0</v>
      </c>
      <c r="J1482" s="8">
        <v>0.0</v>
      </c>
      <c r="K1482" s="8">
        <v>0.0</v>
      </c>
    </row>
    <row r="1483">
      <c r="A1483" s="7" t="s">
        <v>5434</v>
      </c>
      <c r="B1483" s="8" t="s">
        <v>5435</v>
      </c>
      <c r="C1483" s="8" t="s">
        <v>361</v>
      </c>
      <c r="D1483" s="12" t="s">
        <v>39</v>
      </c>
      <c r="E1483" s="13" t="s">
        <v>41</v>
      </c>
      <c r="F1483" s="8" t="s">
        <v>42</v>
      </c>
      <c r="G1483" s="8" t="b">
        <v>0</v>
      </c>
      <c r="H1483" s="8" t="s">
        <v>5436</v>
      </c>
      <c r="I1483" s="8">
        <v>1.0</v>
      </c>
      <c r="J1483" s="8">
        <v>0.0</v>
      </c>
      <c r="K1483" s="8">
        <v>1.0</v>
      </c>
    </row>
    <row r="1484">
      <c r="A1484" s="7" t="s">
        <v>5437</v>
      </c>
      <c r="B1484" s="8" t="s">
        <v>3777</v>
      </c>
      <c r="C1484" s="8" t="s">
        <v>361</v>
      </c>
      <c r="D1484" s="12" t="s">
        <v>39</v>
      </c>
      <c r="E1484" s="13" t="s">
        <v>41</v>
      </c>
      <c r="F1484" s="8" t="s">
        <v>42</v>
      </c>
      <c r="G1484" s="8" t="b">
        <v>0</v>
      </c>
      <c r="H1484" s="8" t="s">
        <v>3778</v>
      </c>
      <c r="I1484" s="8">
        <v>1.0</v>
      </c>
      <c r="J1484" s="8">
        <v>0.0</v>
      </c>
      <c r="K1484" s="8">
        <v>0.0</v>
      </c>
    </row>
    <row r="1485">
      <c r="A1485" s="7" t="s">
        <v>5438</v>
      </c>
      <c r="B1485" s="8" t="s">
        <v>5439</v>
      </c>
      <c r="C1485" s="7" t="s">
        <v>2956</v>
      </c>
      <c r="D1485" s="12" t="s">
        <v>554</v>
      </c>
      <c r="E1485" s="13" t="s">
        <v>22</v>
      </c>
      <c r="F1485" s="8" t="s">
        <v>555</v>
      </c>
      <c r="G1485" s="8" t="b">
        <v>0</v>
      </c>
      <c r="H1485" s="8" t="s">
        <v>5440</v>
      </c>
      <c r="I1485" s="8">
        <v>1.0</v>
      </c>
      <c r="J1485" s="8">
        <v>0.0</v>
      </c>
      <c r="K1485" s="8">
        <v>1.0</v>
      </c>
    </row>
    <row r="1486">
      <c r="A1486" s="7" t="s">
        <v>5441</v>
      </c>
      <c r="B1486" s="8" t="s">
        <v>5442</v>
      </c>
      <c r="C1486" s="7" t="s">
        <v>2960</v>
      </c>
      <c r="D1486" s="12" t="s">
        <v>766</v>
      </c>
      <c r="E1486" s="13" t="s">
        <v>41</v>
      </c>
      <c r="F1486" s="8" t="s">
        <v>767</v>
      </c>
      <c r="G1486" s="8" t="b">
        <v>0</v>
      </c>
      <c r="I1486" s="8">
        <v>1.0</v>
      </c>
      <c r="J1486" s="8">
        <v>0.0</v>
      </c>
      <c r="K1486" s="8">
        <v>1.0</v>
      </c>
    </row>
    <row r="1487">
      <c r="A1487" s="7" t="s">
        <v>5443</v>
      </c>
      <c r="B1487" s="8" t="s">
        <v>5444</v>
      </c>
      <c r="C1487" s="7" t="s">
        <v>2964</v>
      </c>
      <c r="D1487" s="12" t="s">
        <v>39</v>
      </c>
      <c r="E1487" s="13" t="s">
        <v>41</v>
      </c>
      <c r="F1487" s="8" t="s">
        <v>42</v>
      </c>
      <c r="G1487" s="8" t="b">
        <v>0</v>
      </c>
      <c r="H1487" s="8" t="s">
        <v>5445</v>
      </c>
      <c r="I1487" s="8">
        <v>1.0</v>
      </c>
      <c r="J1487" s="8">
        <v>0.0</v>
      </c>
      <c r="K1487" s="8">
        <v>1.0</v>
      </c>
    </row>
    <row r="1488">
      <c r="A1488" s="7" t="s">
        <v>5446</v>
      </c>
      <c r="B1488" s="8" t="s">
        <v>5447</v>
      </c>
      <c r="C1488" s="7" t="s">
        <v>2966</v>
      </c>
      <c r="D1488" s="12" t="s">
        <v>693</v>
      </c>
      <c r="E1488" s="13" t="s">
        <v>41</v>
      </c>
      <c r="F1488" s="8" t="s">
        <v>695</v>
      </c>
      <c r="G1488" s="8" t="b">
        <v>0</v>
      </c>
      <c r="H1488" s="8" t="s">
        <v>5448</v>
      </c>
      <c r="I1488" s="8">
        <v>1.0</v>
      </c>
      <c r="J1488" s="8">
        <v>0.0</v>
      </c>
      <c r="K1488" s="8">
        <v>1.0</v>
      </c>
    </row>
    <row r="1489">
      <c r="A1489" s="7" t="s">
        <v>5449</v>
      </c>
      <c r="B1489" s="8" t="s">
        <v>5450</v>
      </c>
      <c r="C1489" s="7" t="s">
        <v>2972</v>
      </c>
      <c r="D1489" s="12" t="s">
        <v>39</v>
      </c>
      <c r="E1489" s="13" t="s">
        <v>41</v>
      </c>
      <c r="F1489" s="8" t="s">
        <v>42</v>
      </c>
      <c r="G1489" s="8" t="b">
        <v>0</v>
      </c>
      <c r="I1489" s="8">
        <v>1.0</v>
      </c>
      <c r="J1489" s="8">
        <v>0.0</v>
      </c>
      <c r="K1489" s="8">
        <v>0.0</v>
      </c>
    </row>
    <row r="1490">
      <c r="A1490" s="7" t="s">
        <v>5451</v>
      </c>
      <c r="B1490" s="8" t="s">
        <v>5452</v>
      </c>
      <c r="C1490" s="7" t="s">
        <v>1814</v>
      </c>
      <c r="D1490" s="12" t="s">
        <v>693</v>
      </c>
      <c r="E1490" s="13" t="s">
        <v>41</v>
      </c>
      <c r="F1490" s="8" t="s">
        <v>695</v>
      </c>
      <c r="G1490" s="8" t="b">
        <v>0</v>
      </c>
      <c r="H1490" s="8" t="s">
        <v>186</v>
      </c>
      <c r="I1490" s="8">
        <v>1.0</v>
      </c>
      <c r="J1490" s="8">
        <v>0.0</v>
      </c>
      <c r="K1490" s="8">
        <v>0.0</v>
      </c>
    </row>
    <row r="1491">
      <c r="A1491" s="7" t="s">
        <v>5453</v>
      </c>
      <c r="B1491" s="8" t="s">
        <v>5454</v>
      </c>
      <c r="C1491" s="7" t="s">
        <v>1814</v>
      </c>
      <c r="D1491" s="12" t="s">
        <v>766</v>
      </c>
      <c r="E1491" s="13" t="s">
        <v>41</v>
      </c>
      <c r="F1491" s="8" t="s">
        <v>767</v>
      </c>
      <c r="G1491" s="8" t="b">
        <v>0</v>
      </c>
      <c r="H1491" s="8" t="s">
        <v>186</v>
      </c>
      <c r="I1491" s="8">
        <v>1.0</v>
      </c>
      <c r="J1491" s="8">
        <v>0.0</v>
      </c>
      <c r="K1491" s="8">
        <v>1.0</v>
      </c>
    </row>
    <row r="1492">
      <c r="A1492" s="7" t="s">
        <v>5455</v>
      </c>
      <c r="B1492" s="8" t="s">
        <v>5456</v>
      </c>
      <c r="C1492" s="7" t="s">
        <v>2975</v>
      </c>
      <c r="D1492" s="12" t="s">
        <v>21</v>
      </c>
      <c r="E1492" s="13" t="s">
        <v>41</v>
      </c>
      <c r="F1492" s="8" t="s">
        <v>24</v>
      </c>
      <c r="G1492" s="8" t="b">
        <v>0</v>
      </c>
      <c r="H1492" s="8" t="s">
        <v>2978</v>
      </c>
      <c r="I1492" s="8">
        <v>1.0</v>
      </c>
      <c r="J1492" s="8">
        <v>0.0</v>
      </c>
      <c r="K1492" s="8">
        <v>1.0</v>
      </c>
    </row>
    <row r="1493">
      <c r="A1493" s="7" t="s">
        <v>5457</v>
      </c>
      <c r="B1493" s="8" t="s">
        <v>5458</v>
      </c>
      <c r="C1493" s="7" t="s">
        <v>975</v>
      </c>
      <c r="D1493" s="12" t="s">
        <v>39</v>
      </c>
      <c r="E1493" s="13" t="s">
        <v>41</v>
      </c>
      <c r="F1493" s="8" t="s">
        <v>42</v>
      </c>
      <c r="G1493" s="8" t="b">
        <v>0</v>
      </c>
      <c r="H1493" s="8" t="s">
        <v>5459</v>
      </c>
      <c r="I1493" s="8">
        <v>1.0</v>
      </c>
      <c r="J1493" s="8">
        <v>0.0</v>
      </c>
      <c r="K1493" s="8">
        <v>1.0</v>
      </c>
    </row>
    <row r="1494">
      <c r="A1494" s="7" t="s">
        <v>5460</v>
      </c>
      <c r="B1494" s="8" t="s">
        <v>5461</v>
      </c>
      <c r="C1494" s="7" t="s">
        <v>421</v>
      </c>
      <c r="D1494" s="12" t="s">
        <v>39</v>
      </c>
      <c r="E1494" s="13" t="s">
        <v>22</v>
      </c>
      <c r="F1494" s="8" t="s">
        <v>42</v>
      </c>
      <c r="G1494" s="8" t="b">
        <v>0</v>
      </c>
      <c r="H1494" s="8" t="s">
        <v>5462</v>
      </c>
      <c r="I1494" s="8">
        <v>1.0</v>
      </c>
      <c r="J1494" s="8">
        <v>0.0</v>
      </c>
      <c r="K1494" s="8">
        <v>1.0</v>
      </c>
    </row>
    <row r="1495">
      <c r="A1495" s="7" t="s">
        <v>5463</v>
      </c>
      <c r="B1495" s="8" t="s">
        <v>5464</v>
      </c>
      <c r="C1495" s="7" t="s">
        <v>421</v>
      </c>
      <c r="D1495" s="12" t="s">
        <v>39</v>
      </c>
      <c r="E1495" s="13" t="s">
        <v>22</v>
      </c>
      <c r="F1495" s="8" t="s">
        <v>42</v>
      </c>
      <c r="G1495" s="8" t="b">
        <v>0</v>
      </c>
      <c r="H1495" s="8" t="s">
        <v>5465</v>
      </c>
      <c r="I1495" s="8">
        <v>1.0</v>
      </c>
      <c r="J1495" s="8">
        <v>0.0</v>
      </c>
      <c r="K1495" s="8">
        <v>1.0</v>
      </c>
    </row>
    <row r="1496">
      <c r="A1496" s="7" t="s">
        <v>5466</v>
      </c>
      <c r="B1496" s="8" t="s">
        <v>5467</v>
      </c>
      <c r="C1496" s="7" t="s">
        <v>2979</v>
      </c>
      <c r="D1496" s="12" t="s">
        <v>766</v>
      </c>
      <c r="E1496" s="13" t="s">
        <v>41</v>
      </c>
      <c r="F1496" s="8" t="s">
        <v>767</v>
      </c>
      <c r="G1496" s="8" t="b">
        <v>0</v>
      </c>
      <c r="H1496" s="8" t="s">
        <v>1890</v>
      </c>
      <c r="I1496" s="8">
        <v>1.0</v>
      </c>
      <c r="J1496" s="8">
        <v>0.0</v>
      </c>
      <c r="K1496" s="8">
        <v>1.0</v>
      </c>
    </row>
    <row r="1497">
      <c r="A1497" s="7" t="s">
        <v>5468</v>
      </c>
      <c r="B1497" s="8" t="s">
        <v>5469</v>
      </c>
      <c r="C1497" s="7" t="s">
        <v>112</v>
      </c>
      <c r="D1497" s="12" t="s">
        <v>39</v>
      </c>
      <c r="E1497" s="13" t="s">
        <v>22</v>
      </c>
      <c r="F1497" s="8" t="s">
        <v>42</v>
      </c>
      <c r="G1497" s="8" t="b">
        <v>0</v>
      </c>
      <c r="H1497" s="8" t="s">
        <v>5470</v>
      </c>
      <c r="I1497" s="8">
        <v>1.0</v>
      </c>
      <c r="J1497" s="8">
        <v>0.0</v>
      </c>
      <c r="K1497" s="8">
        <v>1.0</v>
      </c>
    </row>
    <row r="1498">
      <c r="A1498" s="7" t="s">
        <v>5471</v>
      </c>
      <c r="B1498" s="8" t="s">
        <v>5472</v>
      </c>
      <c r="C1498" s="7" t="s">
        <v>112</v>
      </c>
      <c r="D1498" s="12" t="s">
        <v>39</v>
      </c>
      <c r="E1498" s="13" t="s">
        <v>22</v>
      </c>
      <c r="F1498" s="8" t="s">
        <v>42</v>
      </c>
      <c r="G1498" s="8" t="b">
        <v>0</v>
      </c>
      <c r="H1498" s="8" t="s">
        <v>5473</v>
      </c>
      <c r="I1498" s="8">
        <v>1.0</v>
      </c>
      <c r="J1498" s="8">
        <v>0.0</v>
      </c>
      <c r="K1498" s="8">
        <v>1.0</v>
      </c>
    </row>
    <row r="1499">
      <c r="A1499" s="7" t="s">
        <v>5474</v>
      </c>
      <c r="B1499" s="8" t="s">
        <v>5475</v>
      </c>
      <c r="C1499" s="7" t="s">
        <v>112</v>
      </c>
      <c r="D1499" s="12" t="s">
        <v>39</v>
      </c>
      <c r="E1499" s="13" t="s">
        <v>22</v>
      </c>
      <c r="F1499" s="8" t="s">
        <v>42</v>
      </c>
      <c r="G1499" s="8" t="b">
        <v>0</v>
      </c>
      <c r="H1499" s="8" t="s">
        <v>5476</v>
      </c>
      <c r="I1499" s="8">
        <v>1.0</v>
      </c>
      <c r="J1499" s="8">
        <v>0.0</v>
      </c>
      <c r="K1499" s="8">
        <v>3.0</v>
      </c>
    </row>
    <row r="1500">
      <c r="A1500" s="7" t="s">
        <v>5477</v>
      </c>
      <c r="B1500" s="8" t="s">
        <v>5478</v>
      </c>
      <c r="C1500" s="7" t="s">
        <v>112</v>
      </c>
      <c r="D1500" s="12" t="s">
        <v>39</v>
      </c>
      <c r="E1500" s="13" t="s">
        <v>22</v>
      </c>
      <c r="F1500" s="8" t="s">
        <v>42</v>
      </c>
      <c r="G1500" s="8" t="b">
        <v>0</v>
      </c>
      <c r="H1500" s="8" t="s">
        <v>5479</v>
      </c>
      <c r="I1500" s="8">
        <v>1.0</v>
      </c>
      <c r="J1500" s="8">
        <v>0.0</v>
      </c>
      <c r="K1500" s="8">
        <v>1.0</v>
      </c>
    </row>
    <row r="1501">
      <c r="A1501" s="7" t="s">
        <v>5480</v>
      </c>
      <c r="B1501" s="8" t="s">
        <v>5481</v>
      </c>
      <c r="C1501" s="7" t="s">
        <v>112</v>
      </c>
      <c r="D1501" s="12" t="s">
        <v>39</v>
      </c>
      <c r="E1501" s="13" t="s">
        <v>22</v>
      </c>
      <c r="F1501" s="8" t="s">
        <v>42</v>
      </c>
      <c r="G1501" s="8" t="b">
        <v>0</v>
      </c>
      <c r="H1501" s="8" t="s">
        <v>5482</v>
      </c>
      <c r="I1501" s="8">
        <v>1.0</v>
      </c>
      <c r="J1501" s="8">
        <v>0.0</v>
      </c>
      <c r="K1501" s="8">
        <v>0.0</v>
      </c>
    </row>
    <row r="1502">
      <c r="A1502" s="7" t="s">
        <v>5483</v>
      </c>
      <c r="B1502" s="8" t="s">
        <v>5484</v>
      </c>
      <c r="C1502" s="7" t="s">
        <v>112</v>
      </c>
      <c r="D1502" s="12" t="s">
        <v>39</v>
      </c>
      <c r="E1502" s="13" t="s">
        <v>22</v>
      </c>
      <c r="F1502" s="8" t="s">
        <v>42</v>
      </c>
      <c r="G1502" s="8" t="b">
        <v>0</v>
      </c>
      <c r="H1502" s="8" t="s">
        <v>5485</v>
      </c>
      <c r="I1502" s="8">
        <v>1.0</v>
      </c>
      <c r="J1502" s="8">
        <v>0.0</v>
      </c>
      <c r="K1502" s="8">
        <v>1.0</v>
      </c>
    </row>
    <row r="1503">
      <c r="A1503" s="7" t="s">
        <v>5486</v>
      </c>
      <c r="B1503" s="8" t="s">
        <v>5487</v>
      </c>
      <c r="C1503" s="7" t="s">
        <v>112</v>
      </c>
      <c r="D1503" s="12" t="s">
        <v>39</v>
      </c>
      <c r="E1503" s="13" t="s">
        <v>22</v>
      </c>
      <c r="F1503" s="8" t="s">
        <v>42</v>
      </c>
      <c r="G1503" s="8" t="b">
        <v>0</v>
      </c>
      <c r="H1503" s="8" t="s">
        <v>5488</v>
      </c>
      <c r="I1503" s="8">
        <v>1.0</v>
      </c>
      <c r="J1503" s="8">
        <v>0.0</v>
      </c>
      <c r="K1503" s="8">
        <v>0.0</v>
      </c>
    </row>
    <row r="1504">
      <c r="A1504" s="7" t="s">
        <v>5489</v>
      </c>
      <c r="B1504" s="8" t="s">
        <v>5490</v>
      </c>
      <c r="C1504" s="7" t="s">
        <v>2983</v>
      </c>
      <c r="D1504" s="12" t="s">
        <v>39</v>
      </c>
      <c r="E1504" s="13" t="s">
        <v>41</v>
      </c>
      <c r="F1504" s="8" t="s">
        <v>42</v>
      </c>
      <c r="G1504" s="8" t="b">
        <v>0</v>
      </c>
      <c r="H1504" s="8" t="s">
        <v>5491</v>
      </c>
      <c r="I1504" s="8">
        <v>1.0</v>
      </c>
      <c r="J1504" s="8">
        <v>0.0</v>
      </c>
      <c r="K1504" s="8">
        <v>0.0</v>
      </c>
    </row>
    <row r="1505">
      <c r="A1505" s="7" t="s">
        <v>5492</v>
      </c>
      <c r="B1505" s="8" t="s">
        <v>5493</v>
      </c>
      <c r="C1505" s="7" t="s">
        <v>2988</v>
      </c>
      <c r="D1505" s="12" t="s">
        <v>39</v>
      </c>
      <c r="E1505" s="13" t="s">
        <v>41</v>
      </c>
      <c r="F1505" s="8" t="s">
        <v>42</v>
      </c>
      <c r="G1505" s="8" t="b">
        <v>0</v>
      </c>
      <c r="H1505" s="8" t="s">
        <v>5494</v>
      </c>
      <c r="I1505" s="8">
        <v>1.0</v>
      </c>
      <c r="J1505" s="8">
        <v>0.0</v>
      </c>
      <c r="K1505" s="8">
        <v>1.0</v>
      </c>
    </row>
    <row r="1506">
      <c r="A1506" s="7" t="s">
        <v>5495</v>
      </c>
      <c r="B1506" s="8" t="s">
        <v>5496</v>
      </c>
      <c r="C1506" s="7" t="s">
        <v>152</v>
      </c>
      <c r="D1506" s="12" t="s">
        <v>39</v>
      </c>
      <c r="E1506" s="13" t="s">
        <v>41</v>
      </c>
      <c r="F1506" s="8" t="s">
        <v>42</v>
      </c>
      <c r="G1506" s="8" t="b">
        <v>0</v>
      </c>
      <c r="H1506" s="8" t="s">
        <v>5497</v>
      </c>
      <c r="I1506" s="8">
        <v>1.0</v>
      </c>
      <c r="J1506" s="8">
        <v>0.0</v>
      </c>
      <c r="K1506" s="8">
        <v>0.0</v>
      </c>
    </row>
    <row r="1507">
      <c r="A1507" s="7" t="s">
        <v>5498</v>
      </c>
      <c r="B1507" s="8" t="s">
        <v>5499</v>
      </c>
      <c r="C1507" s="7" t="s">
        <v>582</v>
      </c>
      <c r="D1507" s="12" t="s">
        <v>39</v>
      </c>
      <c r="E1507" s="13" t="s">
        <v>41</v>
      </c>
      <c r="F1507" s="8" t="s">
        <v>42</v>
      </c>
      <c r="G1507" s="8" t="b">
        <v>0</v>
      </c>
      <c r="H1507" s="8" t="s">
        <v>5500</v>
      </c>
      <c r="I1507" s="8">
        <v>1.0</v>
      </c>
      <c r="J1507" s="8">
        <v>0.0</v>
      </c>
      <c r="K1507" s="8">
        <v>0.0</v>
      </c>
    </row>
    <row r="1508">
      <c r="A1508" s="7" t="s">
        <v>5501</v>
      </c>
      <c r="B1508" s="8" t="s">
        <v>5502</v>
      </c>
      <c r="C1508" s="7" t="s">
        <v>2992</v>
      </c>
      <c r="D1508" s="12" t="s">
        <v>72</v>
      </c>
      <c r="E1508" s="13" t="s">
        <v>41</v>
      </c>
      <c r="F1508" s="8" t="s">
        <v>74</v>
      </c>
      <c r="G1508" s="8" t="b">
        <v>0</v>
      </c>
      <c r="I1508" s="8">
        <v>1.0</v>
      </c>
      <c r="J1508" s="8">
        <v>0.0</v>
      </c>
      <c r="K1508" s="8">
        <v>1.0</v>
      </c>
    </row>
    <row r="1509">
      <c r="A1509" s="7" t="s">
        <v>5503</v>
      </c>
      <c r="B1509" s="8" t="s">
        <v>5504</v>
      </c>
      <c r="C1509" s="7" t="s">
        <v>2994</v>
      </c>
      <c r="D1509" s="12" t="s">
        <v>39</v>
      </c>
      <c r="E1509" s="13" t="s">
        <v>41</v>
      </c>
      <c r="F1509" s="8" t="s">
        <v>42</v>
      </c>
      <c r="G1509" s="8" t="b">
        <v>0</v>
      </c>
      <c r="H1509" s="8" t="s">
        <v>5505</v>
      </c>
      <c r="I1509" s="8">
        <v>1.0</v>
      </c>
      <c r="J1509" s="8">
        <v>0.0</v>
      </c>
      <c r="K1509" s="8">
        <v>0.0</v>
      </c>
    </row>
    <row r="1510">
      <c r="A1510" s="7" t="s">
        <v>5506</v>
      </c>
      <c r="B1510" s="8" t="s">
        <v>2441</v>
      </c>
      <c r="C1510" s="7" t="s">
        <v>1833</v>
      </c>
      <c r="D1510" s="12" t="s">
        <v>554</v>
      </c>
      <c r="E1510" s="13" t="s">
        <v>22</v>
      </c>
      <c r="F1510" s="8" t="s">
        <v>555</v>
      </c>
      <c r="G1510" s="8" t="b">
        <v>0</v>
      </c>
      <c r="H1510" s="8" t="s">
        <v>5507</v>
      </c>
      <c r="I1510" s="8">
        <v>1.0</v>
      </c>
      <c r="J1510" s="8">
        <v>0.0</v>
      </c>
      <c r="K1510" s="8">
        <v>1.0</v>
      </c>
    </row>
    <row r="1511">
      <c r="A1511" s="7" t="s">
        <v>5508</v>
      </c>
      <c r="B1511" s="8" t="s">
        <v>5509</v>
      </c>
      <c r="C1511" s="7" t="s">
        <v>1833</v>
      </c>
      <c r="D1511" s="12" t="s">
        <v>693</v>
      </c>
      <c r="E1511" s="13" t="s">
        <v>22</v>
      </c>
      <c r="F1511" s="8" t="s">
        <v>695</v>
      </c>
      <c r="G1511" s="8" t="b">
        <v>0</v>
      </c>
      <c r="H1511" s="8" t="s">
        <v>5510</v>
      </c>
      <c r="I1511" s="8">
        <v>1.0</v>
      </c>
      <c r="J1511" s="8">
        <v>0.0</v>
      </c>
      <c r="K1511" s="8">
        <v>0.0</v>
      </c>
    </row>
    <row r="1512">
      <c r="A1512" s="7" t="s">
        <v>5511</v>
      </c>
      <c r="B1512" s="8" t="s">
        <v>5512</v>
      </c>
      <c r="C1512" s="7" t="s">
        <v>3000</v>
      </c>
      <c r="D1512" s="12" t="s">
        <v>190</v>
      </c>
      <c r="E1512" s="13" t="s">
        <v>190</v>
      </c>
      <c r="F1512" s="8" t="s">
        <v>191</v>
      </c>
      <c r="G1512" s="8" t="b">
        <v>0</v>
      </c>
      <c r="I1512" s="8">
        <v>1.0</v>
      </c>
      <c r="J1512" s="8">
        <v>0.0</v>
      </c>
      <c r="K1512" s="8">
        <v>0.0</v>
      </c>
    </row>
    <row r="1513">
      <c r="A1513" s="7" t="s">
        <v>5513</v>
      </c>
      <c r="B1513" s="8" t="s">
        <v>5514</v>
      </c>
      <c r="C1513" s="7" t="s">
        <v>3003</v>
      </c>
      <c r="D1513" s="12" t="s">
        <v>39</v>
      </c>
      <c r="E1513" s="13" t="s">
        <v>190</v>
      </c>
      <c r="F1513" s="8" t="s">
        <v>42</v>
      </c>
      <c r="G1513" s="8" t="b">
        <v>0</v>
      </c>
      <c r="H1513" s="8" t="s">
        <v>792</v>
      </c>
      <c r="I1513" s="8">
        <v>1.0</v>
      </c>
      <c r="J1513" s="8">
        <v>0.0</v>
      </c>
      <c r="K1513" s="8">
        <v>1.0</v>
      </c>
    </row>
    <row r="1514">
      <c r="A1514" s="7" t="s">
        <v>5515</v>
      </c>
      <c r="B1514" s="8" t="s">
        <v>5516</v>
      </c>
      <c r="C1514" s="7" t="s">
        <v>3006</v>
      </c>
      <c r="D1514" s="12" t="s">
        <v>39</v>
      </c>
      <c r="E1514" s="13" t="s">
        <v>41</v>
      </c>
      <c r="F1514" s="8" t="s">
        <v>42</v>
      </c>
      <c r="G1514" s="8" t="b">
        <v>0</v>
      </c>
      <c r="H1514" s="8" t="s">
        <v>5517</v>
      </c>
      <c r="I1514" s="8">
        <v>1.0</v>
      </c>
      <c r="J1514" s="8">
        <v>0.0</v>
      </c>
      <c r="K1514" s="8">
        <v>1.0</v>
      </c>
    </row>
    <row r="1515">
      <c r="A1515" s="7" t="s">
        <v>5518</v>
      </c>
      <c r="B1515" s="8" t="s">
        <v>5519</v>
      </c>
      <c r="C1515" s="7" t="s">
        <v>1479</v>
      </c>
      <c r="D1515" s="12" t="s">
        <v>39</v>
      </c>
      <c r="E1515" s="13" t="s">
        <v>190</v>
      </c>
      <c r="F1515" s="8" t="s">
        <v>42</v>
      </c>
      <c r="G1515" s="8" t="b">
        <v>0</v>
      </c>
      <c r="H1515" s="8" t="s">
        <v>5520</v>
      </c>
      <c r="I1515" s="8">
        <v>1.0</v>
      </c>
      <c r="J1515" s="8">
        <v>0.0</v>
      </c>
      <c r="K1515" s="8">
        <v>1.0</v>
      </c>
    </row>
    <row r="1516">
      <c r="A1516" s="7" t="s">
        <v>5521</v>
      </c>
      <c r="B1516" s="8" t="s">
        <v>5522</v>
      </c>
      <c r="C1516" s="7" t="s">
        <v>1479</v>
      </c>
      <c r="D1516" s="12" t="s">
        <v>39</v>
      </c>
      <c r="E1516" s="13" t="s">
        <v>190</v>
      </c>
      <c r="F1516" s="8" t="s">
        <v>42</v>
      </c>
      <c r="G1516" s="8" t="b">
        <v>0</v>
      </c>
      <c r="H1516" s="8" t="s">
        <v>5523</v>
      </c>
      <c r="I1516" s="8">
        <v>1.0</v>
      </c>
      <c r="J1516" s="8">
        <v>0.0</v>
      </c>
      <c r="K1516" s="8">
        <v>1.0</v>
      </c>
    </row>
    <row r="1517">
      <c r="A1517" s="7" t="s">
        <v>5524</v>
      </c>
      <c r="B1517" s="8" t="s">
        <v>5525</v>
      </c>
      <c r="C1517" s="7" t="s">
        <v>1479</v>
      </c>
      <c r="D1517" s="12" t="s">
        <v>39</v>
      </c>
      <c r="E1517" s="13" t="s">
        <v>190</v>
      </c>
      <c r="F1517" s="8" t="s">
        <v>42</v>
      </c>
      <c r="G1517" s="8" t="b">
        <v>0</v>
      </c>
      <c r="H1517" s="8" t="s">
        <v>5526</v>
      </c>
      <c r="I1517" s="8">
        <v>1.0</v>
      </c>
      <c r="J1517" s="8">
        <v>0.0</v>
      </c>
      <c r="K1517" s="8">
        <v>1.0</v>
      </c>
    </row>
    <row r="1518">
      <c r="A1518" s="7" t="s">
        <v>5527</v>
      </c>
      <c r="B1518" s="8" t="s">
        <v>5528</v>
      </c>
      <c r="C1518" s="7" t="s">
        <v>3015</v>
      </c>
      <c r="D1518" s="12" t="s">
        <v>766</v>
      </c>
      <c r="E1518" s="13" t="s">
        <v>41</v>
      </c>
      <c r="F1518" s="8" t="s">
        <v>767</v>
      </c>
      <c r="G1518" s="8" t="b">
        <v>0</v>
      </c>
      <c r="I1518" s="8">
        <v>1.0</v>
      </c>
      <c r="J1518" s="8">
        <v>0.0</v>
      </c>
      <c r="K1518" s="8">
        <v>1.0</v>
      </c>
    </row>
    <row r="1519">
      <c r="A1519" s="7" t="s">
        <v>5529</v>
      </c>
      <c r="B1519" s="8" t="s">
        <v>5530</v>
      </c>
      <c r="C1519" s="7" t="s">
        <v>1230</v>
      </c>
      <c r="D1519" s="12" t="s">
        <v>72</v>
      </c>
      <c r="E1519" s="13" t="s">
        <v>694</v>
      </c>
      <c r="F1519" s="8" t="s">
        <v>74</v>
      </c>
      <c r="G1519" s="8" t="b">
        <v>0</v>
      </c>
      <c r="H1519" s="8" t="s">
        <v>5531</v>
      </c>
      <c r="I1519" s="8">
        <v>1.0</v>
      </c>
      <c r="J1519" s="8">
        <v>0.0</v>
      </c>
      <c r="K1519" s="8">
        <v>0.0</v>
      </c>
    </row>
    <row r="1520">
      <c r="A1520" s="7" t="s">
        <v>5532</v>
      </c>
      <c r="B1520" s="8" t="s">
        <v>5533</v>
      </c>
      <c r="C1520" s="7" t="s">
        <v>1230</v>
      </c>
      <c r="D1520" s="12" t="s">
        <v>21</v>
      </c>
      <c r="E1520" s="13" t="s">
        <v>694</v>
      </c>
      <c r="F1520" s="8" t="s">
        <v>24</v>
      </c>
      <c r="G1520" s="8" t="b">
        <v>0</v>
      </c>
      <c r="H1520" s="8" t="s">
        <v>5534</v>
      </c>
      <c r="I1520" s="8">
        <v>1.0</v>
      </c>
      <c r="J1520" s="8">
        <v>0.0</v>
      </c>
      <c r="K1520" s="8">
        <v>0.0</v>
      </c>
    </row>
    <row r="1521">
      <c r="A1521" s="7" t="s">
        <v>5535</v>
      </c>
      <c r="B1521" s="8" t="s">
        <v>5536</v>
      </c>
      <c r="C1521" s="7" t="s">
        <v>1230</v>
      </c>
      <c r="D1521" s="12" t="s">
        <v>21</v>
      </c>
      <c r="E1521" s="13" t="s">
        <v>694</v>
      </c>
      <c r="F1521" s="8" t="s">
        <v>24</v>
      </c>
      <c r="G1521" s="8" t="b">
        <v>0</v>
      </c>
      <c r="H1521" s="8" t="s">
        <v>3799</v>
      </c>
      <c r="I1521" s="8">
        <v>1.0</v>
      </c>
      <c r="J1521" s="8">
        <v>0.0</v>
      </c>
      <c r="K1521" s="8">
        <v>0.0</v>
      </c>
    </row>
    <row r="1522">
      <c r="A1522" s="7" t="s">
        <v>5537</v>
      </c>
      <c r="B1522" s="8" t="s">
        <v>5538</v>
      </c>
      <c r="C1522" s="7" t="s">
        <v>195</v>
      </c>
      <c r="D1522" s="12" t="s">
        <v>39</v>
      </c>
      <c r="E1522" s="13" t="s">
        <v>41</v>
      </c>
      <c r="F1522" s="8" t="s">
        <v>42</v>
      </c>
      <c r="G1522" s="8" t="b">
        <v>0</v>
      </c>
      <c r="H1522" s="8" t="s">
        <v>5539</v>
      </c>
      <c r="I1522" s="8">
        <v>1.0</v>
      </c>
      <c r="J1522" s="8">
        <v>0.0</v>
      </c>
      <c r="K1522" s="8">
        <v>1.0</v>
      </c>
    </row>
    <row r="1523">
      <c r="A1523" s="7" t="s">
        <v>5540</v>
      </c>
      <c r="B1523" s="8" t="s">
        <v>5541</v>
      </c>
      <c r="C1523" s="7" t="s">
        <v>195</v>
      </c>
      <c r="D1523" s="12" t="s">
        <v>39</v>
      </c>
      <c r="E1523" s="13" t="s">
        <v>41</v>
      </c>
      <c r="F1523" s="8" t="s">
        <v>42</v>
      </c>
      <c r="G1523" s="8" t="b">
        <v>0</v>
      </c>
      <c r="H1523" s="8" t="s">
        <v>5542</v>
      </c>
      <c r="I1523" s="8">
        <v>1.0</v>
      </c>
      <c r="J1523" s="8">
        <v>0.0</v>
      </c>
      <c r="K1523" s="8">
        <v>1.0</v>
      </c>
    </row>
    <row r="1524">
      <c r="A1524" s="7" t="s">
        <v>5543</v>
      </c>
      <c r="B1524" s="8" t="s">
        <v>5544</v>
      </c>
      <c r="C1524" s="7" t="s">
        <v>382</v>
      </c>
      <c r="D1524" s="12" t="s">
        <v>39</v>
      </c>
      <c r="E1524" s="13" t="s">
        <v>41</v>
      </c>
      <c r="F1524" s="8" t="s">
        <v>42</v>
      </c>
      <c r="G1524" s="8" t="b">
        <v>0</v>
      </c>
      <c r="H1524" s="8" t="s">
        <v>5545</v>
      </c>
      <c r="I1524" s="8">
        <v>1.0</v>
      </c>
      <c r="J1524" s="8">
        <v>0.0</v>
      </c>
      <c r="K1524" s="8">
        <v>0.0</v>
      </c>
    </row>
    <row r="1525">
      <c r="A1525" s="7" t="s">
        <v>5546</v>
      </c>
      <c r="B1525" s="8" t="s">
        <v>5547</v>
      </c>
      <c r="C1525" s="7" t="s">
        <v>3018</v>
      </c>
      <c r="D1525" s="12" t="s">
        <v>39</v>
      </c>
      <c r="E1525" s="13" t="s">
        <v>41</v>
      </c>
      <c r="F1525" s="8" t="s">
        <v>42</v>
      </c>
      <c r="G1525" s="8" t="b">
        <v>0</v>
      </c>
      <c r="H1525" s="8" t="s">
        <v>3022</v>
      </c>
      <c r="I1525" s="8">
        <v>1.0</v>
      </c>
      <c r="J1525" s="8">
        <v>0.0</v>
      </c>
      <c r="K1525" s="8">
        <v>1.0</v>
      </c>
    </row>
    <row r="1526">
      <c r="A1526" s="7" t="s">
        <v>5548</v>
      </c>
      <c r="B1526" s="8" t="s">
        <v>5549</v>
      </c>
      <c r="C1526" s="7" t="s">
        <v>3352</v>
      </c>
      <c r="D1526" s="12" t="s">
        <v>72</v>
      </c>
      <c r="E1526" s="13" t="s">
        <v>76</v>
      </c>
      <c r="F1526" s="8" t="s">
        <v>74</v>
      </c>
      <c r="G1526" s="8" t="b">
        <v>0</v>
      </c>
      <c r="I1526" s="8">
        <v>1.0</v>
      </c>
      <c r="J1526" s="8">
        <v>0.0</v>
      </c>
      <c r="K1526" s="8">
        <v>0.0</v>
      </c>
    </row>
    <row r="1527">
      <c r="A1527" s="7" t="s">
        <v>5550</v>
      </c>
      <c r="B1527" s="8" t="s">
        <v>5551</v>
      </c>
      <c r="C1527" s="7" t="s">
        <v>3023</v>
      </c>
      <c r="D1527" s="12" t="s">
        <v>39</v>
      </c>
      <c r="E1527" s="13" t="s">
        <v>41</v>
      </c>
      <c r="F1527" s="8" t="s">
        <v>42</v>
      </c>
      <c r="G1527" s="8" t="b">
        <v>0</v>
      </c>
      <c r="H1527" s="8" t="s">
        <v>5552</v>
      </c>
      <c r="I1527" s="8">
        <v>1.0</v>
      </c>
      <c r="J1527" s="8">
        <v>0.0</v>
      </c>
      <c r="K1527" s="8">
        <v>1.0</v>
      </c>
    </row>
    <row r="1528">
      <c r="A1528" s="7" t="s">
        <v>5553</v>
      </c>
      <c r="B1528" s="8" t="s">
        <v>5554</v>
      </c>
      <c r="C1528" s="7" t="s">
        <v>3027</v>
      </c>
      <c r="D1528" s="12" t="s">
        <v>39</v>
      </c>
      <c r="E1528" s="13" t="s">
        <v>41</v>
      </c>
      <c r="F1528" s="8" t="s">
        <v>42</v>
      </c>
      <c r="G1528" s="8" t="b">
        <v>0</v>
      </c>
      <c r="H1528" s="8" t="s">
        <v>5555</v>
      </c>
      <c r="I1528" s="8">
        <v>1.0</v>
      </c>
      <c r="J1528" s="8">
        <v>0.0</v>
      </c>
      <c r="K1528" s="8">
        <v>1.0</v>
      </c>
    </row>
    <row r="1529">
      <c r="A1529" s="7" t="s">
        <v>5556</v>
      </c>
      <c r="B1529" s="8" t="s">
        <v>5557</v>
      </c>
      <c r="C1529" s="7" t="s">
        <v>3031</v>
      </c>
      <c r="D1529" s="12" t="s">
        <v>766</v>
      </c>
      <c r="E1529" s="13" t="s">
        <v>41</v>
      </c>
      <c r="F1529" s="8" t="s">
        <v>767</v>
      </c>
      <c r="G1529" s="8" t="b">
        <v>0</v>
      </c>
      <c r="I1529" s="8">
        <v>1.0</v>
      </c>
      <c r="J1529" s="8">
        <v>0.0</v>
      </c>
      <c r="K1529" s="8">
        <v>0.0</v>
      </c>
    </row>
    <row r="1530">
      <c r="A1530" s="7" t="s">
        <v>5558</v>
      </c>
      <c r="B1530" s="8" t="s">
        <v>5559</v>
      </c>
      <c r="C1530" s="7" t="s">
        <v>3033</v>
      </c>
      <c r="D1530" s="12" t="s">
        <v>766</v>
      </c>
      <c r="E1530" s="13" t="s">
        <v>41</v>
      </c>
      <c r="F1530" s="8" t="s">
        <v>767</v>
      </c>
      <c r="G1530" s="8" t="b">
        <v>0</v>
      </c>
      <c r="I1530" s="8">
        <v>1.0</v>
      </c>
      <c r="J1530" s="8">
        <v>0.0</v>
      </c>
      <c r="K1530" s="8">
        <v>1.0</v>
      </c>
    </row>
    <row r="1531">
      <c r="A1531" s="7" t="s">
        <v>5560</v>
      </c>
      <c r="B1531" s="8" t="s">
        <v>5561</v>
      </c>
      <c r="C1531" s="7" t="s">
        <v>3036</v>
      </c>
      <c r="D1531" s="12" t="s">
        <v>39</v>
      </c>
      <c r="E1531" s="13" t="s">
        <v>41</v>
      </c>
      <c r="F1531" s="8" t="s">
        <v>42</v>
      </c>
      <c r="G1531" s="8" t="b">
        <v>0</v>
      </c>
      <c r="I1531" s="8">
        <v>1.0</v>
      </c>
      <c r="J1531" s="8">
        <v>0.0</v>
      </c>
      <c r="K1531" s="8">
        <v>1.0</v>
      </c>
    </row>
    <row r="1532">
      <c r="A1532" s="7" t="s">
        <v>5562</v>
      </c>
      <c r="B1532" s="8" t="s">
        <v>5563</v>
      </c>
      <c r="C1532" s="8" t="s">
        <v>3038</v>
      </c>
      <c r="D1532" s="12" t="s">
        <v>39</v>
      </c>
      <c r="E1532" s="13" t="s">
        <v>190</v>
      </c>
      <c r="F1532" s="8" t="s">
        <v>42</v>
      </c>
      <c r="G1532" s="8" t="b">
        <v>0</v>
      </c>
      <c r="H1532" s="8" t="s">
        <v>1071</v>
      </c>
      <c r="I1532" s="8">
        <v>1.0</v>
      </c>
      <c r="J1532" s="8">
        <v>0.0</v>
      </c>
      <c r="K1532" s="8">
        <v>1.0</v>
      </c>
    </row>
    <row r="1533">
      <c r="A1533" s="7" t="s">
        <v>5564</v>
      </c>
      <c r="B1533" s="8" t="s">
        <v>5565</v>
      </c>
      <c r="C1533" s="7" t="s">
        <v>3041</v>
      </c>
      <c r="D1533" s="12" t="s">
        <v>560</v>
      </c>
      <c r="E1533" s="13" t="s">
        <v>41</v>
      </c>
      <c r="F1533" s="8" t="s">
        <v>561</v>
      </c>
      <c r="G1533" s="8" t="b">
        <v>0</v>
      </c>
      <c r="H1533" s="8" t="s">
        <v>5566</v>
      </c>
      <c r="I1533" s="8">
        <v>1.0</v>
      </c>
      <c r="J1533" s="8">
        <v>0.0</v>
      </c>
      <c r="K1533" s="8">
        <v>0.0</v>
      </c>
    </row>
    <row r="1534">
      <c r="A1534" s="7" t="s">
        <v>5567</v>
      </c>
      <c r="B1534" s="8" t="s">
        <v>5568</v>
      </c>
      <c r="C1534" s="7" t="s">
        <v>3044</v>
      </c>
      <c r="D1534" s="12" t="s">
        <v>39</v>
      </c>
      <c r="E1534" s="13" t="s">
        <v>41</v>
      </c>
      <c r="F1534" s="8" t="s">
        <v>42</v>
      </c>
      <c r="G1534" s="8" t="b">
        <v>0</v>
      </c>
      <c r="H1534" s="8" t="s">
        <v>498</v>
      </c>
      <c r="I1534" s="8">
        <v>1.0</v>
      </c>
      <c r="J1534" s="8">
        <v>0.0</v>
      </c>
      <c r="K1534" s="8">
        <v>0.0</v>
      </c>
    </row>
    <row r="1535">
      <c r="A1535" s="7" t="s">
        <v>5569</v>
      </c>
      <c r="B1535" s="8" t="s">
        <v>5570</v>
      </c>
      <c r="C1535" s="7" t="s">
        <v>3047</v>
      </c>
      <c r="D1535" s="12" t="s">
        <v>39</v>
      </c>
      <c r="E1535" s="13" t="s">
        <v>41</v>
      </c>
      <c r="F1535" s="8" t="s">
        <v>42</v>
      </c>
      <c r="G1535" s="8" t="b">
        <v>0</v>
      </c>
      <c r="H1535" s="8" t="s">
        <v>5571</v>
      </c>
      <c r="I1535" s="8">
        <v>1.0</v>
      </c>
      <c r="J1535" s="8">
        <v>0.0</v>
      </c>
      <c r="K1535" s="8">
        <v>1.0</v>
      </c>
    </row>
    <row r="1536">
      <c r="A1536" s="7" t="s">
        <v>5572</v>
      </c>
      <c r="B1536" s="8" t="s">
        <v>5573</v>
      </c>
      <c r="C1536" s="7" t="s">
        <v>901</v>
      </c>
      <c r="D1536" s="12" t="s">
        <v>39</v>
      </c>
      <c r="E1536" s="13" t="s">
        <v>41</v>
      </c>
      <c r="F1536" s="8" t="s">
        <v>42</v>
      </c>
      <c r="G1536" s="8" t="b">
        <v>0</v>
      </c>
      <c r="H1536" s="8" t="s">
        <v>5574</v>
      </c>
      <c r="I1536" s="8">
        <v>1.0</v>
      </c>
      <c r="J1536" s="8">
        <v>0.0</v>
      </c>
      <c r="K1536" s="8">
        <v>0.0</v>
      </c>
    </row>
    <row r="1537">
      <c r="A1537" s="7" t="s">
        <v>5575</v>
      </c>
      <c r="B1537" s="8" t="s">
        <v>5576</v>
      </c>
      <c r="C1537" s="7" t="s">
        <v>3051</v>
      </c>
      <c r="D1537" s="12" t="s">
        <v>39</v>
      </c>
      <c r="E1537" s="13" t="s">
        <v>694</v>
      </c>
      <c r="F1537" s="8" t="s">
        <v>42</v>
      </c>
      <c r="G1537" s="8" t="b">
        <v>0</v>
      </c>
      <c r="H1537" s="8" t="s">
        <v>5577</v>
      </c>
      <c r="I1537" s="8">
        <v>1.0</v>
      </c>
      <c r="J1537" s="8">
        <v>0.0</v>
      </c>
      <c r="K1537" s="8">
        <v>0.0</v>
      </c>
    </row>
    <row r="1538">
      <c r="A1538" s="7" t="s">
        <v>5578</v>
      </c>
      <c r="B1538" s="8" t="s">
        <v>5579</v>
      </c>
      <c r="C1538" s="7" t="s">
        <v>3054</v>
      </c>
      <c r="D1538" s="12" t="s">
        <v>766</v>
      </c>
      <c r="E1538" s="13" t="s">
        <v>41</v>
      </c>
      <c r="F1538" s="8" t="s">
        <v>767</v>
      </c>
      <c r="G1538" s="8" t="b">
        <v>0</v>
      </c>
      <c r="I1538" s="8">
        <v>1.0</v>
      </c>
      <c r="J1538" s="8">
        <v>0.0</v>
      </c>
      <c r="K1538" s="8">
        <v>0.0</v>
      </c>
    </row>
    <row r="1539">
      <c r="A1539" s="7" t="s">
        <v>5580</v>
      </c>
      <c r="B1539" s="8" t="s">
        <v>5581</v>
      </c>
      <c r="C1539" s="7" t="s">
        <v>3057</v>
      </c>
      <c r="D1539" s="12" t="s">
        <v>554</v>
      </c>
      <c r="E1539" s="13" t="s">
        <v>41</v>
      </c>
      <c r="F1539" s="8" t="s">
        <v>555</v>
      </c>
      <c r="G1539" s="8" t="b">
        <v>0</v>
      </c>
      <c r="H1539" s="8" t="s">
        <v>5582</v>
      </c>
      <c r="I1539" s="8">
        <v>1.0</v>
      </c>
      <c r="J1539" s="8">
        <v>0.0</v>
      </c>
      <c r="K1539" s="8">
        <v>0.0</v>
      </c>
    </row>
    <row r="1540">
      <c r="A1540" s="7" t="s">
        <v>5583</v>
      </c>
      <c r="C1540" s="7" t="s">
        <v>1631</v>
      </c>
      <c r="D1540" s="12" t="s">
        <v>190</v>
      </c>
      <c r="E1540" s="13" t="s">
        <v>190</v>
      </c>
      <c r="F1540" s="8" t="s">
        <v>191</v>
      </c>
      <c r="H1540" s="8" t="s">
        <v>1246</v>
      </c>
      <c r="I1540" s="8">
        <v>1.0</v>
      </c>
      <c r="J1540" s="8">
        <v>0.0</v>
      </c>
      <c r="K1540" s="8">
        <v>1.0</v>
      </c>
    </row>
    <row r="1541">
      <c r="A1541" s="7" t="s">
        <v>5584</v>
      </c>
      <c r="B1541" s="8" t="s">
        <v>5585</v>
      </c>
      <c r="C1541" s="7" t="s">
        <v>356</v>
      </c>
      <c r="D1541" s="12" t="s">
        <v>190</v>
      </c>
      <c r="E1541" s="13" t="s">
        <v>41</v>
      </c>
      <c r="F1541" s="8" t="s">
        <v>191</v>
      </c>
      <c r="G1541" s="8" t="b">
        <v>0</v>
      </c>
      <c r="H1541" s="8" t="s">
        <v>359</v>
      </c>
      <c r="I1541" s="8">
        <v>1.0</v>
      </c>
      <c r="J1541" s="8">
        <v>0.0</v>
      </c>
      <c r="K1541" s="8">
        <v>0.0</v>
      </c>
    </row>
    <row r="1542">
      <c r="A1542" s="7" t="s">
        <v>5586</v>
      </c>
      <c r="C1542" s="7" t="s">
        <v>356</v>
      </c>
      <c r="D1542" s="12" t="s">
        <v>190</v>
      </c>
      <c r="E1542" s="13" t="s">
        <v>41</v>
      </c>
      <c r="F1542" s="8" t="s">
        <v>191</v>
      </c>
      <c r="H1542" s="8" t="s">
        <v>1246</v>
      </c>
      <c r="I1542" s="8">
        <v>1.0</v>
      </c>
      <c r="J1542" s="8">
        <v>0.0</v>
      </c>
      <c r="K1542" s="8">
        <v>0.0</v>
      </c>
    </row>
    <row r="1543">
      <c r="A1543" s="7" t="s">
        <v>5587</v>
      </c>
      <c r="B1543" s="8" t="s">
        <v>5588</v>
      </c>
      <c r="C1543" s="7" t="s">
        <v>3061</v>
      </c>
      <c r="D1543" s="12" t="s">
        <v>39</v>
      </c>
      <c r="E1543" s="13" t="s">
        <v>41</v>
      </c>
      <c r="F1543" s="8" t="s">
        <v>42</v>
      </c>
      <c r="G1543" s="8" t="b">
        <v>0</v>
      </c>
      <c r="H1543" s="8" t="s">
        <v>3064</v>
      </c>
      <c r="I1543" s="8">
        <v>1.0</v>
      </c>
      <c r="J1543" s="8">
        <v>0.0</v>
      </c>
      <c r="K1543" s="8">
        <v>1.0</v>
      </c>
    </row>
    <row r="1544">
      <c r="A1544" s="7" t="s">
        <v>5589</v>
      </c>
      <c r="B1544" s="8" t="s">
        <v>5590</v>
      </c>
      <c r="C1544" s="7" t="s">
        <v>3066</v>
      </c>
      <c r="D1544" s="12" t="s">
        <v>39</v>
      </c>
      <c r="E1544" s="13" t="s">
        <v>41</v>
      </c>
      <c r="F1544" s="8" t="s">
        <v>42</v>
      </c>
      <c r="G1544" s="8" t="b">
        <v>0</v>
      </c>
      <c r="H1544" s="8" t="s">
        <v>3069</v>
      </c>
      <c r="I1544" s="8">
        <v>1.0</v>
      </c>
      <c r="J1544" s="8">
        <v>0.0</v>
      </c>
      <c r="K1544" s="8">
        <v>1.0</v>
      </c>
    </row>
    <row r="1545">
      <c r="A1545" s="7" t="s">
        <v>5591</v>
      </c>
      <c r="B1545" s="8" t="s">
        <v>5592</v>
      </c>
      <c r="C1545" s="7" t="s">
        <v>692</v>
      </c>
      <c r="D1545" s="12" t="s">
        <v>39</v>
      </c>
      <c r="E1545" s="13" t="s">
        <v>41</v>
      </c>
      <c r="F1545" s="8" t="s">
        <v>42</v>
      </c>
      <c r="G1545" s="8" t="b">
        <v>0</v>
      </c>
      <c r="H1545" s="8" t="s">
        <v>5593</v>
      </c>
      <c r="I1545" s="8">
        <v>1.0</v>
      </c>
      <c r="J1545" s="8">
        <v>0.0</v>
      </c>
      <c r="K1545" s="8">
        <v>0.0</v>
      </c>
    </row>
    <row r="1546">
      <c r="A1546" s="7" t="s">
        <v>5594</v>
      </c>
      <c r="B1546" s="8" t="s">
        <v>5595</v>
      </c>
      <c r="C1546" s="7" t="s">
        <v>656</v>
      </c>
      <c r="D1546" s="12" t="s">
        <v>766</v>
      </c>
      <c r="E1546" s="13" t="s">
        <v>190</v>
      </c>
      <c r="F1546" s="8" t="s">
        <v>767</v>
      </c>
      <c r="G1546" s="8" t="b">
        <v>0</v>
      </c>
      <c r="I1546" s="8">
        <v>1.0</v>
      </c>
      <c r="J1546" s="8">
        <v>0.0</v>
      </c>
      <c r="K1546" s="8">
        <v>0.0</v>
      </c>
    </row>
    <row r="1547">
      <c r="A1547" s="7" t="s">
        <v>5596</v>
      </c>
      <c r="B1547" s="8" t="s">
        <v>5597</v>
      </c>
      <c r="C1547" s="7" t="s">
        <v>3071</v>
      </c>
      <c r="D1547" s="12" t="s">
        <v>554</v>
      </c>
      <c r="E1547" s="13" t="s">
        <v>41</v>
      </c>
      <c r="F1547" s="8" t="s">
        <v>555</v>
      </c>
      <c r="G1547" s="8" t="b">
        <v>0</v>
      </c>
      <c r="I1547" s="8">
        <v>1.0</v>
      </c>
      <c r="J1547" s="8">
        <v>0.0</v>
      </c>
      <c r="K1547" s="8">
        <v>1.0</v>
      </c>
    </row>
    <row r="1548">
      <c r="A1548" s="7" t="s">
        <v>5598</v>
      </c>
      <c r="B1548" s="8" t="s">
        <v>5599</v>
      </c>
      <c r="C1548" s="7" t="s">
        <v>1052</v>
      </c>
      <c r="D1548" s="12" t="s">
        <v>39</v>
      </c>
      <c r="E1548" s="13" t="s">
        <v>41</v>
      </c>
      <c r="F1548" s="8" t="s">
        <v>42</v>
      </c>
      <c r="G1548" s="8" t="b">
        <v>0</v>
      </c>
      <c r="H1548" s="8" t="s">
        <v>5600</v>
      </c>
      <c r="I1548" s="8">
        <v>1.0</v>
      </c>
      <c r="J1548" s="8">
        <v>0.0</v>
      </c>
      <c r="K1548" s="8">
        <v>1.0</v>
      </c>
    </row>
    <row r="1549">
      <c r="A1549" s="7" t="s">
        <v>5601</v>
      </c>
      <c r="B1549" s="8" t="s">
        <v>5602</v>
      </c>
      <c r="C1549" s="7" t="s">
        <v>3077</v>
      </c>
      <c r="D1549" s="12" t="s">
        <v>766</v>
      </c>
      <c r="E1549" s="13" t="s">
        <v>41</v>
      </c>
      <c r="F1549" s="8" t="s">
        <v>767</v>
      </c>
      <c r="G1549" s="8" t="b">
        <v>0</v>
      </c>
      <c r="I1549" s="8">
        <v>1.0</v>
      </c>
      <c r="J1549" s="8">
        <v>0.0</v>
      </c>
      <c r="K1549" s="8">
        <v>0.0</v>
      </c>
    </row>
    <row r="1550">
      <c r="A1550" s="7" t="s">
        <v>5603</v>
      </c>
      <c r="B1550" s="8" t="s">
        <v>5604</v>
      </c>
      <c r="C1550" s="7" t="s">
        <v>3620</v>
      </c>
      <c r="D1550" s="12" t="s">
        <v>39</v>
      </c>
      <c r="E1550" s="13" t="s">
        <v>41</v>
      </c>
      <c r="F1550" s="8" t="s">
        <v>42</v>
      </c>
      <c r="G1550" s="8" t="b">
        <v>0</v>
      </c>
      <c r="I1550" s="8">
        <v>1.0</v>
      </c>
      <c r="J1550" s="8">
        <v>0.0</v>
      </c>
      <c r="K1550" s="8">
        <v>1.0</v>
      </c>
    </row>
    <row r="1551">
      <c r="A1551" s="7" t="s">
        <v>5605</v>
      </c>
      <c r="B1551" s="8" t="s">
        <v>5606</v>
      </c>
      <c r="C1551" s="7" t="s">
        <v>3082</v>
      </c>
      <c r="D1551" s="12" t="s">
        <v>39</v>
      </c>
      <c r="E1551" s="13" t="s">
        <v>41</v>
      </c>
      <c r="F1551" s="8" t="s">
        <v>42</v>
      </c>
      <c r="G1551" s="8" t="b">
        <v>0</v>
      </c>
      <c r="H1551" s="8" t="s">
        <v>3085</v>
      </c>
      <c r="I1551" s="8">
        <v>1.0</v>
      </c>
      <c r="J1551" s="8">
        <v>0.0</v>
      </c>
      <c r="K1551" s="8">
        <v>0.0</v>
      </c>
    </row>
    <row r="1552">
      <c r="A1552" s="7" t="s">
        <v>5607</v>
      </c>
      <c r="B1552" s="8" t="s">
        <v>5608</v>
      </c>
      <c r="C1552" s="7" t="s">
        <v>3088</v>
      </c>
      <c r="D1552" s="12" t="s">
        <v>190</v>
      </c>
      <c r="E1552" s="13" t="s">
        <v>41</v>
      </c>
      <c r="F1552" s="8" t="s">
        <v>191</v>
      </c>
      <c r="G1552" s="8" t="b">
        <v>0</v>
      </c>
      <c r="I1552" s="8">
        <v>1.0</v>
      </c>
      <c r="J1552" s="8">
        <v>0.0</v>
      </c>
      <c r="K1552" s="8">
        <v>0.0</v>
      </c>
    </row>
    <row r="1553">
      <c r="A1553" s="7" t="s">
        <v>5609</v>
      </c>
      <c r="B1553" s="8" t="s">
        <v>5610</v>
      </c>
      <c r="C1553" s="7" t="s">
        <v>3094</v>
      </c>
      <c r="D1553" s="12" t="s">
        <v>39</v>
      </c>
      <c r="E1553" s="13" t="s">
        <v>41</v>
      </c>
      <c r="F1553" s="8" t="s">
        <v>42</v>
      </c>
      <c r="G1553" s="8" t="b">
        <v>0</v>
      </c>
      <c r="I1553" s="8">
        <v>1.0</v>
      </c>
      <c r="J1553" s="8">
        <v>0.0</v>
      </c>
      <c r="K1553" s="8">
        <v>0.0</v>
      </c>
    </row>
    <row r="1554">
      <c r="A1554" s="7" t="s">
        <v>5611</v>
      </c>
      <c r="B1554" s="8" t="s">
        <v>5612</v>
      </c>
      <c r="C1554" s="7" t="s">
        <v>833</v>
      </c>
      <c r="D1554" s="12" t="s">
        <v>39</v>
      </c>
      <c r="E1554" s="13" t="s">
        <v>41</v>
      </c>
      <c r="F1554" s="8" t="s">
        <v>42</v>
      </c>
      <c r="G1554" s="8" t="b">
        <v>0</v>
      </c>
      <c r="H1554" s="8" t="s">
        <v>5613</v>
      </c>
      <c r="I1554" s="8">
        <v>1.0</v>
      </c>
      <c r="J1554" s="8">
        <v>0.0</v>
      </c>
      <c r="K1554" s="8">
        <v>0.0</v>
      </c>
    </row>
    <row r="1555">
      <c r="A1555" s="7" t="s">
        <v>5614</v>
      </c>
      <c r="B1555" s="8" t="s">
        <v>5615</v>
      </c>
      <c r="C1555" s="7" t="s">
        <v>833</v>
      </c>
      <c r="D1555" s="12" t="s">
        <v>39</v>
      </c>
      <c r="E1555" s="13" t="s">
        <v>41</v>
      </c>
      <c r="F1555" s="8" t="s">
        <v>42</v>
      </c>
      <c r="G1555" s="8" t="b">
        <v>0</v>
      </c>
      <c r="H1555" s="8" t="s">
        <v>5616</v>
      </c>
      <c r="I1555" s="8">
        <v>1.0</v>
      </c>
      <c r="J1555" s="8">
        <v>0.0</v>
      </c>
      <c r="K1555" s="8">
        <v>1.0</v>
      </c>
    </row>
    <row r="1556">
      <c r="A1556" s="7" t="s">
        <v>5617</v>
      </c>
      <c r="B1556" s="8" t="s">
        <v>5618</v>
      </c>
      <c r="C1556" s="7" t="s">
        <v>3097</v>
      </c>
      <c r="D1556" s="12" t="s">
        <v>766</v>
      </c>
      <c r="E1556" s="13" t="s">
        <v>41</v>
      </c>
      <c r="F1556" s="8" t="s">
        <v>767</v>
      </c>
      <c r="G1556" s="8" t="b">
        <v>0</v>
      </c>
      <c r="H1556" s="8" t="s">
        <v>186</v>
      </c>
      <c r="I1556" s="8">
        <v>1.0</v>
      </c>
      <c r="J1556" s="8">
        <v>0.0</v>
      </c>
      <c r="K1556" s="8">
        <v>1.0</v>
      </c>
    </row>
    <row r="1557">
      <c r="A1557" s="7" t="s">
        <v>5619</v>
      </c>
      <c r="B1557" s="8" t="s">
        <v>5620</v>
      </c>
      <c r="C1557" s="7" t="s">
        <v>3100</v>
      </c>
      <c r="D1557" s="12" t="s">
        <v>766</v>
      </c>
      <c r="E1557" s="13" t="s">
        <v>41</v>
      </c>
      <c r="F1557" s="8" t="s">
        <v>767</v>
      </c>
      <c r="G1557" s="8" t="b">
        <v>0</v>
      </c>
      <c r="H1557" s="8" t="s">
        <v>5621</v>
      </c>
      <c r="I1557" s="8">
        <v>1.0</v>
      </c>
      <c r="J1557" s="8">
        <v>0.0</v>
      </c>
      <c r="K1557" s="8">
        <v>0.0</v>
      </c>
    </row>
    <row r="1558">
      <c r="A1558" s="7" t="s">
        <v>5622</v>
      </c>
      <c r="B1558" s="8" t="s">
        <v>5623</v>
      </c>
      <c r="C1558" s="8" t="s">
        <v>3104</v>
      </c>
      <c r="D1558" s="12" t="s">
        <v>39</v>
      </c>
      <c r="E1558" s="13" t="s">
        <v>41</v>
      </c>
      <c r="F1558" s="8" t="s">
        <v>42</v>
      </c>
      <c r="G1558" s="8" t="b">
        <v>0</v>
      </c>
      <c r="I1558" s="8">
        <v>1.0</v>
      </c>
      <c r="J1558" s="8">
        <v>0.0</v>
      </c>
      <c r="K1558" s="8">
        <v>0.0</v>
      </c>
    </row>
    <row r="1559">
      <c r="A1559" s="7" t="s">
        <v>5624</v>
      </c>
      <c r="B1559" s="8" t="s">
        <v>5625</v>
      </c>
      <c r="C1559" s="7" t="s">
        <v>1836</v>
      </c>
      <c r="D1559" s="12" t="s">
        <v>766</v>
      </c>
      <c r="E1559" s="13" t="s">
        <v>22</v>
      </c>
      <c r="F1559" s="8" t="s">
        <v>767</v>
      </c>
      <c r="G1559" s="8" t="b">
        <v>0</v>
      </c>
      <c r="H1559" s="8" t="s">
        <v>1431</v>
      </c>
      <c r="I1559" s="8">
        <v>1.0</v>
      </c>
      <c r="J1559" s="8">
        <v>0.0</v>
      </c>
      <c r="K1559" s="8">
        <v>1.0</v>
      </c>
    </row>
    <row r="1560">
      <c r="A1560" s="7" t="s">
        <v>5626</v>
      </c>
      <c r="B1560" s="8" t="s">
        <v>5627</v>
      </c>
      <c r="C1560" s="7" t="s">
        <v>1836</v>
      </c>
      <c r="D1560" s="12" t="s">
        <v>39</v>
      </c>
      <c r="E1560" s="13" t="s">
        <v>22</v>
      </c>
      <c r="F1560" s="8" t="s">
        <v>42</v>
      </c>
      <c r="G1560" s="8" t="b">
        <v>0</v>
      </c>
      <c r="H1560" s="8" t="s">
        <v>1838</v>
      </c>
      <c r="I1560" s="8">
        <v>1.0</v>
      </c>
      <c r="J1560" s="8">
        <v>0.0</v>
      </c>
      <c r="K1560" s="8">
        <v>1.0</v>
      </c>
    </row>
    <row r="1561">
      <c r="A1561" s="7" t="s">
        <v>5628</v>
      </c>
      <c r="B1561" s="8" t="s">
        <v>5629</v>
      </c>
      <c r="C1561" s="7" t="s">
        <v>3105</v>
      </c>
      <c r="D1561" s="12" t="s">
        <v>39</v>
      </c>
      <c r="E1561" s="13" t="s">
        <v>41</v>
      </c>
      <c r="F1561" s="8" t="s">
        <v>42</v>
      </c>
      <c r="G1561" s="8" t="b">
        <v>0</v>
      </c>
      <c r="H1561" s="8" t="s">
        <v>5630</v>
      </c>
      <c r="I1561" s="8">
        <v>1.0</v>
      </c>
      <c r="J1561" s="8">
        <v>0.0</v>
      </c>
      <c r="K1561" s="8">
        <v>1.0</v>
      </c>
    </row>
    <row r="1562">
      <c r="A1562" s="7" t="s">
        <v>5631</v>
      </c>
      <c r="B1562" s="8" t="s">
        <v>5632</v>
      </c>
      <c r="C1562" s="7" t="s">
        <v>3110</v>
      </c>
      <c r="D1562" s="12" t="s">
        <v>39</v>
      </c>
      <c r="E1562" s="13" t="s">
        <v>41</v>
      </c>
      <c r="F1562" s="8" t="s">
        <v>42</v>
      </c>
      <c r="G1562" s="8" t="b">
        <v>0</v>
      </c>
      <c r="H1562" s="8" t="s">
        <v>792</v>
      </c>
      <c r="I1562" s="8">
        <v>1.0</v>
      </c>
      <c r="J1562" s="8">
        <v>0.0</v>
      </c>
      <c r="K1562" s="8">
        <v>1.0</v>
      </c>
    </row>
    <row r="1563">
      <c r="A1563" s="7" t="s">
        <v>5633</v>
      </c>
      <c r="B1563" s="8" t="s">
        <v>5634</v>
      </c>
      <c r="C1563" s="8" t="s">
        <v>3114</v>
      </c>
      <c r="D1563" s="12" t="s">
        <v>190</v>
      </c>
      <c r="E1563" s="13" t="s">
        <v>41</v>
      </c>
      <c r="F1563" s="8" t="s">
        <v>191</v>
      </c>
      <c r="G1563" s="8" t="b">
        <v>0</v>
      </c>
      <c r="I1563" s="8">
        <v>1.0</v>
      </c>
      <c r="J1563" s="8">
        <v>0.0</v>
      </c>
      <c r="K1563" s="8">
        <v>0.0</v>
      </c>
    </row>
    <row r="1564">
      <c r="A1564" s="7" t="s">
        <v>5635</v>
      </c>
      <c r="B1564" s="8" t="s">
        <v>5636</v>
      </c>
      <c r="C1564" s="8" t="s">
        <v>3116</v>
      </c>
      <c r="D1564" s="12" t="s">
        <v>766</v>
      </c>
      <c r="E1564" s="13" t="s">
        <v>41</v>
      </c>
      <c r="F1564" s="8" t="s">
        <v>767</v>
      </c>
      <c r="G1564" s="8" t="b">
        <v>0</v>
      </c>
      <c r="I1564" s="8">
        <v>1.0</v>
      </c>
      <c r="J1564" s="8">
        <v>0.0</v>
      </c>
      <c r="K1564" s="8">
        <v>0.0</v>
      </c>
    </row>
    <row r="1565">
      <c r="A1565" s="7" t="s">
        <v>5637</v>
      </c>
      <c r="B1565" s="8" t="s">
        <v>5638</v>
      </c>
      <c r="C1565" s="7" t="s">
        <v>3119</v>
      </c>
      <c r="D1565" s="12" t="s">
        <v>693</v>
      </c>
      <c r="E1565" s="13" t="s">
        <v>753</v>
      </c>
      <c r="F1565" s="8" t="s">
        <v>695</v>
      </c>
      <c r="G1565" s="8" t="b">
        <v>0</v>
      </c>
      <c r="H1565" s="8" t="s">
        <v>498</v>
      </c>
      <c r="I1565" s="8">
        <v>1.0</v>
      </c>
      <c r="J1565" s="8">
        <v>0.0</v>
      </c>
      <c r="K1565" s="8">
        <v>1.0</v>
      </c>
    </row>
    <row r="1566">
      <c r="A1566" s="7" t="s">
        <v>5639</v>
      </c>
      <c r="B1566" s="8" t="s">
        <v>5640</v>
      </c>
      <c r="C1566" s="7" t="s">
        <v>3122</v>
      </c>
      <c r="D1566" s="12" t="s">
        <v>39</v>
      </c>
      <c r="E1566" s="13" t="s">
        <v>41</v>
      </c>
      <c r="F1566" s="8" t="s">
        <v>42</v>
      </c>
      <c r="G1566" s="8" t="b">
        <v>0</v>
      </c>
      <c r="H1566" s="8" t="s">
        <v>3125</v>
      </c>
      <c r="I1566" s="8">
        <v>1.0</v>
      </c>
      <c r="J1566" s="8">
        <v>0.0</v>
      </c>
      <c r="K1566" s="8">
        <v>1.0</v>
      </c>
    </row>
    <row r="1567">
      <c r="A1567" s="7" t="s">
        <v>5641</v>
      </c>
      <c r="B1567" s="8" t="s">
        <v>5642</v>
      </c>
      <c r="C1567" s="7" t="s">
        <v>3126</v>
      </c>
      <c r="D1567" s="12" t="s">
        <v>39</v>
      </c>
      <c r="E1567" s="13" t="s">
        <v>41</v>
      </c>
      <c r="F1567" s="8" t="s">
        <v>42</v>
      </c>
      <c r="G1567" s="8" t="b">
        <v>0</v>
      </c>
      <c r="H1567" s="8" t="s">
        <v>5643</v>
      </c>
      <c r="I1567" s="8">
        <v>1.0</v>
      </c>
      <c r="J1567" s="8">
        <v>0.0</v>
      </c>
      <c r="K1567" s="8">
        <v>1.0</v>
      </c>
    </row>
    <row r="1568">
      <c r="A1568" s="7" t="s">
        <v>5644</v>
      </c>
      <c r="B1568" s="8" t="s">
        <v>5645</v>
      </c>
      <c r="C1568" s="7" t="s">
        <v>3129</v>
      </c>
      <c r="D1568" s="12" t="s">
        <v>560</v>
      </c>
      <c r="E1568" s="13" t="s">
        <v>41</v>
      </c>
      <c r="F1568" s="8" t="s">
        <v>561</v>
      </c>
      <c r="G1568" s="8" t="b">
        <v>0</v>
      </c>
      <c r="H1568" s="8" t="s">
        <v>5646</v>
      </c>
      <c r="I1568" s="8">
        <v>1.0</v>
      </c>
      <c r="J1568" s="8">
        <v>0.0</v>
      </c>
      <c r="K1568" s="8">
        <v>0.0</v>
      </c>
    </row>
    <row r="1569">
      <c r="A1569" s="7" t="s">
        <v>5647</v>
      </c>
      <c r="B1569" s="8" t="s">
        <v>5648</v>
      </c>
      <c r="C1569" s="7" t="s">
        <v>3132</v>
      </c>
      <c r="D1569" s="12" t="s">
        <v>554</v>
      </c>
      <c r="E1569" s="13" t="s">
        <v>41</v>
      </c>
      <c r="F1569" s="8" t="s">
        <v>555</v>
      </c>
      <c r="G1569" s="8" t="b">
        <v>0</v>
      </c>
      <c r="H1569" s="8" t="s">
        <v>186</v>
      </c>
      <c r="I1569" s="8">
        <v>1.0</v>
      </c>
      <c r="J1569" s="8">
        <v>0.0</v>
      </c>
      <c r="K1569" s="8">
        <v>1.0</v>
      </c>
    </row>
    <row r="1570">
      <c r="A1570" s="7" t="s">
        <v>5649</v>
      </c>
      <c r="B1570" s="8" t="s">
        <v>5650</v>
      </c>
      <c r="C1570" s="7" t="s">
        <v>3135</v>
      </c>
      <c r="D1570" s="12" t="s">
        <v>39</v>
      </c>
      <c r="E1570" s="13" t="s">
        <v>41</v>
      </c>
      <c r="F1570" s="8" t="s">
        <v>42</v>
      </c>
      <c r="G1570" s="8" t="b">
        <v>0</v>
      </c>
      <c r="I1570" s="8">
        <v>1.0</v>
      </c>
      <c r="J1570" s="8">
        <v>0.0</v>
      </c>
      <c r="K1570" s="8">
        <v>0.0</v>
      </c>
    </row>
    <row r="1571">
      <c r="A1571" s="7" t="s">
        <v>5651</v>
      </c>
      <c r="B1571" s="8" t="s">
        <v>5652</v>
      </c>
      <c r="C1571" s="7" t="s">
        <v>3138</v>
      </c>
      <c r="D1571" s="12" t="s">
        <v>190</v>
      </c>
      <c r="E1571" s="13" t="s">
        <v>753</v>
      </c>
      <c r="F1571" s="8" t="s">
        <v>191</v>
      </c>
      <c r="G1571" s="8" t="b">
        <v>0</v>
      </c>
      <c r="H1571" s="8" t="s">
        <v>2441</v>
      </c>
      <c r="I1571" s="8">
        <v>1.0</v>
      </c>
      <c r="J1571" s="8">
        <v>0.0</v>
      </c>
      <c r="K1571" s="8">
        <v>0.0</v>
      </c>
    </row>
    <row r="1572">
      <c r="A1572" s="7" t="s">
        <v>5653</v>
      </c>
      <c r="B1572" s="8" t="s">
        <v>5654</v>
      </c>
      <c r="C1572" s="7" t="s">
        <v>3142</v>
      </c>
      <c r="D1572" s="12" t="s">
        <v>39</v>
      </c>
      <c r="E1572" s="13" t="s">
        <v>41</v>
      </c>
      <c r="F1572" s="8" t="s">
        <v>42</v>
      </c>
      <c r="G1572" s="8" t="b">
        <v>0</v>
      </c>
      <c r="H1572" s="8" t="s">
        <v>5655</v>
      </c>
      <c r="I1572" s="8">
        <v>1.0</v>
      </c>
      <c r="J1572" s="8">
        <v>0.0</v>
      </c>
      <c r="K1572" s="8">
        <v>1.0</v>
      </c>
    </row>
    <row r="1573">
      <c r="A1573" s="7" t="s">
        <v>5656</v>
      </c>
      <c r="B1573" s="8" t="s">
        <v>5657</v>
      </c>
      <c r="C1573" s="7" t="s">
        <v>3146</v>
      </c>
      <c r="D1573" s="12" t="s">
        <v>554</v>
      </c>
      <c r="E1573" s="13" t="s">
        <v>41</v>
      </c>
      <c r="F1573" s="8" t="s">
        <v>555</v>
      </c>
      <c r="G1573" s="8" t="b">
        <v>0</v>
      </c>
      <c r="I1573" s="8">
        <v>1.0</v>
      </c>
      <c r="J1573" s="8">
        <v>0.0</v>
      </c>
      <c r="K1573" s="8">
        <v>0.0</v>
      </c>
    </row>
    <row r="1574">
      <c r="A1574" s="7" t="s">
        <v>5658</v>
      </c>
      <c r="B1574" s="8" t="s">
        <v>5659</v>
      </c>
      <c r="C1574" s="7" t="s">
        <v>3153</v>
      </c>
      <c r="D1574" s="12" t="s">
        <v>693</v>
      </c>
      <c r="E1574" s="13" t="s">
        <v>41</v>
      </c>
      <c r="F1574" s="8" t="s">
        <v>695</v>
      </c>
      <c r="G1574" s="8" t="b">
        <v>0</v>
      </c>
      <c r="H1574" s="8" t="s">
        <v>3155</v>
      </c>
      <c r="I1574" s="8">
        <v>1.0</v>
      </c>
      <c r="J1574" s="8">
        <v>0.0</v>
      </c>
      <c r="K1574" s="8">
        <v>1.0</v>
      </c>
    </row>
    <row r="1575">
      <c r="A1575" s="7" t="s">
        <v>5660</v>
      </c>
      <c r="B1575" s="8" t="s">
        <v>5661</v>
      </c>
      <c r="C1575" s="7" t="s">
        <v>3157</v>
      </c>
      <c r="D1575" s="12" t="s">
        <v>190</v>
      </c>
      <c r="E1575" s="13" t="s">
        <v>41</v>
      </c>
      <c r="F1575" s="8" t="s">
        <v>191</v>
      </c>
      <c r="G1575" s="8" t="b">
        <v>0</v>
      </c>
      <c r="I1575" s="8">
        <v>1.0</v>
      </c>
      <c r="J1575" s="8">
        <v>0.0</v>
      </c>
      <c r="K1575" s="8">
        <v>1.0</v>
      </c>
    </row>
    <row r="1576">
      <c r="A1576" s="7" t="s">
        <v>5662</v>
      </c>
      <c r="B1576" s="8" t="s">
        <v>5663</v>
      </c>
      <c r="C1576" s="7" t="s">
        <v>3160</v>
      </c>
      <c r="D1576" s="12" t="s">
        <v>190</v>
      </c>
      <c r="E1576" s="13" t="s">
        <v>190</v>
      </c>
      <c r="F1576" s="8" t="s">
        <v>191</v>
      </c>
      <c r="G1576" s="8" t="b">
        <v>0</v>
      </c>
      <c r="H1576" s="8" t="s">
        <v>5664</v>
      </c>
      <c r="I1576" s="8">
        <v>1.0</v>
      </c>
      <c r="J1576" s="8">
        <v>0.0</v>
      </c>
      <c r="K1576" s="8">
        <v>1.0</v>
      </c>
    </row>
    <row r="1577">
      <c r="A1577" s="7" t="s">
        <v>5665</v>
      </c>
      <c r="B1577" s="8" t="s">
        <v>5666</v>
      </c>
      <c r="C1577" s="7" t="s">
        <v>3163</v>
      </c>
      <c r="D1577" s="12" t="s">
        <v>39</v>
      </c>
      <c r="E1577" s="13" t="s">
        <v>41</v>
      </c>
      <c r="F1577" s="8" t="s">
        <v>42</v>
      </c>
      <c r="G1577" s="8" t="b">
        <v>0</v>
      </c>
      <c r="H1577" s="8" t="s">
        <v>3165</v>
      </c>
      <c r="I1577" s="8">
        <v>1.0</v>
      </c>
      <c r="J1577" s="8">
        <v>0.0</v>
      </c>
      <c r="K1577" s="8">
        <v>1.0</v>
      </c>
    </row>
    <row r="1578">
      <c r="A1578" s="7" t="s">
        <v>5667</v>
      </c>
      <c r="B1578" s="8" t="s">
        <v>5668</v>
      </c>
      <c r="C1578" s="8" t="s">
        <v>3166</v>
      </c>
      <c r="D1578" s="12" t="s">
        <v>554</v>
      </c>
      <c r="E1578" s="13" t="s">
        <v>41</v>
      </c>
      <c r="F1578" s="8" t="s">
        <v>555</v>
      </c>
      <c r="G1578" s="8" t="b">
        <v>0</v>
      </c>
      <c r="H1578" s="8" t="s">
        <v>1000</v>
      </c>
      <c r="I1578" s="8">
        <v>1.0</v>
      </c>
      <c r="J1578" s="8">
        <v>0.0</v>
      </c>
      <c r="K1578" s="8">
        <v>0.0</v>
      </c>
    </row>
    <row r="1579">
      <c r="A1579" s="7" t="s">
        <v>5669</v>
      </c>
      <c r="B1579" s="8" t="s">
        <v>5670</v>
      </c>
      <c r="C1579" s="7" t="s">
        <v>661</v>
      </c>
      <c r="D1579" s="12" t="s">
        <v>39</v>
      </c>
      <c r="E1579" s="13" t="s">
        <v>41</v>
      </c>
      <c r="F1579" s="8" t="s">
        <v>42</v>
      </c>
      <c r="G1579" s="8" t="b">
        <v>0</v>
      </c>
      <c r="H1579" s="8" t="s">
        <v>5671</v>
      </c>
      <c r="I1579" s="8">
        <v>1.0</v>
      </c>
      <c r="J1579" s="8">
        <v>0.0</v>
      </c>
      <c r="K1579" s="8">
        <v>1.0</v>
      </c>
    </row>
    <row r="1580">
      <c r="A1580" s="7" t="s">
        <v>5672</v>
      </c>
      <c r="B1580" s="8" t="s">
        <v>5673</v>
      </c>
      <c r="C1580" s="7" t="s">
        <v>1113</v>
      </c>
      <c r="D1580" s="12" t="s">
        <v>1425</v>
      </c>
      <c r="E1580" s="13" t="s">
        <v>76</v>
      </c>
      <c r="F1580" s="8" t="s">
        <v>1426</v>
      </c>
      <c r="G1580" s="8" t="b">
        <v>0</v>
      </c>
      <c r="H1580" s="8" t="s">
        <v>5674</v>
      </c>
      <c r="I1580" s="8">
        <v>1.0</v>
      </c>
      <c r="J1580" s="8">
        <v>0.0</v>
      </c>
      <c r="K1580" s="8">
        <v>1.0</v>
      </c>
    </row>
    <row r="1581">
      <c r="A1581" s="7" t="s">
        <v>5675</v>
      </c>
      <c r="C1581" s="7" t="s">
        <v>1113</v>
      </c>
      <c r="D1581" s="12" t="s">
        <v>190</v>
      </c>
      <c r="E1581" s="13" t="s">
        <v>190</v>
      </c>
      <c r="F1581" s="8" t="s">
        <v>191</v>
      </c>
      <c r="H1581" s="8" t="s">
        <v>1246</v>
      </c>
      <c r="I1581" s="8">
        <v>1.0</v>
      </c>
      <c r="J1581" s="8">
        <v>0.0</v>
      </c>
      <c r="K1581" s="8">
        <v>1.0</v>
      </c>
    </row>
    <row r="1582">
      <c r="A1582" s="7" t="s">
        <v>5676</v>
      </c>
      <c r="B1582" s="8" t="s">
        <v>5677</v>
      </c>
      <c r="C1582" s="7" t="s">
        <v>3168</v>
      </c>
      <c r="D1582" s="12" t="s">
        <v>39</v>
      </c>
      <c r="E1582" s="13" t="s">
        <v>41</v>
      </c>
      <c r="F1582" s="8" t="s">
        <v>42</v>
      </c>
      <c r="G1582" s="8" t="b">
        <v>0</v>
      </c>
      <c r="H1582" s="8" t="s">
        <v>5678</v>
      </c>
      <c r="I1582" s="8">
        <v>1.0</v>
      </c>
      <c r="J1582" s="8">
        <v>0.0</v>
      </c>
      <c r="K1582" s="8">
        <v>1.0</v>
      </c>
    </row>
    <row r="1583">
      <c r="A1583" s="7" t="s">
        <v>5679</v>
      </c>
      <c r="B1583" s="8" t="s">
        <v>5680</v>
      </c>
      <c r="C1583" s="7" t="s">
        <v>3172</v>
      </c>
      <c r="D1583" s="12" t="s">
        <v>39</v>
      </c>
      <c r="E1583" s="13" t="s">
        <v>41</v>
      </c>
      <c r="F1583" s="8" t="s">
        <v>42</v>
      </c>
      <c r="G1583" s="8" t="b">
        <v>0</v>
      </c>
      <c r="H1583" s="8" t="s">
        <v>5681</v>
      </c>
      <c r="I1583" s="8">
        <v>1.0</v>
      </c>
      <c r="J1583" s="8">
        <v>0.0</v>
      </c>
      <c r="K1583" s="8">
        <v>0.0</v>
      </c>
    </row>
    <row r="1584">
      <c r="A1584" s="7" t="s">
        <v>5682</v>
      </c>
      <c r="B1584" s="8" t="s">
        <v>5683</v>
      </c>
      <c r="C1584" s="7" t="s">
        <v>3175</v>
      </c>
      <c r="D1584" s="12" t="s">
        <v>766</v>
      </c>
      <c r="E1584" s="13" t="s">
        <v>41</v>
      </c>
      <c r="F1584" s="8" t="s">
        <v>767</v>
      </c>
      <c r="G1584" s="8" t="b">
        <v>0</v>
      </c>
      <c r="I1584" s="8">
        <v>1.0</v>
      </c>
      <c r="J1584" s="8">
        <v>0.0</v>
      </c>
      <c r="K1584" s="8">
        <v>1.0</v>
      </c>
    </row>
    <row r="1585">
      <c r="A1585" s="7" t="s">
        <v>5684</v>
      </c>
      <c r="B1585" s="8" t="s">
        <v>5685</v>
      </c>
      <c r="C1585" s="7" t="s">
        <v>395</v>
      </c>
      <c r="D1585" s="12" t="s">
        <v>39</v>
      </c>
      <c r="E1585" s="13" t="s">
        <v>41</v>
      </c>
      <c r="F1585" s="8" t="s">
        <v>42</v>
      </c>
      <c r="G1585" s="8" t="b">
        <v>0</v>
      </c>
      <c r="H1585" s="8" t="s">
        <v>498</v>
      </c>
      <c r="I1585" s="8">
        <v>1.0</v>
      </c>
      <c r="J1585" s="8">
        <v>0.0</v>
      </c>
      <c r="K1585" s="8">
        <v>0.0</v>
      </c>
    </row>
    <row r="1586">
      <c r="A1586" s="7" t="s">
        <v>5686</v>
      </c>
      <c r="B1586" s="8" t="s">
        <v>5687</v>
      </c>
      <c r="C1586" s="7" t="s">
        <v>3177</v>
      </c>
      <c r="D1586" s="12" t="s">
        <v>39</v>
      </c>
      <c r="E1586" s="13" t="s">
        <v>41</v>
      </c>
      <c r="F1586" s="8" t="s">
        <v>42</v>
      </c>
      <c r="G1586" s="8" t="b">
        <v>0</v>
      </c>
      <c r="H1586" s="8" t="s">
        <v>724</v>
      </c>
      <c r="I1586" s="8">
        <v>1.0</v>
      </c>
      <c r="J1586" s="8">
        <v>0.0</v>
      </c>
      <c r="K1586" s="8">
        <v>1.0</v>
      </c>
    </row>
    <row r="1587">
      <c r="A1587" s="7" t="s">
        <v>5688</v>
      </c>
      <c r="B1587" s="8" t="s">
        <v>5689</v>
      </c>
      <c r="C1587" s="7" t="s">
        <v>1844</v>
      </c>
      <c r="D1587" s="12" t="s">
        <v>39</v>
      </c>
      <c r="E1587" s="13" t="s">
        <v>41</v>
      </c>
      <c r="F1587" s="8" t="s">
        <v>42</v>
      </c>
      <c r="G1587" s="8" t="b">
        <v>0</v>
      </c>
      <c r="H1587" s="8" t="s">
        <v>5690</v>
      </c>
      <c r="I1587" s="8">
        <v>1.0</v>
      </c>
      <c r="J1587" s="8">
        <v>0.0</v>
      </c>
      <c r="K1587" s="8">
        <v>0.0</v>
      </c>
    </row>
    <row r="1588">
      <c r="A1588" s="7" t="s">
        <v>5691</v>
      </c>
      <c r="B1588" s="8" t="s">
        <v>5692</v>
      </c>
      <c r="C1588" s="7" t="s">
        <v>1844</v>
      </c>
      <c r="D1588" s="12" t="s">
        <v>39</v>
      </c>
      <c r="E1588" s="13" t="s">
        <v>41</v>
      </c>
      <c r="F1588" s="8" t="s">
        <v>42</v>
      </c>
      <c r="G1588" s="8" t="b">
        <v>0</v>
      </c>
      <c r="H1588" s="8" t="s">
        <v>792</v>
      </c>
      <c r="I1588" s="8">
        <v>1.0</v>
      </c>
      <c r="J1588" s="8">
        <v>0.0</v>
      </c>
      <c r="K1588" s="8">
        <v>0.0</v>
      </c>
    </row>
    <row r="1589">
      <c r="A1589" s="7" t="s">
        <v>5693</v>
      </c>
      <c r="B1589" s="8" t="s">
        <v>5694</v>
      </c>
      <c r="C1589" s="7" t="s">
        <v>1500</v>
      </c>
      <c r="D1589" s="12" t="s">
        <v>39</v>
      </c>
      <c r="E1589" s="13" t="s">
        <v>190</v>
      </c>
      <c r="F1589" s="8" t="s">
        <v>42</v>
      </c>
      <c r="G1589" s="8" t="b">
        <v>0</v>
      </c>
      <c r="H1589" s="8" t="s">
        <v>5695</v>
      </c>
      <c r="I1589" s="8">
        <v>1.0</v>
      </c>
      <c r="J1589" s="8">
        <v>0.0</v>
      </c>
      <c r="K1589" s="8">
        <v>0.0</v>
      </c>
    </row>
    <row r="1590">
      <c r="A1590" s="7" t="s">
        <v>5696</v>
      </c>
      <c r="B1590" s="8" t="s">
        <v>5697</v>
      </c>
      <c r="C1590" s="7" t="s">
        <v>1500</v>
      </c>
      <c r="D1590" s="12" t="s">
        <v>39</v>
      </c>
      <c r="E1590" s="13" t="s">
        <v>190</v>
      </c>
      <c r="F1590" s="8" t="s">
        <v>42</v>
      </c>
      <c r="G1590" s="8" t="b">
        <v>0</v>
      </c>
      <c r="H1590" s="8" t="s">
        <v>5698</v>
      </c>
      <c r="I1590" s="8">
        <v>1.0</v>
      </c>
      <c r="J1590" s="8">
        <v>0.0</v>
      </c>
      <c r="K1590" s="8">
        <v>6.0</v>
      </c>
    </row>
    <row r="1591">
      <c r="A1591" s="7" t="s">
        <v>5699</v>
      </c>
      <c r="B1591" s="8" t="s">
        <v>5700</v>
      </c>
      <c r="C1591" s="7" t="s">
        <v>1500</v>
      </c>
      <c r="D1591" s="12" t="s">
        <v>39</v>
      </c>
      <c r="E1591" s="13" t="s">
        <v>190</v>
      </c>
      <c r="F1591" s="8" t="s">
        <v>42</v>
      </c>
      <c r="G1591" s="8" t="b">
        <v>0</v>
      </c>
      <c r="H1591" s="8" t="s">
        <v>5701</v>
      </c>
      <c r="I1591" s="8">
        <v>1.0</v>
      </c>
      <c r="J1591" s="8">
        <v>0.0</v>
      </c>
      <c r="K1591" s="8">
        <v>0.0</v>
      </c>
    </row>
    <row r="1592">
      <c r="A1592" s="7" t="s">
        <v>5702</v>
      </c>
      <c r="B1592" s="8" t="s">
        <v>5703</v>
      </c>
      <c r="C1592" s="8" t="s">
        <v>3180</v>
      </c>
      <c r="D1592" s="12" t="s">
        <v>766</v>
      </c>
      <c r="E1592" s="13" t="s">
        <v>41</v>
      </c>
      <c r="F1592" s="8" t="s">
        <v>767</v>
      </c>
      <c r="G1592" s="8" t="b">
        <v>0</v>
      </c>
      <c r="I1592" s="8">
        <v>1.0</v>
      </c>
      <c r="J1592" s="8">
        <v>0.0</v>
      </c>
      <c r="K1592" s="8">
        <v>0.0</v>
      </c>
    </row>
    <row r="1593">
      <c r="A1593" s="7" t="s">
        <v>5704</v>
      </c>
      <c r="B1593" s="8" t="s">
        <v>5705</v>
      </c>
      <c r="C1593" s="7" t="s">
        <v>3181</v>
      </c>
      <c r="D1593" s="12" t="s">
        <v>560</v>
      </c>
      <c r="E1593" s="13" t="s">
        <v>41</v>
      </c>
      <c r="F1593" s="8" t="s">
        <v>561</v>
      </c>
      <c r="G1593" s="8" t="b">
        <v>0</v>
      </c>
      <c r="H1593" s="8" t="s">
        <v>5706</v>
      </c>
      <c r="I1593" s="8">
        <v>1.0</v>
      </c>
      <c r="J1593" s="8">
        <v>0.0</v>
      </c>
      <c r="K1593" s="8">
        <v>1.0</v>
      </c>
    </row>
    <row r="1594">
      <c r="A1594" s="7" t="s">
        <v>5707</v>
      </c>
      <c r="B1594" s="8" t="s">
        <v>5708</v>
      </c>
      <c r="C1594" s="7" t="s">
        <v>1848</v>
      </c>
      <c r="D1594" s="12" t="s">
        <v>39</v>
      </c>
      <c r="E1594" s="13" t="s">
        <v>190</v>
      </c>
      <c r="F1594" s="8" t="s">
        <v>42</v>
      </c>
      <c r="G1594" s="8" t="b">
        <v>0</v>
      </c>
      <c r="H1594" s="8" t="s">
        <v>5709</v>
      </c>
      <c r="I1594" s="8">
        <v>1.0</v>
      </c>
      <c r="J1594" s="8">
        <v>0.0</v>
      </c>
      <c r="K1594" s="8">
        <v>1.0</v>
      </c>
    </row>
    <row r="1595">
      <c r="A1595" s="7" t="s">
        <v>5710</v>
      </c>
      <c r="B1595" s="8" t="s">
        <v>5711</v>
      </c>
      <c r="C1595" s="7" t="s">
        <v>1848</v>
      </c>
      <c r="D1595" s="12" t="s">
        <v>39</v>
      </c>
      <c r="E1595" s="13" t="s">
        <v>190</v>
      </c>
      <c r="F1595" s="8" t="s">
        <v>42</v>
      </c>
      <c r="G1595" s="8" t="b">
        <v>0</v>
      </c>
      <c r="H1595" s="8" t="s">
        <v>5712</v>
      </c>
      <c r="I1595" s="8">
        <v>1.0</v>
      </c>
      <c r="J1595" s="8">
        <v>0.0</v>
      </c>
      <c r="K1595" s="8">
        <v>0.0</v>
      </c>
    </row>
    <row r="1596">
      <c r="A1596" s="7" t="s">
        <v>5713</v>
      </c>
      <c r="B1596" s="8" t="s">
        <v>5714</v>
      </c>
      <c r="C1596" s="7" t="s">
        <v>3186</v>
      </c>
      <c r="D1596" s="12" t="s">
        <v>39</v>
      </c>
      <c r="E1596" s="13" t="s">
        <v>41</v>
      </c>
      <c r="F1596" s="8" t="s">
        <v>42</v>
      </c>
      <c r="G1596" s="8" t="b">
        <v>0</v>
      </c>
      <c r="H1596" s="8" t="s">
        <v>5715</v>
      </c>
      <c r="I1596" s="8">
        <v>1.0</v>
      </c>
      <c r="J1596" s="8">
        <v>0.0</v>
      </c>
      <c r="K1596" s="8">
        <v>0.0</v>
      </c>
    </row>
    <row r="1597">
      <c r="A1597" s="7" t="s">
        <v>5716</v>
      </c>
      <c r="B1597" s="8" t="s">
        <v>5717</v>
      </c>
      <c r="C1597" s="7" t="s">
        <v>3190</v>
      </c>
      <c r="D1597" s="12" t="s">
        <v>39</v>
      </c>
      <c r="E1597" s="13" t="s">
        <v>41</v>
      </c>
      <c r="F1597" s="8" t="s">
        <v>42</v>
      </c>
      <c r="G1597" s="8" t="b">
        <v>0</v>
      </c>
      <c r="I1597" s="8">
        <v>1.0</v>
      </c>
      <c r="J1597" s="8">
        <v>0.0</v>
      </c>
      <c r="K1597" s="8">
        <v>0.0</v>
      </c>
    </row>
    <row r="1598">
      <c r="A1598" s="7" t="s">
        <v>5718</v>
      </c>
      <c r="B1598" s="8" t="s">
        <v>5719</v>
      </c>
      <c r="C1598" s="7" t="s">
        <v>71</v>
      </c>
      <c r="D1598" s="12" t="s">
        <v>1425</v>
      </c>
      <c r="E1598" s="13" t="s">
        <v>76</v>
      </c>
      <c r="F1598" s="8" t="s">
        <v>1426</v>
      </c>
      <c r="H1598" s="8" t="s">
        <v>1246</v>
      </c>
      <c r="I1598" s="8">
        <v>1.0</v>
      </c>
      <c r="J1598" s="8">
        <v>0.0</v>
      </c>
      <c r="K1598" s="8">
        <v>0.0</v>
      </c>
    </row>
    <row r="1599">
      <c r="A1599" s="7" t="s">
        <v>5720</v>
      </c>
      <c r="B1599" s="8" t="s">
        <v>5721</v>
      </c>
      <c r="C1599" s="7" t="s">
        <v>71</v>
      </c>
      <c r="D1599" s="12" t="s">
        <v>1425</v>
      </c>
      <c r="E1599" s="13" t="s">
        <v>76</v>
      </c>
      <c r="F1599" s="8" t="s">
        <v>1426</v>
      </c>
      <c r="G1599" s="8" t="b">
        <v>0</v>
      </c>
      <c r="H1599" s="8" t="s">
        <v>5722</v>
      </c>
      <c r="I1599" s="8">
        <v>1.0</v>
      </c>
      <c r="J1599" s="8">
        <v>0.0</v>
      </c>
      <c r="K1599" s="8">
        <v>2.0</v>
      </c>
    </row>
    <row r="1600">
      <c r="A1600" s="7" t="s">
        <v>5723</v>
      </c>
      <c r="B1600" s="8" t="s">
        <v>5724</v>
      </c>
      <c r="C1600" s="7" t="s">
        <v>71</v>
      </c>
      <c r="D1600" s="12" t="s">
        <v>1425</v>
      </c>
      <c r="E1600" s="13" t="s">
        <v>76</v>
      </c>
      <c r="F1600" s="8" t="s">
        <v>1426</v>
      </c>
      <c r="G1600" s="8" t="b">
        <v>0</v>
      </c>
      <c r="I1600" s="8">
        <v>1.0</v>
      </c>
      <c r="J1600" s="8">
        <v>0.0</v>
      </c>
      <c r="K1600" s="8">
        <v>1.0</v>
      </c>
    </row>
    <row r="1601">
      <c r="A1601" s="7" t="s">
        <v>5725</v>
      </c>
      <c r="B1601" s="8" t="s">
        <v>5726</v>
      </c>
      <c r="C1601" s="7" t="s">
        <v>71</v>
      </c>
      <c r="D1601" s="12" t="s">
        <v>1425</v>
      </c>
      <c r="E1601" s="13" t="s">
        <v>76</v>
      </c>
      <c r="F1601" s="8" t="s">
        <v>1426</v>
      </c>
      <c r="G1601" s="8" t="b">
        <v>0</v>
      </c>
      <c r="H1601" s="8" t="s">
        <v>1000</v>
      </c>
      <c r="I1601" s="8">
        <v>1.0</v>
      </c>
      <c r="J1601" s="8">
        <v>0.0</v>
      </c>
      <c r="K1601" s="8">
        <v>2.0</v>
      </c>
    </row>
    <row r="1602">
      <c r="A1602" s="7" t="s">
        <v>5727</v>
      </c>
      <c r="B1602" s="8" t="s">
        <v>5728</v>
      </c>
      <c r="C1602" s="7" t="s">
        <v>71</v>
      </c>
      <c r="D1602" s="12" t="s">
        <v>1425</v>
      </c>
      <c r="E1602" s="13" t="s">
        <v>76</v>
      </c>
      <c r="F1602" s="8" t="s">
        <v>1426</v>
      </c>
      <c r="G1602" s="8" t="b">
        <v>0</v>
      </c>
      <c r="H1602" s="8" t="s">
        <v>5729</v>
      </c>
      <c r="I1602" s="8">
        <v>1.0</v>
      </c>
      <c r="J1602" s="8">
        <v>0.0</v>
      </c>
      <c r="K1602" s="8">
        <v>2.0</v>
      </c>
    </row>
    <row r="1603">
      <c r="A1603" s="7" t="s">
        <v>5730</v>
      </c>
      <c r="B1603" s="8" t="s">
        <v>5731</v>
      </c>
      <c r="C1603" s="7" t="s">
        <v>71</v>
      </c>
      <c r="D1603" s="12" t="s">
        <v>1425</v>
      </c>
      <c r="E1603" s="13" t="s">
        <v>76</v>
      </c>
      <c r="F1603" s="8" t="s">
        <v>1426</v>
      </c>
      <c r="G1603" s="8" t="b">
        <v>0</v>
      </c>
      <c r="H1603" s="8" t="s">
        <v>5732</v>
      </c>
      <c r="I1603" s="8">
        <v>1.0</v>
      </c>
      <c r="J1603" s="8">
        <v>0.0</v>
      </c>
      <c r="K1603" s="8">
        <v>3.0</v>
      </c>
    </row>
    <row r="1604">
      <c r="A1604" s="7" t="s">
        <v>5733</v>
      </c>
      <c r="B1604" s="8" t="s">
        <v>5734</v>
      </c>
      <c r="C1604" s="7" t="s">
        <v>71</v>
      </c>
      <c r="D1604" s="12" t="s">
        <v>1425</v>
      </c>
      <c r="E1604" s="13" t="s">
        <v>76</v>
      </c>
      <c r="F1604" s="8" t="s">
        <v>1426</v>
      </c>
      <c r="G1604" s="8" t="b">
        <v>0</v>
      </c>
      <c r="I1604" s="8">
        <v>1.0</v>
      </c>
      <c r="J1604" s="8">
        <v>0.0</v>
      </c>
      <c r="K1604" s="8">
        <v>1.0</v>
      </c>
    </row>
    <row r="1605">
      <c r="A1605" s="7" t="s">
        <v>5735</v>
      </c>
      <c r="B1605" s="8" t="s">
        <v>5736</v>
      </c>
      <c r="C1605" s="7" t="s">
        <v>71</v>
      </c>
      <c r="D1605" s="12" t="s">
        <v>1425</v>
      </c>
      <c r="E1605" s="13" t="s">
        <v>76</v>
      </c>
      <c r="F1605" s="8" t="s">
        <v>1426</v>
      </c>
      <c r="G1605" s="8" t="b">
        <v>0</v>
      </c>
      <c r="I1605" s="8">
        <v>1.0</v>
      </c>
      <c r="J1605" s="8">
        <v>0.0</v>
      </c>
      <c r="K1605" s="8">
        <v>0.0</v>
      </c>
    </row>
    <row r="1606">
      <c r="A1606" s="7" t="s">
        <v>5737</v>
      </c>
      <c r="B1606" s="8" t="s">
        <v>5738</v>
      </c>
      <c r="C1606" s="7" t="s">
        <v>71</v>
      </c>
      <c r="D1606" s="12" t="s">
        <v>1425</v>
      </c>
      <c r="E1606" s="13" t="s">
        <v>76</v>
      </c>
      <c r="F1606" s="8" t="s">
        <v>1426</v>
      </c>
      <c r="G1606" s="8" t="b">
        <v>0</v>
      </c>
      <c r="H1606" s="8" t="s">
        <v>5739</v>
      </c>
      <c r="I1606" s="8">
        <v>1.0</v>
      </c>
      <c r="J1606" s="8">
        <v>0.0</v>
      </c>
      <c r="K1606" s="8">
        <v>1.0</v>
      </c>
    </row>
    <row r="1607">
      <c r="A1607" s="7" t="s">
        <v>5740</v>
      </c>
      <c r="B1607" s="8" t="s">
        <v>5741</v>
      </c>
      <c r="C1607" s="7" t="s">
        <v>71</v>
      </c>
      <c r="D1607" s="12" t="s">
        <v>1425</v>
      </c>
      <c r="E1607" s="13" t="s">
        <v>76</v>
      </c>
      <c r="F1607" s="8" t="s">
        <v>1426</v>
      </c>
      <c r="G1607" s="8" t="b">
        <v>0</v>
      </c>
      <c r="H1607" s="8" t="s">
        <v>5742</v>
      </c>
      <c r="I1607" s="8">
        <v>1.0</v>
      </c>
      <c r="J1607" s="8">
        <v>0.0</v>
      </c>
      <c r="K1607" s="8">
        <v>1.0</v>
      </c>
    </row>
    <row r="1608">
      <c r="A1608" s="7" t="s">
        <v>5743</v>
      </c>
      <c r="B1608" s="8" t="s">
        <v>5744</v>
      </c>
      <c r="C1608" s="7" t="s">
        <v>71</v>
      </c>
      <c r="D1608" s="12" t="s">
        <v>1425</v>
      </c>
      <c r="E1608" s="13" t="s">
        <v>76</v>
      </c>
      <c r="F1608" s="8" t="s">
        <v>1426</v>
      </c>
      <c r="G1608" s="8" t="b">
        <v>0</v>
      </c>
      <c r="H1608" s="8" t="s">
        <v>1804</v>
      </c>
      <c r="I1608" s="8">
        <v>1.0</v>
      </c>
      <c r="J1608" s="8">
        <v>0.0</v>
      </c>
      <c r="K1608" s="8">
        <v>2.0</v>
      </c>
    </row>
    <row r="1609">
      <c r="A1609" s="7" t="s">
        <v>5745</v>
      </c>
      <c r="B1609" s="8" t="s">
        <v>5746</v>
      </c>
      <c r="C1609" s="7" t="s">
        <v>71</v>
      </c>
      <c r="D1609" s="12" t="s">
        <v>1425</v>
      </c>
      <c r="E1609" s="13" t="s">
        <v>76</v>
      </c>
      <c r="F1609" s="8" t="s">
        <v>1426</v>
      </c>
      <c r="G1609" s="8" t="b">
        <v>0</v>
      </c>
      <c r="H1609" s="8" t="s">
        <v>3828</v>
      </c>
      <c r="I1609" s="8">
        <v>1.0</v>
      </c>
      <c r="J1609" s="8">
        <v>0.0</v>
      </c>
      <c r="K1609" s="8">
        <v>2.0</v>
      </c>
    </row>
    <row r="1610">
      <c r="A1610" s="7" t="s">
        <v>5747</v>
      </c>
      <c r="B1610" s="8" t="s">
        <v>5748</v>
      </c>
      <c r="C1610" s="7" t="s">
        <v>71</v>
      </c>
      <c r="D1610" s="12" t="s">
        <v>1425</v>
      </c>
      <c r="E1610" s="13" t="s">
        <v>76</v>
      </c>
      <c r="F1610" s="8" t="s">
        <v>1426</v>
      </c>
      <c r="G1610" s="8" t="b">
        <v>0</v>
      </c>
      <c r="H1610" s="8" t="s">
        <v>5749</v>
      </c>
      <c r="I1610" s="8">
        <v>1.0</v>
      </c>
      <c r="J1610" s="8">
        <v>0.0</v>
      </c>
      <c r="K1610" s="8">
        <v>1.0</v>
      </c>
    </row>
    <row r="1611">
      <c r="A1611" s="7" t="s">
        <v>5750</v>
      </c>
      <c r="B1611" s="8" t="s">
        <v>5751</v>
      </c>
      <c r="C1611" s="7" t="s">
        <v>3193</v>
      </c>
      <c r="D1611" s="12" t="s">
        <v>39</v>
      </c>
      <c r="E1611" s="13" t="s">
        <v>41</v>
      </c>
      <c r="F1611" s="8" t="s">
        <v>42</v>
      </c>
      <c r="G1611" s="8" t="b">
        <v>0</v>
      </c>
      <c r="H1611" s="8" t="s">
        <v>5752</v>
      </c>
      <c r="I1611" s="8">
        <v>1.0</v>
      </c>
      <c r="J1611" s="8">
        <v>0.0</v>
      </c>
      <c r="K1611" s="8">
        <v>0.0</v>
      </c>
    </row>
    <row r="1612">
      <c r="A1612" s="7" t="s">
        <v>5753</v>
      </c>
      <c r="B1612" s="8" t="s">
        <v>5754</v>
      </c>
      <c r="C1612" s="7" t="s">
        <v>1508</v>
      </c>
      <c r="D1612" s="12" t="s">
        <v>39</v>
      </c>
      <c r="E1612" s="13" t="s">
        <v>190</v>
      </c>
      <c r="F1612" s="8" t="s">
        <v>42</v>
      </c>
      <c r="G1612" s="8" t="b">
        <v>0</v>
      </c>
      <c r="H1612" s="8" t="s">
        <v>5755</v>
      </c>
      <c r="I1612" s="8">
        <v>1.0</v>
      </c>
      <c r="J1612" s="8">
        <v>0.0</v>
      </c>
      <c r="K1612" s="8">
        <v>1.0</v>
      </c>
    </row>
    <row r="1613">
      <c r="A1613" s="7" t="s">
        <v>5756</v>
      </c>
      <c r="B1613" s="8" t="s">
        <v>5757</v>
      </c>
      <c r="C1613" s="7" t="s">
        <v>1116</v>
      </c>
      <c r="D1613" s="12" t="s">
        <v>693</v>
      </c>
      <c r="E1613" s="13" t="s">
        <v>753</v>
      </c>
      <c r="F1613" s="8" t="s">
        <v>695</v>
      </c>
      <c r="G1613" s="8" t="b">
        <v>0</v>
      </c>
      <c r="H1613" s="8" t="s">
        <v>5758</v>
      </c>
      <c r="I1613" s="8">
        <v>1.0</v>
      </c>
      <c r="J1613" s="8">
        <v>0.0</v>
      </c>
      <c r="K1613" s="8">
        <v>1.0</v>
      </c>
    </row>
    <row r="1614">
      <c r="A1614" s="7" t="s">
        <v>5759</v>
      </c>
      <c r="C1614" s="7" t="s">
        <v>3197</v>
      </c>
      <c r="D1614" s="12" t="s">
        <v>190</v>
      </c>
      <c r="E1614" s="13" t="s">
        <v>41</v>
      </c>
      <c r="F1614" s="8" t="s">
        <v>191</v>
      </c>
      <c r="H1614" s="8" t="s">
        <v>1246</v>
      </c>
      <c r="I1614" s="8">
        <v>1.0</v>
      </c>
      <c r="J1614" s="8">
        <v>0.0</v>
      </c>
      <c r="K1614" s="8">
        <v>0.0</v>
      </c>
    </row>
    <row r="1615">
      <c r="A1615" s="7" t="s">
        <v>5760</v>
      </c>
      <c r="B1615" s="8" t="s">
        <v>5761</v>
      </c>
      <c r="C1615" s="7" t="s">
        <v>3201</v>
      </c>
      <c r="D1615" s="12" t="s">
        <v>39</v>
      </c>
      <c r="E1615" s="13" t="s">
        <v>41</v>
      </c>
      <c r="F1615" s="8" t="s">
        <v>42</v>
      </c>
      <c r="G1615" s="8" t="b">
        <v>0</v>
      </c>
      <c r="I1615" s="8">
        <v>1.0</v>
      </c>
      <c r="J1615" s="8">
        <v>0.0</v>
      </c>
      <c r="K1615" s="8">
        <v>1.0</v>
      </c>
    </row>
    <row r="1616">
      <c r="A1616" s="7" t="s">
        <v>5762</v>
      </c>
      <c r="B1616" s="8" t="s">
        <v>5763</v>
      </c>
      <c r="C1616" s="7" t="s">
        <v>233</v>
      </c>
      <c r="D1616" s="12" t="s">
        <v>39</v>
      </c>
      <c r="E1616" s="13" t="s">
        <v>41</v>
      </c>
      <c r="F1616" s="8" t="s">
        <v>42</v>
      </c>
      <c r="G1616" s="8" t="b">
        <v>0</v>
      </c>
      <c r="H1616" s="8" t="s">
        <v>5764</v>
      </c>
      <c r="I1616" s="8">
        <v>1.0</v>
      </c>
      <c r="J1616" s="8">
        <v>0.0</v>
      </c>
      <c r="K1616" s="8">
        <v>1.0</v>
      </c>
    </row>
    <row r="1617">
      <c r="A1617" s="7" t="s">
        <v>5765</v>
      </c>
      <c r="B1617" s="8" t="s">
        <v>5766</v>
      </c>
      <c r="C1617" s="7" t="s">
        <v>435</v>
      </c>
      <c r="D1617" s="12" t="s">
        <v>39</v>
      </c>
      <c r="E1617" s="13" t="s">
        <v>22</v>
      </c>
      <c r="F1617" s="8" t="s">
        <v>42</v>
      </c>
      <c r="G1617" s="8" t="b">
        <v>0</v>
      </c>
      <c r="H1617" s="8" t="s">
        <v>5767</v>
      </c>
      <c r="I1617" s="8">
        <v>1.0</v>
      </c>
      <c r="J1617" s="8">
        <v>0.0</v>
      </c>
      <c r="K1617" s="8">
        <v>1.0</v>
      </c>
    </row>
    <row r="1618">
      <c r="A1618" s="7" t="s">
        <v>5768</v>
      </c>
      <c r="B1618" s="8" t="s">
        <v>5769</v>
      </c>
      <c r="C1618" s="7" t="s">
        <v>3204</v>
      </c>
      <c r="D1618" s="12" t="s">
        <v>39</v>
      </c>
      <c r="E1618" s="13" t="s">
        <v>753</v>
      </c>
      <c r="F1618" s="8" t="s">
        <v>42</v>
      </c>
      <c r="G1618" s="8" t="b">
        <v>0</v>
      </c>
      <c r="H1618" s="8" t="s">
        <v>2173</v>
      </c>
      <c r="I1618" s="8">
        <v>1.0</v>
      </c>
      <c r="J1618" s="8">
        <v>0.0</v>
      </c>
      <c r="K1618" s="8">
        <v>1.0</v>
      </c>
    </row>
    <row r="1619">
      <c r="A1619" s="7" t="s">
        <v>5770</v>
      </c>
      <c r="B1619" s="8" t="s">
        <v>5771</v>
      </c>
      <c r="C1619" s="7" t="s">
        <v>1569</v>
      </c>
      <c r="D1619" s="12" t="s">
        <v>560</v>
      </c>
      <c r="E1619" s="13" t="s">
        <v>22</v>
      </c>
      <c r="F1619" s="8" t="s">
        <v>561</v>
      </c>
      <c r="G1619" s="8" t="b">
        <v>0</v>
      </c>
      <c r="H1619" s="8" t="s">
        <v>1571</v>
      </c>
      <c r="I1619" s="8">
        <v>1.0</v>
      </c>
      <c r="J1619" s="8">
        <v>0.0</v>
      </c>
      <c r="K1619" s="8">
        <v>1.0</v>
      </c>
    </row>
    <row r="1620">
      <c r="A1620" s="7" t="s">
        <v>5772</v>
      </c>
      <c r="B1620" s="8" t="s">
        <v>5773</v>
      </c>
      <c r="C1620" s="7" t="s">
        <v>1569</v>
      </c>
      <c r="D1620" s="12" t="s">
        <v>693</v>
      </c>
      <c r="E1620" s="13" t="s">
        <v>22</v>
      </c>
      <c r="F1620" s="8" t="s">
        <v>695</v>
      </c>
      <c r="G1620" s="8" t="b">
        <v>0</v>
      </c>
      <c r="H1620" s="8" t="s">
        <v>1571</v>
      </c>
      <c r="I1620" s="8">
        <v>1.0</v>
      </c>
      <c r="J1620" s="8">
        <v>0.0</v>
      </c>
      <c r="K1620" s="8">
        <v>1.0</v>
      </c>
    </row>
    <row r="1621">
      <c r="A1621" s="7" t="s">
        <v>5774</v>
      </c>
      <c r="B1621" s="8" t="s">
        <v>5775</v>
      </c>
      <c r="C1621" s="7" t="s">
        <v>3208</v>
      </c>
      <c r="D1621" s="12" t="s">
        <v>554</v>
      </c>
      <c r="E1621" s="13" t="s">
        <v>41</v>
      </c>
      <c r="F1621" s="8" t="s">
        <v>555</v>
      </c>
      <c r="G1621" s="8" t="b">
        <v>0</v>
      </c>
      <c r="I1621" s="8">
        <v>1.0</v>
      </c>
      <c r="J1621" s="8">
        <v>0.0</v>
      </c>
      <c r="K1621" s="8">
        <v>1.0</v>
      </c>
    </row>
    <row r="1622">
      <c r="A1622" s="7" t="s">
        <v>5776</v>
      </c>
      <c r="B1622" s="8" t="s">
        <v>5777</v>
      </c>
      <c r="C1622" s="7" t="s">
        <v>3210</v>
      </c>
      <c r="D1622" s="12" t="s">
        <v>554</v>
      </c>
      <c r="E1622" s="13" t="s">
        <v>41</v>
      </c>
      <c r="F1622" s="8" t="s">
        <v>555</v>
      </c>
      <c r="G1622" s="8" t="b">
        <v>0</v>
      </c>
      <c r="I1622" s="8">
        <v>1.0</v>
      </c>
      <c r="J1622" s="8">
        <v>0.0</v>
      </c>
      <c r="K1622" s="8">
        <v>0.0</v>
      </c>
    </row>
    <row r="1623">
      <c r="A1623" s="7" t="s">
        <v>5778</v>
      </c>
      <c r="B1623" s="8" t="s">
        <v>5779</v>
      </c>
      <c r="C1623" s="7" t="s">
        <v>3214</v>
      </c>
      <c r="D1623" s="12" t="s">
        <v>693</v>
      </c>
      <c r="E1623" s="13" t="s">
        <v>41</v>
      </c>
      <c r="F1623" s="8" t="s">
        <v>695</v>
      </c>
      <c r="G1623" s="8" t="b">
        <v>0</v>
      </c>
      <c r="H1623" s="8" t="s">
        <v>5780</v>
      </c>
      <c r="I1623" s="8">
        <v>1.0</v>
      </c>
      <c r="J1623" s="8">
        <v>0.0</v>
      </c>
      <c r="K1623" s="8">
        <v>1.0</v>
      </c>
    </row>
    <row r="1624">
      <c r="A1624" s="7" t="s">
        <v>5781</v>
      </c>
      <c r="B1624" s="8" t="s">
        <v>5782</v>
      </c>
      <c r="C1624" s="7" t="s">
        <v>3218</v>
      </c>
      <c r="D1624" s="12" t="s">
        <v>104</v>
      </c>
      <c r="E1624" s="13" t="s">
        <v>41</v>
      </c>
      <c r="F1624" s="8" t="s">
        <v>106</v>
      </c>
      <c r="G1624" s="8" t="b">
        <v>0</v>
      </c>
      <c r="H1624" s="8" t="s">
        <v>803</v>
      </c>
      <c r="I1624" s="8">
        <v>1.0</v>
      </c>
      <c r="J1624" s="8">
        <v>0.0</v>
      </c>
      <c r="K1624" s="8">
        <v>1.0</v>
      </c>
    </row>
    <row r="1625">
      <c r="A1625" s="7" t="s">
        <v>5783</v>
      </c>
      <c r="B1625" s="8" t="s">
        <v>5784</v>
      </c>
      <c r="C1625" s="7" t="s">
        <v>2049</v>
      </c>
      <c r="D1625" s="12" t="s">
        <v>766</v>
      </c>
      <c r="E1625" s="13" t="s">
        <v>41</v>
      </c>
      <c r="F1625" s="8" t="s">
        <v>767</v>
      </c>
      <c r="G1625" s="8" t="b">
        <v>0</v>
      </c>
      <c r="I1625" s="8">
        <v>1.0</v>
      </c>
      <c r="J1625" s="8">
        <v>0.0</v>
      </c>
      <c r="K1625" s="8">
        <v>0.0</v>
      </c>
    </row>
    <row r="1626">
      <c r="A1626" s="7" t="s">
        <v>5785</v>
      </c>
      <c r="B1626" s="8" t="s">
        <v>5786</v>
      </c>
      <c r="C1626" s="7" t="s">
        <v>2049</v>
      </c>
      <c r="D1626" s="12" t="s">
        <v>766</v>
      </c>
      <c r="E1626" s="13" t="s">
        <v>41</v>
      </c>
      <c r="F1626" s="8" t="s">
        <v>767</v>
      </c>
      <c r="G1626" s="8" t="b">
        <v>0</v>
      </c>
      <c r="I1626" s="8">
        <v>1.0</v>
      </c>
      <c r="J1626" s="8">
        <v>0.0</v>
      </c>
      <c r="K1626" s="8">
        <v>0.0</v>
      </c>
    </row>
    <row r="1627">
      <c r="A1627" s="7" t="s">
        <v>5787</v>
      </c>
      <c r="B1627" s="8" t="s">
        <v>5788</v>
      </c>
      <c r="C1627" s="7" t="s">
        <v>3220</v>
      </c>
      <c r="D1627" s="12" t="s">
        <v>560</v>
      </c>
      <c r="E1627" s="13" t="s">
        <v>22</v>
      </c>
      <c r="F1627" s="8" t="s">
        <v>561</v>
      </c>
      <c r="G1627" s="8" t="b">
        <v>0</v>
      </c>
      <c r="H1627" s="8" t="s">
        <v>3222</v>
      </c>
      <c r="I1627" s="8">
        <v>1.0</v>
      </c>
      <c r="J1627" s="8">
        <v>0.0</v>
      </c>
      <c r="K1627" s="8">
        <v>0.0</v>
      </c>
    </row>
    <row r="1628">
      <c r="A1628" s="7" t="s">
        <v>5789</v>
      </c>
      <c r="B1628" s="8" t="s">
        <v>5790</v>
      </c>
      <c r="C1628" s="7" t="s">
        <v>440</v>
      </c>
      <c r="D1628" s="12" t="s">
        <v>39</v>
      </c>
      <c r="E1628" s="13" t="s">
        <v>41</v>
      </c>
      <c r="F1628" s="8" t="s">
        <v>42</v>
      </c>
      <c r="G1628" s="8" t="b">
        <v>0</v>
      </c>
      <c r="H1628" s="8" t="s">
        <v>5791</v>
      </c>
      <c r="I1628" s="8">
        <v>1.0</v>
      </c>
      <c r="J1628" s="8">
        <v>0.0</v>
      </c>
      <c r="K1628" s="8">
        <v>1.0</v>
      </c>
    </row>
    <row r="1629">
      <c r="A1629" s="7" t="s">
        <v>5792</v>
      </c>
      <c r="B1629" s="8" t="s">
        <v>5793</v>
      </c>
      <c r="C1629" s="7" t="s">
        <v>1185</v>
      </c>
      <c r="D1629" s="12" t="s">
        <v>766</v>
      </c>
      <c r="E1629" s="13" t="s">
        <v>41</v>
      </c>
      <c r="F1629" s="8" t="s">
        <v>767</v>
      </c>
      <c r="G1629" s="8" t="b">
        <v>0</v>
      </c>
      <c r="H1629" s="8" t="s">
        <v>498</v>
      </c>
      <c r="I1629" s="8">
        <v>1.0</v>
      </c>
      <c r="J1629" s="8">
        <v>0.0</v>
      </c>
      <c r="K1629" s="8">
        <v>1.0</v>
      </c>
    </row>
    <row r="1630">
      <c r="A1630" s="7" t="s">
        <v>5794</v>
      </c>
      <c r="B1630" s="8" t="s">
        <v>5795</v>
      </c>
      <c r="C1630" s="7" t="s">
        <v>3223</v>
      </c>
      <c r="D1630" s="12" t="s">
        <v>39</v>
      </c>
      <c r="E1630" s="13" t="s">
        <v>41</v>
      </c>
      <c r="F1630" s="8" t="s">
        <v>42</v>
      </c>
      <c r="G1630" s="8" t="b">
        <v>0</v>
      </c>
      <c r="H1630" s="8" t="s">
        <v>3225</v>
      </c>
      <c r="I1630" s="8">
        <v>1.0</v>
      </c>
      <c r="J1630" s="8">
        <v>0.0</v>
      </c>
      <c r="K1630" s="8">
        <v>0.0</v>
      </c>
    </row>
    <row r="1631">
      <c r="A1631" s="7" t="s">
        <v>5796</v>
      </c>
      <c r="B1631" s="8" t="s">
        <v>5797</v>
      </c>
      <c r="C1631" s="7" t="s">
        <v>3226</v>
      </c>
      <c r="D1631" s="12" t="s">
        <v>104</v>
      </c>
      <c r="E1631" s="13" t="s">
        <v>41</v>
      </c>
      <c r="F1631" s="8" t="s">
        <v>106</v>
      </c>
      <c r="G1631" s="8" t="b">
        <v>0</v>
      </c>
      <c r="H1631" s="8" t="s">
        <v>5798</v>
      </c>
      <c r="I1631" s="8">
        <v>1.0</v>
      </c>
      <c r="J1631" s="8">
        <v>0.0</v>
      </c>
      <c r="K1631" s="8">
        <v>1.0</v>
      </c>
    </row>
    <row r="1632">
      <c r="A1632" s="7" t="s">
        <v>5799</v>
      </c>
      <c r="B1632" s="8" t="s">
        <v>5800</v>
      </c>
      <c r="C1632" s="7" t="s">
        <v>3231</v>
      </c>
      <c r="D1632" s="12" t="s">
        <v>554</v>
      </c>
      <c r="E1632" s="13" t="s">
        <v>41</v>
      </c>
      <c r="F1632" s="8" t="s">
        <v>555</v>
      </c>
      <c r="G1632" s="8" t="b">
        <v>0</v>
      </c>
      <c r="I1632" s="8">
        <v>1.0</v>
      </c>
      <c r="J1632" s="8">
        <v>0.0</v>
      </c>
      <c r="K1632" s="8">
        <v>0.0</v>
      </c>
    </row>
    <row r="1633">
      <c r="A1633" s="7" t="s">
        <v>5801</v>
      </c>
      <c r="B1633" s="8" t="s">
        <v>5802</v>
      </c>
      <c r="C1633" s="7" t="s">
        <v>253</v>
      </c>
      <c r="D1633" s="12" t="s">
        <v>21</v>
      </c>
      <c r="E1633" s="13" t="s">
        <v>41</v>
      </c>
      <c r="F1633" s="8" t="s">
        <v>24</v>
      </c>
      <c r="G1633" s="8" t="b">
        <v>0</v>
      </c>
      <c r="H1633" s="8" t="s">
        <v>186</v>
      </c>
      <c r="I1633" s="8">
        <v>1.0</v>
      </c>
      <c r="J1633" s="8">
        <v>0.0</v>
      </c>
      <c r="K1633" s="8">
        <v>0.0</v>
      </c>
    </row>
    <row r="1634">
      <c r="A1634" s="7" t="s">
        <v>5803</v>
      </c>
      <c r="B1634" s="8" t="s">
        <v>5804</v>
      </c>
      <c r="C1634" s="7" t="s">
        <v>253</v>
      </c>
      <c r="D1634" s="12" t="s">
        <v>190</v>
      </c>
      <c r="E1634" s="13" t="s">
        <v>41</v>
      </c>
      <c r="F1634" s="8" t="s">
        <v>191</v>
      </c>
      <c r="G1634" s="8" t="b">
        <v>0</v>
      </c>
      <c r="H1634" s="8" t="s">
        <v>5805</v>
      </c>
      <c r="I1634" s="8">
        <v>1.0</v>
      </c>
      <c r="J1634" s="8">
        <v>0.0</v>
      </c>
      <c r="K1634" s="8">
        <v>0.0</v>
      </c>
    </row>
    <row r="1635">
      <c r="A1635" s="7" t="s">
        <v>5806</v>
      </c>
      <c r="B1635" s="8" t="s">
        <v>5807</v>
      </c>
      <c r="C1635" s="7" t="s">
        <v>253</v>
      </c>
      <c r="D1635" s="12" t="s">
        <v>39</v>
      </c>
      <c r="E1635" s="13" t="s">
        <v>41</v>
      </c>
      <c r="F1635" s="8" t="s">
        <v>42</v>
      </c>
      <c r="G1635" s="8" t="b">
        <v>0</v>
      </c>
      <c r="H1635" s="8" t="s">
        <v>5808</v>
      </c>
      <c r="I1635" s="8">
        <v>1.0</v>
      </c>
      <c r="J1635" s="8">
        <v>0.0</v>
      </c>
      <c r="K1635" s="8">
        <v>0.0</v>
      </c>
    </row>
    <row r="1636">
      <c r="A1636" s="7" t="s">
        <v>5809</v>
      </c>
      <c r="B1636" s="8" t="s">
        <v>5810</v>
      </c>
      <c r="C1636" s="7" t="s">
        <v>3235</v>
      </c>
      <c r="D1636" s="12" t="s">
        <v>560</v>
      </c>
      <c r="E1636" s="13" t="s">
        <v>41</v>
      </c>
      <c r="F1636" s="8" t="s">
        <v>561</v>
      </c>
      <c r="G1636" s="8" t="b">
        <v>0</v>
      </c>
      <c r="I1636" s="8">
        <v>1.0</v>
      </c>
      <c r="J1636" s="8">
        <v>0.0</v>
      </c>
      <c r="K1636" s="8">
        <v>1.0</v>
      </c>
    </row>
    <row r="1637">
      <c r="A1637" s="7" t="s">
        <v>5811</v>
      </c>
      <c r="B1637" s="8" t="s">
        <v>5812</v>
      </c>
      <c r="C1637" s="7" t="s">
        <v>3237</v>
      </c>
      <c r="D1637" s="12" t="s">
        <v>72</v>
      </c>
      <c r="E1637" s="13" t="s">
        <v>41</v>
      </c>
      <c r="F1637" s="8" t="s">
        <v>74</v>
      </c>
      <c r="G1637" s="8" t="b">
        <v>0</v>
      </c>
      <c r="I1637" s="8">
        <v>1.0</v>
      </c>
      <c r="J1637" s="8">
        <v>0.0</v>
      </c>
      <c r="K1637" s="8">
        <v>0.0</v>
      </c>
    </row>
    <row r="1638">
      <c r="A1638" s="7" t="s">
        <v>5813</v>
      </c>
      <c r="C1638" s="7" t="s">
        <v>1511</v>
      </c>
      <c r="D1638" s="12" t="s">
        <v>190</v>
      </c>
      <c r="E1638" s="13" t="s">
        <v>41</v>
      </c>
      <c r="F1638" s="8" t="s">
        <v>191</v>
      </c>
      <c r="H1638" s="8" t="s">
        <v>1246</v>
      </c>
      <c r="I1638" s="8">
        <v>1.0</v>
      </c>
      <c r="J1638" s="8">
        <v>0.0</v>
      </c>
      <c r="K1638" s="8">
        <v>1.0</v>
      </c>
    </row>
    <row r="1639">
      <c r="A1639" s="7" t="s">
        <v>5814</v>
      </c>
      <c r="B1639" s="8" t="s">
        <v>5815</v>
      </c>
      <c r="C1639" s="7" t="s">
        <v>3240</v>
      </c>
      <c r="D1639" s="12" t="s">
        <v>39</v>
      </c>
      <c r="E1639" s="13" t="s">
        <v>41</v>
      </c>
      <c r="F1639" s="8" t="s">
        <v>42</v>
      </c>
      <c r="G1639" s="8" t="b">
        <v>0</v>
      </c>
      <c r="H1639" s="8" t="s">
        <v>5816</v>
      </c>
      <c r="I1639" s="8">
        <v>1.0</v>
      </c>
      <c r="J1639" s="8">
        <v>0.0</v>
      </c>
      <c r="K1639" s="8">
        <v>0.0</v>
      </c>
    </row>
    <row r="1640">
      <c r="A1640" s="7" t="s">
        <v>5817</v>
      </c>
      <c r="B1640" s="8" t="s">
        <v>5818</v>
      </c>
      <c r="C1640" s="7" t="s">
        <v>3250</v>
      </c>
      <c r="D1640" s="12" t="s">
        <v>554</v>
      </c>
      <c r="E1640" s="13" t="s">
        <v>41</v>
      </c>
      <c r="F1640" s="8" t="s">
        <v>555</v>
      </c>
      <c r="G1640" s="8" t="b">
        <v>0</v>
      </c>
      <c r="I1640" s="8">
        <v>1.0</v>
      </c>
      <c r="J1640" s="8">
        <v>0.0</v>
      </c>
      <c r="K1640" s="8">
        <v>0.0</v>
      </c>
    </row>
    <row r="1641">
      <c r="A1641" s="7" t="s">
        <v>5819</v>
      </c>
      <c r="B1641" s="8" t="s">
        <v>5820</v>
      </c>
      <c r="C1641" s="7" t="s">
        <v>1317</v>
      </c>
      <c r="D1641" s="12" t="s">
        <v>693</v>
      </c>
      <c r="E1641" s="13" t="s">
        <v>22</v>
      </c>
      <c r="F1641" s="8" t="s">
        <v>695</v>
      </c>
      <c r="G1641" s="8" t="b">
        <v>0</v>
      </c>
      <c r="H1641" s="8" t="s">
        <v>1320</v>
      </c>
      <c r="I1641" s="8">
        <v>1.0</v>
      </c>
      <c r="J1641" s="8">
        <v>0.0</v>
      </c>
      <c r="K1641" s="8">
        <v>0.0</v>
      </c>
    </row>
    <row r="1642">
      <c r="A1642" s="7" t="s">
        <v>5821</v>
      </c>
      <c r="B1642" s="8" t="s">
        <v>5822</v>
      </c>
      <c r="C1642" s="7" t="s">
        <v>201</v>
      </c>
      <c r="D1642" s="12" t="s">
        <v>39</v>
      </c>
      <c r="E1642" s="13" t="s">
        <v>22</v>
      </c>
      <c r="F1642" s="8" t="s">
        <v>42</v>
      </c>
      <c r="G1642" s="8" t="b">
        <v>0</v>
      </c>
      <c r="H1642" s="8" t="s">
        <v>5823</v>
      </c>
      <c r="I1642" s="8">
        <v>1.0</v>
      </c>
      <c r="J1642" s="8">
        <v>0.0</v>
      </c>
      <c r="K1642" s="8">
        <v>1.0</v>
      </c>
    </row>
    <row r="1643">
      <c r="A1643" s="7" t="s">
        <v>5824</v>
      </c>
      <c r="B1643" s="8" t="s">
        <v>5825</v>
      </c>
      <c r="C1643" s="7" t="s">
        <v>3258</v>
      </c>
      <c r="D1643" s="12" t="s">
        <v>39</v>
      </c>
      <c r="E1643" s="13" t="s">
        <v>41</v>
      </c>
      <c r="F1643" s="8" t="s">
        <v>42</v>
      </c>
      <c r="G1643" s="8" t="b">
        <v>0</v>
      </c>
      <c r="H1643" s="8" t="s">
        <v>3263</v>
      </c>
      <c r="I1643" s="8">
        <v>1.0</v>
      </c>
      <c r="J1643" s="8">
        <v>0.0</v>
      </c>
      <c r="K1643" s="8">
        <v>2.0</v>
      </c>
    </row>
    <row r="1644">
      <c r="A1644" s="7" t="s">
        <v>5826</v>
      </c>
      <c r="B1644" s="8" t="s">
        <v>5827</v>
      </c>
      <c r="C1644" s="7" t="s">
        <v>3264</v>
      </c>
      <c r="D1644" s="12" t="s">
        <v>766</v>
      </c>
      <c r="E1644" s="13" t="s">
        <v>41</v>
      </c>
      <c r="F1644" s="8" t="s">
        <v>767</v>
      </c>
      <c r="G1644" s="8" t="b">
        <v>0</v>
      </c>
      <c r="I1644" s="8">
        <v>1.0</v>
      </c>
      <c r="J1644" s="8">
        <v>0.0</v>
      </c>
      <c r="K1644" s="8">
        <v>0.0</v>
      </c>
    </row>
    <row r="1645">
      <c r="A1645" s="7" t="s">
        <v>5828</v>
      </c>
      <c r="B1645" s="8" t="s">
        <v>5829</v>
      </c>
      <c r="C1645" s="7" t="s">
        <v>1878</v>
      </c>
      <c r="D1645" s="12" t="s">
        <v>72</v>
      </c>
      <c r="E1645" s="13" t="s">
        <v>41</v>
      </c>
      <c r="F1645" s="8" t="s">
        <v>74</v>
      </c>
      <c r="G1645" s="8" t="b">
        <v>0</v>
      </c>
      <c r="H1645" s="8" t="s">
        <v>5830</v>
      </c>
      <c r="I1645" s="8">
        <v>1.0</v>
      </c>
      <c r="J1645" s="8">
        <v>0.0</v>
      </c>
      <c r="K1645" s="8">
        <v>0.0</v>
      </c>
    </row>
    <row r="1646">
      <c r="A1646" s="7" t="s">
        <v>5831</v>
      </c>
      <c r="B1646" s="8" t="s">
        <v>5832</v>
      </c>
      <c r="C1646" s="7" t="s">
        <v>1878</v>
      </c>
      <c r="D1646" s="12" t="s">
        <v>21</v>
      </c>
      <c r="E1646" s="13" t="s">
        <v>41</v>
      </c>
      <c r="F1646" s="8" t="s">
        <v>24</v>
      </c>
      <c r="G1646" s="8" t="b">
        <v>0</v>
      </c>
      <c r="H1646" s="8" t="s">
        <v>5833</v>
      </c>
      <c r="I1646" s="8">
        <v>1.0</v>
      </c>
      <c r="J1646" s="8">
        <v>0.0</v>
      </c>
      <c r="K1646" s="8">
        <v>0.0</v>
      </c>
    </row>
    <row r="1647">
      <c r="A1647" s="7" t="s">
        <v>5834</v>
      </c>
      <c r="B1647" s="8" t="s">
        <v>5835</v>
      </c>
      <c r="C1647" s="7" t="s">
        <v>1514</v>
      </c>
      <c r="D1647" s="12" t="s">
        <v>39</v>
      </c>
      <c r="E1647" s="13" t="s">
        <v>190</v>
      </c>
      <c r="F1647" s="8" t="s">
        <v>42</v>
      </c>
      <c r="G1647" s="8" t="b">
        <v>0</v>
      </c>
      <c r="H1647" s="8" t="s">
        <v>5836</v>
      </c>
      <c r="I1647" s="8">
        <v>1.0</v>
      </c>
      <c r="J1647" s="8">
        <v>0.0</v>
      </c>
      <c r="K1647" s="8">
        <v>0.0</v>
      </c>
    </row>
    <row r="1648">
      <c r="A1648" s="7" t="s">
        <v>5837</v>
      </c>
      <c r="B1648" s="8" t="s">
        <v>5838</v>
      </c>
      <c r="C1648" s="7" t="s">
        <v>40</v>
      </c>
      <c r="D1648" s="12" t="s">
        <v>72</v>
      </c>
      <c r="E1648" s="13" t="s">
        <v>41</v>
      </c>
      <c r="F1648" s="8" t="s">
        <v>74</v>
      </c>
      <c r="G1648" s="8" t="b">
        <v>0</v>
      </c>
      <c r="H1648" s="8" t="s">
        <v>3398</v>
      </c>
      <c r="I1648" s="8">
        <v>1.0</v>
      </c>
      <c r="J1648" s="8">
        <v>0.0</v>
      </c>
      <c r="K1648" s="8">
        <v>0.0</v>
      </c>
    </row>
    <row r="1649">
      <c r="A1649" s="7" t="s">
        <v>5839</v>
      </c>
      <c r="B1649" s="8" t="s">
        <v>5840</v>
      </c>
      <c r="C1649" s="7" t="s">
        <v>1518</v>
      </c>
      <c r="D1649" s="12" t="s">
        <v>766</v>
      </c>
      <c r="E1649" s="13" t="s">
        <v>41</v>
      </c>
      <c r="F1649" s="8" t="s">
        <v>767</v>
      </c>
      <c r="G1649" s="8" t="b">
        <v>0</v>
      </c>
      <c r="H1649" s="8" t="s">
        <v>5841</v>
      </c>
      <c r="I1649" s="8">
        <v>1.0</v>
      </c>
      <c r="J1649" s="8">
        <v>0.0</v>
      </c>
      <c r="K1649" s="8">
        <v>1.0</v>
      </c>
    </row>
    <row r="1650">
      <c r="A1650" s="7" t="s">
        <v>5842</v>
      </c>
      <c r="B1650" s="8" t="s">
        <v>5843</v>
      </c>
      <c r="C1650" s="7" t="s">
        <v>3268</v>
      </c>
      <c r="D1650" s="12" t="s">
        <v>766</v>
      </c>
      <c r="E1650" s="13" t="s">
        <v>41</v>
      </c>
      <c r="F1650" s="8" t="s">
        <v>767</v>
      </c>
      <c r="G1650" s="8" t="b">
        <v>0</v>
      </c>
      <c r="H1650" s="8" t="s">
        <v>865</v>
      </c>
      <c r="I1650" s="8">
        <v>1.0</v>
      </c>
      <c r="J1650" s="8">
        <v>0.0</v>
      </c>
      <c r="K1650" s="8">
        <v>1.0</v>
      </c>
    </row>
    <row r="1651">
      <c r="A1651" s="7" t="s">
        <v>5844</v>
      </c>
      <c r="B1651" s="8" t="s">
        <v>5845</v>
      </c>
      <c r="C1651" s="7" t="s">
        <v>1885</v>
      </c>
      <c r="D1651" s="12" t="s">
        <v>39</v>
      </c>
      <c r="E1651" s="13" t="s">
        <v>41</v>
      </c>
      <c r="F1651" s="8" t="s">
        <v>42</v>
      </c>
      <c r="G1651" s="8" t="b">
        <v>0</v>
      </c>
      <c r="H1651" s="8" t="s">
        <v>5846</v>
      </c>
      <c r="I1651" s="8">
        <v>1.0</v>
      </c>
      <c r="J1651" s="8">
        <v>0.0</v>
      </c>
      <c r="K1651" s="8">
        <v>0.0</v>
      </c>
    </row>
    <row r="1652">
      <c r="A1652" s="7" t="s">
        <v>5847</v>
      </c>
      <c r="B1652" s="8" t="s">
        <v>5848</v>
      </c>
      <c r="C1652" s="7" t="s">
        <v>1885</v>
      </c>
      <c r="D1652" s="12" t="s">
        <v>39</v>
      </c>
      <c r="E1652" s="13" t="s">
        <v>41</v>
      </c>
      <c r="F1652" s="8" t="s">
        <v>42</v>
      </c>
      <c r="G1652" s="8" t="b">
        <v>0</v>
      </c>
      <c r="H1652" s="8" t="s">
        <v>5849</v>
      </c>
      <c r="I1652" s="8">
        <v>1.0</v>
      </c>
      <c r="J1652" s="8">
        <v>0.0</v>
      </c>
      <c r="K1652" s="8">
        <v>1.0</v>
      </c>
    </row>
    <row r="1653">
      <c r="A1653" s="7" t="s">
        <v>5850</v>
      </c>
      <c r="B1653" s="8" t="s">
        <v>5851</v>
      </c>
      <c r="C1653" s="7" t="s">
        <v>3275</v>
      </c>
      <c r="D1653" s="12" t="s">
        <v>693</v>
      </c>
      <c r="E1653" s="13" t="s">
        <v>41</v>
      </c>
      <c r="F1653" s="8" t="s">
        <v>695</v>
      </c>
      <c r="G1653" s="8" t="b">
        <v>0</v>
      </c>
      <c r="H1653" s="8" t="s">
        <v>3277</v>
      </c>
      <c r="I1653" s="8">
        <v>1.0</v>
      </c>
      <c r="J1653" s="8">
        <v>0.0</v>
      </c>
      <c r="K1653" s="8">
        <v>0.0</v>
      </c>
    </row>
    <row r="1654">
      <c r="A1654" s="7" t="s">
        <v>5852</v>
      </c>
      <c r="B1654" s="8" t="s">
        <v>5853</v>
      </c>
      <c r="C1654" s="7" t="s">
        <v>3279</v>
      </c>
      <c r="D1654" s="12" t="s">
        <v>766</v>
      </c>
      <c r="E1654" s="13" t="s">
        <v>41</v>
      </c>
      <c r="F1654" s="8" t="s">
        <v>767</v>
      </c>
      <c r="G1654" s="8" t="b">
        <v>0</v>
      </c>
      <c r="H1654" s="8" t="s">
        <v>724</v>
      </c>
      <c r="I1654" s="8">
        <v>1.0</v>
      </c>
      <c r="J1654" s="8">
        <v>0.0</v>
      </c>
      <c r="K1654" s="8">
        <v>1.0</v>
      </c>
    </row>
    <row r="1655">
      <c r="A1655" s="7" t="s">
        <v>5854</v>
      </c>
      <c r="B1655" s="8" t="s">
        <v>5855</v>
      </c>
      <c r="C1655" s="7" t="s">
        <v>3282</v>
      </c>
      <c r="D1655" s="12" t="s">
        <v>766</v>
      </c>
      <c r="E1655" s="13" t="s">
        <v>41</v>
      </c>
      <c r="F1655" s="8" t="s">
        <v>767</v>
      </c>
      <c r="G1655" s="8" t="b">
        <v>0</v>
      </c>
      <c r="I1655" s="8">
        <v>1.0</v>
      </c>
      <c r="J1655" s="8">
        <v>0.0</v>
      </c>
      <c r="K1655" s="8">
        <v>2.0</v>
      </c>
    </row>
    <row r="1656">
      <c r="A1656" s="7" t="s">
        <v>5856</v>
      </c>
      <c r="B1656" s="8" t="s">
        <v>5857</v>
      </c>
      <c r="C1656" s="7" t="s">
        <v>3288</v>
      </c>
      <c r="D1656" s="12" t="s">
        <v>39</v>
      </c>
      <c r="E1656" s="13" t="s">
        <v>41</v>
      </c>
      <c r="F1656" s="8" t="s">
        <v>42</v>
      </c>
      <c r="G1656" s="8" t="b">
        <v>0</v>
      </c>
      <c r="H1656" s="8" t="s">
        <v>5858</v>
      </c>
      <c r="I1656" s="8">
        <v>1.0</v>
      </c>
      <c r="J1656" s="8">
        <v>0.0</v>
      </c>
      <c r="K1656" s="8">
        <v>0.0</v>
      </c>
    </row>
    <row r="1657">
      <c r="A1657" s="7" t="s">
        <v>5859</v>
      </c>
      <c r="B1657" s="8" t="s">
        <v>5860</v>
      </c>
      <c r="C1657" s="7" t="s">
        <v>1326</v>
      </c>
      <c r="D1657" s="12" t="s">
        <v>39</v>
      </c>
      <c r="E1657" s="13" t="s">
        <v>22</v>
      </c>
      <c r="F1657" s="8" t="s">
        <v>42</v>
      </c>
      <c r="G1657" s="8" t="b">
        <v>0</v>
      </c>
      <c r="H1657" s="8" t="s">
        <v>3883</v>
      </c>
      <c r="I1657" s="8">
        <v>1.0</v>
      </c>
      <c r="J1657" s="8">
        <v>0.0</v>
      </c>
      <c r="K1657" s="8">
        <v>1.0</v>
      </c>
    </row>
    <row r="1658">
      <c r="A1658" s="7" t="s">
        <v>5861</v>
      </c>
      <c r="B1658" s="8" t="s">
        <v>5862</v>
      </c>
      <c r="C1658" s="7" t="s">
        <v>1326</v>
      </c>
      <c r="D1658" s="12" t="s">
        <v>39</v>
      </c>
      <c r="E1658" s="13" t="s">
        <v>22</v>
      </c>
      <c r="F1658" s="8" t="s">
        <v>42</v>
      </c>
      <c r="G1658" s="8" t="b">
        <v>0</v>
      </c>
      <c r="H1658" s="8" t="s">
        <v>5863</v>
      </c>
      <c r="I1658" s="8">
        <v>1.0</v>
      </c>
      <c r="J1658" s="8">
        <v>0.0</v>
      </c>
      <c r="K1658" s="8">
        <v>0.0</v>
      </c>
    </row>
    <row r="1659">
      <c r="A1659" s="7" t="s">
        <v>5864</v>
      </c>
      <c r="B1659" s="8" t="s">
        <v>5865</v>
      </c>
      <c r="C1659" s="7" t="s">
        <v>3293</v>
      </c>
      <c r="D1659" s="12" t="s">
        <v>39</v>
      </c>
      <c r="E1659" s="13" t="s">
        <v>41</v>
      </c>
      <c r="F1659" s="8" t="s">
        <v>42</v>
      </c>
      <c r="G1659" s="8" t="b">
        <v>0</v>
      </c>
      <c r="H1659" s="8" t="s">
        <v>5866</v>
      </c>
      <c r="I1659" s="8">
        <v>1.0</v>
      </c>
      <c r="J1659" s="8">
        <v>0.0</v>
      </c>
      <c r="K1659" s="8">
        <v>1.0</v>
      </c>
    </row>
    <row r="1660">
      <c r="A1660" s="7" t="s">
        <v>5867</v>
      </c>
      <c r="B1660" s="8" t="s">
        <v>5868</v>
      </c>
      <c r="C1660" s="7" t="s">
        <v>105</v>
      </c>
      <c r="D1660" s="12" t="s">
        <v>39</v>
      </c>
      <c r="E1660" s="13" t="s">
        <v>22</v>
      </c>
      <c r="F1660" s="8" t="s">
        <v>42</v>
      </c>
      <c r="G1660" s="8" t="b">
        <v>0</v>
      </c>
      <c r="H1660" s="8" t="s">
        <v>5869</v>
      </c>
      <c r="I1660" s="8">
        <v>1.0</v>
      </c>
      <c r="J1660" s="8">
        <v>0.0</v>
      </c>
      <c r="K1660" s="8">
        <v>1.0</v>
      </c>
    </row>
    <row r="1661">
      <c r="A1661" s="7" t="s">
        <v>5870</v>
      </c>
      <c r="B1661" s="8" t="s">
        <v>5871</v>
      </c>
      <c r="C1661" s="7" t="s">
        <v>105</v>
      </c>
      <c r="D1661" s="12" t="s">
        <v>766</v>
      </c>
      <c r="E1661" s="13" t="s">
        <v>22</v>
      </c>
      <c r="F1661" s="8" t="s">
        <v>767</v>
      </c>
      <c r="G1661" s="8" t="b">
        <v>0</v>
      </c>
      <c r="H1661" s="8" t="s">
        <v>5872</v>
      </c>
      <c r="I1661" s="8">
        <v>1.0</v>
      </c>
      <c r="J1661" s="8">
        <v>0.0</v>
      </c>
      <c r="K1661" s="8">
        <v>1.0</v>
      </c>
    </row>
    <row r="1662">
      <c r="A1662" s="7" t="s">
        <v>5873</v>
      </c>
      <c r="B1662" s="8" t="s">
        <v>5874</v>
      </c>
      <c r="C1662" s="7" t="s">
        <v>3298</v>
      </c>
      <c r="D1662" s="12" t="s">
        <v>39</v>
      </c>
      <c r="E1662" s="13" t="s">
        <v>41</v>
      </c>
      <c r="F1662" s="8" t="s">
        <v>42</v>
      </c>
      <c r="G1662" s="8" t="b">
        <v>0</v>
      </c>
      <c r="H1662" s="8" t="s">
        <v>5875</v>
      </c>
      <c r="I1662" s="8">
        <v>1.0</v>
      </c>
      <c r="J1662" s="8">
        <v>0.0</v>
      </c>
      <c r="K1662" s="8">
        <v>0.0</v>
      </c>
    </row>
    <row r="1663">
      <c r="A1663" s="7" t="s">
        <v>5876</v>
      </c>
      <c r="B1663" s="8" t="s">
        <v>5877</v>
      </c>
      <c r="C1663" s="7" t="s">
        <v>3305</v>
      </c>
      <c r="D1663" s="12" t="s">
        <v>554</v>
      </c>
      <c r="E1663" s="13" t="s">
        <v>41</v>
      </c>
      <c r="F1663" s="8" t="s">
        <v>555</v>
      </c>
      <c r="G1663" s="8" t="b">
        <v>0</v>
      </c>
      <c r="I1663" s="8">
        <v>1.0</v>
      </c>
      <c r="J1663" s="8">
        <v>0.0</v>
      </c>
      <c r="K1663" s="8">
        <v>0.0</v>
      </c>
    </row>
    <row r="1664">
      <c r="A1664" s="7" t="s">
        <v>5878</v>
      </c>
      <c r="B1664" s="8" t="s">
        <v>5879</v>
      </c>
      <c r="C1664" s="7" t="s">
        <v>445</v>
      </c>
      <c r="D1664" s="12" t="s">
        <v>554</v>
      </c>
      <c r="E1664" s="13" t="s">
        <v>22</v>
      </c>
      <c r="F1664" s="8" t="s">
        <v>555</v>
      </c>
      <c r="G1664" s="8" t="b">
        <v>0</v>
      </c>
      <c r="H1664" s="8" t="s">
        <v>5880</v>
      </c>
      <c r="I1664" s="8">
        <v>1.0</v>
      </c>
      <c r="J1664" s="8">
        <v>0.0</v>
      </c>
      <c r="K1664" s="8">
        <v>0.0</v>
      </c>
    </row>
    <row r="1665">
      <c r="A1665" s="7" t="s">
        <v>5881</v>
      </c>
      <c r="B1665" s="8" t="s">
        <v>1899</v>
      </c>
      <c r="C1665" s="7" t="s">
        <v>445</v>
      </c>
      <c r="D1665" s="12" t="s">
        <v>190</v>
      </c>
      <c r="E1665" s="13" t="s">
        <v>22</v>
      </c>
      <c r="F1665" s="8" t="s">
        <v>191</v>
      </c>
      <c r="G1665" s="8" t="b">
        <v>0</v>
      </c>
      <c r="H1665" s="8" t="s">
        <v>5882</v>
      </c>
      <c r="I1665" s="8">
        <v>1.0</v>
      </c>
      <c r="J1665" s="8">
        <v>0.0</v>
      </c>
      <c r="K1665" s="8">
        <v>0.0</v>
      </c>
    </row>
    <row r="1666">
      <c r="A1666" s="7" t="s">
        <v>5883</v>
      </c>
      <c r="B1666" s="8" t="s">
        <v>1899</v>
      </c>
      <c r="C1666" s="7" t="s">
        <v>445</v>
      </c>
      <c r="D1666" s="12" t="s">
        <v>190</v>
      </c>
      <c r="E1666" s="13" t="s">
        <v>22</v>
      </c>
      <c r="F1666" s="8" t="s">
        <v>191</v>
      </c>
      <c r="G1666" s="8" t="b">
        <v>0</v>
      </c>
      <c r="H1666" s="8" t="s">
        <v>5882</v>
      </c>
      <c r="I1666" s="8">
        <v>1.0</v>
      </c>
      <c r="J1666" s="8">
        <v>0.0</v>
      </c>
      <c r="K1666" s="8">
        <v>0.0</v>
      </c>
    </row>
    <row r="1667">
      <c r="A1667" s="7" t="s">
        <v>5884</v>
      </c>
      <c r="B1667" s="8" t="s">
        <v>5885</v>
      </c>
      <c r="C1667" s="7" t="s">
        <v>3308</v>
      </c>
      <c r="D1667" s="12" t="s">
        <v>39</v>
      </c>
      <c r="E1667" s="13" t="s">
        <v>41</v>
      </c>
      <c r="F1667" s="8" t="s">
        <v>42</v>
      </c>
      <c r="G1667" s="8" t="b">
        <v>0</v>
      </c>
      <c r="H1667" s="8" t="s">
        <v>5886</v>
      </c>
      <c r="I1667" s="8">
        <v>1.0</v>
      </c>
      <c r="J1667" s="8">
        <v>0.0</v>
      </c>
      <c r="K1667" s="8">
        <v>1.0</v>
      </c>
    </row>
    <row r="1668">
      <c r="A1668" s="7" t="s">
        <v>5887</v>
      </c>
      <c r="B1668" s="8" t="s">
        <v>5888</v>
      </c>
      <c r="C1668" s="7" t="s">
        <v>3312</v>
      </c>
      <c r="D1668" s="12" t="s">
        <v>39</v>
      </c>
      <c r="E1668" s="13" t="s">
        <v>41</v>
      </c>
      <c r="F1668" s="8" t="s">
        <v>42</v>
      </c>
      <c r="G1668" s="8" t="b">
        <v>0</v>
      </c>
      <c r="I1668" s="8">
        <v>1.0</v>
      </c>
      <c r="J1668" s="8">
        <v>0.0</v>
      </c>
      <c r="K1668" s="8">
        <v>2.0</v>
      </c>
    </row>
    <row r="1669">
      <c r="A1669" s="7" t="s">
        <v>5889</v>
      </c>
      <c r="B1669" s="8" t="s">
        <v>5890</v>
      </c>
      <c r="C1669" s="7" t="s">
        <v>3315</v>
      </c>
      <c r="D1669" s="12" t="s">
        <v>554</v>
      </c>
      <c r="E1669" s="13" t="s">
        <v>41</v>
      </c>
      <c r="F1669" s="8" t="s">
        <v>555</v>
      </c>
      <c r="G1669" s="8" t="b">
        <v>0</v>
      </c>
      <c r="H1669" s="8" t="s">
        <v>5891</v>
      </c>
      <c r="I1669" s="8">
        <v>1.0</v>
      </c>
      <c r="J1669" s="8">
        <v>0.0</v>
      </c>
      <c r="K1669" s="8">
        <v>2.0</v>
      </c>
    </row>
    <row r="1670">
      <c r="A1670" s="7" t="s">
        <v>5892</v>
      </c>
      <c r="B1670" s="8" t="s">
        <v>5893</v>
      </c>
      <c r="C1670" s="7" t="s">
        <v>1905</v>
      </c>
      <c r="D1670" s="12" t="s">
        <v>21</v>
      </c>
      <c r="E1670" s="13" t="s">
        <v>753</v>
      </c>
      <c r="F1670" s="8" t="s">
        <v>24</v>
      </c>
      <c r="G1670" s="8" t="b">
        <v>0</v>
      </c>
      <c r="H1670" s="8" t="s">
        <v>5894</v>
      </c>
      <c r="I1670" s="8">
        <v>1.0</v>
      </c>
      <c r="J1670" s="8">
        <v>0.0</v>
      </c>
      <c r="K1670" s="8">
        <v>0.0</v>
      </c>
    </row>
    <row r="1671">
      <c r="A1671" s="7" t="s">
        <v>5895</v>
      </c>
      <c r="B1671" s="8" t="s">
        <v>5896</v>
      </c>
      <c r="C1671" s="7" t="s">
        <v>1905</v>
      </c>
      <c r="D1671" s="12" t="s">
        <v>21</v>
      </c>
      <c r="E1671" s="13" t="s">
        <v>753</v>
      </c>
      <c r="F1671" s="8" t="s">
        <v>24</v>
      </c>
      <c r="G1671" s="8" t="b">
        <v>0</v>
      </c>
      <c r="H1671" s="8" t="s">
        <v>3896</v>
      </c>
      <c r="I1671" s="8">
        <v>1.0</v>
      </c>
      <c r="J1671" s="8">
        <v>0.0</v>
      </c>
      <c r="K1671" s="8">
        <v>0.0</v>
      </c>
    </row>
    <row r="1672">
      <c r="A1672" s="7" t="s">
        <v>5897</v>
      </c>
      <c r="B1672" s="8" t="s">
        <v>5898</v>
      </c>
      <c r="C1672" s="7" t="s">
        <v>3321</v>
      </c>
      <c r="D1672" s="12" t="s">
        <v>693</v>
      </c>
      <c r="E1672" s="13" t="s">
        <v>41</v>
      </c>
      <c r="F1672" s="8" t="s">
        <v>695</v>
      </c>
      <c r="G1672" s="8" t="b">
        <v>0</v>
      </c>
      <c r="H1672" s="8" t="s">
        <v>5899</v>
      </c>
      <c r="I1672" s="8">
        <v>1.0</v>
      </c>
      <c r="J1672" s="8">
        <v>0.0</v>
      </c>
      <c r="K1672" s="8">
        <v>1.0</v>
      </c>
    </row>
    <row r="1673">
      <c r="A1673" s="7" t="s">
        <v>5900</v>
      </c>
      <c r="B1673" s="8" t="s">
        <v>5901</v>
      </c>
      <c r="C1673" s="7" t="s">
        <v>2014</v>
      </c>
      <c r="D1673" s="12" t="s">
        <v>39</v>
      </c>
      <c r="E1673" s="13" t="s">
        <v>22</v>
      </c>
      <c r="F1673" s="8" t="s">
        <v>42</v>
      </c>
      <c r="G1673" s="8" t="b">
        <v>0</v>
      </c>
      <c r="H1673" s="8" t="s">
        <v>857</v>
      </c>
      <c r="I1673" s="8">
        <v>1.0</v>
      </c>
      <c r="J1673" s="8">
        <v>0.0</v>
      </c>
      <c r="K1673" s="8">
        <v>1.0</v>
      </c>
    </row>
    <row r="1674">
      <c r="A1674" s="7" t="s">
        <v>5902</v>
      </c>
      <c r="B1674" s="8" t="s">
        <v>5903</v>
      </c>
      <c r="C1674" s="7" t="s">
        <v>2014</v>
      </c>
      <c r="D1674" s="12" t="s">
        <v>766</v>
      </c>
      <c r="E1674" s="13" t="s">
        <v>22</v>
      </c>
      <c r="F1674" s="8" t="s">
        <v>767</v>
      </c>
      <c r="G1674" s="8" t="b">
        <v>0</v>
      </c>
      <c r="H1674" s="8" t="s">
        <v>5904</v>
      </c>
      <c r="I1674" s="8">
        <v>1.0</v>
      </c>
      <c r="J1674" s="8">
        <v>0.0</v>
      </c>
      <c r="K1674" s="8">
        <v>1.0</v>
      </c>
    </row>
    <row r="1675">
      <c r="A1675" s="7" t="s">
        <v>5905</v>
      </c>
      <c r="B1675" s="8" t="s">
        <v>5906</v>
      </c>
      <c r="C1675" s="7" t="s">
        <v>2014</v>
      </c>
      <c r="D1675" s="12" t="s">
        <v>766</v>
      </c>
      <c r="E1675" s="13" t="s">
        <v>22</v>
      </c>
      <c r="F1675" s="8" t="s">
        <v>767</v>
      </c>
      <c r="G1675" s="8" t="b">
        <v>0</v>
      </c>
      <c r="H1675" s="8" t="s">
        <v>5907</v>
      </c>
      <c r="I1675" s="8">
        <v>1.0</v>
      </c>
      <c r="J1675" s="8">
        <v>0.0</v>
      </c>
      <c r="K1675" s="8">
        <v>1.0</v>
      </c>
    </row>
    <row r="1676">
      <c r="A1676" s="7" t="s">
        <v>5908</v>
      </c>
      <c r="B1676" s="8" t="s">
        <v>5909</v>
      </c>
      <c r="C1676" s="7" t="s">
        <v>3325</v>
      </c>
      <c r="D1676" s="12" t="s">
        <v>39</v>
      </c>
      <c r="E1676" s="13" t="s">
        <v>41</v>
      </c>
      <c r="F1676" s="8" t="s">
        <v>42</v>
      </c>
      <c r="G1676" s="8" t="b">
        <v>0</v>
      </c>
      <c r="H1676" s="8" t="s">
        <v>654</v>
      </c>
      <c r="I1676" s="8">
        <v>1.0</v>
      </c>
      <c r="J1676" s="8">
        <v>0.0</v>
      </c>
      <c r="K1676" s="8">
        <v>1.0</v>
      </c>
    </row>
    <row r="1677">
      <c r="A1677" s="7" t="s">
        <v>5910</v>
      </c>
      <c r="B1677" s="8" t="s">
        <v>5911</v>
      </c>
      <c r="C1677" s="7" t="s">
        <v>3328</v>
      </c>
      <c r="D1677" s="12" t="s">
        <v>39</v>
      </c>
      <c r="E1677" s="13" t="s">
        <v>41</v>
      </c>
      <c r="F1677" s="8" t="s">
        <v>42</v>
      </c>
      <c r="G1677" s="8" t="b">
        <v>0</v>
      </c>
      <c r="H1677" s="8" t="s">
        <v>5912</v>
      </c>
      <c r="I1677" s="8">
        <v>1.0</v>
      </c>
      <c r="J1677" s="8">
        <v>0.0</v>
      </c>
      <c r="K1677" s="8">
        <v>1.0</v>
      </c>
    </row>
    <row r="1678">
      <c r="A1678" s="7" t="s">
        <v>5913</v>
      </c>
      <c r="B1678" s="8" t="s">
        <v>5914</v>
      </c>
      <c r="C1678" s="7" t="s">
        <v>118</v>
      </c>
      <c r="D1678" s="12" t="s">
        <v>39</v>
      </c>
      <c r="E1678" s="13" t="s">
        <v>22</v>
      </c>
      <c r="F1678" s="8" t="s">
        <v>42</v>
      </c>
      <c r="G1678" s="8" t="b">
        <v>0</v>
      </c>
      <c r="H1678" s="8" t="s">
        <v>5915</v>
      </c>
      <c r="I1678" s="8">
        <v>1.0</v>
      </c>
      <c r="J1678" s="8">
        <v>0.0</v>
      </c>
      <c r="K1678" s="8">
        <v>0.0</v>
      </c>
    </row>
    <row r="1679">
      <c r="A1679" s="7" t="s">
        <v>5916</v>
      </c>
      <c r="B1679" s="8" t="s">
        <v>5917</v>
      </c>
      <c r="C1679" s="7" t="s">
        <v>118</v>
      </c>
      <c r="D1679" s="12" t="s">
        <v>39</v>
      </c>
      <c r="E1679" s="13" t="s">
        <v>22</v>
      </c>
      <c r="F1679" s="8" t="s">
        <v>42</v>
      </c>
      <c r="G1679" s="8" t="b">
        <v>0</v>
      </c>
      <c r="H1679" s="8" t="s">
        <v>5918</v>
      </c>
      <c r="I1679" s="8">
        <v>1.0</v>
      </c>
      <c r="J1679" s="8">
        <v>0.0</v>
      </c>
      <c r="K1679" s="8">
        <v>0.0</v>
      </c>
    </row>
    <row r="1680">
      <c r="A1680" s="7" t="s">
        <v>5919</v>
      </c>
      <c r="B1680" s="8" t="s">
        <v>5920</v>
      </c>
      <c r="C1680" s="7" t="s">
        <v>1908</v>
      </c>
      <c r="D1680" s="12" t="s">
        <v>39</v>
      </c>
      <c r="E1680" s="13" t="s">
        <v>41</v>
      </c>
      <c r="F1680" s="8" t="s">
        <v>42</v>
      </c>
      <c r="G1680" s="8" t="b">
        <v>0</v>
      </c>
      <c r="H1680" s="8" t="s">
        <v>5921</v>
      </c>
      <c r="I1680" s="8">
        <v>1.0</v>
      </c>
      <c r="J1680" s="8">
        <v>0.0</v>
      </c>
      <c r="K1680" s="8">
        <v>0.0</v>
      </c>
    </row>
    <row r="1681">
      <c r="A1681" s="7" t="s">
        <v>5922</v>
      </c>
      <c r="B1681" s="8" t="s">
        <v>5923</v>
      </c>
      <c r="C1681" s="7" t="s">
        <v>1908</v>
      </c>
      <c r="D1681" s="12" t="s">
        <v>39</v>
      </c>
      <c r="E1681" s="13" t="s">
        <v>41</v>
      </c>
      <c r="F1681" s="8" t="s">
        <v>42</v>
      </c>
      <c r="G1681" s="8" t="b">
        <v>0</v>
      </c>
      <c r="H1681" s="8" t="s">
        <v>5924</v>
      </c>
      <c r="I1681" s="8">
        <v>1.0</v>
      </c>
      <c r="J1681" s="8">
        <v>0.0</v>
      </c>
      <c r="K1681" s="8">
        <v>1.0</v>
      </c>
    </row>
    <row r="1682">
      <c r="A1682" s="7" t="s">
        <v>5925</v>
      </c>
      <c r="B1682" s="8" t="s">
        <v>5926</v>
      </c>
      <c r="C1682" s="7" t="s">
        <v>3333</v>
      </c>
      <c r="D1682" s="12" t="s">
        <v>39</v>
      </c>
      <c r="E1682" s="13" t="s">
        <v>41</v>
      </c>
      <c r="F1682" s="8" t="s">
        <v>42</v>
      </c>
      <c r="G1682" s="8" t="b">
        <v>0</v>
      </c>
      <c r="I1682" s="8">
        <v>1.0</v>
      </c>
      <c r="J1682" s="8">
        <v>0.0</v>
      </c>
      <c r="K1682" s="8">
        <v>1.0</v>
      </c>
    </row>
    <row r="1683">
      <c r="A1683" s="7" t="s">
        <v>5927</v>
      </c>
      <c r="B1683" s="8" t="s">
        <v>5928</v>
      </c>
      <c r="C1683" s="7" t="s">
        <v>3336</v>
      </c>
      <c r="D1683" s="12" t="s">
        <v>766</v>
      </c>
      <c r="E1683" s="13" t="s">
        <v>41</v>
      </c>
      <c r="F1683" s="8" t="s">
        <v>767</v>
      </c>
      <c r="G1683" s="8" t="b">
        <v>0</v>
      </c>
      <c r="H1683" s="8" t="s">
        <v>5929</v>
      </c>
      <c r="I1683" s="8">
        <v>1.0</v>
      </c>
      <c r="J1683" s="8">
        <v>0.0</v>
      </c>
      <c r="K1683" s="8">
        <v>1.0</v>
      </c>
    </row>
    <row r="1684">
      <c r="A1684" s="7" t="s">
        <v>5930</v>
      </c>
      <c r="B1684" s="8" t="s">
        <v>5931</v>
      </c>
      <c r="C1684" s="7" t="s">
        <v>3341</v>
      </c>
      <c r="D1684" s="12" t="s">
        <v>39</v>
      </c>
      <c r="E1684" s="13" t="s">
        <v>41</v>
      </c>
      <c r="F1684" s="8" t="s">
        <v>42</v>
      </c>
      <c r="G1684" s="8" t="b">
        <v>0</v>
      </c>
      <c r="I1684" s="8">
        <v>1.0</v>
      </c>
      <c r="J1684" s="8">
        <v>0.0</v>
      </c>
      <c r="K1684" s="8">
        <v>0.0</v>
      </c>
    </row>
    <row r="1685">
      <c r="A1685" s="7" t="s">
        <v>5932</v>
      </c>
      <c r="B1685" s="8" t="s">
        <v>5933</v>
      </c>
      <c r="C1685" s="7" t="s">
        <v>30</v>
      </c>
      <c r="D1685" s="12" t="s">
        <v>21</v>
      </c>
      <c r="E1685" s="13" t="s">
        <v>41</v>
      </c>
      <c r="F1685" s="8" t="s">
        <v>24</v>
      </c>
      <c r="G1685" s="8" t="b">
        <v>0</v>
      </c>
      <c r="H1685" s="8" t="s">
        <v>5934</v>
      </c>
      <c r="I1685" s="8">
        <v>1.0</v>
      </c>
      <c r="J1685" s="8">
        <v>0.0</v>
      </c>
      <c r="K1685" s="8">
        <v>0.0</v>
      </c>
    </row>
    <row r="1686">
      <c r="A1686" s="7" t="s">
        <v>5935</v>
      </c>
      <c r="B1686" s="8" t="s">
        <v>5936</v>
      </c>
      <c r="C1686" s="7" t="s">
        <v>30</v>
      </c>
      <c r="D1686" s="12" t="s">
        <v>21</v>
      </c>
      <c r="E1686" s="13" t="s">
        <v>41</v>
      </c>
      <c r="F1686" s="8" t="s">
        <v>24</v>
      </c>
      <c r="G1686" s="8" t="b">
        <v>0</v>
      </c>
      <c r="H1686" s="8" t="s">
        <v>5937</v>
      </c>
      <c r="I1686" s="8">
        <v>1.0</v>
      </c>
      <c r="J1686" s="8">
        <v>0.0</v>
      </c>
      <c r="K1686" s="8">
        <v>2.0</v>
      </c>
    </row>
    <row r="1687">
      <c r="A1687" s="7" t="s">
        <v>5938</v>
      </c>
      <c r="B1687" s="8" t="s">
        <v>5939</v>
      </c>
      <c r="C1687" s="7" t="s">
        <v>30</v>
      </c>
      <c r="D1687" s="12" t="s">
        <v>21</v>
      </c>
      <c r="E1687" s="13" t="s">
        <v>41</v>
      </c>
      <c r="F1687" s="8" t="s">
        <v>24</v>
      </c>
      <c r="G1687" s="8" t="b">
        <v>0</v>
      </c>
      <c r="H1687" s="8" t="s">
        <v>5940</v>
      </c>
      <c r="I1687" s="8">
        <v>1.0</v>
      </c>
      <c r="J1687" s="8">
        <v>0.0</v>
      </c>
      <c r="K1687" s="8">
        <v>0.0</v>
      </c>
    </row>
    <row r="1688">
      <c r="A1688" s="7" t="s">
        <v>5941</v>
      </c>
      <c r="B1688" s="8" t="s">
        <v>5942</v>
      </c>
      <c r="C1688" s="7" t="s">
        <v>30</v>
      </c>
      <c r="D1688" s="12" t="s">
        <v>21</v>
      </c>
      <c r="E1688" s="13" t="s">
        <v>41</v>
      </c>
      <c r="F1688" s="8" t="s">
        <v>24</v>
      </c>
      <c r="G1688" s="8" t="b">
        <v>0</v>
      </c>
      <c r="H1688" s="8" t="s">
        <v>186</v>
      </c>
      <c r="I1688" s="8">
        <v>1.0</v>
      </c>
      <c r="J1688" s="8">
        <v>0.0</v>
      </c>
      <c r="K1688" s="8">
        <v>0.0</v>
      </c>
    </row>
    <row r="1689">
      <c r="A1689" s="7" t="s">
        <v>5943</v>
      </c>
      <c r="B1689" s="8" t="s">
        <v>5944</v>
      </c>
      <c r="C1689" s="7" t="s">
        <v>30</v>
      </c>
      <c r="D1689" s="12" t="s">
        <v>21</v>
      </c>
      <c r="E1689" s="13" t="s">
        <v>41</v>
      </c>
      <c r="F1689" s="8" t="s">
        <v>24</v>
      </c>
      <c r="G1689" s="8" t="b">
        <v>0</v>
      </c>
      <c r="H1689" s="8" t="s">
        <v>5945</v>
      </c>
      <c r="I1689" s="8">
        <v>1.0</v>
      </c>
      <c r="J1689" s="8">
        <v>0.0</v>
      </c>
      <c r="K1689" s="8">
        <v>0.0</v>
      </c>
    </row>
    <row r="1690">
      <c r="A1690" s="7" t="s">
        <v>5946</v>
      </c>
      <c r="B1690" s="8" t="s">
        <v>5947</v>
      </c>
      <c r="C1690" s="7" t="s">
        <v>30</v>
      </c>
      <c r="D1690" s="12" t="s">
        <v>21</v>
      </c>
      <c r="E1690" s="13" t="s">
        <v>41</v>
      </c>
      <c r="F1690" s="8" t="s">
        <v>24</v>
      </c>
      <c r="G1690" s="8" t="b">
        <v>0</v>
      </c>
      <c r="H1690" s="8" t="s">
        <v>5948</v>
      </c>
      <c r="I1690" s="8">
        <v>1.0</v>
      </c>
      <c r="J1690" s="8">
        <v>0.0</v>
      </c>
      <c r="K1690" s="8">
        <v>0.0</v>
      </c>
    </row>
    <row r="1691">
      <c r="A1691" s="7" t="s">
        <v>5949</v>
      </c>
      <c r="B1691" s="8" t="s">
        <v>5950</v>
      </c>
      <c r="C1691" s="7" t="s">
        <v>30</v>
      </c>
      <c r="D1691" s="12" t="s">
        <v>21</v>
      </c>
      <c r="E1691" s="13" t="s">
        <v>41</v>
      </c>
      <c r="F1691" s="8" t="s">
        <v>24</v>
      </c>
      <c r="G1691" s="8" t="b">
        <v>0</v>
      </c>
      <c r="H1691" s="8" t="s">
        <v>5951</v>
      </c>
      <c r="I1691" s="8">
        <v>1.0</v>
      </c>
      <c r="J1691" s="8">
        <v>0.0</v>
      </c>
      <c r="K1691" s="8">
        <v>0.0</v>
      </c>
    </row>
    <row r="1692">
      <c r="A1692" s="7" t="s">
        <v>5952</v>
      </c>
      <c r="B1692" s="8" t="s">
        <v>5953</v>
      </c>
      <c r="C1692" s="7" t="s">
        <v>1330</v>
      </c>
      <c r="D1692" s="12" t="s">
        <v>39</v>
      </c>
      <c r="E1692" s="13" t="s">
        <v>190</v>
      </c>
      <c r="F1692" s="8" t="s">
        <v>42</v>
      </c>
      <c r="G1692" s="8" t="b">
        <v>0</v>
      </c>
      <c r="H1692" s="8" t="s">
        <v>3896</v>
      </c>
      <c r="I1692" s="8">
        <v>1.0</v>
      </c>
      <c r="J1692" s="8">
        <v>0.0</v>
      </c>
      <c r="K1692" s="8">
        <v>0.0</v>
      </c>
    </row>
    <row r="1693">
      <c r="A1693" s="7" t="s">
        <v>5954</v>
      </c>
      <c r="B1693" s="8" t="s">
        <v>5955</v>
      </c>
      <c r="C1693" s="7" t="s">
        <v>1330</v>
      </c>
      <c r="D1693" s="12" t="s">
        <v>72</v>
      </c>
      <c r="E1693" s="13" t="s">
        <v>190</v>
      </c>
      <c r="F1693" s="8" t="s">
        <v>74</v>
      </c>
      <c r="G1693" s="8" t="b">
        <v>0</v>
      </c>
      <c r="H1693" s="8" t="s">
        <v>5956</v>
      </c>
      <c r="I1693" s="8">
        <v>1.0</v>
      </c>
      <c r="J1693" s="8">
        <v>0.0</v>
      </c>
      <c r="K1693" s="8">
        <v>1.0</v>
      </c>
    </row>
    <row r="1694">
      <c r="A1694" s="7" t="s">
        <v>5957</v>
      </c>
      <c r="B1694" s="8" t="s">
        <v>5958</v>
      </c>
      <c r="C1694" s="7" t="s">
        <v>3346</v>
      </c>
      <c r="D1694" s="12" t="s">
        <v>39</v>
      </c>
      <c r="E1694" s="13" t="s">
        <v>41</v>
      </c>
      <c r="F1694" s="8" t="s">
        <v>42</v>
      </c>
      <c r="G1694" s="8" t="b">
        <v>0</v>
      </c>
      <c r="H1694" s="8" t="s">
        <v>5959</v>
      </c>
      <c r="I1694" s="8">
        <v>1.0</v>
      </c>
      <c r="J1694" s="8">
        <v>0.0</v>
      </c>
      <c r="K1694" s="8">
        <v>0.0</v>
      </c>
    </row>
    <row r="1695">
      <c r="A1695" s="7" t="s">
        <v>5960</v>
      </c>
      <c r="B1695" s="8" t="s">
        <v>5961</v>
      </c>
      <c r="C1695" s="7" t="s">
        <v>2053</v>
      </c>
      <c r="D1695" s="12" t="s">
        <v>39</v>
      </c>
      <c r="E1695" s="13" t="s">
        <v>41</v>
      </c>
      <c r="F1695" s="8" t="s">
        <v>42</v>
      </c>
      <c r="G1695" s="8" t="b">
        <v>0</v>
      </c>
      <c r="H1695" s="8" t="s">
        <v>2056</v>
      </c>
      <c r="I1695" s="8">
        <v>1.0</v>
      </c>
      <c r="J1695" s="8">
        <v>0.0</v>
      </c>
      <c r="K1695" s="8">
        <v>2.0</v>
      </c>
    </row>
    <row r="1696">
      <c r="A1696" s="7" t="s">
        <v>5962</v>
      </c>
      <c r="B1696" s="8" t="s">
        <v>5963</v>
      </c>
      <c r="C1696" s="7" t="s">
        <v>3355</v>
      </c>
      <c r="D1696" s="12" t="s">
        <v>560</v>
      </c>
      <c r="E1696" s="13" t="s">
        <v>41</v>
      </c>
      <c r="F1696" s="8" t="s">
        <v>561</v>
      </c>
      <c r="G1696" s="8" t="b">
        <v>0</v>
      </c>
      <c r="H1696" s="8" t="s">
        <v>5964</v>
      </c>
      <c r="I1696" s="8">
        <v>1.0</v>
      </c>
      <c r="J1696" s="8">
        <v>0.0</v>
      </c>
      <c r="K1696" s="8">
        <v>1.0</v>
      </c>
    </row>
    <row r="1697">
      <c r="A1697" s="7" t="s">
        <v>5965</v>
      </c>
      <c r="B1697" s="8" t="s">
        <v>5966</v>
      </c>
      <c r="C1697" s="7" t="s">
        <v>3359</v>
      </c>
      <c r="D1697" s="12" t="s">
        <v>39</v>
      </c>
      <c r="E1697" s="13" t="s">
        <v>76</v>
      </c>
      <c r="F1697" s="8" t="s">
        <v>42</v>
      </c>
      <c r="G1697" s="8" t="b">
        <v>0</v>
      </c>
      <c r="H1697" s="8" t="s">
        <v>5967</v>
      </c>
      <c r="I1697" s="8">
        <v>1.0</v>
      </c>
      <c r="J1697" s="8">
        <v>0.0</v>
      </c>
      <c r="K1697" s="8">
        <v>1.0</v>
      </c>
    </row>
    <row r="1698">
      <c r="A1698" s="7" t="s">
        <v>5968</v>
      </c>
      <c r="C1698" s="7" t="s">
        <v>3362</v>
      </c>
      <c r="D1698" s="12" t="s">
        <v>190</v>
      </c>
      <c r="E1698" s="13" t="s">
        <v>41</v>
      </c>
      <c r="F1698" s="8" t="s">
        <v>191</v>
      </c>
      <c r="G1698" s="8" t="b">
        <v>0</v>
      </c>
      <c r="I1698" s="8">
        <v>1.0</v>
      </c>
      <c r="J1698" s="8">
        <v>0.0</v>
      </c>
      <c r="K1698" s="8">
        <v>1.0</v>
      </c>
    </row>
    <row r="1699">
      <c r="A1699" s="7" t="s">
        <v>5969</v>
      </c>
      <c r="B1699" s="8" t="s">
        <v>5970</v>
      </c>
      <c r="C1699" s="7" t="s">
        <v>3364</v>
      </c>
      <c r="D1699" s="12" t="s">
        <v>190</v>
      </c>
      <c r="E1699" s="13" t="s">
        <v>41</v>
      </c>
      <c r="F1699" s="8" t="s">
        <v>191</v>
      </c>
      <c r="G1699" s="8" t="b">
        <v>0</v>
      </c>
      <c r="I1699" s="8">
        <v>1.0</v>
      </c>
      <c r="J1699" s="8">
        <v>0.0</v>
      </c>
      <c r="K1699" s="8">
        <v>1.0</v>
      </c>
    </row>
    <row r="1700">
      <c r="A1700" s="7" t="s">
        <v>5971</v>
      </c>
      <c r="B1700" s="8" t="s">
        <v>5972</v>
      </c>
      <c r="C1700" s="7" t="s">
        <v>668</v>
      </c>
      <c r="D1700" s="12" t="s">
        <v>554</v>
      </c>
      <c r="E1700" s="13" t="s">
        <v>41</v>
      </c>
      <c r="F1700" s="8" t="s">
        <v>555</v>
      </c>
      <c r="G1700" s="8" t="b">
        <v>0</v>
      </c>
      <c r="I1700" s="8">
        <v>1.0</v>
      </c>
      <c r="J1700" s="8">
        <v>0.0</v>
      </c>
      <c r="K1700" s="8">
        <v>0.0</v>
      </c>
    </row>
    <row r="1701">
      <c r="A1701" s="7" t="s">
        <v>5973</v>
      </c>
      <c r="B1701" s="8" t="s">
        <v>5974</v>
      </c>
      <c r="C1701" s="7" t="s">
        <v>1921</v>
      </c>
      <c r="D1701" s="12" t="s">
        <v>39</v>
      </c>
      <c r="E1701" s="13" t="s">
        <v>41</v>
      </c>
      <c r="F1701" s="8" t="s">
        <v>42</v>
      </c>
      <c r="G1701" s="8" t="b">
        <v>0</v>
      </c>
      <c r="H1701" s="8" t="s">
        <v>5975</v>
      </c>
      <c r="I1701" s="8">
        <v>1.0</v>
      </c>
      <c r="J1701" s="8">
        <v>0.0</v>
      </c>
      <c r="K1701" s="8">
        <v>5.0</v>
      </c>
    </row>
    <row r="1702">
      <c r="A1702" s="7" t="s">
        <v>5976</v>
      </c>
      <c r="B1702" s="8" t="s">
        <v>5977</v>
      </c>
      <c r="C1702" s="7" t="s">
        <v>1921</v>
      </c>
      <c r="D1702" s="12" t="s">
        <v>39</v>
      </c>
      <c r="E1702" s="13" t="s">
        <v>41</v>
      </c>
      <c r="F1702" s="8" t="s">
        <v>42</v>
      </c>
      <c r="G1702" s="8" t="b">
        <v>0</v>
      </c>
      <c r="I1702" s="8">
        <v>1.0</v>
      </c>
      <c r="J1702" s="8">
        <v>0.0</v>
      </c>
      <c r="K1702" s="8">
        <v>1.0</v>
      </c>
    </row>
    <row r="1703">
      <c r="A1703" s="7" t="s">
        <v>5978</v>
      </c>
      <c r="B1703" s="8" t="s">
        <v>5979</v>
      </c>
      <c r="C1703" s="7" t="s">
        <v>3367</v>
      </c>
      <c r="D1703" s="12" t="s">
        <v>39</v>
      </c>
      <c r="E1703" s="13" t="s">
        <v>41</v>
      </c>
      <c r="F1703" s="8" t="s">
        <v>42</v>
      </c>
      <c r="G1703" s="8" t="b">
        <v>0</v>
      </c>
      <c r="H1703" s="8" t="s">
        <v>5980</v>
      </c>
      <c r="I1703" s="8">
        <v>1.0</v>
      </c>
      <c r="J1703" s="8">
        <v>0.0</v>
      </c>
      <c r="K1703" s="8">
        <v>1.0</v>
      </c>
    </row>
    <row r="1704">
      <c r="A1704" s="7" t="s">
        <v>5981</v>
      </c>
      <c r="B1704" s="8" t="s">
        <v>5982</v>
      </c>
      <c r="C1704" s="7" t="s">
        <v>3372</v>
      </c>
      <c r="D1704" s="12" t="s">
        <v>39</v>
      </c>
      <c r="E1704" s="13" t="s">
        <v>73</v>
      </c>
      <c r="F1704" s="8" t="s">
        <v>42</v>
      </c>
      <c r="G1704" s="8" t="b">
        <v>0</v>
      </c>
      <c r="I1704" s="8">
        <v>1.0</v>
      </c>
      <c r="J1704" s="8">
        <v>0.0</v>
      </c>
      <c r="K1704" s="8">
        <v>0.0</v>
      </c>
    </row>
    <row r="1705">
      <c r="A1705" s="7" t="s">
        <v>5983</v>
      </c>
      <c r="B1705" s="8" t="s">
        <v>5984</v>
      </c>
      <c r="C1705" s="7" t="s">
        <v>188</v>
      </c>
      <c r="D1705" s="12" t="s">
        <v>39</v>
      </c>
      <c r="E1705" s="13" t="s">
        <v>22</v>
      </c>
      <c r="F1705" s="8" t="s">
        <v>42</v>
      </c>
      <c r="G1705" s="8" t="b">
        <v>0</v>
      </c>
      <c r="H1705" s="8" t="s">
        <v>5985</v>
      </c>
      <c r="I1705" s="8">
        <v>1.0</v>
      </c>
      <c r="J1705" s="8">
        <v>0.0</v>
      </c>
      <c r="K1705" s="8">
        <v>2.0</v>
      </c>
    </row>
    <row r="1706">
      <c r="A1706" s="7" t="s">
        <v>5986</v>
      </c>
      <c r="B1706" s="8" t="s">
        <v>5987</v>
      </c>
      <c r="C1706" s="7" t="s">
        <v>188</v>
      </c>
      <c r="D1706" s="12" t="s">
        <v>693</v>
      </c>
      <c r="E1706" s="13" t="s">
        <v>22</v>
      </c>
      <c r="F1706" s="8" t="s">
        <v>695</v>
      </c>
      <c r="G1706" s="8" t="b">
        <v>0</v>
      </c>
      <c r="H1706" s="8" t="s">
        <v>5988</v>
      </c>
      <c r="I1706" s="8">
        <v>1.0</v>
      </c>
      <c r="J1706" s="8">
        <v>0.0</v>
      </c>
      <c r="K1706" s="8">
        <v>1.0</v>
      </c>
    </row>
    <row r="1707">
      <c r="A1707" s="7" t="s">
        <v>5989</v>
      </c>
      <c r="B1707" s="8" t="s">
        <v>5990</v>
      </c>
      <c r="C1707" s="7" t="s">
        <v>188</v>
      </c>
      <c r="D1707" s="12" t="s">
        <v>39</v>
      </c>
      <c r="E1707" s="13" t="s">
        <v>22</v>
      </c>
      <c r="F1707" s="8" t="s">
        <v>42</v>
      </c>
      <c r="G1707" s="8" t="b">
        <v>0</v>
      </c>
      <c r="H1707" s="8" t="s">
        <v>5991</v>
      </c>
      <c r="I1707" s="8">
        <v>1.0</v>
      </c>
      <c r="J1707" s="8">
        <v>0.0</v>
      </c>
      <c r="K1707" s="8">
        <v>0.0</v>
      </c>
    </row>
    <row r="1708">
      <c r="A1708" s="7" t="s">
        <v>5992</v>
      </c>
      <c r="B1708" s="8" t="s">
        <v>5993</v>
      </c>
      <c r="C1708" s="7" t="s">
        <v>188</v>
      </c>
      <c r="D1708" s="12" t="s">
        <v>39</v>
      </c>
      <c r="E1708" s="13" t="s">
        <v>22</v>
      </c>
      <c r="F1708" s="8" t="s">
        <v>42</v>
      </c>
      <c r="G1708" s="8" t="b">
        <v>0</v>
      </c>
      <c r="H1708" s="8" t="s">
        <v>5994</v>
      </c>
      <c r="I1708" s="8">
        <v>1.0</v>
      </c>
      <c r="J1708" s="8">
        <v>0.0</v>
      </c>
      <c r="K1708" s="8">
        <v>0.0</v>
      </c>
    </row>
    <row r="1709">
      <c r="A1709" s="7" t="s">
        <v>5995</v>
      </c>
      <c r="B1709" s="8" t="s">
        <v>5996</v>
      </c>
      <c r="C1709" s="7" t="s">
        <v>188</v>
      </c>
      <c r="D1709" s="12" t="s">
        <v>39</v>
      </c>
      <c r="E1709" s="13" t="s">
        <v>22</v>
      </c>
      <c r="F1709" s="8" t="s">
        <v>42</v>
      </c>
      <c r="G1709" s="8" t="b">
        <v>0</v>
      </c>
      <c r="H1709" s="8" t="s">
        <v>5997</v>
      </c>
      <c r="I1709" s="8">
        <v>1.0</v>
      </c>
      <c r="J1709" s="8">
        <v>0.0</v>
      </c>
      <c r="K1709" s="8">
        <v>2.0</v>
      </c>
    </row>
    <row r="1710">
      <c r="A1710" s="7" t="s">
        <v>5998</v>
      </c>
      <c r="B1710" s="8" t="s">
        <v>5999</v>
      </c>
      <c r="C1710" s="7" t="s">
        <v>188</v>
      </c>
      <c r="D1710" s="12" t="s">
        <v>39</v>
      </c>
      <c r="E1710" s="13" t="s">
        <v>22</v>
      </c>
      <c r="F1710" s="8" t="s">
        <v>42</v>
      </c>
      <c r="G1710" s="8" t="b">
        <v>0</v>
      </c>
      <c r="H1710" s="8" t="s">
        <v>6000</v>
      </c>
      <c r="I1710" s="8">
        <v>1.0</v>
      </c>
      <c r="J1710" s="8">
        <v>0.0</v>
      </c>
      <c r="K1710" s="8">
        <v>1.0</v>
      </c>
    </row>
    <row r="1711">
      <c r="A1711" s="7" t="s">
        <v>6001</v>
      </c>
      <c r="B1711" s="8" t="s">
        <v>2486</v>
      </c>
      <c r="C1711" s="7" t="s">
        <v>200</v>
      </c>
      <c r="D1711" s="12" t="s">
        <v>190</v>
      </c>
      <c r="E1711" s="13" t="s">
        <v>190</v>
      </c>
      <c r="F1711" s="8" t="s">
        <v>191</v>
      </c>
      <c r="G1711" s="8" t="b">
        <v>0</v>
      </c>
      <c r="I1711" s="8">
        <v>1.0</v>
      </c>
      <c r="J1711" s="8">
        <v>0.0</v>
      </c>
      <c r="K1711" s="8">
        <v>0.0</v>
      </c>
    </row>
    <row r="1712">
      <c r="A1712" s="7" t="s">
        <v>6002</v>
      </c>
      <c r="B1712" s="8" t="s">
        <v>6003</v>
      </c>
      <c r="C1712" s="7" t="s">
        <v>466</v>
      </c>
      <c r="D1712" s="12" t="s">
        <v>39</v>
      </c>
      <c r="E1712" s="13" t="s">
        <v>41</v>
      </c>
      <c r="F1712" s="8" t="s">
        <v>42</v>
      </c>
      <c r="G1712" s="8" t="b">
        <v>0</v>
      </c>
      <c r="H1712" s="8" t="s">
        <v>6004</v>
      </c>
      <c r="I1712" s="8">
        <v>1.0</v>
      </c>
      <c r="J1712" s="8">
        <v>0.0</v>
      </c>
      <c r="K1712" s="8">
        <v>1.0</v>
      </c>
    </row>
    <row r="1713">
      <c r="A1713" s="7" t="s">
        <v>6005</v>
      </c>
      <c r="B1713" s="8" t="s">
        <v>6006</v>
      </c>
      <c r="C1713" s="7" t="s">
        <v>3513</v>
      </c>
      <c r="D1713" s="12" t="s">
        <v>72</v>
      </c>
      <c r="E1713" s="13" t="s">
        <v>41</v>
      </c>
      <c r="F1713" s="8" t="s">
        <v>74</v>
      </c>
      <c r="G1713" s="8" t="b">
        <v>0</v>
      </c>
      <c r="H1713" s="8" t="s">
        <v>3515</v>
      </c>
      <c r="I1713" s="8">
        <v>1.0</v>
      </c>
      <c r="J1713" s="8">
        <v>0.0</v>
      </c>
      <c r="K1713" s="8">
        <v>1.0</v>
      </c>
    </row>
    <row r="1714">
      <c r="A1714" s="7" t="s">
        <v>6007</v>
      </c>
      <c r="B1714" s="8" t="s">
        <v>6008</v>
      </c>
      <c r="C1714" s="8" t="s">
        <v>3375</v>
      </c>
      <c r="D1714" s="12" t="s">
        <v>39</v>
      </c>
      <c r="E1714" s="13" t="s">
        <v>41</v>
      </c>
      <c r="F1714" s="8" t="s">
        <v>42</v>
      </c>
      <c r="G1714" s="8" t="b">
        <v>0</v>
      </c>
      <c r="H1714" s="8" t="s">
        <v>3376</v>
      </c>
      <c r="I1714" s="8">
        <v>1.0</v>
      </c>
      <c r="J1714" s="8">
        <v>0.0</v>
      </c>
      <c r="K1714" s="8">
        <v>0.0</v>
      </c>
    </row>
    <row r="1715">
      <c r="A1715" s="7" t="s">
        <v>6009</v>
      </c>
      <c r="B1715" s="8" t="s">
        <v>6010</v>
      </c>
      <c r="C1715" s="7" t="s">
        <v>3377</v>
      </c>
      <c r="D1715" s="12" t="s">
        <v>554</v>
      </c>
      <c r="E1715" s="13" t="s">
        <v>22</v>
      </c>
      <c r="F1715" s="8" t="s">
        <v>555</v>
      </c>
      <c r="G1715" s="8" t="b">
        <v>0</v>
      </c>
      <c r="I1715" s="8">
        <v>1.0</v>
      </c>
      <c r="J1715" s="8">
        <v>0.0</v>
      </c>
      <c r="K1715" s="8">
        <v>1.0</v>
      </c>
    </row>
    <row r="1716">
      <c r="A1716" s="7" t="s">
        <v>6011</v>
      </c>
      <c r="B1716" s="8" t="s">
        <v>6012</v>
      </c>
      <c r="C1716" s="7" t="s">
        <v>3381</v>
      </c>
      <c r="D1716" s="12" t="s">
        <v>766</v>
      </c>
      <c r="E1716" s="13" t="s">
        <v>41</v>
      </c>
      <c r="F1716" s="8" t="s">
        <v>767</v>
      </c>
      <c r="G1716" s="8" t="b">
        <v>0</v>
      </c>
      <c r="I1716" s="8">
        <v>1.0</v>
      </c>
      <c r="J1716" s="8">
        <v>0.0</v>
      </c>
      <c r="K1716" s="8">
        <v>0.0</v>
      </c>
    </row>
    <row r="1717">
      <c r="A1717" s="7" t="s">
        <v>6013</v>
      </c>
      <c r="B1717" s="8" t="s">
        <v>6014</v>
      </c>
      <c r="C1717" s="7" t="s">
        <v>985</v>
      </c>
      <c r="D1717" s="12" t="s">
        <v>39</v>
      </c>
      <c r="E1717" s="13" t="s">
        <v>73</v>
      </c>
      <c r="F1717" s="8" t="s">
        <v>42</v>
      </c>
      <c r="G1717" s="8" t="b">
        <v>0</v>
      </c>
      <c r="H1717" s="8" t="s">
        <v>6015</v>
      </c>
      <c r="I1717" s="8">
        <v>1.0</v>
      </c>
      <c r="J1717" s="8">
        <v>0.0</v>
      </c>
      <c r="K1717" s="8">
        <v>0.0</v>
      </c>
    </row>
    <row r="1718">
      <c r="A1718" s="7" t="s">
        <v>6016</v>
      </c>
      <c r="B1718" s="8" t="s">
        <v>6017</v>
      </c>
      <c r="C1718" s="7" t="s">
        <v>3384</v>
      </c>
      <c r="D1718" s="12" t="s">
        <v>39</v>
      </c>
      <c r="E1718" s="13" t="s">
        <v>73</v>
      </c>
      <c r="F1718" s="8" t="s">
        <v>42</v>
      </c>
      <c r="G1718" s="8" t="b">
        <v>0</v>
      </c>
      <c r="H1718" s="8" t="s">
        <v>6018</v>
      </c>
      <c r="I1718" s="8">
        <v>1.0</v>
      </c>
      <c r="J1718" s="8">
        <v>0.0</v>
      </c>
      <c r="K1718" s="8">
        <v>1.0</v>
      </c>
    </row>
    <row r="1719">
      <c r="A1719" s="7" t="s">
        <v>6019</v>
      </c>
      <c r="B1719" s="8" t="s">
        <v>6020</v>
      </c>
      <c r="C1719" s="7" t="s">
        <v>3389</v>
      </c>
      <c r="D1719" s="12" t="s">
        <v>39</v>
      </c>
      <c r="E1719" s="13" t="s">
        <v>41</v>
      </c>
      <c r="F1719" s="8" t="s">
        <v>42</v>
      </c>
      <c r="G1719" s="8" t="b">
        <v>0</v>
      </c>
      <c r="H1719" s="8" t="s">
        <v>6021</v>
      </c>
      <c r="I1719" s="8">
        <v>1.0</v>
      </c>
      <c r="J1719" s="8">
        <v>0.0</v>
      </c>
      <c r="K1719" s="8">
        <v>0.0</v>
      </c>
    </row>
    <row r="1720">
      <c r="A1720" s="7" t="s">
        <v>6022</v>
      </c>
      <c r="B1720" s="8" t="s">
        <v>6023</v>
      </c>
      <c r="C1720" s="7" t="s">
        <v>3394</v>
      </c>
      <c r="D1720" s="12" t="s">
        <v>72</v>
      </c>
      <c r="E1720" s="13" t="s">
        <v>73</v>
      </c>
      <c r="F1720" s="8" t="s">
        <v>74</v>
      </c>
      <c r="G1720" s="8" t="b">
        <v>0</v>
      </c>
      <c r="H1720" s="8" t="s">
        <v>3395</v>
      </c>
      <c r="I1720" s="8">
        <v>1.0</v>
      </c>
      <c r="J1720" s="8">
        <v>0.0</v>
      </c>
      <c r="K1720" s="8">
        <v>0.0</v>
      </c>
    </row>
    <row r="1721">
      <c r="A1721" s="7" t="s">
        <v>6024</v>
      </c>
      <c r="B1721" s="8" t="s">
        <v>6025</v>
      </c>
      <c r="C1721" s="7" t="s">
        <v>3397</v>
      </c>
      <c r="D1721" s="12" t="s">
        <v>693</v>
      </c>
      <c r="E1721" s="13" t="s">
        <v>753</v>
      </c>
      <c r="F1721" s="8" t="s">
        <v>695</v>
      </c>
      <c r="G1721" s="8" t="b">
        <v>0</v>
      </c>
      <c r="H1721" s="8" t="s">
        <v>3400</v>
      </c>
      <c r="I1721" s="8">
        <v>1.0</v>
      </c>
      <c r="J1721" s="8">
        <v>0.0</v>
      </c>
      <c r="K1721" s="8">
        <v>2.0</v>
      </c>
    </row>
    <row r="1722">
      <c r="A1722" s="7" t="s">
        <v>6026</v>
      </c>
      <c r="B1722" s="8" t="s">
        <v>6027</v>
      </c>
      <c r="C1722" s="7" t="s">
        <v>3402</v>
      </c>
      <c r="D1722" s="12" t="s">
        <v>39</v>
      </c>
      <c r="E1722" s="13" t="s">
        <v>753</v>
      </c>
      <c r="F1722" s="8" t="s">
        <v>42</v>
      </c>
      <c r="G1722" s="8" t="b">
        <v>0</v>
      </c>
      <c r="H1722" s="8" t="s">
        <v>6028</v>
      </c>
      <c r="I1722" s="8">
        <v>1.0</v>
      </c>
      <c r="J1722" s="8">
        <v>0.0</v>
      </c>
      <c r="K1722" s="8">
        <v>1.0</v>
      </c>
    </row>
    <row r="1723">
      <c r="A1723" s="7" t="s">
        <v>6029</v>
      </c>
      <c r="B1723" s="8" t="s">
        <v>6030</v>
      </c>
      <c r="C1723" s="7" t="s">
        <v>1613</v>
      </c>
      <c r="D1723" s="12" t="s">
        <v>39</v>
      </c>
      <c r="E1723" s="13" t="s">
        <v>41</v>
      </c>
      <c r="F1723" s="8" t="s">
        <v>42</v>
      </c>
      <c r="G1723" s="8" t="b">
        <v>0</v>
      </c>
      <c r="H1723" s="8" t="s">
        <v>6031</v>
      </c>
      <c r="I1723" s="8">
        <v>1.0</v>
      </c>
      <c r="J1723" s="8">
        <v>0.0</v>
      </c>
      <c r="K1723" s="8">
        <v>2.0</v>
      </c>
    </row>
    <row r="1724">
      <c r="A1724" s="7" t="s">
        <v>6032</v>
      </c>
      <c r="B1724" s="8" t="s">
        <v>6033</v>
      </c>
      <c r="C1724" s="7" t="s">
        <v>1613</v>
      </c>
      <c r="D1724" s="12" t="s">
        <v>39</v>
      </c>
      <c r="E1724" s="13" t="s">
        <v>41</v>
      </c>
      <c r="F1724" s="8" t="s">
        <v>42</v>
      </c>
      <c r="G1724" s="8" t="b">
        <v>0</v>
      </c>
      <c r="H1724" s="8" t="s">
        <v>6034</v>
      </c>
      <c r="I1724" s="8">
        <v>1.0</v>
      </c>
      <c r="J1724" s="8">
        <v>0.0</v>
      </c>
      <c r="K1724" s="8">
        <v>2.0</v>
      </c>
    </row>
    <row r="1725">
      <c r="A1725" s="7" t="s">
        <v>6035</v>
      </c>
      <c r="B1725" s="8" t="s">
        <v>6036</v>
      </c>
      <c r="C1725" s="7" t="s">
        <v>595</v>
      </c>
      <c r="D1725" s="12" t="s">
        <v>39</v>
      </c>
      <c r="E1725" s="13" t="s">
        <v>190</v>
      </c>
      <c r="F1725" s="8" t="s">
        <v>42</v>
      </c>
      <c r="G1725" s="8" t="b">
        <v>0</v>
      </c>
      <c r="H1725" s="8" t="s">
        <v>6037</v>
      </c>
      <c r="I1725" s="8">
        <v>1.0</v>
      </c>
      <c r="J1725" s="8">
        <v>0.0</v>
      </c>
      <c r="K1725" s="8">
        <v>1.0</v>
      </c>
    </row>
    <row r="1726">
      <c r="A1726" s="7" t="s">
        <v>6038</v>
      </c>
      <c r="B1726" s="8" t="s">
        <v>6039</v>
      </c>
      <c r="C1726" s="7" t="s">
        <v>3409</v>
      </c>
      <c r="D1726" s="12" t="s">
        <v>39</v>
      </c>
      <c r="E1726" s="13" t="s">
        <v>41</v>
      </c>
      <c r="F1726" s="8" t="s">
        <v>42</v>
      </c>
      <c r="G1726" s="8" t="b">
        <v>0</v>
      </c>
      <c r="H1726" s="8" t="s">
        <v>724</v>
      </c>
      <c r="I1726" s="8">
        <v>1.0</v>
      </c>
      <c r="J1726" s="8">
        <v>0.0</v>
      </c>
      <c r="K1726" s="8">
        <v>1.0</v>
      </c>
    </row>
    <row r="1727">
      <c r="A1727" s="7" t="s">
        <v>6040</v>
      </c>
      <c r="B1727" s="8" t="s">
        <v>6041</v>
      </c>
      <c r="C1727" s="7" t="s">
        <v>412</v>
      </c>
      <c r="D1727" s="12" t="s">
        <v>39</v>
      </c>
      <c r="E1727" s="13" t="s">
        <v>753</v>
      </c>
      <c r="F1727" s="8" t="s">
        <v>42</v>
      </c>
      <c r="G1727" s="8" t="b">
        <v>0</v>
      </c>
      <c r="H1727" s="8" t="s">
        <v>6042</v>
      </c>
      <c r="I1727" s="8">
        <v>1.0</v>
      </c>
      <c r="J1727" s="8">
        <v>0.0</v>
      </c>
      <c r="K1727" s="8">
        <v>0.0</v>
      </c>
    </row>
    <row r="1728">
      <c r="A1728" s="7" t="s">
        <v>6043</v>
      </c>
      <c r="B1728" s="8" t="s">
        <v>6044</v>
      </c>
      <c r="C1728" s="7" t="s">
        <v>412</v>
      </c>
      <c r="D1728" s="12" t="s">
        <v>39</v>
      </c>
      <c r="E1728" s="13" t="s">
        <v>753</v>
      </c>
      <c r="F1728" s="8" t="s">
        <v>42</v>
      </c>
      <c r="G1728" s="8" t="b">
        <v>0</v>
      </c>
      <c r="H1728" s="8" t="s">
        <v>6045</v>
      </c>
      <c r="I1728" s="8">
        <v>1.0</v>
      </c>
      <c r="J1728" s="8">
        <v>0.0</v>
      </c>
      <c r="K1728" s="8">
        <v>2.0</v>
      </c>
    </row>
    <row r="1729">
      <c r="A1729" s="7" t="s">
        <v>6046</v>
      </c>
      <c r="B1729" s="8" t="s">
        <v>6047</v>
      </c>
      <c r="C1729" s="7" t="s">
        <v>412</v>
      </c>
      <c r="D1729" s="12" t="s">
        <v>39</v>
      </c>
      <c r="E1729" s="13" t="s">
        <v>753</v>
      </c>
      <c r="F1729" s="8" t="s">
        <v>42</v>
      </c>
      <c r="G1729" s="8" t="b">
        <v>0</v>
      </c>
      <c r="H1729" s="8" t="s">
        <v>6048</v>
      </c>
      <c r="I1729" s="8">
        <v>1.0</v>
      </c>
      <c r="J1729" s="8">
        <v>0.0</v>
      </c>
      <c r="K1729" s="8">
        <v>0.0</v>
      </c>
    </row>
    <row r="1730">
      <c r="A1730" s="7" t="s">
        <v>6049</v>
      </c>
      <c r="B1730" s="8" t="s">
        <v>6050</v>
      </c>
      <c r="C1730" s="7" t="s">
        <v>412</v>
      </c>
      <c r="D1730" s="12" t="s">
        <v>39</v>
      </c>
      <c r="E1730" s="13" t="s">
        <v>753</v>
      </c>
      <c r="F1730" s="8" t="s">
        <v>42</v>
      </c>
      <c r="G1730" s="8" t="b">
        <v>0</v>
      </c>
      <c r="H1730" s="8" t="s">
        <v>6051</v>
      </c>
      <c r="I1730" s="8">
        <v>1.0</v>
      </c>
      <c r="J1730" s="8">
        <v>0.0</v>
      </c>
      <c r="K1730" s="8">
        <v>0.0</v>
      </c>
    </row>
    <row r="1731">
      <c r="A1731" s="7" t="s">
        <v>6052</v>
      </c>
      <c r="B1731" s="8" t="s">
        <v>6053</v>
      </c>
      <c r="C1731" s="7" t="s">
        <v>204</v>
      </c>
      <c r="D1731" s="12" t="s">
        <v>39</v>
      </c>
      <c r="E1731" s="13" t="s">
        <v>41</v>
      </c>
      <c r="F1731" s="8" t="s">
        <v>42</v>
      </c>
      <c r="G1731" s="8" t="b">
        <v>0</v>
      </c>
      <c r="H1731" s="8" t="s">
        <v>6054</v>
      </c>
      <c r="I1731" s="8">
        <v>1.0</v>
      </c>
      <c r="J1731" s="8">
        <v>0.0</v>
      </c>
      <c r="K1731" s="8">
        <v>1.0</v>
      </c>
    </row>
    <row r="1732">
      <c r="A1732" s="7" t="s">
        <v>6055</v>
      </c>
      <c r="B1732" s="8" t="s">
        <v>6056</v>
      </c>
      <c r="C1732" s="7" t="s">
        <v>204</v>
      </c>
      <c r="D1732" s="12" t="s">
        <v>39</v>
      </c>
      <c r="E1732" s="13" t="s">
        <v>41</v>
      </c>
      <c r="F1732" s="8" t="s">
        <v>42</v>
      </c>
      <c r="G1732" s="8" t="b">
        <v>0</v>
      </c>
      <c r="H1732" s="8" t="s">
        <v>6057</v>
      </c>
      <c r="I1732" s="8">
        <v>1.0</v>
      </c>
      <c r="J1732" s="8">
        <v>0.0</v>
      </c>
      <c r="K1732" s="8">
        <v>2.0</v>
      </c>
    </row>
    <row r="1733">
      <c r="A1733" s="7" t="s">
        <v>6058</v>
      </c>
      <c r="B1733" s="8" t="s">
        <v>6059</v>
      </c>
      <c r="C1733" s="7" t="s">
        <v>3412</v>
      </c>
      <c r="D1733" s="12" t="s">
        <v>693</v>
      </c>
      <c r="E1733" s="13" t="s">
        <v>190</v>
      </c>
      <c r="F1733" s="8" t="s">
        <v>695</v>
      </c>
      <c r="G1733" s="8" t="b">
        <v>0</v>
      </c>
      <c r="I1733" s="8">
        <v>1.0</v>
      </c>
      <c r="J1733" s="8">
        <v>0.0</v>
      </c>
      <c r="K1733" s="8">
        <v>1.0</v>
      </c>
    </row>
    <row r="1734">
      <c r="A1734" s="7" t="s">
        <v>6060</v>
      </c>
      <c r="B1734" s="8" t="s">
        <v>6061</v>
      </c>
      <c r="C1734" s="7" t="s">
        <v>1924</v>
      </c>
      <c r="D1734" s="12" t="s">
        <v>766</v>
      </c>
      <c r="E1734" s="13" t="s">
        <v>41</v>
      </c>
      <c r="F1734" s="8" t="s">
        <v>767</v>
      </c>
      <c r="G1734" s="8" t="b">
        <v>0</v>
      </c>
      <c r="H1734" s="8" t="s">
        <v>792</v>
      </c>
      <c r="I1734" s="8">
        <v>1.0</v>
      </c>
      <c r="J1734" s="8">
        <v>0.0</v>
      </c>
      <c r="K1734" s="8">
        <v>1.0</v>
      </c>
    </row>
    <row r="1735">
      <c r="A1735" s="7" t="s">
        <v>6062</v>
      </c>
      <c r="B1735" s="8" t="s">
        <v>6063</v>
      </c>
      <c r="C1735" s="7" t="s">
        <v>1924</v>
      </c>
      <c r="D1735" s="12" t="s">
        <v>190</v>
      </c>
      <c r="E1735" s="13" t="s">
        <v>41</v>
      </c>
      <c r="F1735" s="8" t="s">
        <v>191</v>
      </c>
      <c r="G1735" s="8" t="b">
        <v>0</v>
      </c>
      <c r="H1735" s="8" t="s">
        <v>1421</v>
      </c>
      <c r="I1735" s="8">
        <v>1.0</v>
      </c>
      <c r="J1735" s="8">
        <v>0.0</v>
      </c>
      <c r="K1735" s="8">
        <v>1.0</v>
      </c>
    </row>
    <row r="1736">
      <c r="A1736" s="7" t="s">
        <v>6064</v>
      </c>
      <c r="B1736" s="8" t="s">
        <v>6065</v>
      </c>
      <c r="C1736" s="7" t="s">
        <v>1191</v>
      </c>
      <c r="D1736" s="12" t="s">
        <v>39</v>
      </c>
      <c r="E1736" s="13" t="s">
        <v>41</v>
      </c>
      <c r="F1736" s="8" t="s">
        <v>42</v>
      </c>
      <c r="G1736" s="8" t="b">
        <v>0</v>
      </c>
      <c r="H1736" s="8" t="s">
        <v>6066</v>
      </c>
      <c r="I1736" s="8">
        <v>1.0</v>
      </c>
      <c r="J1736" s="8">
        <v>0.0</v>
      </c>
      <c r="K1736" s="8">
        <v>1.0</v>
      </c>
    </row>
    <row r="1737">
      <c r="A1737" s="7" t="s">
        <v>6067</v>
      </c>
      <c r="B1737" s="8" t="s">
        <v>6068</v>
      </c>
      <c r="C1737" s="7" t="s">
        <v>685</v>
      </c>
      <c r="D1737" s="12" t="s">
        <v>39</v>
      </c>
      <c r="E1737" s="13" t="s">
        <v>22</v>
      </c>
      <c r="F1737" s="8" t="s">
        <v>42</v>
      </c>
      <c r="G1737" s="8" t="b">
        <v>0</v>
      </c>
      <c r="H1737" s="8" t="s">
        <v>6069</v>
      </c>
      <c r="I1737" s="8">
        <v>1.0</v>
      </c>
      <c r="J1737" s="8">
        <v>0.0</v>
      </c>
      <c r="K1737" s="8">
        <v>1.0</v>
      </c>
    </row>
    <row r="1738">
      <c r="A1738" s="7" t="s">
        <v>6070</v>
      </c>
      <c r="B1738" s="8" t="s">
        <v>6071</v>
      </c>
      <c r="C1738" s="7" t="s">
        <v>685</v>
      </c>
      <c r="D1738" s="12" t="s">
        <v>766</v>
      </c>
      <c r="E1738" s="13" t="s">
        <v>22</v>
      </c>
      <c r="F1738" s="8" t="s">
        <v>767</v>
      </c>
      <c r="G1738" s="8" t="b">
        <v>0</v>
      </c>
      <c r="H1738" s="8" t="s">
        <v>6069</v>
      </c>
      <c r="I1738" s="8">
        <v>1.0</v>
      </c>
      <c r="J1738" s="8">
        <v>0.0</v>
      </c>
      <c r="K1738" s="8">
        <v>2.0</v>
      </c>
    </row>
    <row r="1739">
      <c r="A1739" s="7" t="s">
        <v>6072</v>
      </c>
      <c r="B1739" s="8" t="s">
        <v>6073</v>
      </c>
      <c r="C1739" s="7" t="s">
        <v>286</v>
      </c>
      <c r="D1739" s="12" t="s">
        <v>39</v>
      </c>
      <c r="E1739" s="13" t="s">
        <v>73</v>
      </c>
      <c r="F1739" s="8" t="s">
        <v>42</v>
      </c>
      <c r="G1739" s="8" t="b">
        <v>0</v>
      </c>
      <c r="H1739" s="8" t="s">
        <v>6074</v>
      </c>
      <c r="I1739" s="8">
        <v>1.0</v>
      </c>
      <c r="J1739" s="8">
        <v>0.0</v>
      </c>
      <c r="K1739" s="8">
        <v>0.0</v>
      </c>
    </row>
    <row r="1740">
      <c r="A1740" s="7" t="s">
        <v>6075</v>
      </c>
      <c r="B1740" s="8" t="s">
        <v>2506</v>
      </c>
      <c r="C1740" s="7" t="s">
        <v>286</v>
      </c>
      <c r="D1740" s="12" t="s">
        <v>39</v>
      </c>
      <c r="E1740" s="13" t="s">
        <v>73</v>
      </c>
      <c r="F1740" s="8" t="s">
        <v>42</v>
      </c>
      <c r="G1740" s="8" t="b">
        <v>0</v>
      </c>
      <c r="H1740" s="8" t="s">
        <v>186</v>
      </c>
      <c r="I1740" s="8">
        <v>1.0</v>
      </c>
      <c r="J1740" s="8">
        <v>0.0</v>
      </c>
      <c r="K1740" s="8">
        <v>0.0</v>
      </c>
    </row>
    <row r="1741">
      <c r="A1741" s="7" t="s">
        <v>6076</v>
      </c>
      <c r="B1741" s="8" t="s">
        <v>6077</v>
      </c>
      <c r="C1741" s="7" t="s">
        <v>286</v>
      </c>
      <c r="D1741" s="12" t="s">
        <v>39</v>
      </c>
      <c r="E1741" s="13" t="s">
        <v>73</v>
      </c>
      <c r="F1741" s="8" t="s">
        <v>42</v>
      </c>
      <c r="G1741" s="8" t="b">
        <v>0</v>
      </c>
      <c r="H1741" s="8" t="s">
        <v>6078</v>
      </c>
      <c r="I1741" s="8">
        <v>1.0</v>
      </c>
      <c r="J1741" s="8">
        <v>0.0</v>
      </c>
      <c r="K1741" s="8">
        <v>0.0</v>
      </c>
    </row>
    <row r="1742">
      <c r="A1742" s="7" t="s">
        <v>6079</v>
      </c>
      <c r="B1742" s="8" t="s">
        <v>2510</v>
      </c>
      <c r="C1742" s="7" t="s">
        <v>286</v>
      </c>
      <c r="D1742" s="12" t="s">
        <v>190</v>
      </c>
      <c r="E1742" s="13" t="s">
        <v>73</v>
      </c>
      <c r="F1742" s="8" t="s">
        <v>191</v>
      </c>
      <c r="G1742" s="8" t="b">
        <v>0</v>
      </c>
      <c r="H1742" s="8" t="s">
        <v>6080</v>
      </c>
      <c r="I1742" s="8">
        <v>1.0</v>
      </c>
      <c r="J1742" s="8">
        <v>0.0</v>
      </c>
      <c r="K1742" s="8">
        <v>0.0</v>
      </c>
    </row>
    <row r="1743">
      <c r="A1743" s="7" t="s">
        <v>6081</v>
      </c>
      <c r="B1743" s="8" t="s">
        <v>6082</v>
      </c>
      <c r="C1743" s="7" t="s">
        <v>286</v>
      </c>
      <c r="D1743" s="12" t="s">
        <v>21</v>
      </c>
      <c r="E1743" s="13" t="s">
        <v>73</v>
      </c>
      <c r="F1743" s="8" t="s">
        <v>24</v>
      </c>
      <c r="G1743" s="8" t="b">
        <v>0</v>
      </c>
      <c r="H1743" s="8" t="s">
        <v>6083</v>
      </c>
      <c r="I1743" s="8">
        <v>1.0</v>
      </c>
      <c r="J1743" s="8">
        <v>0.0</v>
      </c>
      <c r="K1743" s="8">
        <v>0.0</v>
      </c>
    </row>
    <row r="1744">
      <c r="A1744" s="7" t="s">
        <v>6084</v>
      </c>
      <c r="B1744" s="8" t="s">
        <v>6085</v>
      </c>
      <c r="C1744" s="7" t="s">
        <v>3417</v>
      </c>
      <c r="D1744" s="12" t="s">
        <v>39</v>
      </c>
      <c r="E1744" s="13" t="s">
        <v>190</v>
      </c>
      <c r="F1744" s="8" t="s">
        <v>42</v>
      </c>
      <c r="G1744" s="8" t="b">
        <v>0</v>
      </c>
      <c r="H1744" s="8" t="s">
        <v>6086</v>
      </c>
      <c r="I1744" s="8">
        <v>1.0</v>
      </c>
      <c r="J1744" s="8">
        <v>0.0</v>
      </c>
      <c r="K1744" s="8">
        <v>1.0</v>
      </c>
    </row>
    <row r="1745">
      <c r="A1745" s="7" t="s">
        <v>6087</v>
      </c>
      <c r="B1745" s="8" t="s">
        <v>6088</v>
      </c>
      <c r="C1745" s="7" t="s">
        <v>3420</v>
      </c>
      <c r="D1745" s="12" t="s">
        <v>554</v>
      </c>
      <c r="E1745" s="13" t="s">
        <v>41</v>
      </c>
      <c r="F1745" s="8" t="s">
        <v>555</v>
      </c>
      <c r="G1745" s="8" t="b">
        <v>0</v>
      </c>
      <c r="I1745" s="8">
        <v>1.0</v>
      </c>
      <c r="J1745" s="8">
        <v>0.0</v>
      </c>
      <c r="K1745" s="8">
        <v>1.0</v>
      </c>
    </row>
    <row r="1746">
      <c r="A1746" s="7" t="s">
        <v>6089</v>
      </c>
      <c r="B1746" s="8" t="s">
        <v>6090</v>
      </c>
      <c r="C1746" s="7" t="s">
        <v>59</v>
      </c>
      <c r="D1746" s="12" t="s">
        <v>39</v>
      </c>
      <c r="E1746" s="13" t="s">
        <v>22</v>
      </c>
      <c r="F1746" s="8" t="s">
        <v>42</v>
      </c>
      <c r="G1746" s="8" t="b">
        <v>0</v>
      </c>
      <c r="H1746" s="8" t="s">
        <v>6091</v>
      </c>
      <c r="I1746" s="8">
        <v>1.0</v>
      </c>
      <c r="J1746" s="8">
        <v>0.0</v>
      </c>
      <c r="K1746" s="8">
        <v>0.0</v>
      </c>
    </row>
    <row r="1747">
      <c r="A1747" s="7" t="s">
        <v>6092</v>
      </c>
      <c r="B1747" s="8" t="s">
        <v>6093</v>
      </c>
      <c r="C1747" s="7" t="s">
        <v>59</v>
      </c>
      <c r="D1747" s="12" t="s">
        <v>39</v>
      </c>
      <c r="E1747" s="13" t="s">
        <v>22</v>
      </c>
      <c r="F1747" s="8" t="s">
        <v>42</v>
      </c>
      <c r="G1747" s="8" t="b">
        <v>0</v>
      </c>
      <c r="H1747" s="8" t="s">
        <v>6094</v>
      </c>
      <c r="I1747" s="8">
        <v>1.0</v>
      </c>
      <c r="J1747" s="8">
        <v>0.0</v>
      </c>
      <c r="K1747" s="8">
        <v>3.0</v>
      </c>
    </row>
    <row r="1748">
      <c r="A1748" s="7" t="s">
        <v>6095</v>
      </c>
      <c r="B1748" s="8" t="s">
        <v>6096</v>
      </c>
      <c r="C1748" s="7" t="s">
        <v>3423</v>
      </c>
      <c r="D1748" s="12" t="s">
        <v>39</v>
      </c>
      <c r="E1748" s="13" t="s">
        <v>41</v>
      </c>
      <c r="F1748" s="8" t="s">
        <v>42</v>
      </c>
      <c r="G1748" s="8" t="b">
        <v>0</v>
      </c>
      <c r="H1748" s="8" t="s">
        <v>6097</v>
      </c>
      <c r="I1748" s="8">
        <v>1.0</v>
      </c>
      <c r="J1748" s="8">
        <v>0.0</v>
      </c>
      <c r="K1748" s="8">
        <v>9.0</v>
      </c>
    </row>
    <row r="1749">
      <c r="A1749" s="7" t="s">
        <v>6098</v>
      </c>
      <c r="B1749" s="8" t="s">
        <v>6099</v>
      </c>
      <c r="C1749" s="7" t="s">
        <v>3428</v>
      </c>
      <c r="D1749" s="12" t="s">
        <v>766</v>
      </c>
      <c r="E1749" s="13" t="s">
        <v>41</v>
      </c>
      <c r="F1749" s="8" t="s">
        <v>767</v>
      </c>
      <c r="G1749" s="8" t="b">
        <v>0</v>
      </c>
      <c r="H1749" s="8" t="s">
        <v>6100</v>
      </c>
      <c r="I1749" s="8">
        <v>1.0</v>
      </c>
      <c r="J1749" s="8">
        <v>0.0</v>
      </c>
      <c r="K1749" s="8">
        <v>1.0</v>
      </c>
    </row>
    <row r="1750">
      <c r="A1750" s="7" t="s">
        <v>6101</v>
      </c>
      <c r="B1750" s="8" t="s">
        <v>6102</v>
      </c>
      <c r="C1750" s="7" t="s">
        <v>3432</v>
      </c>
      <c r="D1750" s="12" t="s">
        <v>39</v>
      </c>
      <c r="E1750" s="13" t="s">
        <v>753</v>
      </c>
      <c r="F1750" s="8" t="s">
        <v>42</v>
      </c>
      <c r="G1750" s="8" t="b">
        <v>0</v>
      </c>
      <c r="I1750" s="8">
        <v>1.0</v>
      </c>
      <c r="J1750" s="8">
        <v>0.0</v>
      </c>
      <c r="K1750" s="8">
        <v>0.0</v>
      </c>
    </row>
    <row r="1751">
      <c r="A1751" s="7" t="s">
        <v>6103</v>
      </c>
      <c r="B1751" s="8" t="s">
        <v>6104</v>
      </c>
      <c r="C1751" s="7" t="s">
        <v>3436</v>
      </c>
      <c r="D1751" s="12" t="s">
        <v>39</v>
      </c>
      <c r="E1751" s="13" t="s">
        <v>41</v>
      </c>
      <c r="F1751" s="8" t="s">
        <v>42</v>
      </c>
      <c r="G1751" s="8" t="b">
        <v>0</v>
      </c>
      <c r="H1751" s="8" t="s">
        <v>186</v>
      </c>
      <c r="I1751" s="8">
        <v>1.0</v>
      </c>
      <c r="J1751" s="8">
        <v>0.0</v>
      </c>
      <c r="K1751" s="8">
        <v>1.0</v>
      </c>
    </row>
    <row r="1752">
      <c r="A1752" s="7" t="s">
        <v>6105</v>
      </c>
      <c r="B1752" s="8" t="s">
        <v>6106</v>
      </c>
      <c r="C1752" s="7" t="s">
        <v>212</v>
      </c>
      <c r="D1752" s="12" t="s">
        <v>39</v>
      </c>
      <c r="E1752" s="13" t="s">
        <v>22</v>
      </c>
      <c r="F1752" s="8" t="s">
        <v>42</v>
      </c>
      <c r="G1752" s="8" t="b">
        <v>0</v>
      </c>
      <c r="H1752" s="8" t="s">
        <v>6107</v>
      </c>
      <c r="I1752" s="8">
        <v>1.0</v>
      </c>
      <c r="J1752" s="8">
        <v>0.0</v>
      </c>
      <c r="K1752" s="8">
        <v>1.0</v>
      </c>
    </row>
    <row r="1753">
      <c r="A1753" s="7" t="s">
        <v>6108</v>
      </c>
      <c r="B1753" s="8" t="s">
        <v>6109</v>
      </c>
      <c r="C1753" s="7" t="s">
        <v>212</v>
      </c>
      <c r="D1753" s="12" t="s">
        <v>39</v>
      </c>
      <c r="E1753" s="13" t="s">
        <v>22</v>
      </c>
      <c r="F1753" s="8" t="s">
        <v>42</v>
      </c>
      <c r="G1753" s="8" t="b">
        <v>0</v>
      </c>
      <c r="H1753" s="8" t="s">
        <v>6110</v>
      </c>
      <c r="I1753" s="8">
        <v>1.0</v>
      </c>
      <c r="J1753" s="8">
        <v>0.0</v>
      </c>
      <c r="K1753" s="8">
        <v>1.0</v>
      </c>
    </row>
    <row r="1754">
      <c r="A1754" s="7" t="s">
        <v>6111</v>
      </c>
      <c r="B1754" s="8" t="s">
        <v>6112</v>
      </c>
      <c r="C1754" s="7" t="s">
        <v>1555</v>
      </c>
      <c r="D1754" s="12" t="s">
        <v>554</v>
      </c>
      <c r="E1754" s="13" t="s">
        <v>22</v>
      </c>
      <c r="F1754" s="8" t="s">
        <v>555</v>
      </c>
      <c r="G1754" s="8" t="b">
        <v>0</v>
      </c>
      <c r="H1754" s="8" t="s">
        <v>2173</v>
      </c>
      <c r="I1754" s="8">
        <v>1.0</v>
      </c>
      <c r="J1754" s="8">
        <v>0.0</v>
      </c>
      <c r="K1754" s="8">
        <v>1.0</v>
      </c>
    </row>
    <row r="1755">
      <c r="A1755" s="7" t="s">
        <v>6113</v>
      </c>
      <c r="B1755" s="8" t="s">
        <v>6114</v>
      </c>
      <c r="C1755" s="7" t="s">
        <v>1555</v>
      </c>
      <c r="D1755" s="12" t="s">
        <v>766</v>
      </c>
      <c r="E1755" s="13" t="s">
        <v>22</v>
      </c>
      <c r="F1755" s="8" t="s">
        <v>767</v>
      </c>
      <c r="G1755" s="8" t="b">
        <v>0</v>
      </c>
      <c r="H1755" s="8" t="s">
        <v>2173</v>
      </c>
      <c r="I1755" s="8">
        <v>1.0</v>
      </c>
      <c r="J1755" s="8">
        <v>0.0</v>
      </c>
      <c r="K1755" s="8">
        <v>1.0</v>
      </c>
    </row>
    <row r="1756">
      <c r="A1756" s="7" t="s">
        <v>6115</v>
      </c>
      <c r="B1756" s="8" t="s">
        <v>6116</v>
      </c>
      <c r="C1756" s="7" t="s">
        <v>1555</v>
      </c>
      <c r="D1756" s="12" t="s">
        <v>560</v>
      </c>
      <c r="E1756" s="13" t="s">
        <v>22</v>
      </c>
      <c r="F1756" s="8" t="s">
        <v>561</v>
      </c>
      <c r="G1756" s="8" t="b">
        <v>0</v>
      </c>
      <c r="H1756" s="8" t="s">
        <v>2173</v>
      </c>
      <c r="I1756" s="8">
        <v>1.0</v>
      </c>
      <c r="J1756" s="8">
        <v>0.0</v>
      </c>
      <c r="K1756" s="8">
        <v>1.0</v>
      </c>
    </row>
    <row r="1757">
      <c r="A1757" s="7" t="s">
        <v>6117</v>
      </c>
      <c r="B1757" s="8" t="s">
        <v>6118</v>
      </c>
      <c r="C1757" s="7" t="s">
        <v>1555</v>
      </c>
      <c r="D1757" s="12" t="s">
        <v>21</v>
      </c>
      <c r="E1757" s="13" t="s">
        <v>22</v>
      </c>
      <c r="F1757" s="8" t="s">
        <v>24</v>
      </c>
      <c r="G1757" s="8" t="b">
        <v>0</v>
      </c>
      <c r="H1757" s="8" t="s">
        <v>1558</v>
      </c>
      <c r="I1757" s="8">
        <v>1.0</v>
      </c>
      <c r="J1757" s="8">
        <v>0.0</v>
      </c>
      <c r="K1757" s="8">
        <v>2.0</v>
      </c>
    </row>
    <row r="1758">
      <c r="A1758" s="7" t="s">
        <v>6119</v>
      </c>
      <c r="B1758" s="8" t="s">
        <v>6120</v>
      </c>
      <c r="C1758" s="7" t="s">
        <v>1555</v>
      </c>
      <c r="D1758" s="12" t="s">
        <v>766</v>
      </c>
      <c r="E1758" s="13" t="s">
        <v>22</v>
      </c>
      <c r="F1758" s="8" t="s">
        <v>767</v>
      </c>
      <c r="G1758" s="8" t="b">
        <v>0</v>
      </c>
      <c r="H1758" s="8" t="s">
        <v>2173</v>
      </c>
      <c r="I1758" s="8">
        <v>1.0</v>
      </c>
      <c r="J1758" s="8">
        <v>0.0</v>
      </c>
      <c r="K1758" s="8">
        <v>2.0</v>
      </c>
    </row>
    <row r="1759">
      <c r="A1759" s="7" t="s">
        <v>6121</v>
      </c>
      <c r="B1759" s="8" t="s">
        <v>6122</v>
      </c>
      <c r="C1759" s="7" t="s">
        <v>3441</v>
      </c>
      <c r="D1759" s="12" t="s">
        <v>21</v>
      </c>
      <c r="E1759" s="13" t="s">
        <v>73</v>
      </c>
      <c r="F1759" s="8" t="s">
        <v>24</v>
      </c>
      <c r="G1759" s="8" t="b">
        <v>0</v>
      </c>
      <c r="H1759" s="8" t="s">
        <v>1603</v>
      </c>
      <c r="I1759" s="8">
        <v>1.0</v>
      </c>
      <c r="J1759" s="8">
        <v>0.0</v>
      </c>
      <c r="K1759" s="8">
        <v>0.0</v>
      </c>
    </row>
    <row r="1760">
      <c r="A1760" s="7" t="s">
        <v>6123</v>
      </c>
      <c r="B1760" s="8" t="s">
        <v>6124</v>
      </c>
      <c r="C1760" s="7" t="s">
        <v>3449</v>
      </c>
      <c r="D1760" s="12" t="s">
        <v>190</v>
      </c>
      <c r="E1760" s="13" t="s">
        <v>41</v>
      </c>
      <c r="F1760" s="8" t="s">
        <v>191</v>
      </c>
      <c r="G1760" s="8" t="b">
        <v>0</v>
      </c>
      <c r="H1760" s="8" t="s">
        <v>6125</v>
      </c>
      <c r="I1760" s="8">
        <v>1.0</v>
      </c>
      <c r="J1760" s="8">
        <v>0.0</v>
      </c>
      <c r="K1760" s="8">
        <v>1.0</v>
      </c>
    </row>
    <row r="1761">
      <c r="A1761" s="7" t="s">
        <v>6126</v>
      </c>
      <c r="B1761" s="8" t="s">
        <v>6127</v>
      </c>
      <c r="C1761" s="7" t="s">
        <v>3454</v>
      </c>
      <c r="D1761" s="12" t="s">
        <v>693</v>
      </c>
      <c r="E1761" s="13" t="s">
        <v>76</v>
      </c>
      <c r="F1761" s="8" t="s">
        <v>695</v>
      </c>
      <c r="G1761" s="8" t="b">
        <v>0</v>
      </c>
      <c r="H1761" s="8" t="s">
        <v>724</v>
      </c>
      <c r="I1761" s="8">
        <v>1.0</v>
      </c>
      <c r="J1761" s="8">
        <v>0.0</v>
      </c>
      <c r="K1761" s="8">
        <v>2.0</v>
      </c>
    </row>
    <row r="1762">
      <c r="A1762" s="7" t="s">
        <v>6128</v>
      </c>
      <c r="B1762" s="8" t="s">
        <v>6129</v>
      </c>
      <c r="C1762" s="7" t="s">
        <v>3458</v>
      </c>
      <c r="D1762" s="12" t="s">
        <v>39</v>
      </c>
      <c r="E1762" s="13" t="s">
        <v>41</v>
      </c>
      <c r="F1762" s="8" t="s">
        <v>42</v>
      </c>
      <c r="G1762" s="8" t="b">
        <v>0</v>
      </c>
      <c r="H1762" s="8" t="s">
        <v>6130</v>
      </c>
      <c r="I1762" s="8">
        <v>1.0</v>
      </c>
      <c r="J1762" s="8">
        <v>0.0</v>
      </c>
      <c r="K1762" s="8">
        <v>1.0</v>
      </c>
    </row>
    <row r="1763">
      <c r="A1763" s="7" t="s">
        <v>6131</v>
      </c>
      <c r="B1763" s="8" t="s">
        <v>6132</v>
      </c>
      <c r="C1763" s="7" t="s">
        <v>3010</v>
      </c>
      <c r="D1763" s="12" t="s">
        <v>693</v>
      </c>
      <c r="E1763" s="13" t="s">
        <v>41</v>
      </c>
      <c r="F1763" s="8" t="s">
        <v>695</v>
      </c>
      <c r="G1763" s="8" t="b">
        <v>0</v>
      </c>
      <c r="H1763" s="8" t="s">
        <v>6133</v>
      </c>
      <c r="I1763" s="8">
        <v>1.0</v>
      </c>
      <c r="J1763" s="8">
        <v>0.0</v>
      </c>
      <c r="K1763" s="8">
        <v>0.0</v>
      </c>
    </row>
    <row r="1764">
      <c r="A1764" s="7" t="s">
        <v>6134</v>
      </c>
      <c r="B1764" s="8" t="s">
        <v>6135</v>
      </c>
      <c r="C1764" s="7" t="s">
        <v>3462</v>
      </c>
      <c r="D1764" s="12" t="s">
        <v>39</v>
      </c>
      <c r="E1764" s="13" t="s">
        <v>41</v>
      </c>
      <c r="F1764" s="8" t="s">
        <v>42</v>
      </c>
      <c r="G1764" s="8" t="b">
        <v>0</v>
      </c>
      <c r="I1764" s="8">
        <v>1.0</v>
      </c>
      <c r="J1764" s="8">
        <v>0.0</v>
      </c>
      <c r="K1764" s="8">
        <v>1.0</v>
      </c>
    </row>
    <row r="1765">
      <c r="A1765" s="7" t="s">
        <v>6136</v>
      </c>
      <c r="B1765" s="8" t="s">
        <v>6137</v>
      </c>
      <c r="C1765" s="7" t="s">
        <v>3466</v>
      </c>
      <c r="D1765" s="12" t="s">
        <v>554</v>
      </c>
      <c r="E1765" s="13" t="s">
        <v>41</v>
      </c>
      <c r="F1765" s="8" t="s">
        <v>555</v>
      </c>
      <c r="G1765" s="8" t="b">
        <v>0</v>
      </c>
      <c r="H1765" s="8" t="s">
        <v>654</v>
      </c>
      <c r="I1765" s="8">
        <v>1.0</v>
      </c>
      <c r="J1765" s="8">
        <v>0.0</v>
      </c>
      <c r="K1765" s="8">
        <v>0.0</v>
      </c>
    </row>
    <row r="1766">
      <c r="A1766" s="7" t="s">
        <v>6138</v>
      </c>
      <c r="B1766" s="8" t="s">
        <v>6139</v>
      </c>
      <c r="C1766" s="7" t="s">
        <v>3469</v>
      </c>
      <c r="D1766" s="12" t="s">
        <v>766</v>
      </c>
      <c r="E1766" s="13" t="s">
        <v>41</v>
      </c>
      <c r="F1766" s="8" t="s">
        <v>767</v>
      </c>
      <c r="G1766" s="8" t="b">
        <v>0</v>
      </c>
      <c r="I1766" s="8">
        <v>1.0</v>
      </c>
      <c r="J1766" s="8">
        <v>0.0</v>
      </c>
      <c r="K1766" s="8">
        <v>0.0</v>
      </c>
    </row>
    <row r="1767">
      <c r="A1767" s="7" t="s">
        <v>6140</v>
      </c>
      <c r="B1767" s="8" t="s">
        <v>6141</v>
      </c>
      <c r="C1767" s="7" t="s">
        <v>942</v>
      </c>
      <c r="D1767" s="12" t="s">
        <v>39</v>
      </c>
      <c r="E1767" s="13" t="s">
        <v>190</v>
      </c>
      <c r="F1767" s="8" t="s">
        <v>42</v>
      </c>
      <c r="G1767" s="8" t="b">
        <v>0</v>
      </c>
      <c r="H1767" s="8" t="s">
        <v>6142</v>
      </c>
      <c r="I1767" s="8">
        <v>1.0</v>
      </c>
      <c r="J1767" s="8">
        <v>0.0</v>
      </c>
      <c r="K1767" s="8">
        <v>1.0</v>
      </c>
    </row>
    <row r="1768">
      <c r="A1768" s="7" t="s">
        <v>6143</v>
      </c>
      <c r="B1768" s="8" t="s">
        <v>6144</v>
      </c>
      <c r="C1768" s="7" t="s">
        <v>942</v>
      </c>
      <c r="D1768" s="12" t="s">
        <v>39</v>
      </c>
      <c r="E1768" s="13" t="s">
        <v>190</v>
      </c>
      <c r="F1768" s="8" t="s">
        <v>42</v>
      </c>
      <c r="G1768" s="8" t="b">
        <v>0</v>
      </c>
      <c r="H1768" s="8" t="s">
        <v>6145</v>
      </c>
      <c r="I1768" s="8">
        <v>1.0</v>
      </c>
      <c r="J1768" s="8">
        <v>0.0</v>
      </c>
      <c r="K1768" s="8">
        <v>1.0</v>
      </c>
    </row>
    <row r="1769">
      <c r="A1769" s="7" t="s">
        <v>6146</v>
      </c>
      <c r="B1769" s="8" t="s">
        <v>6147</v>
      </c>
      <c r="C1769" s="7" t="s">
        <v>942</v>
      </c>
      <c r="D1769" s="12" t="s">
        <v>39</v>
      </c>
      <c r="E1769" s="13" t="s">
        <v>190</v>
      </c>
      <c r="F1769" s="8" t="s">
        <v>42</v>
      </c>
      <c r="G1769" s="8" t="b">
        <v>0</v>
      </c>
      <c r="H1769" s="8" t="s">
        <v>6148</v>
      </c>
      <c r="I1769" s="8">
        <v>1.0</v>
      </c>
      <c r="J1769" s="8">
        <v>0.0</v>
      </c>
      <c r="K1769" s="8">
        <v>1.0</v>
      </c>
    </row>
    <row r="1770">
      <c r="A1770" s="7" t="s">
        <v>6149</v>
      </c>
      <c r="B1770" s="8" t="s">
        <v>6150</v>
      </c>
      <c r="C1770" s="7" t="s">
        <v>102</v>
      </c>
      <c r="D1770" s="12" t="s">
        <v>104</v>
      </c>
      <c r="E1770" s="13" t="s">
        <v>22</v>
      </c>
      <c r="F1770" s="8" t="s">
        <v>106</v>
      </c>
      <c r="G1770" s="8" t="b">
        <v>0</v>
      </c>
      <c r="H1770" s="8" t="s">
        <v>2070</v>
      </c>
      <c r="I1770" s="8">
        <v>1.0</v>
      </c>
      <c r="J1770" s="8">
        <v>0.0</v>
      </c>
      <c r="K1770" s="8">
        <v>0.0</v>
      </c>
    </row>
    <row r="1771">
      <c r="A1771" s="7" t="s">
        <v>6151</v>
      </c>
      <c r="B1771" s="8" t="s">
        <v>6152</v>
      </c>
      <c r="C1771" s="7" t="s">
        <v>3473</v>
      </c>
      <c r="D1771" s="12" t="s">
        <v>190</v>
      </c>
      <c r="E1771" s="13" t="s">
        <v>41</v>
      </c>
      <c r="F1771" s="8" t="s">
        <v>191</v>
      </c>
      <c r="G1771" s="8" t="b">
        <v>0</v>
      </c>
      <c r="I1771" s="8">
        <v>1.0</v>
      </c>
      <c r="J1771" s="8">
        <v>0.0</v>
      </c>
      <c r="K1771" s="8">
        <v>1.0</v>
      </c>
    </row>
    <row r="1772">
      <c r="A1772" s="7" t="s">
        <v>6153</v>
      </c>
      <c r="B1772" s="8" t="s">
        <v>6154</v>
      </c>
      <c r="C1772" s="7" t="s">
        <v>3477</v>
      </c>
      <c r="D1772" s="12" t="s">
        <v>72</v>
      </c>
      <c r="E1772" s="13" t="s">
        <v>76</v>
      </c>
      <c r="F1772" s="8" t="s">
        <v>74</v>
      </c>
      <c r="G1772" s="8" t="b">
        <v>0</v>
      </c>
      <c r="H1772" s="8" t="s">
        <v>6155</v>
      </c>
      <c r="I1772" s="8">
        <v>1.0</v>
      </c>
      <c r="J1772" s="8">
        <v>0.0</v>
      </c>
      <c r="K1772" s="8">
        <v>1.0</v>
      </c>
    </row>
    <row r="1773">
      <c r="A1773" s="7" t="s">
        <v>6156</v>
      </c>
      <c r="C1773" s="7" t="s">
        <v>3480</v>
      </c>
      <c r="D1773" s="12" t="s">
        <v>72</v>
      </c>
      <c r="E1773" s="13" t="s">
        <v>41</v>
      </c>
      <c r="F1773" s="8" t="s">
        <v>74</v>
      </c>
      <c r="G1773" s="8" t="b">
        <v>0</v>
      </c>
      <c r="H1773" s="8" t="s">
        <v>3482</v>
      </c>
      <c r="I1773" s="8">
        <v>1.0</v>
      </c>
      <c r="J1773" s="8">
        <v>0.0</v>
      </c>
      <c r="K1773" s="8">
        <v>1.0</v>
      </c>
    </row>
    <row r="1774">
      <c r="A1774" s="7" t="s">
        <v>6157</v>
      </c>
      <c r="B1774" s="8" t="s">
        <v>6158</v>
      </c>
      <c r="C1774" s="7" t="s">
        <v>156</v>
      </c>
      <c r="D1774" s="12" t="s">
        <v>39</v>
      </c>
      <c r="E1774" s="13" t="s">
        <v>41</v>
      </c>
      <c r="F1774" s="8" t="s">
        <v>42</v>
      </c>
      <c r="G1774" s="8" t="b">
        <v>0</v>
      </c>
      <c r="I1774" s="8">
        <v>1.0</v>
      </c>
      <c r="J1774" s="8">
        <v>0.0</v>
      </c>
      <c r="K1774" s="8">
        <v>0.0</v>
      </c>
    </row>
    <row r="1775">
      <c r="A1775" s="7" t="s">
        <v>6159</v>
      </c>
      <c r="B1775" s="8" t="s">
        <v>6160</v>
      </c>
      <c r="C1775" s="7" t="s">
        <v>3488</v>
      </c>
      <c r="D1775" s="12" t="s">
        <v>39</v>
      </c>
      <c r="E1775" s="13" t="s">
        <v>41</v>
      </c>
      <c r="F1775" s="8" t="s">
        <v>42</v>
      </c>
      <c r="G1775" s="8" t="b">
        <v>0</v>
      </c>
      <c r="H1775" s="8" t="s">
        <v>6161</v>
      </c>
      <c r="I1775" s="8">
        <v>1.0</v>
      </c>
      <c r="J1775" s="8">
        <v>0.0</v>
      </c>
      <c r="K1775" s="8">
        <v>1.0</v>
      </c>
    </row>
    <row r="1776">
      <c r="A1776" s="7" t="s">
        <v>6162</v>
      </c>
      <c r="B1776" s="8" t="s">
        <v>6163</v>
      </c>
      <c r="C1776" s="8" t="s">
        <v>3494</v>
      </c>
      <c r="D1776" s="12" t="s">
        <v>39</v>
      </c>
      <c r="E1776" s="13" t="s">
        <v>41</v>
      </c>
      <c r="F1776" s="8" t="s">
        <v>42</v>
      </c>
      <c r="G1776" s="8" t="b">
        <v>0</v>
      </c>
      <c r="H1776" s="8" t="s">
        <v>6164</v>
      </c>
      <c r="I1776" s="8">
        <v>1.0</v>
      </c>
      <c r="J1776" s="8">
        <v>0.0</v>
      </c>
      <c r="K1776" s="8">
        <v>1.0</v>
      </c>
    </row>
    <row r="1777">
      <c r="A1777" s="7" t="s">
        <v>6165</v>
      </c>
      <c r="B1777" s="8" t="s">
        <v>6166</v>
      </c>
      <c r="C1777" s="7" t="s">
        <v>3497</v>
      </c>
      <c r="D1777" s="12" t="s">
        <v>39</v>
      </c>
      <c r="E1777" s="13" t="s">
        <v>190</v>
      </c>
      <c r="F1777" s="8" t="s">
        <v>42</v>
      </c>
      <c r="G1777" s="8" t="b">
        <v>0</v>
      </c>
      <c r="H1777" s="8" t="s">
        <v>6167</v>
      </c>
      <c r="I1777" s="8">
        <v>1.0</v>
      </c>
      <c r="J1777" s="8">
        <v>0.0</v>
      </c>
      <c r="K1777" s="8">
        <v>1.0</v>
      </c>
    </row>
    <row r="1778">
      <c r="A1778" s="7" t="s">
        <v>6168</v>
      </c>
      <c r="B1778" s="8" t="s">
        <v>6169</v>
      </c>
      <c r="C1778" s="7" t="s">
        <v>3503</v>
      </c>
      <c r="D1778" s="12" t="s">
        <v>560</v>
      </c>
      <c r="E1778" s="13" t="s">
        <v>41</v>
      </c>
      <c r="F1778" s="8" t="s">
        <v>561</v>
      </c>
      <c r="G1778" s="8" t="b">
        <v>0</v>
      </c>
      <c r="I1778" s="8">
        <v>1.0</v>
      </c>
      <c r="J1778" s="8">
        <v>0.0</v>
      </c>
      <c r="K1778" s="8">
        <v>0.0</v>
      </c>
    </row>
    <row r="1779">
      <c r="A1779" s="7" t="s">
        <v>6170</v>
      </c>
      <c r="B1779" s="8" t="s">
        <v>6171</v>
      </c>
      <c r="C1779" s="7" t="s">
        <v>3508</v>
      </c>
      <c r="D1779" s="12" t="s">
        <v>766</v>
      </c>
      <c r="E1779" s="13" t="s">
        <v>41</v>
      </c>
      <c r="F1779" s="8" t="s">
        <v>767</v>
      </c>
      <c r="G1779" s="8" t="b">
        <v>0</v>
      </c>
      <c r="H1779" s="8" t="s">
        <v>6172</v>
      </c>
      <c r="I1779" s="8">
        <v>1.0</v>
      </c>
      <c r="J1779" s="8">
        <v>0.0</v>
      </c>
      <c r="K1779" s="8">
        <v>0.0</v>
      </c>
    </row>
    <row r="1780">
      <c r="A1780" s="7" t="s">
        <v>6173</v>
      </c>
      <c r="B1780" s="8" t="s">
        <v>6174</v>
      </c>
      <c r="C1780" s="7" t="s">
        <v>1121</v>
      </c>
      <c r="D1780" s="12" t="s">
        <v>39</v>
      </c>
      <c r="E1780" s="13" t="s">
        <v>41</v>
      </c>
      <c r="F1780" s="8" t="s">
        <v>42</v>
      </c>
      <c r="G1780" s="8" t="b">
        <v>0</v>
      </c>
      <c r="H1780" s="8" t="s">
        <v>6175</v>
      </c>
      <c r="I1780" s="8">
        <v>1.0</v>
      </c>
      <c r="J1780" s="8">
        <v>0.0</v>
      </c>
      <c r="K1780" s="8">
        <v>1.0</v>
      </c>
    </row>
    <row r="1781">
      <c r="A1781" s="7" t="s">
        <v>6176</v>
      </c>
      <c r="B1781" s="8" t="s">
        <v>6177</v>
      </c>
      <c r="C1781" s="7" t="s">
        <v>3517</v>
      </c>
      <c r="D1781" s="12" t="s">
        <v>554</v>
      </c>
      <c r="E1781" s="13" t="s">
        <v>41</v>
      </c>
      <c r="F1781" s="8" t="s">
        <v>555</v>
      </c>
      <c r="G1781" s="8" t="b">
        <v>0</v>
      </c>
      <c r="I1781" s="8">
        <v>1.0</v>
      </c>
      <c r="J1781" s="8">
        <v>0.0</v>
      </c>
      <c r="K1781" s="8">
        <v>0.0</v>
      </c>
    </row>
    <row r="1782">
      <c r="A1782" s="7" t="s">
        <v>6178</v>
      </c>
      <c r="B1782" s="8" t="s">
        <v>6179</v>
      </c>
      <c r="C1782" s="7" t="s">
        <v>1949</v>
      </c>
      <c r="D1782" s="12" t="s">
        <v>554</v>
      </c>
      <c r="E1782" s="13" t="s">
        <v>22</v>
      </c>
      <c r="F1782" s="8" t="s">
        <v>555</v>
      </c>
      <c r="G1782" s="8" t="b">
        <v>0</v>
      </c>
      <c r="H1782" s="8" t="s">
        <v>3515</v>
      </c>
      <c r="I1782" s="8">
        <v>1.0</v>
      </c>
      <c r="J1782" s="8">
        <v>0.0</v>
      </c>
      <c r="K1782" s="8">
        <v>1.0</v>
      </c>
    </row>
    <row r="1783">
      <c r="A1783" s="7" t="s">
        <v>6180</v>
      </c>
      <c r="B1783" s="8" t="s">
        <v>6181</v>
      </c>
      <c r="C1783" s="7" t="s">
        <v>1949</v>
      </c>
      <c r="D1783" s="12" t="s">
        <v>72</v>
      </c>
      <c r="E1783" s="13" t="s">
        <v>22</v>
      </c>
      <c r="F1783" s="8" t="s">
        <v>74</v>
      </c>
      <c r="G1783" s="8" t="b">
        <v>0</v>
      </c>
      <c r="H1783" s="8" t="s">
        <v>6182</v>
      </c>
      <c r="I1783" s="8">
        <v>1.0</v>
      </c>
      <c r="J1783" s="8">
        <v>0.0</v>
      </c>
      <c r="K1783" s="8">
        <v>1.0</v>
      </c>
    </row>
    <row r="1784">
      <c r="A1784" s="7" t="s">
        <v>6183</v>
      </c>
      <c r="B1784" s="8" t="s">
        <v>6184</v>
      </c>
      <c r="C1784" s="7" t="s">
        <v>3521</v>
      </c>
      <c r="D1784" s="12" t="s">
        <v>693</v>
      </c>
      <c r="E1784" s="13" t="s">
        <v>41</v>
      </c>
      <c r="F1784" s="8" t="s">
        <v>695</v>
      </c>
      <c r="G1784" s="8" t="b">
        <v>0</v>
      </c>
      <c r="I1784" s="8">
        <v>1.0</v>
      </c>
      <c r="J1784" s="8">
        <v>0.0</v>
      </c>
      <c r="K1784" s="8">
        <v>0.0</v>
      </c>
    </row>
    <row r="1785">
      <c r="A1785" s="7" t="s">
        <v>6185</v>
      </c>
      <c r="B1785" s="8" t="s">
        <v>6186</v>
      </c>
      <c r="C1785" s="7" t="s">
        <v>3526</v>
      </c>
      <c r="D1785" s="12" t="s">
        <v>72</v>
      </c>
      <c r="E1785" s="13" t="s">
        <v>41</v>
      </c>
      <c r="F1785" s="8" t="s">
        <v>74</v>
      </c>
      <c r="G1785" s="8" t="b">
        <v>0</v>
      </c>
      <c r="H1785" s="8" t="s">
        <v>3528</v>
      </c>
      <c r="I1785" s="8">
        <v>1.0</v>
      </c>
      <c r="J1785" s="8">
        <v>0.0</v>
      </c>
      <c r="K1785" s="8">
        <v>1.0</v>
      </c>
    </row>
    <row r="1786">
      <c r="A1786" s="7" t="s">
        <v>6187</v>
      </c>
      <c r="B1786" s="8" t="s">
        <v>6188</v>
      </c>
      <c r="C1786" s="7" t="s">
        <v>2057</v>
      </c>
      <c r="D1786" s="12" t="s">
        <v>190</v>
      </c>
      <c r="E1786" s="13" t="s">
        <v>41</v>
      </c>
      <c r="F1786" s="8" t="s">
        <v>191</v>
      </c>
      <c r="G1786" s="8" t="b">
        <v>0</v>
      </c>
      <c r="H1786" s="8" t="s">
        <v>6189</v>
      </c>
      <c r="I1786" s="8">
        <v>1.0</v>
      </c>
      <c r="J1786" s="8">
        <v>0.0</v>
      </c>
      <c r="K1786" s="8">
        <v>2.0</v>
      </c>
    </row>
    <row r="1787">
      <c r="A1787" s="7" t="s">
        <v>6190</v>
      </c>
      <c r="B1787" s="8" t="s">
        <v>6191</v>
      </c>
      <c r="C1787" s="7" t="s">
        <v>3530</v>
      </c>
      <c r="D1787" s="12" t="s">
        <v>766</v>
      </c>
      <c r="E1787" s="13" t="s">
        <v>41</v>
      </c>
      <c r="F1787" s="8" t="s">
        <v>767</v>
      </c>
      <c r="G1787" s="8" t="b">
        <v>0</v>
      </c>
      <c r="I1787" s="8">
        <v>1.0</v>
      </c>
      <c r="J1787" s="8">
        <v>0.0</v>
      </c>
      <c r="K1787" s="8">
        <v>0.0</v>
      </c>
    </row>
    <row r="1788">
      <c r="A1788" s="7" t="s">
        <v>6192</v>
      </c>
      <c r="B1788" s="8" t="s">
        <v>6193</v>
      </c>
      <c r="C1788" s="7" t="s">
        <v>3533</v>
      </c>
      <c r="D1788" s="12" t="s">
        <v>39</v>
      </c>
      <c r="E1788" s="13" t="s">
        <v>41</v>
      </c>
      <c r="F1788" s="8" t="s">
        <v>42</v>
      </c>
      <c r="G1788" s="8" t="b">
        <v>0</v>
      </c>
      <c r="H1788" s="8" t="s">
        <v>1779</v>
      </c>
      <c r="I1788" s="8">
        <v>1.0</v>
      </c>
      <c r="J1788" s="8">
        <v>0.0</v>
      </c>
      <c r="K1788" s="8">
        <v>0.0</v>
      </c>
    </row>
    <row r="1789">
      <c r="A1789" s="7" t="s">
        <v>6194</v>
      </c>
      <c r="B1789" s="8" t="s">
        <v>6195</v>
      </c>
      <c r="C1789" s="7" t="s">
        <v>3537</v>
      </c>
      <c r="D1789" s="12" t="s">
        <v>560</v>
      </c>
      <c r="E1789" s="13" t="s">
        <v>41</v>
      </c>
      <c r="F1789" s="8" t="s">
        <v>561</v>
      </c>
      <c r="G1789" s="8" t="b">
        <v>0</v>
      </c>
      <c r="I1789" s="8">
        <v>1.0</v>
      </c>
      <c r="J1789" s="8">
        <v>0.0</v>
      </c>
      <c r="K1789" s="8">
        <v>1.0</v>
      </c>
    </row>
    <row r="1790">
      <c r="A1790" s="7" t="s">
        <v>6196</v>
      </c>
      <c r="B1790" s="8" t="s">
        <v>6197</v>
      </c>
      <c r="C1790" s="7" t="s">
        <v>3540</v>
      </c>
      <c r="D1790" s="12" t="s">
        <v>39</v>
      </c>
      <c r="E1790" s="13" t="s">
        <v>41</v>
      </c>
      <c r="F1790" s="8" t="s">
        <v>42</v>
      </c>
      <c r="G1790" s="8" t="b">
        <v>0</v>
      </c>
      <c r="H1790" s="8" t="s">
        <v>3543</v>
      </c>
      <c r="I1790" s="8">
        <v>1.0</v>
      </c>
      <c r="J1790" s="8">
        <v>0.0</v>
      </c>
      <c r="K1790" s="8">
        <v>1.0</v>
      </c>
    </row>
    <row r="1791">
      <c r="A1791" s="7" t="s">
        <v>6198</v>
      </c>
      <c r="B1791" s="8" t="s">
        <v>6199</v>
      </c>
      <c r="C1791" s="7" t="s">
        <v>3544</v>
      </c>
      <c r="D1791" s="12" t="s">
        <v>39</v>
      </c>
      <c r="E1791" s="13" t="s">
        <v>41</v>
      </c>
      <c r="F1791" s="8" t="s">
        <v>42</v>
      </c>
      <c r="G1791" s="8" t="b">
        <v>0</v>
      </c>
      <c r="H1791" s="8" t="s">
        <v>6200</v>
      </c>
      <c r="I1791" s="8">
        <v>1.0</v>
      </c>
      <c r="J1791" s="8">
        <v>0.0</v>
      </c>
      <c r="K1791" s="8">
        <v>0.0</v>
      </c>
    </row>
    <row r="1792">
      <c r="A1792" s="7" t="s">
        <v>6201</v>
      </c>
      <c r="B1792" s="8" t="s">
        <v>6202</v>
      </c>
      <c r="C1792" s="7" t="s">
        <v>3548</v>
      </c>
      <c r="D1792" s="12" t="s">
        <v>39</v>
      </c>
      <c r="E1792" s="13" t="s">
        <v>694</v>
      </c>
      <c r="F1792" s="8" t="s">
        <v>42</v>
      </c>
      <c r="G1792" s="8" t="b">
        <v>0</v>
      </c>
      <c r="H1792" s="8" t="s">
        <v>6203</v>
      </c>
      <c r="I1792" s="8">
        <v>1.0</v>
      </c>
      <c r="J1792" s="8">
        <v>0.0</v>
      </c>
      <c r="K1792" s="8">
        <v>1.0</v>
      </c>
    </row>
    <row r="1793">
      <c r="A1793" s="7" t="s">
        <v>6204</v>
      </c>
      <c r="B1793" s="8" t="s">
        <v>6205</v>
      </c>
      <c r="C1793" s="7" t="s">
        <v>3552</v>
      </c>
      <c r="D1793" s="12" t="s">
        <v>39</v>
      </c>
      <c r="E1793" s="13" t="s">
        <v>41</v>
      </c>
      <c r="F1793" s="8" t="s">
        <v>42</v>
      </c>
      <c r="G1793" s="8" t="b">
        <v>0</v>
      </c>
      <c r="H1793" s="8" t="s">
        <v>186</v>
      </c>
      <c r="I1793" s="8">
        <v>1.0</v>
      </c>
      <c r="J1793" s="8">
        <v>0.0</v>
      </c>
      <c r="K1793" s="8">
        <v>0.0</v>
      </c>
    </row>
    <row r="1794">
      <c r="A1794" s="7" t="s">
        <v>6206</v>
      </c>
      <c r="B1794" s="8" t="s">
        <v>6207</v>
      </c>
      <c r="C1794" s="7" t="s">
        <v>3556</v>
      </c>
      <c r="D1794" s="12" t="s">
        <v>766</v>
      </c>
      <c r="E1794" s="13" t="s">
        <v>41</v>
      </c>
      <c r="F1794" s="8" t="s">
        <v>767</v>
      </c>
      <c r="G1794" s="8" t="b">
        <v>0</v>
      </c>
      <c r="I1794" s="8">
        <v>1.0</v>
      </c>
      <c r="J1794" s="8">
        <v>0.0</v>
      </c>
      <c r="K1794" s="8">
        <v>0.0</v>
      </c>
    </row>
    <row r="1795">
      <c r="A1795" s="7" t="s">
        <v>6208</v>
      </c>
      <c r="B1795" s="8" t="s">
        <v>6209</v>
      </c>
      <c r="C1795" s="7" t="s">
        <v>3560</v>
      </c>
      <c r="D1795" s="12" t="s">
        <v>39</v>
      </c>
      <c r="E1795" s="13" t="s">
        <v>190</v>
      </c>
      <c r="F1795" s="8" t="s">
        <v>42</v>
      </c>
      <c r="G1795" s="8" t="b">
        <v>0</v>
      </c>
      <c r="H1795" s="8" t="s">
        <v>3562</v>
      </c>
      <c r="I1795" s="8">
        <v>1.0</v>
      </c>
      <c r="J1795" s="8">
        <v>0.0</v>
      </c>
      <c r="K1795" s="8">
        <v>1.0</v>
      </c>
    </row>
    <row r="1796">
      <c r="A1796" s="7" t="s">
        <v>6210</v>
      </c>
      <c r="B1796" s="8" t="s">
        <v>6211</v>
      </c>
      <c r="C1796" s="7" t="s">
        <v>3563</v>
      </c>
      <c r="D1796" s="12" t="s">
        <v>39</v>
      </c>
      <c r="E1796" s="13" t="s">
        <v>190</v>
      </c>
      <c r="F1796" s="8" t="s">
        <v>42</v>
      </c>
      <c r="G1796" s="8" t="b">
        <v>0</v>
      </c>
      <c r="H1796" s="8" t="s">
        <v>6212</v>
      </c>
      <c r="I1796" s="8">
        <v>1.0</v>
      </c>
      <c r="J1796" s="8">
        <v>0.0</v>
      </c>
      <c r="K1796" s="8">
        <v>0.0</v>
      </c>
    </row>
    <row r="1797">
      <c r="A1797" s="7" t="s">
        <v>6213</v>
      </c>
      <c r="B1797" s="8" t="s">
        <v>6214</v>
      </c>
      <c r="C1797" s="7" t="s">
        <v>3570</v>
      </c>
      <c r="D1797" s="12" t="s">
        <v>554</v>
      </c>
      <c r="E1797" s="13" t="s">
        <v>41</v>
      </c>
      <c r="F1797" s="8" t="s">
        <v>555</v>
      </c>
      <c r="G1797" s="8" t="b">
        <v>0</v>
      </c>
      <c r="I1797" s="8">
        <v>1.0</v>
      </c>
      <c r="J1797" s="8">
        <v>0.0</v>
      </c>
      <c r="K1797" s="8">
        <v>0.0</v>
      </c>
    </row>
    <row r="1798">
      <c r="A1798" s="7" t="s">
        <v>6215</v>
      </c>
      <c r="B1798" s="8" t="s">
        <v>6216</v>
      </c>
      <c r="C1798" s="7" t="s">
        <v>449</v>
      </c>
      <c r="D1798" s="12" t="s">
        <v>39</v>
      </c>
      <c r="E1798" s="13" t="s">
        <v>41</v>
      </c>
      <c r="F1798" s="8" t="s">
        <v>42</v>
      </c>
      <c r="G1798" s="8" t="b">
        <v>0</v>
      </c>
      <c r="H1798" s="8" t="s">
        <v>6217</v>
      </c>
      <c r="I1798" s="8">
        <v>1.0</v>
      </c>
      <c r="J1798" s="8">
        <v>0.0</v>
      </c>
      <c r="K1798" s="8">
        <v>0.0</v>
      </c>
    </row>
    <row r="1799">
      <c r="A1799" s="7" t="s">
        <v>6218</v>
      </c>
      <c r="B1799" s="8" t="s">
        <v>6219</v>
      </c>
      <c r="C1799" s="7" t="s">
        <v>3573</v>
      </c>
      <c r="D1799" s="12" t="s">
        <v>560</v>
      </c>
      <c r="E1799" s="13" t="s">
        <v>41</v>
      </c>
      <c r="F1799" s="8" t="s">
        <v>561</v>
      </c>
      <c r="G1799" s="8" t="b">
        <v>0</v>
      </c>
      <c r="I1799" s="8">
        <v>1.0</v>
      </c>
      <c r="J1799" s="8">
        <v>0.0</v>
      </c>
      <c r="K1799" s="8">
        <v>1.0</v>
      </c>
    </row>
    <row r="1800">
      <c r="A1800" s="7" t="s">
        <v>6220</v>
      </c>
      <c r="B1800" s="8" t="s">
        <v>6221</v>
      </c>
      <c r="C1800" s="7" t="s">
        <v>714</v>
      </c>
      <c r="D1800" s="12" t="s">
        <v>39</v>
      </c>
      <c r="E1800" s="13" t="s">
        <v>22</v>
      </c>
      <c r="F1800" s="8" t="s">
        <v>42</v>
      </c>
      <c r="G1800" s="8" t="b">
        <v>0</v>
      </c>
      <c r="H1800" s="8" t="s">
        <v>1786</v>
      </c>
      <c r="I1800" s="8">
        <v>1.0</v>
      </c>
      <c r="J1800" s="8">
        <v>0.0</v>
      </c>
      <c r="K1800" s="8">
        <v>1.0</v>
      </c>
    </row>
    <row r="1801">
      <c r="A1801" s="7" t="s">
        <v>6222</v>
      </c>
      <c r="B1801" s="8" t="s">
        <v>6223</v>
      </c>
      <c r="C1801" s="7" t="s">
        <v>3576</v>
      </c>
      <c r="D1801" s="12" t="s">
        <v>39</v>
      </c>
      <c r="E1801" s="13" t="s">
        <v>41</v>
      </c>
      <c r="F1801" s="8" t="s">
        <v>42</v>
      </c>
      <c r="G1801" s="8" t="b">
        <v>0</v>
      </c>
      <c r="H1801" s="8" t="s">
        <v>6224</v>
      </c>
      <c r="I1801" s="8">
        <v>1.0</v>
      </c>
      <c r="J1801" s="8">
        <v>0.0</v>
      </c>
      <c r="K1801" s="8">
        <v>1.0</v>
      </c>
    </row>
    <row r="1802">
      <c r="A1802" s="7" t="s">
        <v>6225</v>
      </c>
      <c r="B1802" s="8" t="s">
        <v>6226</v>
      </c>
      <c r="C1802" s="7" t="s">
        <v>3581</v>
      </c>
      <c r="D1802" s="12" t="s">
        <v>21</v>
      </c>
      <c r="E1802" s="13" t="s">
        <v>41</v>
      </c>
      <c r="F1802" s="8" t="s">
        <v>24</v>
      </c>
      <c r="G1802" s="8" t="b">
        <v>0</v>
      </c>
      <c r="I1802" s="8">
        <v>1.0</v>
      </c>
      <c r="J1802" s="8">
        <v>0.0</v>
      </c>
      <c r="K1802" s="8">
        <v>0.0</v>
      </c>
    </row>
    <row r="1803">
      <c r="A1803" s="7" t="s">
        <v>6227</v>
      </c>
      <c r="B1803" s="8" t="s">
        <v>6228</v>
      </c>
      <c r="C1803" s="7" t="s">
        <v>20</v>
      </c>
      <c r="D1803" s="12" t="s">
        <v>39</v>
      </c>
      <c r="E1803" s="13" t="s">
        <v>22</v>
      </c>
      <c r="F1803" s="8" t="s">
        <v>42</v>
      </c>
      <c r="G1803" s="8" t="b">
        <v>0</v>
      </c>
      <c r="H1803" s="8" t="s">
        <v>6229</v>
      </c>
      <c r="I1803" s="8">
        <v>1.0</v>
      </c>
      <c r="J1803" s="8">
        <v>0.0</v>
      </c>
      <c r="K1803" s="8">
        <v>0.0</v>
      </c>
    </row>
    <row r="1804">
      <c r="A1804" s="7" t="s">
        <v>6230</v>
      </c>
      <c r="B1804" s="8" t="s">
        <v>6231</v>
      </c>
      <c r="C1804" s="7" t="s">
        <v>20</v>
      </c>
      <c r="D1804" s="12" t="s">
        <v>39</v>
      </c>
      <c r="E1804" s="13" t="s">
        <v>22</v>
      </c>
      <c r="F1804" s="8" t="s">
        <v>42</v>
      </c>
      <c r="G1804" s="8" t="b">
        <v>0</v>
      </c>
      <c r="H1804" s="8" t="s">
        <v>6232</v>
      </c>
      <c r="I1804" s="8">
        <v>1.0</v>
      </c>
      <c r="J1804" s="8">
        <v>0.0</v>
      </c>
      <c r="K1804" s="8">
        <v>1.0</v>
      </c>
    </row>
    <row r="1805">
      <c r="A1805" s="7" t="s">
        <v>6233</v>
      </c>
      <c r="B1805" s="8" t="s">
        <v>6234</v>
      </c>
      <c r="C1805" s="7" t="s">
        <v>20</v>
      </c>
      <c r="D1805" s="12" t="s">
        <v>39</v>
      </c>
      <c r="E1805" s="13" t="s">
        <v>22</v>
      </c>
      <c r="F1805" s="8" t="s">
        <v>42</v>
      </c>
      <c r="G1805" s="8" t="b">
        <v>0</v>
      </c>
      <c r="H1805" s="8" t="s">
        <v>6235</v>
      </c>
      <c r="I1805" s="8">
        <v>1.0</v>
      </c>
      <c r="J1805" s="8">
        <v>0.0</v>
      </c>
      <c r="K1805" s="8">
        <v>2.0</v>
      </c>
    </row>
    <row r="1806">
      <c r="A1806" s="7" t="s">
        <v>6236</v>
      </c>
      <c r="B1806" s="8" t="s">
        <v>6237</v>
      </c>
      <c r="C1806" s="7" t="s">
        <v>20</v>
      </c>
      <c r="D1806" s="12" t="s">
        <v>39</v>
      </c>
      <c r="E1806" s="13" t="s">
        <v>22</v>
      </c>
      <c r="F1806" s="8" t="s">
        <v>42</v>
      </c>
      <c r="G1806" s="8" t="b">
        <v>0</v>
      </c>
      <c r="H1806" s="8" t="s">
        <v>6238</v>
      </c>
      <c r="I1806" s="8">
        <v>1.0</v>
      </c>
      <c r="J1806" s="8">
        <v>0.0</v>
      </c>
      <c r="K1806" s="8">
        <v>1.0</v>
      </c>
    </row>
    <row r="1807">
      <c r="A1807" s="7" t="s">
        <v>6239</v>
      </c>
      <c r="B1807" s="8" t="s">
        <v>6240</v>
      </c>
      <c r="C1807" s="7" t="s">
        <v>20</v>
      </c>
      <c r="D1807" s="12" t="s">
        <v>39</v>
      </c>
      <c r="E1807" s="13" t="s">
        <v>22</v>
      </c>
      <c r="F1807" s="8" t="s">
        <v>42</v>
      </c>
      <c r="G1807" s="8" t="b">
        <v>0</v>
      </c>
      <c r="H1807" s="8" t="s">
        <v>6241</v>
      </c>
      <c r="I1807" s="8">
        <v>1.0</v>
      </c>
      <c r="J1807" s="8">
        <v>0.0</v>
      </c>
      <c r="K1807" s="8">
        <v>1.0</v>
      </c>
    </row>
    <row r="1808">
      <c r="A1808" s="7" t="s">
        <v>6242</v>
      </c>
      <c r="B1808" s="8" t="s">
        <v>6243</v>
      </c>
      <c r="C1808" s="7" t="s">
        <v>1540</v>
      </c>
      <c r="D1808" s="12" t="s">
        <v>39</v>
      </c>
      <c r="E1808" s="13" t="s">
        <v>41</v>
      </c>
      <c r="F1808" s="8" t="s">
        <v>42</v>
      </c>
      <c r="G1808" s="8" t="b">
        <v>0</v>
      </c>
      <c r="H1808" s="8" t="s">
        <v>6244</v>
      </c>
      <c r="I1808" s="8">
        <v>1.0</v>
      </c>
      <c r="J1808" s="8">
        <v>0.0</v>
      </c>
      <c r="K1808" s="8">
        <v>2.0</v>
      </c>
    </row>
    <row r="1809">
      <c r="A1809" s="7" t="s">
        <v>6245</v>
      </c>
      <c r="B1809" s="8" t="s">
        <v>6246</v>
      </c>
      <c r="C1809" s="7" t="s">
        <v>1540</v>
      </c>
      <c r="D1809" s="12" t="s">
        <v>39</v>
      </c>
      <c r="E1809" s="13" t="s">
        <v>41</v>
      </c>
      <c r="F1809" s="8" t="s">
        <v>42</v>
      </c>
      <c r="G1809" s="8" t="b">
        <v>0</v>
      </c>
      <c r="H1809" s="8" t="s">
        <v>6247</v>
      </c>
      <c r="I1809" s="8">
        <v>1.0</v>
      </c>
      <c r="J1809" s="8">
        <v>0.0</v>
      </c>
      <c r="K1809" s="8">
        <v>1.0</v>
      </c>
    </row>
    <row r="1810">
      <c r="A1810" s="7" t="s">
        <v>6248</v>
      </c>
      <c r="B1810" s="8" t="s">
        <v>6249</v>
      </c>
      <c r="C1810" s="7" t="s">
        <v>1540</v>
      </c>
      <c r="D1810" s="12" t="s">
        <v>39</v>
      </c>
      <c r="E1810" s="13" t="s">
        <v>41</v>
      </c>
      <c r="F1810" s="8" t="s">
        <v>42</v>
      </c>
      <c r="G1810" s="8" t="b">
        <v>0</v>
      </c>
      <c r="H1810" s="8" t="s">
        <v>6250</v>
      </c>
      <c r="I1810" s="8">
        <v>1.0</v>
      </c>
      <c r="J1810" s="8">
        <v>0.0</v>
      </c>
      <c r="K1810" s="8">
        <v>6.0</v>
      </c>
    </row>
    <row r="1811">
      <c r="A1811" s="7" t="s">
        <v>6251</v>
      </c>
      <c r="B1811" s="8" t="s">
        <v>6252</v>
      </c>
      <c r="C1811" s="7" t="s">
        <v>3585</v>
      </c>
      <c r="D1811" s="12" t="s">
        <v>766</v>
      </c>
      <c r="E1811" s="13" t="s">
        <v>694</v>
      </c>
      <c r="F1811" s="8" t="s">
        <v>767</v>
      </c>
      <c r="G1811" s="8" t="b">
        <v>0</v>
      </c>
      <c r="I1811" s="8">
        <v>1.0</v>
      </c>
      <c r="J1811" s="8">
        <v>0.0</v>
      </c>
      <c r="K1811" s="8">
        <v>2.0</v>
      </c>
    </row>
    <row r="1812">
      <c r="A1812" s="7" t="s">
        <v>6253</v>
      </c>
      <c r="B1812" s="8" t="s">
        <v>6254</v>
      </c>
      <c r="C1812" s="7" t="s">
        <v>3587</v>
      </c>
      <c r="D1812" s="12" t="s">
        <v>693</v>
      </c>
      <c r="E1812" s="13" t="s">
        <v>41</v>
      </c>
      <c r="F1812" s="8" t="s">
        <v>695</v>
      </c>
      <c r="G1812" s="8" t="b">
        <v>0</v>
      </c>
      <c r="H1812" s="8" t="s">
        <v>6255</v>
      </c>
      <c r="I1812" s="8">
        <v>1.0</v>
      </c>
      <c r="J1812" s="8">
        <v>0.0</v>
      </c>
      <c r="K1812" s="8">
        <v>1.0</v>
      </c>
    </row>
    <row r="1813">
      <c r="A1813" s="7" t="s">
        <v>6256</v>
      </c>
      <c r="B1813" s="8" t="s">
        <v>6257</v>
      </c>
      <c r="C1813" s="7" t="s">
        <v>1342</v>
      </c>
      <c r="D1813" s="12" t="s">
        <v>39</v>
      </c>
      <c r="E1813" s="13" t="s">
        <v>753</v>
      </c>
      <c r="F1813" s="8" t="s">
        <v>42</v>
      </c>
      <c r="G1813" s="8" t="b">
        <v>0</v>
      </c>
      <c r="H1813" s="8" t="s">
        <v>6258</v>
      </c>
      <c r="I1813" s="8">
        <v>1.0</v>
      </c>
      <c r="J1813" s="8">
        <v>0.0</v>
      </c>
      <c r="K1813" s="8">
        <v>0.0</v>
      </c>
    </row>
    <row r="1814">
      <c r="A1814" s="7" t="s">
        <v>6259</v>
      </c>
      <c r="B1814" s="8" t="s">
        <v>6260</v>
      </c>
      <c r="C1814" s="7" t="s">
        <v>1204</v>
      </c>
      <c r="D1814" s="12" t="s">
        <v>39</v>
      </c>
      <c r="E1814" s="13" t="s">
        <v>73</v>
      </c>
      <c r="F1814" s="8" t="s">
        <v>42</v>
      </c>
      <c r="G1814" s="8" t="b">
        <v>0</v>
      </c>
      <c r="H1814" s="8" t="s">
        <v>6261</v>
      </c>
      <c r="I1814" s="8">
        <v>1.0</v>
      </c>
      <c r="J1814" s="8">
        <v>0.0</v>
      </c>
      <c r="K1814" s="8">
        <v>3.0</v>
      </c>
    </row>
    <row r="1815">
      <c r="A1815" s="7" t="s">
        <v>6262</v>
      </c>
      <c r="B1815" s="8" t="s">
        <v>6263</v>
      </c>
      <c r="C1815" s="7" t="s">
        <v>1204</v>
      </c>
      <c r="D1815" s="12" t="s">
        <v>39</v>
      </c>
      <c r="E1815" s="13" t="s">
        <v>73</v>
      </c>
      <c r="F1815" s="8" t="s">
        <v>42</v>
      </c>
      <c r="G1815" s="8" t="b">
        <v>0</v>
      </c>
      <c r="H1815" s="8" t="s">
        <v>6264</v>
      </c>
      <c r="I1815" s="8">
        <v>1.0</v>
      </c>
      <c r="J1815" s="8">
        <v>0.0</v>
      </c>
      <c r="K1815" s="8">
        <v>0.0</v>
      </c>
    </row>
    <row r="1816">
      <c r="A1816" s="7" t="s">
        <v>6265</v>
      </c>
      <c r="B1816" s="8" t="s">
        <v>6266</v>
      </c>
      <c r="C1816" s="7" t="s">
        <v>3593</v>
      </c>
      <c r="D1816" s="12" t="s">
        <v>554</v>
      </c>
      <c r="E1816" s="13" t="s">
        <v>41</v>
      </c>
      <c r="F1816" s="8" t="s">
        <v>555</v>
      </c>
      <c r="G1816" s="8" t="b">
        <v>0</v>
      </c>
      <c r="H1816" s="8" t="s">
        <v>498</v>
      </c>
      <c r="I1816" s="8">
        <v>1.0</v>
      </c>
      <c r="J1816" s="8">
        <v>0.0</v>
      </c>
      <c r="K1816" s="8">
        <v>0.0</v>
      </c>
    </row>
    <row r="1817">
      <c r="A1817" s="7" t="s">
        <v>6267</v>
      </c>
      <c r="B1817" s="8" t="s">
        <v>6268</v>
      </c>
      <c r="C1817" s="7" t="s">
        <v>3596</v>
      </c>
      <c r="D1817" s="12" t="s">
        <v>39</v>
      </c>
      <c r="E1817" s="13" t="s">
        <v>41</v>
      </c>
      <c r="F1817" s="8" t="s">
        <v>42</v>
      </c>
      <c r="G1817" s="8" t="b">
        <v>0</v>
      </c>
      <c r="H1817" s="8" t="s">
        <v>6269</v>
      </c>
      <c r="I1817" s="8">
        <v>1.0</v>
      </c>
      <c r="J1817" s="8">
        <v>0.0</v>
      </c>
      <c r="K1817" s="8">
        <v>0.0</v>
      </c>
    </row>
    <row r="1818">
      <c r="A1818" s="7" t="s">
        <v>6270</v>
      </c>
      <c r="B1818" s="8" t="s">
        <v>6271</v>
      </c>
      <c r="C1818" s="7" t="s">
        <v>3599</v>
      </c>
      <c r="D1818" s="12" t="s">
        <v>39</v>
      </c>
      <c r="E1818" s="13" t="s">
        <v>41</v>
      </c>
      <c r="F1818" s="8" t="s">
        <v>42</v>
      </c>
      <c r="G1818" s="8" t="b">
        <v>0</v>
      </c>
      <c r="H1818" s="8" t="s">
        <v>6272</v>
      </c>
      <c r="I1818" s="8">
        <v>1.0</v>
      </c>
      <c r="J1818" s="8">
        <v>0.0</v>
      </c>
      <c r="K1818" s="8">
        <v>1.0</v>
      </c>
    </row>
    <row r="1819">
      <c r="A1819" s="7" t="s">
        <v>6273</v>
      </c>
      <c r="B1819" s="8" t="s">
        <v>6274</v>
      </c>
      <c r="C1819" s="7" t="s">
        <v>3603</v>
      </c>
      <c r="D1819" s="12" t="s">
        <v>693</v>
      </c>
      <c r="E1819" s="13" t="s">
        <v>41</v>
      </c>
      <c r="F1819" s="8" t="s">
        <v>695</v>
      </c>
      <c r="G1819" s="8" t="b">
        <v>0</v>
      </c>
      <c r="I1819" s="8">
        <v>1.0</v>
      </c>
      <c r="J1819" s="8">
        <v>0.0</v>
      </c>
      <c r="K1819" s="8">
        <v>1.0</v>
      </c>
    </row>
    <row r="1820">
      <c r="A1820" s="7" t="s">
        <v>6275</v>
      </c>
      <c r="B1820" s="8" t="s">
        <v>6276</v>
      </c>
      <c r="C1820" s="7" t="s">
        <v>704</v>
      </c>
      <c r="D1820" s="12" t="s">
        <v>39</v>
      </c>
      <c r="E1820" s="13" t="s">
        <v>73</v>
      </c>
      <c r="F1820" s="8" t="s">
        <v>42</v>
      </c>
      <c r="G1820" s="8" t="b">
        <v>0</v>
      </c>
      <c r="H1820" s="8" t="s">
        <v>6261</v>
      </c>
      <c r="I1820" s="8">
        <v>1.0</v>
      </c>
      <c r="J1820" s="8">
        <v>0.0</v>
      </c>
      <c r="K1820" s="8">
        <v>0.0</v>
      </c>
    </row>
    <row r="1821">
      <c r="A1821" s="7" t="s">
        <v>6277</v>
      </c>
      <c r="B1821" s="8" t="s">
        <v>6278</v>
      </c>
      <c r="C1821" s="7" t="s">
        <v>704</v>
      </c>
      <c r="D1821" s="12" t="s">
        <v>39</v>
      </c>
      <c r="E1821" s="13" t="s">
        <v>73</v>
      </c>
      <c r="F1821" s="8" t="s">
        <v>42</v>
      </c>
      <c r="G1821" s="8" t="b">
        <v>0</v>
      </c>
      <c r="H1821" s="8" t="s">
        <v>6279</v>
      </c>
      <c r="I1821" s="8">
        <v>1.0</v>
      </c>
      <c r="J1821" s="8">
        <v>0.0</v>
      </c>
      <c r="K1821" s="8">
        <v>0.0</v>
      </c>
    </row>
    <row r="1822">
      <c r="A1822" s="7" t="s">
        <v>6280</v>
      </c>
      <c r="B1822" s="8" t="s">
        <v>6281</v>
      </c>
      <c r="C1822" s="7" t="s">
        <v>704</v>
      </c>
      <c r="D1822" s="12" t="s">
        <v>39</v>
      </c>
      <c r="E1822" s="13" t="s">
        <v>73</v>
      </c>
      <c r="F1822" s="8" t="s">
        <v>42</v>
      </c>
      <c r="G1822" s="8" t="b">
        <v>0</v>
      </c>
      <c r="H1822" s="8" t="s">
        <v>6282</v>
      </c>
      <c r="I1822" s="8">
        <v>1.0</v>
      </c>
      <c r="J1822" s="8">
        <v>0.0</v>
      </c>
      <c r="K1822" s="8">
        <v>0.0</v>
      </c>
    </row>
    <row r="1823">
      <c r="A1823" s="7" t="s">
        <v>6283</v>
      </c>
      <c r="B1823" s="8" t="s">
        <v>6284</v>
      </c>
      <c r="C1823" s="7" t="s">
        <v>704</v>
      </c>
      <c r="D1823" s="12" t="s">
        <v>39</v>
      </c>
      <c r="E1823" s="13" t="s">
        <v>73</v>
      </c>
      <c r="F1823" s="8" t="s">
        <v>42</v>
      </c>
      <c r="G1823" s="8" t="b">
        <v>0</v>
      </c>
      <c r="H1823" s="8" t="s">
        <v>6285</v>
      </c>
      <c r="I1823" s="8">
        <v>1.0</v>
      </c>
      <c r="J1823" s="8">
        <v>0.0</v>
      </c>
      <c r="K1823" s="8">
        <v>0.0</v>
      </c>
    </row>
    <row r="1824">
      <c r="A1824" s="7" t="s">
        <v>6286</v>
      </c>
      <c r="B1824" s="8" t="s">
        <v>6287</v>
      </c>
      <c r="C1824" s="7" t="s">
        <v>704</v>
      </c>
      <c r="D1824" s="12" t="s">
        <v>39</v>
      </c>
      <c r="E1824" s="13" t="s">
        <v>73</v>
      </c>
      <c r="F1824" s="8" t="s">
        <v>42</v>
      </c>
      <c r="G1824" s="8" t="b">
        <v>0</v>
      </c>
      <c r="H1824" s="8" t="s">
        <v>6288</v>
      </c>
      <c r="I1824" s="8">
        <v>1.0</v>
      </c>
      <c r="J1824" s="8">
        <v>0.0</v>
      </c>
      <c r="K1824" s="8">
        <v>0.0</v>
      </c>
    </row>
    <row r="1825">
      <c r="A1825" s="7" t="s">
        <v>6289</v>
      </c>
      <c r="B1825" s="8" t="s">
        <v>6290</v>
      </c>
      <c r="C1825" s="7" t="s">
        <v>1544</v>
      </c>
      <c r="D1825" s="12" t="s">
        <v>72</v>
      </c>
      <c r="E1825" s="13" t="s">
        <v>22</v>
      </c>
      <c r="F1825" s="8" t="s">
        <v>74</v>
      </c>
      <c r="G1825" s="8" t="b">
        <v>0</v>
      </c>
      <c r="H1825" s="8" t="s">
        <v>6291</v>
      </c>
      <c r="I1825" s="8">
        <v>1.0</v>
      </c>
      <c r="J1825" s="8">
        <v>0.0</v>
      </c>
      <c r="K1825" s="8">
        <v>0.0</v>
      </c>
    </row>
    <row r="1826">
      <c r="A1826" s="7" t="s">
        <v>6292</v>
      </c>
      <c r="B1826" s="8" t="s">
        <v>6293</v>
      </c>
      <c r="C1826" s="7" t="s">
        <v>3607</v>
      </c>
      <c r="D1826" s="12" t="s">
        <v>766</v>
      </c>
      <c r="E1826" s="13" t="s">
        <v>22</v>
      </c>
      <c r="F1826" s="8" t="s">
        <v>767</v>
      </c>
      <c r="G1826" s="8" t="b">
        <v>0</v>
      </c>
      <c r="H1826" s="8" t="s">
        <v>3609</v>
      </c>
      <c r="I1826" s="8">
        <v>1.0</v>
      </c>
      <c r="J1826" s="8">
        <v>0.0</v>
      </c>
      <c r="K1826" s="8">
        <v>1.0</v>
      </c>
    </row>
    <row r="1827">
      <c r="A1827" s="7" t="s">
        <v>6294</v>
      </c>
      <c r="B1827" s="8" t="s">
        <v>6295</v>
      </c>
      <c r="C1827" s="7" t="s">
        <v>624</v>
      </c>
      <c r="D1827" s="12" t="s">
        <v>693</v>
      </c>
      <c r="E1827" s="13" t="s">
        <v>753</v>
      </c>
      <c r="F1827" s="8" t="s">
        <v>695</v>
      </c>
      <c r="G1827" s="8" t="b">
        <v>0</v>
      </c>
      <c r="H1827" s="8" t="s">
        <v>6296</v>
      </c>
      <c r="I1827" s="8">
        <v>1.0</v>
      </c>
      <c r="J1827" s="8">
        <v>0.0</v>
      </c>
      <c r="K1827" s="8">
        <v>1.0</v>
      </c>
    </row>
    <row r="1828">
      <c r="A1828" s="7" t="s">
        <v>6297</v>
      </c>
      <c r="B1828" s="8" t="s">
        <v>6298</v>
      </c>
      <c r="C1828" s="7" t="s">
        <v>1978</v>
      </c>
      <c r="D1828" s="12" t="s">
        <v>39</v>
      </c>
      <c r="E1828" s="13" t="s">
        <v>41</v>
      </c>
      <c r="F1828" s="8" t="s">
        <v>42</v>
      </c>
      <c r="G1828" s="8" t="b">
        <v>0</v>
      </c>
      <c r="H1828" s="8" t="s">
        <v>6299</v>
      </c>
      <c r="I1828" s="8">
        <v>1.0</v>
      </c>
      <c r="J1828" s="8">
        <v>0.0</v>
      </c>
      <c r="K1828" s="8">
        <v>2.0</v>
      </c>
    </row>
    <row r="1829">
      <c r="A1829" s="7" t="s">
        <v>6300</v>
      </c>
      <c r="B1829" s="8" t="s">
        <v>6301</v>
      </c>
      <c r="C1829" s="7" t="s">
        <v>1978</v>
      </c>
      <c r="D1829" s="12" t="s">
        <v>39</v>
      </c>
      <c r="E1829" s="13" t="s">
        <v>41</v>
      </c>
      <c r="F1829" s="8" t="s">
        <v>42</v>
      </c>
      <c r="G1829" s="8" t="b">
        <v>0</v>
      </c>
      <c r="H1829" s="8" t="s">
        <v>6302</v>
      </c>
      <c r="I1829" s="8">
        <v>1.0</v>
      </c>
      <c r="J1829" s="8">
        <v>0.0</v>
      </c>
      <c r="K1829" s="8">
        <v>1.0</v>
      </c>
    </row>
    <row r="1830">
      <c r="A1830" s="7" t="s">
        <v>6303</v>
      </c>
      <c r="B1830" s="8" t="s">
        <v>6304</v>
      </c>
      <c r="C1830" s="7" t="s">
        <v>3611</v>
      </c>
      <c r="D1830" s="12" t="s">
        <v>39</v>
      </c>
      <c r="E1830" s="13" t="s">
        <v>41</v>
      </c>
      <c r="F1830" s="8" t="s">
        <v>42</v>
      </c>
      <c r="G1830" s="8" t="b">
        <v>0</v>
      </c>
      <c r="H1830" s="8" t="s">
        <v>6305</v>
      </c>
      <c r="I1830" s="8">
        <v>1.0</v>
      </c>
      <c r="J1830" s="8">
        <v>0.0</v>
      </c>
      <c r="K1830" s="8">
        <v>1.0</v>
      </c>
    </row>
    <row r="1831">
      <c r="A1831" s="7" t="s">
        <v>6306</v>
      </c>
      <c r="B1831" s="8" t="s">
        <v>6307</v>
      </c>
      <c r="C1831" s="7" t="s">
        <v>277</v>
      </c>
      <c r="D1831" s="12" t="s">
        <v>39</v>
      </c>
      <c r="E1831" s="13" t="s">
        <v>76</v>
      </c>
      <c r="F1831" s="8" t="s">
        <v>42</v>
      </c>
      <c r="G1831" s="8" t="b">
        <v>0</v>
      </c>
      <c r="H1831" s="8" t="s">
        <v>6308</v>
      </c>
      <c r="I1831" s="8">
        <v>1.0</v>
      </c>
      <c r="J1831" s="8">
        <v>0.0</v>
      </c>
      <c r="K1831" s="8">
        <v>1.0</v>
      </c>
    </row>
    <row r="1832">
      <c r="A1832" s="7" t="s">
        <v>6309</v>
      </c>
      <c r="B1832" s="8" t="s">
        <v>6310</v>
      </c>
      <c r="C1832" s="7" t="s">
        <v>277</v>
      </c>
      <c r="D1832" s="12" t="s">
        <v>39</v>
      </c>
      <c r="E1832" s="13" t="s">
        <v>76</v>
      </c>
      <c r="F1832" s="8" t="s">
        <v>42</v>
      </c>
      <c r="G1832" s="8" t="b">
        <v>0</v>
      </c>
      <c r="I1832" s="8">
        <v>1.0</v>
      </c>
      <c r="J1832" s="8">
        <v>0.0</v>
      </c>
      <c r="K1832" s="8">
        <v>1.0</v>
      </c>
    </row>
    <row r="1833">
      <c r="A1833" s="7" t="s">
        <v>6311</v>
      </c>
      <c r="B1833" s="8" t="s">
        <v>6312</v>
      </c>
      <c r="C1833" s="7" t="s">
        <v>277</v>
      </c>
      <c r="D1833" s="12" t="s">
        <v>39</v>
      </c>
      <c r="E1833" s="13" t="s">
        <v>76</v>
      </c>
      <c r="F1833" s="8" t="s">
        <v>42</v>
      </c>
      <c r="G1833" s="8" t="b">
        <v>0</v>
      </c>
      <c r="I1833" s="8">
        <v>1.0</v>
      </c>
      <c r="J1833" s="8">
        <v>0.0</v>
      </c>
      <c r="K1833" s="8">
        <v>1.0</v>
      </c>
    </row>
    <row r="1834">
      <c r="A1834" s="7" t="s">
        <v>6313</v>
      </c>
      <c r="B1834" s="8" t="s">
        <v>6314</v>
      </c>
      <c r="C1834" s="7" t="s">
        <v>277</v>
      </c>
      <c r="D1834" s="12" t="s">
        <v>190</v>
      </c>
      <c r="E1834" s="13" t="s">
        <v>76</v>
      </c>
      <c r="F1834" s="8" t="s">
        <v>191</v>
      </c>
      <c r="G1834" s="8" t="b">
        <v>0</v>
      </c>
      <c r="H1834" s="8" t="s">
        <v>6315</v>
      </c>
      <c r="I1834" s="8">
        <v>1.0</v>
      </c>
      <c r="J1834" s="8">
        <v>0.0</v>
      </c>
      <c r="K1834" s="8">
        <v>1.0</v>
      </c>
    </row>
    <row r="1835">
      <c r="A1835" s="7" t="s">
        <v>6316</v>
      </c>
      <c r="B1835" s="8" t="s">
        <v>6317</v>
      </c>
      <c r="C1835" s="7" t="s">
        <v>277</v>
      </c>
      <c r="D1835" s="12" t="s">
        <v>39</v>
      </c>
      <c r="E1835" s="13" t="s">
        <v>76</v>
      </c>
      <c r="F1835" s="8" t="s">
        <v>42</v>
      </c>
      <c r="G1835" s="8" t="b">
        <v>0</v>
      </c>
      <c r="H1835" s="8" t="s">
        <v>6318</v>
      </c>
      <c r="I1835" s="8">
        <v>1.0</v>
      </c>
      <c r="J1835" s="8">
        <v>0.0</v>
      </c>
      <c r="K1835" s="8">
        <v>2.0</v>
      </c>
    </row>
    <row r="1836">
      <c r="A1836" s="7" t="s">
        <v>6319</v>
      </c>
      <c r="B1836" s="8" t="s">
        <v>6320</v>
      </c>
      <c r="C1836" s="7" t="s">
        <v>277</v>
      </c>
      <c r="D1836" s="12" t="s">
        <v>39</v>
      </c>
      <c r="E1836" s="13" t="s">
        <v>76</v>
      </c>
      <c r="F1836" s="8" t="s">
        <v>42</v>
      </c>
      <c r="G1836" s="8" t="b">
        <v>0</v>
      </c>
      <c r="H1836" s="8" t="s">
        <v>6321</v>
      </c>
      <c r="I1836" s="8">
        <v>1.0</v>
      </c>
      <c r="J1836" s="8">
        <v>0.0</v>
      </c>
      <c r="K1836" s="8">
        <v>1.0</v>
      </c>
    </row>
    <row r="1837">
      <c r="A1837" s="7" t="s">
        <v>6322</v>
      </c>
      <c r="B1837" s="8" t="s">
        <v>6323</v>
      </c>
      <c r="C1837" s="7" t="s">
        <v>277</v>
      </c>
      <c r="D1837" s="12" t="s">
        <v>693</v>
      </c>
      <c r="E1837" s="13" t="s">
        <v>76</v>
      </c>
      <c r="F1837" s="8" t="s">
        <v>695</v>
      </c>
      <c r="G1837" s="8" t="b">
        <v>0</v>
      </c>
      <c r="H1837" s="8" t="s">
        <v>803</v>
      </c>
      <c r="I1837" s="8">
        <v>1.0</v>
      </c>
      <c r="J1837" s="8">
        <v>0.0</v>
      </c>
      <c r="K1837" s="8">
        <v>1.0</v>
      </c>
    </row>
    <row r="1838">
      <c r="A1838" s="7" t="s">
        <v>6324</v>
      </c>
      <c r="B1838" s="8" t="s">
        <v>6325</v>
      </c>
      <c r="C1838" s="7" t="s">
        <v>277</v>
      </c>
      <c r="D1838" s="12" t="s">
        <v>39</v>
      </c>
      <c r="E1838" s="13" t="s">
        <v>76</v>
      </c>
      <c r="F1838" s="8" t="s">
        <v>42</v>
      </c>
      <c r="G1838" s="8" t="b">
        <v>0</v>
      </c>
      <c r="I1838" s="8">
        <v>1.0</v>
      </c>
      <c r="J1838" s="8">
        <v>0.0</v>
      </c>
      <c r="K1838" s="8">
        <v>1.0</v>
      </c>
    </row>
    <row r="1839">
      <c r="A1839" s="7" t="s">
        <v>6326</v>
      </c>
      <c r="B1839" s="8" t="s">
        <v>6327</v>
      </c>
      <c r="C1839" s="7" t="s">
        <v>277</v>
      </c>
      <c r="D1839" s="12" t="s">
        <v>693</v>
      </c>
      <c r="E1839" s="13" t="s">
        <v>76</v>
      </c>
      <c r="F1839" s="8" t="s">
        <v>695</v>
      </c>
      <c r="G1839" s="8" t="b">
        <v>0</v>
      </c>
      <c r="H1839" s="8" t="s">
        <v>2011</v>
      </c>
      <c r="I1839" s="8">
        <v>1.0</v>
      </c>
      <c r="J1839" s="8">
        <v>0.0</v>
      </c>
      <c r="K1839" s="8">
        <v>1.0</v>
      </c>
    </row>
    <row r="1840">
      <c r="A1840" s="7" t="s">
        <v>6328</v>
      </c>
      <c r="B1840" s="8" t="s">
        <v>6329</v>
      </c>
      <c r="C1840" s="7" t="s">
        <v>277</v>
      </c>
      <c r="D1840" s="12" t="s">
        <v>104</v>
      </c>
      <c r="E1840" s="13" t="s">
        <v>76</v>
      </c>
      <c r="F1840" s="8" t="s">
        <v>106</v>
      </c>
      <c r="G1840" s="8" t="b">
        <v>0</v>
      </c>
      <c r="H1840" s="8" t="s">
        <v>803</v>
      </c>
      <c r="I1840" s="8">
        <v>1.0</v>
      </c>
      <c r="J1840" s="8">
        <v>0.0</v>
      </c>
      <c r="K1840" s="8">
        <v>1.0</v>
      </c>
    </row>
    <row r="1841">
      <c r="A1841" s="7" t="s">
        <v>6330</v>
      </c>
      <c r="B1841" s="8" t="s">
        <v>6331</v>
      </c>
      <c r="C1841" s="7" t="s">
        <v>277</v>
      </c>
      <c r="D1841" s="12" t="s">
        <v>693</v>
      </c>
      <c r="E1841" s="13" t="s">
        <v>76</v>
      </c>
      <c r="F1841" s="8" t="s">
        <v>695</v>
      </c>
      <c r="G1841" s="8" t="b">
        <v>0</v>
      </c>
      <c r="H1841" s="8" t="s">
        <v>1966</v>
      </c>
      <c r="I1841" s="8">
        <v>1.0</v>
      </c>
      <c r="J1841" s="8">
        <v>0.0</v>
      </c>
      <c r="K1841" s="8">
        <v>1.0</v>
      </c>
    </row>
    <row r="1842">
      <c r="A1842" s="7" t="s">
        <v>6332</v>
      </c>
      <c r="B1842" s="8" t="s">
        <v>6333</v>
      </c>
      <c r="C1842" s="7" t="s">
        <v>277</v>
      </c>
      <c r="D1842" s="12" t="s">
        <v>693</v>
      </c>
      <c r="E1842" s="13" t="s">
        <v>76</v>
      </c>
      <c r="F1842" s="8" t="s">
        <v>695</v>
      </c>
      <c r="G1842" s="8" t="b">
        <v>0</v>
      </c>
      <c r="H1842" s="8" t="s">
        <v>6334</v>
      </c>
      <c r="I1842" s="8">
        <v>1.0</v>
      </c>
      <c r="J1842" s="8">
        <v>0.0</v>
      </c>
      <c r="K1842" s="8">
        <v>1.0</v>
      </c>
    </row>
    <row r="1843">
      <c r="A1843" s="7" t="s">
        <v>6335</v>
      </c>
      <c r="B1843" s="8" t="s">
        <v>6336</v>
      </c>
      <c r="C1843" s="7" t="s">
        <v>277</v>
      </c>
      <c r="D1843" s="12" t="s">
        <v>693</v>
      </c>
      <c r="E1843" s="13" t="s">
        <v>76</v>
      </c>
      <c r="F1843" s="8" t="s">
        <v>695</v>
      </c>
      <c r="G1843" s="8" t="b">
        <v>0</v>
      </c>
      <c r="I1843" s="8">
        <v>1.0</v>
      </c>
      <c r="J1843" s="8">
        <v>0.0</v>
      </c>
      <c r="K1843" s="8">
        <v>1.0</v>
      </c>
    </row>
    <row r="1844">
      <c r="A1844" s="7" t="s">
        <v>6337</v>
      </c>
      <c r="B1844" s="8" t="s">
        <v>6338</v>
      </c>
      <c r="C1844" s="7" t="s">
        <v>277</v>
      </c>
      <c r="D1844" s="12" t="s">
        <v>693</v>
      </c>
      <c r="E1844" s="13" t="s">
        <v>76</v>
      </c>
      <c r="F1844" s="8" t="s">
        <v>695</v>
      </c>
      <c r="G1844" s="8" t="b">
        <v>0</v>
      </c>
      <c r="H1844" s="8" t="s">
        <v>6315</v>
      </c>
      <c r="I1844" s="8">
        <v>1.0</v>
      </c>
      <c r="J1844" s="8">
        <v>0.0</v>
      </c>
      <c r="K1844" s="8">
        <v>1.0</v>
      </c>
    </row>
    <row r="1845">
      <c r="A1845" s="7" t="s">
        <v>6339</v>
      </c>
      <c r="B1845" s="8" t="s">
        <v>6340</v>
      </c>
      <c r="C1845" s="7" t="s">
        <v>277</v>
      </c>
      <c r="D1845" s="12" t="s">
        <v>39</v>
      </c>
      <c r="E1845" s="13" t="s">
        <v>76</v>
      </c>
      <c r="F1845" s="8" t="s">
        <v>42</v>
      </c>
      <c r="G1845" s="8" t="b">
        <v>0</v>
      </c>
      <c r="H1845" s="8" t="s">
        <v>6341</v>
      </c>
      <c r="I1845" s="8">
        <v>1.0</v>
      </c>
      <c r="J1845" s="8">
        <v>0.0</v>
      </c>
      <c r="K1845" s="8">
        <v>1.0</v>
      </c>
    </row>
    <row r="1846">
      <c r="A1846" s="7" t="s">
        <v>6342</v>
      </c>
      <c r="B1846" s="8" t="s">
        <v>6343</v>
      </c>
      <c r="C1846" s="7" t="s">
        <v>277</v>
      </c>
      <c r="D1846" s="12" t="s">
        <v>693</v>
      </c>
      <c r="E1846" s="13" t="s">
        <v>76</v>
      </c>
      <c r="F1846" s="8" t="s">
        <v>695</v>
      </c>
      <c r="G1846" s="8" t="b">
        <v>0</v>
      </c>
      <c r="H1846" s="8" t="s">
        <v>6344</v>
      </c>
      <c r="I1846" s="8">
        <v>1.0</v>
      </c>
      <c r="J1846" s="8">
        <v>0.0</v>
      </c>
      <c r="K1846" s="8">
        <v>1.0</v>
      </c>
    </row>
    <row r="1847">
      <c r="A1847" s="7" t="s">
        <v>6345</v>
      </c>
      <c r="B1847" s="8" t="s">
        <v>6346</v>
      </c>
      <c r="C1847" s="7" t="s">
        <v>3614</v>
      </c>
      <c r="D1847" s="12" t="s">
        <v>554</v>
      </c>
      <c r="E1847" s="13" t="s">
        <v>41</v>
      </c>
      <c r="F1847" s="8" t="s">
        <v>555</v>
      </c>
      <c r="G1847" s="8" t="b">
        <v>0</v>
      </c>
      <c r="I1847" s="8">
        <v>1.0</v>
      </c>
      <c r="J1847" s="8">
        <v>0.0</v>
      </c>
      <c r="K1847" s="8">
        <v>0.0</v>
      </c>
    </row>
    <row r="1848">
      <c r="A1848" s="7" t="s">
        <v>6347</v>
      </c>
      <c r="B1848" s="8" t="s">
        <v>6348</v>
      </c>
      <c r="C1848" s="7" t="s">
        <v>1982</v>
      </c>
      <c r="D1848" s="12" t="s">
        <v>39</v>
      </c>
      <c r="E1848" s="13" t="s">
        <v>41</v>
      </c>
      <c r="F1848" s="8" t="s">
        <v>42</v>
      </c>
      <c r="G1848" s="8" t="b">
        <v>0</v>
      </c>
      <c r="H1848" s="8" t="s">
        <v>6349</v>
      </c>
      <c r="I1848" s="8">
        <v>1.0</v>
      </c>
      <c r="J1848" s="8">
        <v>0.0</v>
      </c>
      <c r="K1848" s="8">
        <v>1.0</v>
      </c>
    </row>
    <row r="1849">
      <c r="A1849" s="7" t="s">
        <v>6350</v>
      </c>
      <c r="B1849" s="8" t="s">
        <v>6351</v>
      </c>
      <c r="C1849" s="7" t="s">
        <v>1982</v>
      </c>
      <c r="D1849" s="12" t="s">
        <v>39</v>
      </c>
      <c r="E1849" s="13" t="s">
        <v>41</v>
      </c>
      <c r="F1849" s="8" t="s">
        <v>42</v>
      </c>
      <c r="G1849" s="8" t="b">
        <v>0</v>
      </c>
      <c r="H1849" s="8" t="s">
        <v>186</v>
      </c>
      <c r="I1849" s="8">
        <v>1.0</v>
      </c>
      <c r="J1849" s="8">
        <v>0.0</v>
      </c>
      <c r="K1849" s="8">
        <v>0.0</v>
      </c>
    </row>
    <row r="1850">
      <c r="A1850" s="7" t="s">
        <v>6352</v>
      </c>
      <c r="B1850" s="8" t="s">
        <v>6353</v>
      </c>
      <c r="C1850" s="7" t="s">
        <v>3617</v>
      </c>
      <c r="D1850" s="12" t="s">
        <v>693</v>
      </c>
      <c r="E1850" s="13" t="s">
        <v>41</v>
      </c>
      <c r="F1850" s="8" t="s">
        <v>695</v>
      </c>
      <c r="G1850" s="8" t="b">
        <v>0</v>
      </c>
      <c r="H1850" s="8" t="s">
        <v>498</v>
      </c>
      <c r="I1850" s="8">
        <v>1.0</v>
      </c>
      <c r="J1850" s="8">
        <v>0.0</v>
      </c>
      <c r="K1850" s="8">
        <v>3.0</v>
      </c>
    </row>
    <row r="1851">
      <c r="A1851" s="7" t="s">
        <v>6354</v>
      </c>
      <c r="B1851" s="8" t="s">
        <v>6355</v>
      </c>
      <c r="C1851" s="7" t="s">
        <v>463</v>
      </c>
      <c r="D1851" s="12" t="s">
        <v>39</v>
      </c>
      <c r="E1851" s="13" t="s">
        <v>73</v>
      </c>
      <c r="F1851" s="8" t="s">
        <v>42</v>
      </c>
      <c r="G1851" s="8" t="b">
        <v>0</v>
      </c>
      <c r="H1851" s="8" t="s">
        <v>6356</v>
      </c>
      <c r="I1851" s="8">
        <v>1.0</v>
      </c>
      <c r="J1851" s="8">
        <v>0.0</v>
      </c>
      <c r="K1851" s="8">
        <v>1.0</v>
      </c>
    </row>
    <row r="1852">
      <c r="A1852" s="7" t="s">
        <v>6357</v>
      </c>
      <c r="B1852" s="8" t="s">
        <v>6358</v>
      </c>
      <c r="C1852" s="7" t="s">
        <v>463</v>
      </c>
      <c r="D1852" s="12" t="s">
        <v>39</v>
      </c>
      <c r="E1852" s="13" t="s">
        <v>73</v>
      </c>
      <c r="F1852" s="8" t="s">
        <v>42</v>
      </c>
      <c r="G1852" s="8" t="b">
        <v>0</v>
      </c>
      <c r="H1852" s="8" t="s">
        <v>6359</v>
      </c>
      <c r="I1852" s="8">
        <v>1.0</v>
      </c>
      <c r="J1852" s="8">
        <v>0.0</v>
      </c>
      <c r="K1852" s="8">
        <v>0.0</v>
      </c>
    </row>
    <row r="1853">
      <c r="A1853" s="7" t="s">
        <v>6360</v>
      </c>
      <c r="B1853" s="8" t="s">
        <v>6361</v>
      </c>
      <c r="C1853" s="7" t="s">
        <v>463</v>
      </c>
      <c r="D1853" s="12" t="s">
        <v>39</v>
      </c>
      <c r="E1853" s="13" t="s">
        <v>73</v>
      </c>
      <c r="F1853" s="8" t="s">
        <v>42</v>
      </c>
      <c r="G1853" s="8" t="b">
        <v>0</v>
      </c>
      <c r="H1853" s="8" t="s">
        <v>6362</v>
      </c>
      <c r="I1853" s="8">
        <v>1.0</v>
      </c>
      <c r="J1853" s="8">
        <v>0.0</v>
      </c>
      <c r="K1853" s="8">
        <v>2.0</v>
      </c>
    </row>
    <row r="1854">
      <c r="A1854" s="7" t="s">
        <v>6363</v>
      </c>
      <c r="B1854" s="8" t="s">
        <v>6364</v>
      </c>
      <c r="C1854" s="7" t="s">
        <v>463</v>
      </c>
      <c r="D1854" s="12" t="s">
        <v>39</v>
      </c>
      <c r="E1854" s="13" t="s">
        <v>73</v>
      </c>
      <c r="F1854" s="8" t="s">
        <v>42</v>
      </c>
      <c r="G1854" s="8" t="b">
        <v>0</v>
      </c>
      <c r="H1854" s="8" t="s">
        <v>6365</v>
      </c>
      <c r="I1854" s="8">
        <v>1.0</v>
      </c>
      <c r="J1854" s="8">
        <v>0.0</v>
      </c>
      <c r="K1854" s="8">
        <v>0.0</v>
      </c>
    </row>
    <row r="1855">
      <c r="A1855" s="7" t="s">
        <v>6366</v>
      </c>
      <c r="B1855" s="8" t="s">
        <v>6367</v>
      </c>
      <c r="C1855" s="7" t="s">
        <v>3622</v>
      </c>
      <c r="D1855" s="12" t="s">
        <v>39</v>
      </c>
      <c r="E1855" s="13" t="s">
        <v>41</v>
      </c>
      <c r="F1855" s="8" t="s">
        <v>42</v>
      </c>
      <c r="G1855" s="8" t="b">
        <v>0</v>
      </c>
      <c r="H1855" s="8" t="s">
        <v>6368</v>
      </c>
      <c r="I1855" s="8">
        <v>1.0</v>
      </c>
      <c r="J1855" s="8">
        <v>0.0</v>
      </c>
      <c r="K1855" s="8">
        <v>0.0</v>
      </c>
    </row>
    <row r="1856">
      <c r="A1856" s="7" t="s">
        <v>6369</v>
      </c>
      <c r="B1856" s="8" t="s">
        <v>6370</v>
      </c>
      <c r="C1856" s="7" t="s">
        <v>3624</v>
      </c>
      <c r="D1856" s="12" t="s">
        <v>39</v>
      </c>
      <c r="E1856" s="13" t="s">
        <v>41</v>
      </c>
      <c r="F1856" s="8" t="s">
        <v>42</v>
      </c>
      <c r="G1856" s="8" t="b">
        <v>0</v>
      </c>
      <c r="H1856" s="8" t="s">
        <v>6371</v>
      </c>
      <c r="I1856" s="8">
        <v>1.0</v>
      </c>
      <c r="J1856" s="8">
        <v>0.0</v>
      </c>
      <c r="K1856" s="8">
        <v>0.0</v>
      </c>
    </row>
    <row r="1857">
      <c r="D1857" s="13"/>
      <c r="E1857" s="13"/>
    </row>
    <row r="1858">
      <c r="D1858" s="13"/>
      <c r="E1858" s="13"/>
    </row>
    <row r="1859">
      <c r="D1859" s="13"/>
      <c r="E1859" s="13"/>
    </row>
    <row r="1860">
      <c r="D1860" s="13"/>
      <c r="E1860" s="13"/>
    </row>
    <row r="1861">
      <c r="D1861" s="13"/>
      <c r="E1861" s="13"/>
    </row>
    <row r="1862">
      <c r="D1862" s="13"/>
      <c r="E1862" s="13"/>
    </row>
    <row r="1863">
      <c r="D1863" s="13"/>
      <c r="E1863" s="13"/>
    </row>
    <row r="1864">
      <c r="D1864" s="13"/>
      <c r="E1864" s="13"/>
    </row>
    <row r="1865">
      <c r="D1865" s="13"/>
      <c r="E1865" s="13"/>
    </row>
    <row r="1866">
      <c r="D1866" s="13"/>
      <c r="E1866" s="13"/>
    </row>
    <row r="1867">
      <c r="D1867" s="13"/>
      <c r="E1867" s="13"/>
    </row>
    <row r="1868">
      <c r="D1868" s="13"/>
      <c r="E1868" s="13"/>
    </row>
    <row r="1869">
      <c r="D1869" s="13"/>
      <c r="E1869" s="13"/>
    </row>
    <row r="1870">
      <c r="D1870" s="13"/>
      <c r="E1870" s="13"/>
    </row>
    <row r="1871">
      <c r="D1871" s="13"/>
      <c r="E1871" s="13"/>
    </row>
    <row r="1872">
      <c r="D1872" s="13"/>
      <c r="E1872" s="13"/>
    </row>
    <row r="1873">
      <c r="D1873" s="13"/>
      <c r="E1873" s="13"/>
    </row>
    <row r="1874">
      <c r="D1874" s="13"/>
      <c r="E1874" s="13"/>
    </row>
    <row r="1875">
      <c r="D1875" s="13"/>
      <c r="E1875" s="13"/>
    </row>
    <row r="1876">
      <c r="D1876" s="13"/>
      <c r="E1876" s="13"/>
    </row>
    <row r="1877">
      <c r="D1877" s="13"/>
      <c r="E1877" s="13"/>
    </row>
    <row r="1878">
      <c r="D1878" s="13"/>
      <c r="E1878" s="13"/>
    </row>
    <row r="1879">
      <c r="D1879" s="13"/>
      <c r="E1879" s="13"/>
    </row>
    <row r="1880">
      <c r="D1880" s="13"/>
      <c r="E1880" s="13"/>
    </row>
    <row r="1881">
      <c r="D1881" s="13"/>
      <c r="E1881" s="13"/>
    </row>
    <row r="1882">
      <c r="D1882" s="13"/>
      <c r="E1882" s="13"/>
    </row>
    <row r="1883">
      <c r="D1883" s="13"/>
      <c r="E1883" s="13"/>
    </row>
    <row r="1884">
      <c r="D1884" s="13"/>
      <c r="E1884" s="13"/>
    </row>
    <row r="1885">
      <c r="D1885" s="13"/>
      <c r="E1885" s="13"/>
    </row>
    <row r="1886">
      <c r="D1886" s="13"/>
      <c r="E1886" s="13"/>
    </row>
    <row r="1887">
      <c r="D1887" s="13"/>
      <c r="E1887" s="13"/>
    </row>
    <row r="1888">
      <c r="D1888" s="13"/>
      <c r="E1888" s="13"/>
    </row>
    <row r="1889">
      <c r="D1889" s="13"/>
      <c r="E1889" s="13"/>
    </row>
    <row r="1890">
      <c r="D1890" s="13"/>
      <c r="E1890" s="13"/>
    </row>
    <row r="1891">
      <c r="D1891" s="13"/>
      <c r="E1891" s="13"/>
    </row>
    <row r="1892">
      <c r="D1892" s="13"/>
      <c r="E1892" s="13"/>
    </row>
    <row r="1893">
      <c r="D1893" s="13"/>
      <c r="E1893" s="13"/>
    </row>
    <row r="1894">
      <c r="D1894" s="13"/>
      <c r="E1894" s="13"/>
    </row>
    <row r="1895">
      <c r="D1895" s="13"/>
      <c r="E1895" s="13"/>
    </row>
    <row r="1896">
      <c r="D1896" s="13"/>
      <c r="E1896" s="13"/>
    </row>
    <row r="1897">
      <c r="D1897" s="13"/>
      <c r="E1897" s="13"/>
    </row>
    <row r="1898">
      <c r="D1898" s="13"/>
      <c r="E1898" s="13"/>
    </row>
    <row r="1899">
      <c r="D1899" s="13"/>
      <c r="E1899" s="13"/>
    </row>
    <row r="1900">
      <c r="D1900" s="13"/>
      <c r="E1900" s="13"/>
    </row>
    <row r="1901">
      <c r="D1901" s="13"/>
      <c r="E1901" s="13"/>
    </row>
    <row r="1902">
      <c r="D1902" s="13"/>
      <c r="E1902" s="13"/>
    </row>
    <row r="1903">
      <c r="D1903" s="13"/>
      <c r="E1903" s="13"/>
    </row>
    <row r="1904">
      <c r="D1904" s="13"/>
      <c r="E1904" s="13"/>
    </row>
    <row r="1905">
      <c r="D1905" s="13"/>
      <c r="E1905" s="13"/>
    </row>
    <row r="1906">
      <c r="D1906" s="13"/>
      <c r="E1906" s="13"/>
    </row>
    <row r="1907">
      <c r="D1907" s="13"/>
      <c r="E1907" s="13"/>
    </row>
    <row r="1908">
      <c r="D1908" s="13"/>
      <c r="E1908" s="13"/>
    </row>
    <row r="1909">
      <c r="D1909" s="13"/>
      <c r="E1909" s="13"/>
    </row>
    <row r="1910">
      <c r="D1910" s="13"/>
      <c r="E1910" s="13"/>
    </row>
    <row r="1911">
      <c r="D1911" s="13"/>
      <c r="E1911" s="13"/>
    </row>
    <row r="1912">
      <c r="D1912" s="13"/>
      <c r="E1912" s="13"/>
    </row>
    <row r="1913">
      <c r="D1913" s="13"/>
      <c r="E1913" s="13"/>
    </row>
    <row r="1914">
      <c r="D1914" s="13"/>
      <c r="E1914" s="13"/>
    </row>
    <row r="1915">
      <c r="D1915" s="13"/>
      <c r="E1915" s="13"/>
    </row>
    <row r="1916">
      <c r="D1916" s="13"/>
      <c r="E1916" s="13"/>
    </row>
    <row r="1917">
      <c r="D1917" s="13"/>
      <c r="E1917" s="13"/>
    </row>
    <row r="1918">
      <c r="D1918" s="13"/>
      <c r="E1918" s="13"/>
    </row>
    <row r="1919">
      <c r="D1919" s="13"/>
      <c r="E1919" s="13"/>
    </row>
    <row r="1920">
      <c r="D1920" s="13"/>
      <c r="E1920" s="13"/>
    </row>
    <row r="1921">
      <c r="D1921" s="13"/>
      <c r="E1921" s="13"/>
    </row>
    <row r="1922">
      <c r="D1922" s="13"/>
      <c r="E1922" s="13"/>
    </row>
    <row r="1923">
      <c r="D1923" s="13"/>
      <c r="E1923" s="13"/>
    </row>
    <row r="1924">
      <c r="D1924" s="13"/>
      <c r="E1924" s="13"/>
    </row>
    <row r="1925">
      <c r="D1925" s="13"/>
      <c r="E1925" s="13"/>
    </row>
    <row r="1926">
      <c r="D1926" s="13"/>
      <c r="E1926" s="13"/>
    </row>
    <row r="1927">
      <c r="D1927" s="13"/>
      <c r="E1927" s="13"/>
    </row>
    <row r="1928">
      <c r="D1928" s="13"/>
      <c r="E1928" s="13"/>
    </row>
    <row r="1929">
      <c r="D1929" s="13"/>
      <c r="E1929" s="13"/>
    </row>
    <row r="1930">
      <c r="D1930" s="13"/>
      <c r="E1930" s="13"/>
    </row>
    <row r="1931">
      <c r="D1931" s="13"/>
      <c r="E1931" s="13"/>
    </row>
    <row r="1932">
      <c r="D1932" s="13"/>
      <c r="E1932" s="13"/>
    </row>
    <row r="1933">
      <c r="D1933" s="13"/>
      <c r="E1933" s="13"/>
    </row>
    <row r="1934">
      <c r="D1934" s="13"/>
      <c r="E1934" s="13"/>
    </row>
    <row r="1935">
      <c r="D1935" s="13"/>
      <c r="E1935" s="13"/>
    </row>
    <row r="1936">
      <c r="D1936" s="13"/>
      <c r="E1936" s="13"/>
    </row>
    <row r="1937">
      <c r="D1937" s="13"/>
      <c r="E1937" s="13"/>
    </row>
    <row r="1938">
      <c r="D1938" s="13"/>
      <c r="E1938" s="13"/>
    </row>
    <row r="1939">
      <c r="D1939" s="13"/>
      <c r="E1939" s="13"/>
    </row>
    <row r="1940">
      <c r="D1940" s="13"/>
      <c r="E1940" s="13"/>
    </row>
    <row r="1941">
      <c r="D1941" s="13"/>
      <c r="E1941" s="13"/>
    </row>
    <row r="1942">
      <c r="D1942" s="13"/>
      <c r="E1942" s="13"/>
    </row>
    <row r="1943">
      <c r="D1943" s="13"/>
      <c r="E1943" s="13"/>
    </row>
    <row r="1944">
      <c r="D1944" s="13"/>
      <c r="E1944" s="13"/>
    </row>
    <row r="1945">
      <c r="D1945" s="13"/>
      <c r="E1945" s="13"/>
    </row>
    <row r="1946">
      <c r="D1946" s="13"/>
      <c r="E1946" s="13"/>
    </row>
    <row r="1947">
      <c r="D1947" s="13"/>
      <c r="E1947" s="13"/>
    </row>
    <row r="1948">
      <c r="D1948" s="13"/>
      <c r="E1948" s="13"/>
    </row>
    <row r="1949">
      <c r="D1949" s="13"/>
      <c r="E1949" s="13"/>
    </row>
    <row r="1950">
      <c r="D1950" s="13"/>
      <c r="E1950" s="13"/>
    </row>
    <row r="1951">
      <c r="D1951" s="13"/>
      <c r="E1951" s="13"/>
    </row>
    <row r="1952">
      <c r="D1952" s="13"/>
      <c r="E1952" s="13"/>
    </row>
    <row r="1953">
      <c r="D1953" s="13"/>
      <c r="E1953" s="13"/>
    </row>
    <row r="1954">
      <c r="D1954" s="13"/>
      <c r="E1954" s="13"/>
    </row>
    <row r="1955">
      <c r="D1955" s="13"/>
      <c r="E1955" s="13"/>
    </row>
    <row r="1956">
      <c r="D1956" s="13"/>
      <c r="E1956" s="13"/>
    </row>
    <row r="1957">
      <c r="D1957" s="13"/>
      <c r="E1957" s="13"/>
    </row>
    <row r="1958">
      <c r="D1958" s="13"/>
      <c r="E1958" s="13"/>
    </row>
    <row r="1959">
      <c r="D1959" s="13"/>
      <c r="E1959" s="13"/>
    </row>
    <row r="1960">
      <c r="D1960" s="13"/>
      <c r="E1960" s="13"/>
    </row>
    <row r="1961">
      <c r="D1961" s="13"/>
      <c r="E1961" s="13"/>
    </row>
    <row r="1962">
      <c r="D1962" s="13"/>
      <c r="E1962" s="13"/>
    </row>
    <row r="1963">
      <c r="D1963" s="13"/>
      <c r="E1963" s="13"/>
    </row>
    <row r="1964">
      <c r="D1964" s="13"/>
      <c r="E1964" s="13"/>
    </row>
    <row r="1965">
      <c r="D1965" s="13"/>
      <c r="E1965" s="13"/>
    </row>
    <row r="1966">
      <c r="D1966" s="13"/>
      <c r="E1966" s="13"/>
    </row>
    <row r="1967">
      <c r="D1967" s="13"/>
      <c r="E1967" s="13"/>
    </row>
    <row r="1968">
      <c r="D1968" s="13"/>
      <c r="E1968" s="13"/>
    </row>
    <row r="1969">
      <c r="D1969" s="13"/>
      <c r="E1969" s="13"/>
    </row>
    <row r="1970">
      <c r="D1970" s="13"/>
      <c r="E1970" s="13"/>
    </row>
    <row r="1971">
      <c r="D1971" s="13"/>
      <c r="E1971" s="13"/>
    </row>
    <row r="1972">
      <c r="D1972" s="13"/>
      <c r="E1972" s="13"/>
    </row>
    <row r="1973">
      <c r="D1973" s="13"/>
      <c r="E1973" s="13"/>
    </row>
    <row r="1974">
      <c r="D1974" s="13"/>
      <c r="E1974" s="13"/>
    </row>
    <row r="1975">
      <c r="D1975" s="13"/>
      <c r="E1975" s="13"/>
    </row>
    <row r="1976">
      <c r="D1976" s="13"/>
      <c r="E1976" s="13"/>
    </row>
    <row r="1977">
      <c r="D1977" s="13"/>
      <c r="E1977" s="13"/>
    </row>
    <row r="1978">
      <c r="D1978" s="13"/>
      <c r="E1978" s="13"/>
    </row>
    <row r="1979">
      <c r="D1979" s="13"/>
      <c r="E1979" s="13"/>
    </row>
    <row r="1980">
      <c r="D1980" s="13"/>
      <c r="E1980" s="13"/>
    </row>
    <row r="1981">
      <c r="D1981" s="13"/>
      <c r="E1981" s="13"/>
    </row>
    <row r="1982">
      <c r="D1982" s="13"/>
      <c r="E1982" s="13"/>
    </row>
    <row r="1983">
      <c r="D1983" s="13"/>
      <c r="E1983" s="13"/>
    </row>
    <row r="1984">
      <c r="D1984" s="13"/>
      <c r="E1984" s="13"/>
    </row>
    <row r="1985">
      <c r="D1985" s="13"/>
      <c r="E1985" s="13"/>
    </row>
    <row r="1986">
      <c r="D1986" s="13"/>
      <c r="E1986" s="13"/>
    </row>
    <row r="1987">
      <c r="D1987" s="13"/>
      <c r="E1987" s="13"/>
    </row>
    <row r="1988">
      <c r="D1988" s="13"/>
      <c r="E1988" s="13"/>
    </row>
    <row r="1989">
      <c r="D1989" s="13"/>
      <c r="E1989" s="13"/>
    </row>
    <row r="1990">
      <c r="D1990" s="13"/>
      <c r="E1990" s="13"/>
    </row>
    <row r="1991">
      <c r="D1991" s="13"/>
      <c r="E1991" s="13"/>
    </row>
    <row r="1992">
      <c r="D1992" s="13"/>
      <c r="E1992" s="13"/>
    </row>
    <row r="1993">
      <c r="D1993" s="13"/>
      <c r="E1993" s="13"/>
    </row>
    <row r="1994">
      <c r="D1994" s="13"/>
      <c r="E1994" s="13"/>
    </row>
    <row r="1995">
      <c r="D1995" s="13"/>
      <c r="E1995" s="13"/>
    </row>
    <row r="1996">
      <c r="D1996" s="13"/>
      <c r="E1996" s="13"/>
    </row>
    <row r="1997">
      <c r="D1997" s="13"/>
      <c r="E1997" s="13"/>
    </row>
    <row r="1998">
      <c r="D1998" s="13"/>
      <c r="E1998" s="13"/>
    </row>
    <row r="1999">
      <c r="D1999" s="13"/>
      <c r="E1999" s="13"/>
    </row>
    <row r="2000">
      <c r="D2000" s="13"/>
      <c r="E2000" s="13"/>
    </row>
    <row r="2001">
      <c r="D2001" s="13"/>
      <c r="E2001" s="13"/>
    </row>
    <row r="2002">
      <c r="D2002" s="13"/>
      <c r="E2002" s="13"/>
    </row>
    <row r="2003">
      <c r="D2003" s="13"/>
      <c r="E2003" s="13"/>
    </row>
    <row r="2004">
      <c r="D2004" s="13"/>
      <c r="E2004" s="13"/>
    </row>
    <row r="2005">
      <c r="D2005" s="13"/>
      <c r="E2005" s="13"/>
    </row>
    <row r="2006">
      <c r="D2006" s="13"/>
      <c r="E2006" s="13"/>
    </row>
    <row r="2007">
      <c r="D2007" s="13"/>
      <c r="E2007" s="13"/>
    </row>
    <row r="2008">
      <c r="D2008" s="13"/>
      <c r="E2008" s="13"/>
    </row>
    <row r="2009">
      <c r="D2009" s="13"/>
      <c r="E2009" s="13"/>
    </row>
    <row r="2010">
      <c r="D2010" s="13"/>
      <c r="E2010" s="13"/>
    </row>
    <row r="2011">
      <c r="D2011" s="13"/>
      <c r="E2011" s="13"/>
    </row>
    <row r="2012">
      <c r="D2012" s="13"/>
      <c r="E2012" s="13"/>
    </row>
    <row r="2013">
      <c r="D2013" s="13"/>
      <c r="E2013" s="13"/>
    </row>
    <row r="2014">
      <c r="D2014" s="13"/>
      <c r="E2014" s="13"/>
    </row>
    <row r="2015">
      <c r="D2015" s="13"/>
      <c r="E2015" s="13"/>
    </row>
    <row r="2016">
      <c r="D2016" s="13"/>
      <c r="E2016" s="13"/>
    </row>
    <row r="2017">
      <c r="D2017" s="13"/>
      <c r="E2017" s="13"/>
    </row>
    <row r="2018">
      <c r="D2018" s="13"/>
      <c r="E2018" s="13"/>
    </row>
    <row r="2019">
      <c r="D2019" s="13"/>
      <c r="E2019" s="13"/>
    </row>
    <row r="2020">
      <c r="D2020" s="13"/>
      <c r="E2020" s="13"/>
    </row>
    <row r="2021">
      <c r="D2021" s="13"/>
      <c r="E2021" s="13"/>
    </row>
    <row r="2022">
      <c r="D2022" s="13"/>
      <c r="E2022" s="13"/>
    </row>
    <row r="2023">
      <c r="D2023" s="13"/>
      <c r="E2023" s="13"/>
    </row>
    <row r="2024">
      <c r="D2024" s="13"/>
      <c r="E2024" s="13"/>
    </row>
    <row r="2025">
      <c r="D2025" s="13"/>
      <c r="E2025" s="13"/>
    </row>
    <row r="2026">
      <c r="D2026" s="13"/>
      <c r="E2026" s="13"/>
    </row>
    <row r="2027">
      <c r="D2027" s="13"/>
      <c r="E2027" s="13"/>
    </row>
    <row r="2028">
      <c r="D2028" s="13"/>
      <c r="E2028" s="13"/>
    </row>
    <row r="2029">
      <c r="D2029" s="13"/>
      <c r="E2029" s="13"/>
    </row>
    <row r="2030">
      <c r="D2030" s="13"/>
      <c r="E2030" s="13"/>
    </row>
    <row r="2031">
      <c r="D2031" s="13"/>
      <c r="E2031" s="13"/>
    </row>
    <row r="2032">
      <c r="D2032" s="13"/>
      <c r="E2032" s="13"/>
    </row>
    <row r="2033">
      <c r="D2033" s="13"/>
      <c r="E2033" s="13"/>
    </row>
    <row r="2034">
      <c r="D2034" s="13"/>
      <c r="E2034" s="13"/>
    </row>
    <row r="2035">
      <c r="D2035" s="13"/>
      <c r="E2035" s="13"/>
    </row>
    <row r="2036">
      <c r="D2036" s="13"/>
      <c r="E2036" s="13"/>
    </row>
    <row r="2037">
      <c r="D2037" s="13"/>
      <c r="E2037" s="13"/>
    </row>
    <row r="2038">
      <c r="D2038" s="13"/>
      <c r="E2038" s="13"/>
    </row>
    <row r="2039">
      <c r="D2039" s="13"/>
      <c r="E2039" s="13"/>
    </row>
    <row r="2040">
      <c r="D2040" s="13"/>
      <c r="E2040" s="13"/>
    </row>
    <row r="2041">
      <c r="D2041" s="13"/>
      <c r="E2041" s="13"/>
    </row>
    <row r="2042">
      <c r="D2042" s="13"/>
      <c r="E2042" s="13"/>
    </row>
    <row r="2043">
      <c r="D2043" s="13"/>
      <c r="E2043" s="13"/>
    </row>
    <row r="2044">
      <c r="D2044" s="13"/>
      <c r="E2044" s="13"/>
    </row>
    <row r="2045">
      <c r="D2045" s="13"/>
      <c r="E2045" s="13"/>
    </row>
    <row r="2046">
      <c r="D2046" s="13"/>
      <c r="E2046" s="13"/>
    </row>
    <row r="2047">
      <c r="D2047" s="13"/>
      <c r="E2047" s="13"/>
    </row>
    <row r="2048">
      <c r="D2048" s="13"/>
      <c r="E2048" s="13"/>
    </row>
    <row r="2049">
      <c r="D2049" s="13"/>
      <c r="E2049" s="13"/>
    </row>
    <row r="2050">
      <c r="D2050" s="13"/>
      <c r="E2050" s="13"/>
    </row>
    <row r="2051">
      <c r="D2051" s="13"/>
      <c r="E2051" s="13"/>
    </row>
    <row r="2052">
      <c r="D2052" s="13"/>
      <c r="E2052" s="13"/>
    </row>
    <row r="2053">
      <c r="D2053" s="13"/>
      <c r="E2053" s="13"/>
    </row>
    <row r="2054">
      <c r="D2054" s="13"/>
      <c r="E2054" s="13"/>
    </row>
    <row r="2055">
      <c r="D2055" s="13"/>
      <c r="E2055" s="13"/>
    </row>
    <row r="2056">
      <c r="D2056" s="13"/>
      <c r="E2056" s="13"/>
    </row>
    <row r="2057">
      <c r="D2057" s="13"/>
      <c r="E2057" s="13"/>
    </row>
    <row r="2058">
      <c r="D2058" s="13"/>
      <c r="E2058" s="13"/>
    </row>
    <row r="2059">
      <c r="D2059" s="13"/>
      <c r="E2059" s="13"/>
    </row>
    <row r="2060">
      <c r="D2060" s="13"/>
      <c r="E2060" s="13"/>
    </row>
    <row r="2061">
      <c r="D2061" s="13"/>
      <c r="E2061" s="13"/>
    </row>
    <row r="2062">
      <c r="D2062" s="13"/>
      <c r="E2062" s="13"/>
    </row>
    <row r="2063">
      <c r="D2063" s="13"/>
      <c r="E2063" s="13"/>
    </row>
    <row r="2064">
      <c r="D2064" s="13"/>
      <c r="E2064" s="13"/>
    </row>
    <row r="2065">
      <c r="D2065" s="13"/>
      <c r="E2065" s="13"/>
    </row>
    <row r="2066">
      <c r="D2066" s="13"/>
      <c r="E2066" s="13"/>
    </row>
    <row r="2067">
      <c r="D2067" s="13"/>
      <c r="E2067" s="13"/>
    </row>
    <row r="2068">
      <c r="D2068" s="13"/>
      <c r="E2068" s="13"/>
    </row>
    <row r="2069">
      <c r="D2069" s="13"/>
      <c r="E2069" s="13"/>
    </row>
    <row r="2070">
      <c r="D2070" s="13"/>
      <c r="E2070" s="13"/>
    </row>
    <row r="2071">
      <c r="D2071" s="13"/>
      <c r="E2071" s="13"/>
    </row>
    <row r="2072">
      <c r="D2072" s="13"/>
      <c r="E2072" s="13"/>
    </row>
    <row r="2073">
      <c r="D2073" s="13"/>
      <c r="E2073" s="13"/>
    </row>
    <row r="2074">
      <c r="D2074" s="13"/>
      <c r="E2074" s="13"/>
    </row>
    <row r="2075">
      <c r="D2075" s="13"/>
      <c r="E2075" s="13"/>
    </row>
    <row r="2076">
      <c r="D2076" s="13"/>
      <c r="E2076" s="13"/>
    </row>
  </sheetData>
  <autoFilter ref="$A$1:$Z$2076"/>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A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location=":~:text=NP%20Digital%20is%20a%20full%2Dfunnel%20analytics%20partner,rigorous%20analytics%2C%20delivering%20clarity%20across%20every%20channel." ref="A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location=":~:text=Their%20service%20positioning%20spans%20SEO%2C%20PPC%2C%20social,a%20traditional%20agency%20in%20the%20classic%20sense." ref="A26"/>
    <hyperlink r:id="rId48" ref="C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location=":~:text=The%20agency%20consistently%20received%20high%20ratings%20for,2%20of%202%20reviews%20are%205%20stars."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A63"/>
    <hyperlink r:id="rId121" ref="C63"/>
    <hyperlink r:id="rId122" ref="A64"/>
    <hyperlink r:id="rId123" ref="C64"/>
    <hyperlink r:id="rId124" ref="A65"/>
    <hyperlink r:id="rId125" ref="C65"/>
    <hyperlink r:id="rId126" ref="A66"/>
    <hyperlink r:id="rId127" ref="C66"/>
    <hyperlink r:id="rId128" ref="A67"/>
    <hyperlink r:id="rId129" ref="C67"/>
    <hyperlink r:id="rId130" ref="A68"/>
    <hyperlink r:id="rId131" ref="C68"/>
    <hyperlink r:id="rId132" ref="A69"/>
    <hyperlink r:id="rId133" ref="C69"/>
    <hyperlink r:id="rId134" ref="A70"/>
    <hyperlink r:id="rId135" ref="C70"/>
    <hyperlink r:id="rId136" location=":~:text=%2D%20NoGood.%20Born%20in%20New%20York%20City,%2D%20BBDO.%20%2D%20Digitas.%20%2D%20Disruptive%20Advertising." ref="A71"/>
    <hyperlink r:id="rId137" ref="C71"/>
    <hyperlink r:id="rId138" ref="A72"/>
    <hyperlink r:id="rId139" ref="C72"/>
    <hyperlink r:id="rId140" ref="A73"/>
    <hyperlink r:id="rId141" ref="C73"/>
    <hyperlink r:id="rId142" ref="A74"/>
    <hyperlink r:id="rId143" ref="C74"/>
    <hyperlink r:id="rId144" ref="A75"/>
    <hyperlink r:id="rId145" ref="C75"/>
    <hyperlink r:id="rId146" ref="A76"/>
    <hyperlink r:id="rId147" ref="C76"/>
    <hyperlink r:id="rId148" ref="A77"/>
    <hyperlink r:id="rId149" ref="C77"/>
    <hyperlink r:id="rId150" ref="A78"/>
    <hyperlink r:id="rId151" ref="C78"/>
    <hyperlink r:id="rId152" ref="A79"/>
    <hyperlink r:id="rId153" ref="C79"/>
    <hyperlink r:id="rId154" ref="A80"/>
    <hyperlink r:id="rId155" ref="C80"/>
    <hyperlink r:id="rId156" ref="A81"/>
    <hyperlink r:id="rId157" ref="C81"/>
    <hyperlink r:id="rId158" ref="A82"/>
    <hyperlink r:id="rId159" ref="C82"/>
    <hyperlink r:id="rId160" ref="A83"/>
    <hyperlink r:id="rId161" ref="C83"/>
    <hyperlink r:id="rId162" ref="A84"/>
    <hyperlink r:id="rId163" ref="C84"/>
    <hyperlink r:id="rId164" ref="A85"/>
    <hyperlink r:id="rId165" ref="C85"/>
    <hyperlink r:id="rId166" ref="A86"/>
    <hyperlink r:id="rId167" ref="C86"/>
    <hyperlink r:id="rId168" ref="A87"/>
    <hyperlink r:id="rId169" ref="C87"/>
    <hyperlink r:id="rId170" ref="A88"/>
    <hyperlink r:id="rId171" ref="C88"/>
    <hyperlink r:id="rId172" ref="A89"/>
    <hyperlink r:id="rId173" ref="C89"/>
    <hyperlink r:id="rId174" ref="A90"/>
    <hyperlink r:id="rId175" ref="C90"/>
    <hyperlink r:id="rId176" ref="A91"/>
    <hyperlink r:id="rId177" ref="C91"/>
    <hyperlink r:id="rId178" ref="A92"/>
    <hyperlink r:id="rId179" ref="C92"/>
    <hyperlink r:id="rId180" ref="A93"/>
    <hyperlink r:id="rId181" ref="C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C107"/>
    <hyperlink r:id="rId210" ref="A108"/>
    <hyperlink r:id="rId211" ref="C108"/>
    <hyperlink r:id="rId212" location=":~:text=A%20powerhouse%20in%20the%20top%2010%20media,them%20a%20place%20among%20top%20marketing%20firms."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location=":~:text=Growth%2Dstage%20startups.%20%24%24.%20TikTok.%20Multi%2Dchannel.%20ScalixAI.%20B2B,%2B%20SEO.%20%24%24%24.%20IKEA.%20Paid%20search%2C%20analytics." ref="A130"/>
    <hyperlink r:id="rId255" ref="C130"/>
    <hyperlink r:id="rId256" ref="A131"/>
    <hyperlink r:id="rId257" ref="C131"/>
    <hyperlink r:id="rId258" ref="A132"/>
    <hyperlink r:id="rId259" ref="C132"/>
    <hyperlink r:id="rId260" ref="A133"/>
    <hyperlink r:id="rId261" ref="C133"/>
    <hyperlink r:id="rId262" ref="A134"/>
    <hyperlink r:id="rId263" ref="C134"/>
    <hyperlink r:id="rId264" ref="A135"/>
    <hyperlink r:id="rId265" ref="C135"/>
    <hyperlink r:id="rId266" ref="A136"/>
    <hyperlink r:id="rId267" ref="C136"/>
    <hyperlink r:id="rId268" ref="A137"/>
    <hyperlink r:id="rId269" ref="C137"/>
    <hyperlink r:id="rId270" ref="A138"/>
    <hyperlink r:id="rId271" ref="C138"/>
    <hyperlink r:id="rId272" ref="A139"/>
    <hyperlink r:id="rId273" ref="C139"/>
    <hyperlink r:id="rId274" ref="A140"/>
    <hyperlink r:id="rId275" ref="C140"/>
    <hyperlink r:id="rId276" ref="A141"/>
    <hyperlink r:id="rId277" ref="C141"/>
    <hyperlink r:id="rId278" ref="A142"/>
    <hyperlink r:id="rId279" ref="C142"/>
    <hyperlink r:id="rId280" ref="A143"/>
    <hyperlink r:id="rId281" ref="C143"/>
    <hyperlink r:id="rId282" ref="A144"/>
    <hyperlink r:id="rId283" ref="C144"/>
    <hyperlink r:id="rId284" ref="A145"/>
    <hyperlink r:id="rId285" ref="C145"/>
    <hyperlink r:id="rId286" ref="A146"/>
    <hyperlink r:id="rId287" ref="C146"/>
    <hyperlink r:id="rId288" ref="A147"/>
    <hyperlink r:id="rId289" ref="C147"/>
    <hyperlink r:id="rId290" ref="A148"/>
    <hyperlink r:id="rId291" ref="C148"/>
    <hyperlink r:id="rId292" location=":~:text=%23%20%233%20iPullRank%20Headquarters%20%7C%20New%20York%2C,Pricing%20%7C%20Custom%20%E2%80%94%20contact%20for%20quote" ref="A149"/>
    <hyperlink r:id="rId293" ref="C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location=":~:text=Amazon%20Marketing%20Cloud%20(AMC)%20is%20a%20secure%2C,media%20strategy%E2%80%94all%20within%20a%20dedicated%2C%20pseudonymized%20environment." ref="A155"/>
    <hyperlink r:id="rId305" ref="C155"/>
    <hyperlink r:id="rId306" ref="A156"/>
    <hyperlink r:id="rId307" ref="C156"/>
    <hyperlink r:id="rId308" ref="A157"/>
    <hyperlink r:id="rId309" ref="C157"/>
    <hyperlink r:id="rId310" ref="A158"/>
    <hyperlink r:id="rId311" ref="C158"/>
    <hyperlink r:id="rId312" ref="A159"/>
    <hyperlink r:id="rId313" ref="C159"/>
    <hyperlink r:id="rId314" ref="A160"/>
    <hyperlink r:id="rId315" ref="C160"/>
    <hyperlink r:id="rId316" ref="A161"/>
    <hyperlink r:id="rId317" ref="C161"/>
    <hyperlink r:id="rId318" ref="A162"/>
    <hyperlink r:id="rId319" ref="C162"/>
    <hyperlink r:id="rId320" ref="A163"/>
    <hyperlink r:id="rId321" ref="C163"/>
    <hyperlink r:id="rId322" ref="A164"/>
    <hyperlink r:id="rId323" ref="C164"/>
    <hyperlink r:id="rId324" ref="A165"/>
    <hyperlink r:id="rId325" ref="C165"/>
    <hyperlink r:id="rId326" ref="A166"/>
    <hyperlink r:id="rId327" ref="C166"/>
    <hyperlink r:id="rId328" ref="A167"/>
    <hyperlink r:id="rId329" ref="C167"/>
    <hyperlink r:id="rId330" ref="A168"/>
    <hyperlink r:id="rId331" ref="C168"/>
    <hyperlink r:id="rId332" ref="A169"/>
    <hyperlink r:id="rId333" ref="C169"/>
    <hyperlink r:id="rId334" ref="A170"/>
    <hyperlink r:id="rId335" ref="C170"/>
    <hyperlink r:id="rId336" ref="A171"/>
    <hyperlink r:id="rId337" ref="C171"/>
    <hyperlink r:id="rId338" ref="A172"/>
    <hyperlink r:id="rId339" ref="C172"/>
    <hyperlink r:id="rId340" ref="A173"/>
    <hyperlink r:id="rId341" ref="A174"/>
    <hyperlink r:id="rId342" ref="C174"/>
    <hyperlink r:id="rId343" ref="A175"/>
    <hyperlink r:id="rId344" ref="C175"/>
    <hyperlink r:id="rId345" ref="A176"/>
    <hyperlink r:id="rId346" ref="C176"/>
    <hyperlink r:id="rId347" ref="A177"/>
    <hyperlink r:id="rId348" ref="C177"/>
    <hyperlink r:id="rId349" ref="A178"/>
    <hyperlink r:id="rId350" ref="C178"/>
    <hyperlink r:id="rId351" ref="A179"/>
    <hyperlink r:id="rId352" ref="C179"/>
    <hyperlink r:id="rId353" ref="A180"/>
    <hyperlink r:id="rId354" ref="C180"/>
    <hyperlink r:id="rId355" ref="A181"/>
    <hyperlink r:id="rId356" ref="C181"/>
    <hyperlink r:id="rId357" ref="A182"/>
    <hyperlink r:id="rId358" ref="C182"/>
    <hyperlink r:id="rId359" ref="A183"/>
    <hyperlink r:id="rId360" ref="C183"/>
    <hyperlink r:id="rId361" ref="A184"/>
    <hyperlink r:id="rId362" ref="C184"/>
    <hyperlink r:id="rId363" ref="A185"/>
    <hyperlink r:id="rId364" ref="C185"/>
    <hyperlink r:id="rId365" ref="A186"/>
    <hyperlink r:id="rId366" ref="C186"/>
    <hyperlink r:id="rId367" ref="A187"/>
    <hyperlink r:id="rId368" ref="A188"/>
    <hyperlink r:id="rId369" ref="C188"/>
    <hyperlink r:id="rId370" ref="A189"/>
    <hyperlink r:id="rId371" ref="C189"/>
    <hyperlink r:id="rId372" ref="A190"/>
    <hyperlink r:id="rId373" ref="C190"/>
    <hyperlink r:id="rId374" ref="A191"/>
    <hyperlink r:id="rId375" ref="C191"/>
    <hyperlink r:id="rId376" ref="A192"/>
    <hyperlink r:id="rId377" ref="C192"/>
    <hyperlink r:id="rId378"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A200"/>
    <hyperlink r:id="rId392" ref="C200"/>
    <hyperlink r:id="rId393" ref="A201"/>
    <hyperlink r:id="rId394" ref="C201"/>
    <hyperlink r:id="rId395" ref="A202"/>
    <hyperlink r:id="rId396" ref="C202"/>
    <hyperlink r:id="rId397" ref="A203"/>
    <hyperlink r:id="rId398" ref="C203"/>
    <hyperlink r:id="rId399" ref="A204"/>
    <hyperlink r:id="rId400" ref="C204"/>
    <hyperlink r:id="rId401" ref="A205"/>
    <hyperlink r:id="rId402" ref="C205"/>
    <hyperlink r:id="rId403" ref="A206"/>
    <hyperlink r:id="rId404" ref="C206"/>
    <hyperlink r:id="rId405" ref="A207"/>
    <hyperlink r:id="rId406" ref="C207"/>
    <hyperlink r:id="rId407" ref="A208"/>
    <hyperlink r:id="rId408" ref="C208"/>
    <hyperlink r:id="rId409" ref="A209"/>
    <hyperlink r:id="rId410" ref="C209"/>
    <hyperlink r:id="rId411" location=":~:text=Growth%20Marketing%20Pro.%20Olivine%20Marketing.%201.%20%2D,Disruptive%20Advertising.%20%2D%20Skale.%20%2D%20Directive%20Consulting." ref="A210"/>
    <hyperlink r:id="rId412" ref="C210"/>
    <hyperlink r:id="rId413" ref="A211"/>
    <hyperlink r:id="rId414" ref="C211"/>
    <hyperlink r:id="rId415" location=":~:text=List%20of%20the%20Top%20United%20States%20Programmatic,108%20reviews.%20%2D%20Onya.%205.0%2030%20reviews." ref="A212"/>
    <hyperlink r:id="rId416" ref="C212"/>
    <hyperlink r:id="rId417" ref="A213"/>
    <hyperlink r:id="rId418" ref="C213"/>
    <hyperlink r:id="rId419" ref="A214"/>
    <hyperlink r:id="rId420" ref="C214"/>
    <hyperlink r:id="rId421" ref="A215"/>
    <hyperlink r:id="rId422" ref="C215"/>
    <hyperlink r:id="rId423" location=":~:text=Power%20Digital%20is%20a%20tech%2Denabled%20growth%20marketing,forecasts%2C%20and%20tracks%20attribution%20across%20every%20channel." ref="A216"/>
    <hyperlink r:id="rId424" ref="C216"/>
    <hyperlink r:id="rId425" ref="A217"/>
    <hyperlink r:id="rId426" ref="C217"/>
    <hyperlink r:id="rId427" ref="A218"/>
    <hyperlink r:id="rId428" ref="C218"/>
    <hyperlink r:id="rId429" ref="A219"/>
    <hyperlink r:id="rId430" ref="C219"/>
    <hyperlink r:id="rId431" ref="A220"/>
    <hyperlink r:id="rId432" ref="C220"/>
    <hyperlink r:id="rId433" ref="A221"/>
    <hyperlink r:id="rId434" location=":~:text=Incremental's%20automated%20model%20creation%20and%20continuous%20learning,measurement%20%E2%80%93%20you%20have%20a%20sales%20pitch." ref="A222"/>
    <hyperlink r:id="rId435" ref="C222"/>
    <hyperlink r:id="rId436" ref="A223"/>
    <hyperlink r:id="rId437" ref="C223"/>
    <hyperlink r:id="rId438" ref="A224"/>
    <hyperlink r:id="rId439" ref="C224"/>
    <hyperlink r:id="rId440" ref="A225"/>
    <hyperlink r:id="rId441" ref="C225"/>
    <hyperlink r:id="rId442" ref="A226"/>
    <hyperlink r:id="rId443" ref="C226"/>
    <hyperlink r:id="rId444" ref="A227"/>
    <hyperlink r:id="rId445" ref="C227"/>
    <hyperlink r:id="rId446" ref="A228"/>
    <hyperlink r:id="rId447" ref="C228"/>
    <hyperlink r:id="rId448" ref="A229"/>
    <hyperlink r:id="rId449" ref="C229"/>
    <hyperlink r:id="rId450" ref="A230"/>
    <hyperlink r:id="rId451" ref="C230"/>
    <hyperlink r:id="rId452" ref="A231"/>
    <hyperlink r:id="rId453" ref="C231"/>
    <hyperlink r:id="rId454" ref="A232"/>
    <hyperlink r:id="rId455" ref="C232"/>
    <hyperlink r:id="rId456" ref="A233"/>
    <hyperlink r:id="rId457" ref="C233"/>
    <hyperlink r:id="rId458" ref="A234"/>
    <hyperlink r:id="rId459" ref="C234"/>
    <hyperlink r:id="rId460" ref="A235"/>
    <hyperlink r:id="rId461" ref="C235"/>
    <hyperlink r:id="rId462" ref="A236"/>
    <hyperlink r:id="rId463" ref="C236"/>
    <hyperlink r:id="rId464" ref="A237"/>
    <hyperlink r:id="rId465" ref="C237"/>
    <hyperlink r:id="rId466" ref="A238"/>
    <hyperlink r:id="rId467" ref="C238"/>
    <hyperlink r:id="rId468" ref="A239"/>
    <hyperlink r:id="rId469" ref="C239"/>
    <hyperlink r:id="rId470" location=":~:text=Great%20For%3A%20Mid%2Dmarket%20to%20enterprise%2Dlevel%20businesses%20requiring,and%20advanced%20analytics%20to%20drive%20measurable%20results." ref="A240"/>
    <hyperlink r:id="rId471" ref="C240"/>
    <hyperlink r:id="rId472" ref="A241"/>
    <hyperlink r:id="rId473" ref="A242"/>
    <hyperlink r:id="rId474" ref="C242"/>
    <hyperlink r:id="rId475" ref="A243"/>
    <hyperlink r:id="rId476" ref="C243"/>
    <hyperlink r:id="rId477" ref="A244"/>
    <hyperlink r:id="rId478" ref="C244"/>
    <hyperlink r:id="rId479" ref="A245"/>
    <hyperlink r:id="rId480" ref="C245"/>
    <hyperlink r:id="rId481" ref="A246"/>
    <hyperlink r:id="rId482" ref="C246"/>
    <hyperlink r:id="rId483" ref="A247"/>
    <hyperlink r:id="rId484" ref="C247"/>
    <hyperlink r:id="rId485" ref="A248"/>
    <hyperlink r:id="rId486" ref="C248"/>
    <hyperlink r:id="rId487" ref="A249"/>
    <hyperlink r:id="rId488" ref="C249"/>
    <hyperlink r:id="rId489" ref="A250"/>
    <hyperlink r:id="rId490" ref="A251"/>
    <hyperlink r:id="rId491" ref="C251"/>
    <hyperlink r:id="rId492" ref="A252"/>
    <hyperlink r:id="rId493" ref="C252"/>
    <hyperlink r:id="rId494" ref="A253"/>
    <hyperlink r:id="rId495" ref="C253"/>
    <hyperlink r:id="rId496" ref="A254"/>
    <hyperlink r:id="rId497" ref="C254"/>
    <hyperlink r:id="rId498" ref="A255"/>
    <hyperlink r:id="rId499" ref="C255"/>
    <hyperlink r:id="rId500" ref="A256"/>
    <hyperlink r:id="rId501" ref="C256"/>
    <hyperlink r:id="rId502" ref="A257"/>
    <hyperlink r:id="rId503" ref="C257"/>
    <hyperlink r:id="rId504" ref="A258"/>
    <hyperlink r:id="rId505" ref="C258"/>
    <hyperlink r:id="rId506" ref="A259"/>
    <hyperlink r:id="rId507" ref="C259"/>
    <hyperlink r:id="rId508" ref="A260"/>
    <hyperlink r:id="rId509" ref="C260"/>
    <hyperlink r:id="rId510" ref="A261"/>
    <hyperlink r:id="rId511" ref="C261"/>
    <hyperlink r:id="rId512" ref="A262"/>
    <hyperlink r:id="rId513" ref="C262"/>
    <hyperlink r:id="rId514" ref="A263"/>
    <hyperlink r:id="rId515" ref="C263"/>
    <hyperlink r:id="rId516" ref="A264"/>
    <hyperlink r:id="rId517" ref="C264"/>
    <hyperlink r:id="rId518" ref="A265"/>
    <hyperlink r:id="rId519" ref="C265"/>
    <hyperlink r:id="rId520" ref="A266"/>
    <hyperlink r:id="rId521" ref="C266"/>
    <hyperlink r:id="rId522" ref="A267"/>
    <hyperlink r:id="rId523" ref="C267"/>
    <hyperlink r:id="rId524" ref="A268"/>
    <hyperlink r:id="rId525" ref="A269"/>
    <hyperlink r:id="rId526" ref="C269"/>
    <hyperlink r:id="rId527" ref="A270"/>
    <hyperlink r:id="rId528" ref="C270"/>
    <hyperlink r:id="rId529" ref="A271"/>
    <hyperlink r:id="rId530" ref="C271"/>
    <hyperlink r:id="rId531" ref="A272"/>
    <hyperlink r:id="rId532" ref="C272"/>
    <hyperlink r:id="rId533" ref="A273"/>
    <hyperlink r:id="rId534" ref="C273"/>
    <hyperlink r:id="rId535" ref="A274"/>
    <hyperlink r:id="rId536" ref="C274"/>
    <hyperlink r:id="rId537" ref="A275"/>
    <hyperlink r:id="rId538" ref="C275"/>
    <hyperlink r:id="rId539" ref="A276"/>
    <hyperlink r:id="rId540" ref="C276"/>
    <hyperlink r:id="rId541" ref="A277"/>
    <hyperlink r:id="rId542" ref="C277"/>
    <hyperlink r:id="rId543" ref="A278"/>
    <hyperlink r:id="rId544" ref="C278"/>
    <hyperlink r:id="rId545" ref="A279"/>
    <hyperlink r:id="rId546" ref="C279"/>
    <hyperlink r:id="rId547" ref="A280"/>
    <hyperlink r:id="rId548" ref="C280"/>
    <hyperlink r:id="rId549" ref="A281"/>
    <hyperlink r:id="rId550" ref="C281"/>
    <hyperlink r:id="rId551" ref="A282"/>
    <hyperlink r:id="rId552" ref="C282"/>
    <hyperlink r:id="rId553" ref="A283"/>
    <hyperlink r:id="rId554" ref="A284"/>
    <hyperlink r:id="rId555" ref="C284"/>
    <hyperlink r:id="rId556" ref="A285"/>
    <hyperlink r:id="rId557" ref="C285"/>
    <hyperlink r:id="rId558" ref="A286"/>
    <hyperlink r:id="rId559" ref="C286"/>
    <hyperlink r:id="rId560" ref="A287"/>
    <hyperlink r:id="rId561" ref="C287"/>
    <hyperlink r:id="rId562" ref="A288"/>
    <hyperlink r:id="rId563" ref="A289"/>
    <hyperlink r:id="rId564" ref="C289"/>
    <hyperlink r:id="rId565" ref="A290"/>
    <hyperlink r:id="rId566" ref="C290"/>
    <hyperlink r:id="rId567" ref="A291"/>
    <hyperlink r:id="rId568" ref="C291"/>
    <hyperlink r:id="rId569" ref="A292"/>
    <hyperlink r:id="rId570" ref="C292"/>
    <hyperlink r:id="rId571" ref="A293"/>
    <hyperlink r:id="rId572" ref="C293"/>
    <hyperlink r:id="rId573" ref="A294"/>
    <hyperlink r:id="rId574" ref="C294"/>
    <hyperlink r:id="rId575" ref="A295"/>
    <hyperlink r:id="rId576" ref="C295"/>
    <hyperlink r:id="rId577" ref="A296"/>
    <hyperlink r:id="rId578" ref="C296"/>
    <hyperlink r:id="rId579" ref="A297"/>
    <hyperlink r:id="rId580" ref="C297"/>
    <hyperlink r:id="rId581" ref="A298"/>
    <hyperlink r:id="rId582" ref="C298"/>
    <hyperlink r:id="rId583" ref="A299"/>
    <hyperlink r:id="rId584" ref="C299"/>
    <hyperlink r:id="rId585" location=":~:text=Renowned%20for%20its%20mantra%2C%20%E2%80%9CThe%20Work.%20The,results.%20%2D%2072andSunny%20%E2%80%93%20Los%20Angeles%2C%20CA." ref="A300"/>
    <hyperlink r:id="rId586" ref="C300"/>
    <hyperlink r:id="rId587" ref="A301"/>
    <hyperlink r:id="rId588" ref="C301"/>
    <hyperlink r:id="rId589" ref="A302"/>
    <hyperlink r:id="rId590" ref="C302"/>
    <hyperlink r:id="rId591" ref="A303"/>
    <hyperlink r:id="rId592" ref="C303"/>
    <hyperlink r:id="rId593" ref="A304"/>
    <hyperlink r:id="rId594" ref="C304"/>
    <hyperlink r:id="rId595" ref="A305"/>
    <hyperlink r:id="rId596" ref="C305"/>
    <hyperlink r:id="rId597" ref="A306"/>
    <hyperlink r:id="rId598" ref="A307"/>
    <hyperlink r:id="rId599" ref="C307"/>
    <hyperlink r:id="rId600" ref="A308"/>
    <hyperlink r:id="rId601" ref="C308"/>
    <hyperlink r:id="rId602" ref="A309"/>
    <hyperlink r:id="rId603" ref="C309"/>
    <hyperlink r:id="rId604" ref="A310"/>
    <hyperlink r:id="rId605" ref="C310"/>
    <hyperlink r:id="rId606" ref="A311"/>
    <hyperlink r:id="rId607" ref="C311"/>
    <hyperlink r:id="rId608" ref="A312"/>
    <hyperlink r:id="rId609" ref="C312"/>
    <hyperlink r:id="rId610" ref="A313"/>
    <hyperlink r:id="rId611" ref="A314"/>
    <hyperlink r:id="rId612" ref="C314"/>
    <hyperlink r:id="rId613" ref="A315"/>
    <hyperlink r:id="rId614" ref="C315"/>
    <hyperlink r:id="rId615" ref="A316"/>
    <hyperlink r:id="rId616" ref="C316"/>
    <hyperlink r:id="rId617" ref="A317"/>
    <hyperlink r:id="rId618" ref="C317"/>
    <hyperlink r:id="rId619" ref="A318"/>
    <hyperlink r:id="rId620" ref="C318"/>
    <hyperlink r:id="rId621" ref="A319"/>
    <hyperlink r:id="rId622" ref="C319"/>
    <hyperlink r:id="rId623" ref="C320"/>
    <hyperlink r:id="rId624" location=":~:text=10.%20Flying%20Cat%20Marketing%20%2D%20Strong%20B2B,fit%20for%20software%20companies%20and%20international%20growth." ref="A321"/>
    <hyperlink r:id="rId625" ref="C321"/>
    <hyperlink r:id="rId626" ref="A322"/>
    <hyperlink r:id="rId627" ref="C322"/>
    <hyperlink r:id="rId628" ref="A323"/>
    <hyperlink r:id="rId629" ref="C323"/>
    <hyperlink r:id="rId630" ref="A324"/>
    <hyperlink r:id="rId631" ref="C324"/>
    <hyperlink r:id="rId632" ref="A325"/>
    <hyperlink r:id="rId633" ref="C325"/>
    <hyperlink r:id="rId634" ref="A326"/>
    <hyperlink r:id="rId635" ref="A327"/>
    <hyperlink r:id="rId636" ref="C327"/>
    <hyperlink r:id="rId637" ref="A328"/>
    <hyperlink r:id="rId638" ref="C328"/>
    <hyperlink r:id="rId639" ref="A329"/>
    <hyperlink r:id="rId640" ref="C329"/>
    <hyperlink r:id="rId641" ref="A330"/>
    <hyperlink r:id="rId642" ref="C330"/>
    <hyperlink r:id="rId643" ref="A331"/>
    <hyperlink r:id="rId644" ref="C331"/>
    <hyperlink r:id="rId645" ref="A332"/>
    <hyperlink r:id="rId646" ref="C332"/>
    <hyperlink r:id="rId647" ref="A333"/>
    <hyperlink r:id="rId648" ref="C333"/>
    <hyperlink r:id="rId649" ref="A334"/>
    <hyperlink r:id="rId650" ref="C334"/>
    <hyperlink r:id="rId651" location=":~:text=The%20agency%20offers%20proprietary%20Integrative%20AI%C2%AE%20methodology,local%20implementation%20in%20more%20than%2040%20markets." ref="A335"/>
    <hyperlink r:id="rId652" ref="A336"/>
    <hyperlink r:id="rId653" ref="C336"/>
    <hyperlink r:id="rId654" ref="A337"/>
    <hyperlink r:id="rId655" ref="C337"/>
    <hyperlink r:id="rId656" ref="A338"/>
    <hyperlink r:id="rId657" ref="C338"/>
    <hyperlink r:id="rId658" ref="A339"/>
    <hyperlink r:id="rId659" ref="C339"/>
    <hyperlink r:id="rId660" ref="A340"/>
    <hyperlink r:id="rId661" ref="C340"/>
    <hyperlink r:id="rId662" ref="A341"/>
    <hyperlink r:id="rId663" ref="C341"/>
    <hyperlink r:id="rId664" ref="A342"/>
    <hyperlink r:id="rId665" ref="C342"/>
    <hyperlink r:id="rId666" ref="A343"/>
    <hyperlink r:id="rId667" ref="C343"/>
    <hyperlink r:id="rId668" ref="A344"/>
    <hyperlink r:id="rId669" ref="C344"/>
    <hyperlink r:id="rId670" ref="A345"/>
    <hyperlink r:id="rId671" ref="C345"/>
    <hyperlink r:id="rId672" ref="A346"/>
    <hyperlink r:id="rId673" ref="C346"/>
    <hyperlink r:id="rId674" ref="A347"/>
    <hyperlink r:id="rId675" ref="C347"/>
    <hyperlink r:id="rId676" ref="A348"/>
    <hyperlink r:id="rId677" ref="A349"/>
    <hyperlink r:id="rId678" ref="C349"/>
    <hyperlink r:id="rId679" ref="A350"/>
    <hyperlink r:id="rId680" ref="C350"/>
    <hyperlink r:id="rId681" ref="A351"/>
    <hyperlink r:id="rId682" ref="C351"/>
    <hyperlink r:id="rId683" location=":~:text=NoGood%20is%20a%20growth%20marketing%20agency%20where,not%20as%20a%20bolt%2Don%20to%20traditional%20SEO." ref="A352"/>
    <hyperlink r:id="rId684" ref="C352"/>
    <hyperlink r:id="rId685" ref="A353"/>
    <hyperlink r:id="rId686" ref="C353"/>
    <hyperlink r:id="rId687" ref="A354"/>
    <hyperlink r:id="rId688" ref="C354"/>
    <hyperlink r:id="rId689" location=":~:text=Anomaly%20is%20known%20for%20integrated%2C%20culture%E2%80%91forward%20campaigns,lines%20between%20advertising%2C%20experiences%2C%20and%20earned%20media." ref="A355"/>
    <hyperlink r:id="rId690" ref="C355"/>
    <hyperlink r:id="rId691" ref="A356"/>
    <hyperlink r:id="rId692" ref="C356"/>
    <hyperlink r:id="rId693" ref="A357"/>
    <hyperlink r:id="rId694" ref="C357"/>
    <hyperlink r:id="rId695" ref="A358"/>
    <hyperlink r:id="rId696" ref="C358"/>
    <hyperlink r:id="rId697" ref="A359"/>
    <hyperlink r:id="rId698" ref="C359"/>
    <hyperlink r:id="rId699" ref="A360"/>
    <hyperlink r:id="rId700" ref="C360"/>
    <hyperlink r:id="rId701" ref="A361"/>
    <hyperlink r:id="rId702" ref="C361"/>
    <hyperlink r:id="rId703" ref="A362"/>
    <hyperlink r:id="rId704" ref="C362"/>
    <hyperlink r:id="rId705" ref="A363"/>
    <hyperlink r:id="rId706" ref="C363"/>
    <hyperlink r:id="rId707" ref="A364"/>
    <hyperlink r:id="rId708" ref="C364"/>
    <hyperlink r:id="rId709" ref="A365"/>
    <hyperlink r:id="rId710" ref="C365"/>
    <hyperlink r:id="rId711" ref="A366"/>
    <hyperlink r:id="rId712" ref="C366"/>
    <hyperlink r:id="rId713" ref="A367"/>
    <hyperlink r:id="rId714" ref="C367"/>
    <hyperlink r:id="rId715" ref="A368"/>
    <hyperlink r:id="rId716" ref="C368"/>
    <hyperlink r:id="rId717" ref="A369"/>
    <hyperlink r:id="rId718" ref="A370"/>
    <hyperlink r:id="rId719" ref="C370"/>
    <hyperlink r:id="rId720" ref="A371"/>
    <hyperlink r:id="rId721" ref="C371"/>
    <hyperlink r:id="rId722" ref="A372"/>
    <hyperlink r:id="rId723" ref="C372"/>
    <hyperlink r:id="rId724" ref="A373"/>
    <hyperlink r:id="rId725" ref="A374"/>
    <hyperlink r:id="rId726" ref="A375"/>
    <hyperlink r:id="rId727" ref="C375"/>
    <hyperlink r:id="rId728" ref="A376"/>
    <hyperlink r:id="rId729" ref="C376"/>
    <hyperlink r:id="rId730" ref="A377"/>
    <hyperlink r:id="rId731" ref="C377"/>
    <hyperlink r:id="rId732" ref="A378"/>
    <hyperlink r:id="rId733" ref="A379"/>
    <hyperlink r:id="rId734" ref="C379"/>
    <hyperlink r:id="rId735" ref="A380"/>
    <hyperlink r:id="rId736" ref="C380"/>
    <hyperlink r:id="rId737" location=":~:text=Conductor%20is%20the%20enterprise%20tool%20behind%20the,else%20is%20doing.%20Lemonshadehere.%20%E2%80%A2%204mo%20ago." ref="A381"/>
    <hyperlink r:id="rId738" ref="C381"/>
    <hyperlink r:id="rId739" ref="A382"/>
    <hyperlink r:id="rId740" ref="C382"/>
    <hyperlink r:id="rId741" ref="A383"/>
    <hyperlink r:id="rId742" ref="C383"/>
    <hyperlink r:id="rId743" ref="A384"/>
    <hyperlink r:id="rId744" ref="C384"/>
    <hyperlink r:id="rId745" ref="A385"/>
    <hyperlink r:id="rId746" ref="C385"/>
    <hyperlink r:id="rId747" location=":~:text=To%20Fuel%20Your%20Greatness.%20Our%20Clients.%20K,Danone.%20Kellogg's.%20Diageo.%20Johnson%20%26%20Johnson.%20Reckitt." ref="A386"/>
    <hyperlink r:id="rId748" ref="C386"/>
    <hyperlink r:id="rId749" ref="A387"/>
    <hyperlink r:id="rId750" ref="C387"/>
    <hyperlink r:id="rId751" ref="A388"/>
    <hyperlink r:id="rId752" ref="C388"/>
    <hyperlink r:id="rId753" ref="A389"/>
    <hyperlink r:id="rId754" ref="C389"/>
    <hyperlink r:id="rId755" ref="A390"/>
    <hyperlink r:id="rId756" ref="C390"/>
    <hyperlink r:id="rId757" ref="A391"/>
    <hyperlink r:id="rId758" ref="C391"/>
    <hyperlink r:id="rId759" ref="A392"/>
    <hyperlink r:id="rId760" ref="C392"/>
    <hyperlink r:id="rId761" ref="A393"/>
    <hyperlink r:id="rId762" ref="C393"/>
    <hyperlink r:id="rId763" ref="A394"/>
    <hyperlink r:id="rId764" ref="C394"/>
    <hyperlink r:id="rId765" ref="A395"/>
    <hyperlink r:id="rId766" ref="C395"/>
    <hyperlink r:id="rId767" ref="A396"/>
    <hyperlink r:id="rId768" ref="C396"/>
    <hyperlink r:id="rId769" ref="A397"/>
    <hyperlink r:id="rId770" ref="C397"/>
    <hyperlink r:id="rId771" ref="A398"/>
    <hyperlink r:id="rId772" ref="C398"/>
    <hyperlink r:id="rId773" ref="A399"/>
    <hyperlink r:id="rId774" ref="C399"/>
    <hyperlink r:id="rId775" ref="A400"/>
    <hyperlink r:id="rId776" ref="C400"/>
    <hyperlink r:id="rId777" ref="A401"/>
    <hyperlink r:id="rId778" ref="C401"/>
    <hyperlink r:id="rId779" ref="A402"/>
    <hyperlink r:id="rId780" ref="C402"/>
    <hyperlink r:id="rId781" ref="A403"/>
    <hyperlink r:id="rId782" ref="C403"/>
    <hyperlink r:id="rId783" ref="A404"/>
    <hyperlink r:id="rId784" ref="C404"/>
    <hyperlink r:id="rId785" ref="A405"/>
    <hyperlink r:id="rId786" ref="C405"/>
    <hyperlink r:id="rId787" ref="A406"/>
    <hyperlink r:id="rId788" ref="C406"/>
    <hyperlink r:id="rId789" ref="A407"/>
    <hyperlink r:id="rId790" ref="C407"/>
    <hyperlink r:id="rId791" ref="A408"/>
    <hyperlink r:id="rId792" ref="C408"/>
    <hyperlink r:id="rId793" ref="A409"/>
    <hyperlink r:id="rId794" ref="C409"/>
    <hyperlink r:id="rId795" ref="A410"/>
    <hyperlink r:id="rId796" ref="C410"/>
    <hyperlink r:id="rId797" ref="A411"/>
    <hyperlink r:id="rId798" ref="C411"/>
    <hyperlink r:id="rId799" location=":~:text=View%2Dthrough%20conversions%20account%20for%2030%2D50%25%20of%20display,increased%20ROAS%20340%25%20using%20dynamic%20creative%20optimization." ref="A412"/>
    <hyperlink r:id="rId800" ref="C412"/>
    <hyperlink r:id="rId801" ref="A413"/>
    <hyperlink r:id="rId802" ref="C413"/>
    <hyperlink r:id="rId803" ref="A414"/>
    <hyperlink r:id="rId804" ref="C414"/>
    <hyperlink r:id="rId805" ref="A415"/>
    <hyperlink r:id="rId806" ref="C415"/>
    <hyperlink r:id="rId807" ref="A416"/>
    <hyperlink r:id="rId808" ref="C416"/>
    <hyperlink r:id="rId809" ref="A417"/>
    <hyperlink r:id="rId810" ref="A418"/>
    <hyperlink r:id="rId811" ref="C418"/>
    <hyperlink r:id="rId812" ref="A419"/>
    <hyperlink r:id="rId813" ref="A420"/>
    <hyperlink r:id="rId814" ref="C420"/>
    <hyperlink r:id="rId815" ref="A421"/>
    <hyperlink r:id="rId816" ref="C421"/>
    <hyperlink r:id="rId817" ref="A422"/>
    <hyperlink r:id="rId818" ref="C422"/>
    <hyperlink r:id="rId819" ref="A423"/>
    <hyperlink r:id="rId820" ref="C423"/>
    <hyperlink r:id="rId821" ref="A424"/>
    <hyperlink r:id="rId822" ref="C424"/>
    <hyperlink r:id="rId823" ref="A425"/>
    <hyperlink r:id="rId824" ref="C425"/>
    <hyperlink r:id="rId825" ref="A426"/>
    <hyperlink r:id="rId826" ref="C426"/>
    <hyperlink r:id="rId827" ref="A427"/>
    <hyperlink r:id="rId828" ref="C427"/>
    <hyperlink r:id="rId829" ref="A428"/>
    <hyperlink r:id="rId830" ref="C428"/>
    <hyperlink r:id="rId831" ref="A429"/>
    <hyperlink r:id="rId832" ref="C429"/>
    <hyperlink r:id="rId833" ref="A430"/>
    <hyperlink r:id="rId834" ref="C430"/>
    <hyperlink r:id="rId835" ref="A431"/>
    <hyperlink r:id="rId836" ref="C431"/>
    <hyperlink r:id="rId837" ref="A432"/>
    <hyperlink r:id="rId838" ref="C432"/>
    <hyperlink r:id="rId839" location=":~:text=Based%20in%20San%20Francisco%2C%20First,choose%20which%20sources%20to%20cite." ref="A433"/>
    <hyperlink r:id="rId840" ref="C433"/>
    <hyperlink r:id="rId841" ref="A434"/>
    <hyperlink r:id="rId842" ref="C434"/>
    <hyperlink r:id="rId843" ref="A435"/>
    <hyperlink r:id="rId844" ref="A436"/>
    <hyperlink r:id="rId845" ref="C436"/>
    <hyperlink r:id="rId846" ref="A437"/>
    <hyperlink r:id="rId847" ref="C437"/>
    <hyperlink r:id="rId848" ref="A438"/>
    <hyperlink r:id="rId849" ref="C438"/>
    <hyperlink r:id="rId850" ref="A439"/>
    <hyperlink r:id="rId851" ref="C439"/>
    <hyperlink r:id="rId852" ref="A440"/>
    <hyperlink r:id="rId853" ref="C440"/>
    <hyperlink r:id="rId854" ref="A441"/>
    <hyperlink r:id="rId855" ref="C441"/>
    <hyperlink r:id="rId856" ref="A442"/>
    <hyperlink r:id="rId857" ref="C442"/>
    <hyperlink r:id="rId858" ref="A443"/>
    <hyperlink r:id="rId859" ref="C443"/>
    <hyperlink r:id="rId860" ref="A444"/>
    <hyperlink r:id="rId861" ref="C444"/>
    <hyperlink r:id="rId862" ref="A445"/>
    <hyperlink r:id="rId863" ref="C445"/>
    <hyperlink r:id="rId864" ref="A446"/>
    <hyperlink r:id="rId865" ref="C446"/>
    <hyperlink r:id="rId866" ref="A447"/>
    <hyperlink r:id="rId867" ref="C447"/>
    <hyperlink r:id="rId868" ref="A448"/>
    <hyperlink r:id="rId869" ref="C448"/>
    <hyperlink r:id="rId870" ref="A449"/>
    <hyperlink r:id="rId871" ref="C449"/>
    <hyperlink r:id="rId872" ref="A450"/>
    <hyperlink r:id="rId873" ref="C450"/>
    <hyperlink r:id="rId874" ref="A451"/>
    <hyperlink r:id="rId875" ref="C451"/>
    <hyperlink r:id="rId876" ref="A452"/>
    <hyperlink r:id="rId877" ref="C452"/>
    <hyperlink r:id="rId878" location=":~:text=Brainlabs%20can%20be%20a%20strong,that%20experimentation%20extends%20beyond%20media." ref="A453"/>
    <hyperlink r:id="rId879" ref="C453"/>
    <hyperlink r:id="rId880" ref="A454"/>
    <hyperlink r:id="rId881" ref="C454"/>
    <hyperlink r:id="rId882" ref="A455"/>
    <hyperlink r:id="rId883" ref="C455"/>
    <hyperlink r:id="rId884" ref="A456"/>
    <hyperlink r:id="rId885" ref="C456"/>
    <hyperlink r:id="rId886" ref="A457"/>
    <hyperlink r:id="rId887" ref="C457"/>
    <hyperlink r:id="rId888" ref="A458"/>
    <hyperlink r:id="rId889" ref="C458"/>
    <hyperlink r:id="rId890" ref="A459"/>
    <hyperlink r:id="rId891" ref="C459"/>
    <hyperlink r:id="rId892" ref="A460"/>
    <hyperlink r:id="rId893" ref="C460"/>
    <hyperlink r:id="rId894" ref="A461"/>
    <hyperlink r:id="rId895" ref="C461"/>
    <hyperlink r:id="rId896" ref="A462"/>
    <hyperlink r:id="rId897" ref="C462"/>
    <hyperlink r:id="rId898" ref="A463"/>
    <hyperlink r:id="rId899" ref="C463"/>
    <hyperlink r:id="rId900" ref="A464"/>
    <hyperlink r:id="rId901" ref="C464"/>
    <hyperlink r:id="rId902" location=":~:text=Why%20Selecting%20the%20Right%20Creative%20Agency%20is,MasterRV%20Designers%3F%20Final%20Thoughts%3B%20FAQs.%20Contact%20Us" ref="A465"/>
    <hyperlink r:id="rId903" ref="C465"/>
    <hyperlink r:id="rId904" ref="A466"/>
    <hyperlink r:id="rId905" ref="C466"/>
    <hyperlink r:id="rId906" ref="A467"/>
    <hyperlink r:id="rId907" ref="C467"/>
    <hyperlink r:id="rId908" location=":~:text=Generative%20Engine%20Optimization%20(GEO)%20is%20the%20process,structured%20data%2C%20entity%20optimization%2C%20and%20digital%20PR." ref="A468"/>
    <hyperlink r:id="rId909" ref="C468"/>
    <hyperlink r:id="rId910" ref="A469"/>
    <hyperlink r:id="rId911" ref="C469"/>
    <hyperlink r:id="rId912" ref="A470"/>
    <hyperlink r:id="rId913" ref="A471"/>
    <hyperlink r:id="rId914" ref="C471"/>
    <hyperlink r:id="rId915" ref="A472"/>
    <hyperlink r:id="rId916" ref="C472"/>
    <hyperlink r:id="rId917" ref="A473"/>
    <hyperlink r:id="rId918" ref="C473"/>
    <hyperlink r:id="rId919" ref="A474"/>
    <hyperlink r:id="rId920" ref="C474"/>
    <hyperlink r:id="rId921" ref="A475"/>
    <hyperlink r:id="rId922" ref="C475"/>
    <hyperlink r:id="rId923" ref="A476"/>
    <hyperlink r:id="rId924" ref="C476"/>
    <hyperlink r:id="rId925" ref="A477"/>
    <hyperlink r:id="rId926" ref="C477"/>
    <hyperlink r:id="rId927" ref="A478"/>
    <hyperlink r:id="rId928" ref="C478"/>
    <hyperlink r:id="rId929" ref="A479"/>
    <hyperlink r:id="rId930" ref="C479"/>
    <hyperlink r:id="rId931" ref="A480"/>
    <hyperlink r:id="rId932" ref="C480"/>
    <hyperlink r:id="rId933" ref="A481"/>
    <hyperlink r:id="rId934" ref="C481"/>
    <hyperlink r:id="rId935" ref="A482"/>
    <hyperlink r:id="rId936" ref="C482"/>
    <hyperlink r:id="rId937" location=":~:text=Cyclomedia%20Technology%20Inc.%20As%20a%20global%20company,imagery%20and%20LiDAR%20from%20a%20moving%20vehicle." ref="A483"/>
    <hyperlink r:id="rId938" ref="C483"/>
    <hyperlink r:id="rId939" ref="A484"/>
    <hyperlink r:id="rId940" ref="C484"/>
    <hyperlink r:id="rId941" ref="A485"/>
    <hyperlink r:id="rId942" ref="C485"/>
    <hyperlink r:id="rId943" ref="A486"/>
    <hyperlink r:id="rId944" ref="C486"/>
    <hyperlink r:id="rId945" ref="A487"/>
    <hyperlink r:id="rId946" ref="C487"/>
    <hyperlink r:id="rId947" ref="A488"/>
    <hyperlink r:id="rId948" ref="C488"/>
    <hyperlink r:id="rId949" ref="A489"/>
    <hyperlink r:id="rId950" ref="C489"/>
    <hyperlink r:id="rId951" ref="A490"/>
    <hyperlink r:id="rId952" ref="C490"/>
    <hyperlink r:id="rId953" ref="A491"/>
    <hyperlink r:id="rId954" ref="C491"/>
    <hyperlink r:id="rId955" ref="A492"/>
    <hyperlink r:id="rId956" ref="C492"/>
    <hyperlink r:id="rId957" ref="A493"/>
    <hyperlink r:id="rId958" ref="C493"/>
    <hyperlink r:id="rId959" ref="A494"/>
    <hyperlink r:id="rId960" ref="C494"/>
    <hyperlink r:id="rId961" ref="A495"/>
    <hyperlink r:id="rId962" ref="C495"/>
    <hyperlink r:id="rId963" ref="A496"/>
    <hyperlink r:id="rId964" ref="C496"/>
    <hyperlink r:id="rId965" ref="A497"/>
    <hyperlink r:id="rId966" ref="C497"/>
    <hyperlink r:id="rId967" ref="A498"/>
    <hyperlink r:id="rId968" ref="C498"/>
    <hyperlink r:id="rId969" ref="A499"/>
    <hyperlink r:id="rId970" ref="C499"/>
    <hyperlink r:id="rId971" ref="A500"/>
    <hyperlink r:id="rId972" ref="C500"/>
    <hyperlink r:id="rId973" ref="A501"/>
    <hyperlink r:id="rId974" ref="C501"/>
    <hyperlink r:id="rId975" ref="A502"/>
    <hyperlink r:id="rId976" ref="C502"/>
    <hyperlink r:id="rId977" location=":~:text=Deep%20Customer%20Engagement%20AI%20by%20BCG%20X.,%2D%20Supply%20Chain%20AI%20by%20BCG%20X." ref="A503"/>
    <hyperlink r:id="rId978" ref="C503"/>
    <hyperlink r:id="rId979" ref="A504"/>
    <hyperlink r:id="rId980" ref="C504"/>
    <hyperlink r:id="rId981" ref="A505"/>
    <hyperlink r:id="rId982" ref="C505"/>
    <hyperlink r:id="rId983" ref="A506"/>
    <hyperlink r:id="rId984" ref="C506"/>
    <hyperlink r:id="rId985" ref="A507"/>
    <hyperlink r:id="rId986" ref="C507"/>
    <hyperlink r:id="rId987" ref="A508"/>
    <hyperlink r:id="rId988" ref="C508"/>
    <hyperlink r:id="rId989" ref="A509"/>
    <hyperlink r:id="rId990" ref="C509"/>
    <hyperlink r:id="rId991" ref="A510"/>
    <hyperlink r:id="rId992" ref="C510"/>
    <hyperlink r:id="rId993" ref="A511"/>
    <hyperlink r:id="rId994" ref="C511"/>
    <hyperlink r:id="rId995" ref="A512"/>
    <hyperlink r:id="rId996" ref="C512"/>
    <hyperlink r:id="rId997" ref="A513"/>
    <hyperlink r:id="rId998" ref="C513"/>
    <hyperlink r:id="rId999" ref="A514"/>
    <hyperlink r:id="rId1000" ref="C514"/>
    <hyperlink r:id="rId1001" ref="A515"/>
    <hyperlink r:id="rId1002" ref="C515"/>
    <hyperlink r:id="rId1003" ref="A516"/>
    <hyperlink r:id="rId1004" ref="C516"/>
    <hyperlink r:id="rId1005" ref="A517"/>
    <hyperlink r:id="rId1006" ref="C517"/>
    <hyperlink r:id="rId1007" ref="A518"/>
    <hyperlink r:id="rId1008" ref="C518"/>
    <hyperlink r:id="rId1009" ref="A519"/>
    <hyperlink r:id="rId1010" ref="C519"/>
    <hyperlink r:id="rId1011" ref="A520"/>
    <hyperlink r:id="rId1012" ref="C520"/>
    <hyperlink r:id="rId1013" ref="A521"/>
    <hyperlink r:id="rId1014" ref="C521"/>
    <hyperlink r:id="rId1015" location=":~:text=Merkle%20B2B%20Merkle%20B2B%20specializes%20in%20enterprise%2Dgrade,complex%20buying%20committees%20across%20LinkedIn%20and%20Meta." ref="A522"/>
    <hyperlink r:id="rId1016" ref="C522"/>
    <hyperlink r:id="rId1017" ref="A523"/>
    <hyperlink r:id="rId1018" ref="C523"/>
    <hyperlink r:id="rId1019" ref="A524"/>
    <hyperlink r:id="rId1020" ref="C524"/>
    <hyperlink r:id="rId1021" ref="A525"/>
    <hyperlink r:id="rId1022" ref="C525"/>
    <hyperlink r:id="rId1023" ref="A526"/>
    <hyperlink r:id="rId1024" ref="C526"/>
    <hyperlink r:id="rId1025" location=":~:text=Enterprise%20plan%3A%20Starts%20at%20%E2%82%AC3%2C300%20per%20month%2C,standardize%20incoming%20data%20into%20one%20consistent%20format." ref="A527"/>
    <hyperlink r:id="rId1026" ref="C527"/>
    <hyperlink r:id="rId1027" ref="A528"/>
    <hyperlink r:id="rId1028" ref="C528"/>
    <hyperlink r:id="rId1029" ref="A529"/>
    <hyperlink r:id="rId1030" ref="C529"/>
    <hyperlink r:id="rId1031" ref="A530"/>
    <hyperlink r:id="rId1032" ref="C530"/>
    <hyperlink r:id="rId1033" ref="A531"/>
    <hyperlink r:id="rId1034" ref="C531"/>
    <hyperlink r:id="rId1035" ref="A532"/>
    <hyperlink r:id="rId1036" ref="C532"/>
    <hyperlink r:id="rId1037" ref="A533"/>
    <hyperlink r:id="rId1038" ref="C533"/>
    <hyperlink r:id="rId1039" ref="A534"/>
    <hyperlink r:id="rId1040" ref="C534"/>
    <hyperlink r:id="rId1041" ref="A535"/>
    <hyperlink r:id="rId1042" ref="C535"/>
    <hyperlink r:id="rId1043" ref="A536"/>
    <hyperlink r:id="rId1044" ref="C536"/>
    <hyperlink r:id="rId1045" ref="A537"/>
    <hyperlink r:id="rId1046" ref="C537"/>
    <hyperlink r:id="rId1047" ref="A538"/>
    <hyperlink r:id="rId1048" ref="C538"/>
    <hyperlink r:id="rId1049" location=":~:text=Keenfolks%20describes%20itself%20as%20%22the%20first%20AI%2Dnative,The%20Drum's%20Transformation%20Agency%20of%20the%20Year." ref="A539"/>
    <hyperlink r:id="rId1050" location=":~:text=Key%20Features%20*%20Proprietary%20nova%20analytics%20platform,and%20eCommerce%20vertical%20specialization%20with%20ROAS%2Dbased%20accountability." ref="A540"/>
    <hyperlink r:id="rId1051" ref="C540"/>
    <hyperlink r:id="rId1052" ref="A541"/>
    <hyperlink r:id="rId1053" ref="C541"/>
    <hyperlink r:id="rId1054" ref="A542"/>
    <hyperlink r:id="rId1055" ref="C542"/>
    <hyperlink r:id="rId1056" ref="A543"/>
    <hyperlink r:id="rId1057" ref="C543"/>
    <hyperlink r:id="rId1058" ref="A544"/>
    <hyperlink r:id="rId1059" ref="C544"/>
    <hyperlink r:id="rId1060" ref="A545"/>
    <hyperlink r:id="rId1061" ref="C545"/>
    <hyperlink r:id="rId1062" ref="A546"/>
    <hyperlink r:id="rId1063" ref="C546"/>
    <hyperlink r:id="rId1064" ref="A547"/>
    <hyperlink r:id="rId1065" ref="C547"/>
    <hyperlink r:id="rId1066" ref="A548"/>
    <hyperlink r:id="rId1067" ref="C548"/>
    <hyperlink r:id="rId1068" ref="A549"/>
    <hyperlink r:id="rId1069" ref="C549"/>
    <hyperlink r:id="rId1070" ref="A550"/>
    <hyperlink r:id="rId1071" ref="A551"/>
    <hyperlink r:id="rId1072" ref="C551"/>
    <hyperlink r:id="rId1073" ref="A552"/>
    <hyperlink r:id="rId1074" ref="C552"/>
    <hyperlink r:id="rId1075" ref="A553"/>
    <hyperlink r:id="rId1076" ref="C553"/>
    <hyperlink r:id="rId1077" ref="A554"/>
    <hyperlink r:id="rId1078" ref="C554"/>
    <hyperlink r:id="rId1079" ref="A555"/>
    <hyperlink r:id="rId1080" ref="C555"/>
    <hyperlink r:id="rId1081" ref="A556"/>
    <hyperlink r:id="rId1082" ref="C556"/>
    <hyperlink r:id="rId1083" ref="A557"/>
    <hyperlink r:id="rId1084" ref="C557"/>
    <hyperlink r:id="rId1085" ref="A558"/>
    <hyperlink r:id="rId1086" ref="C558"/>
    <hyperlink r:id="rId1087" ref="A559"/>
    <hyperlink r:id="rId1088" ref="C559"/>
    <hyperlink r:id="rId1089" ref="A560"/>
    <hyperlink r:id="rId1090" ref="C560"/>
    <hyperlink r:id="rId1091" location=":~:text=Best%20For%3A%20Mid%2Dmarket%20to%20enterprise%20companies%20focused,clients%20a%20concrete%20baseline%20for%20evaluating%20performance." ref="A561"/>
    <hyperlink r:id="rId1092" ref="C561"/>
    <hyperlink r:id="rId1093" ref="A562"/>
    <hyperlink r:id="rId1094" ref="C562"/>
    <hyperlink r:id="rId1095" location=":~:text=Core%20services%3A%20%2D%20Brand%20strategy%20%26%20positioning.,Ogilvy%2C%20with%20today's%20smartest%20data%20and%20technology." ref="A563"/>
    <hyperlink r:id="rId1096" ref="C563"/>
    <hyperlink r:id="rId1097" ref="A564"/>
    <hyperlink r:id="rId1098" ref="A565"/>
    <hyperlink r:id="rId1099" ref="C565"/>
    <hyperlink r:id="rId1100" ref="A566"/>
    <hyperlink r:id="rId1101" ref="C566"/>
    <hyperlink r:id="rId1102" ref="A567"/>
    <hyperlink r:id="rId1103" ref="C567"/>
    <hyperlink r:id="rId1104" location=":~:text=Their%20capabilities%20include%20advanced%20analytics%2C%20marketing%20automation,Columbia%20(Maryland)%2C%20New%20York%2C%20London%2C%20Global%20offices." ref="A568"/>
    <hyperlink r:id="rId1105" ref="C568"/>
    <hyperlink r:id="rId1106" ref="A569"/>
    <hyperlink r:id="rId1107" ref="C569"/>
    <hyperlink r:id="rId1108" ref="A570"/>
    <hyperlink r:id="rId1109" ref="C570"/>
    <hyperlink r:id="rId1110" ref="A571"/>
    <hyperlink r:id="rId1111" ref="C571"/>
    <hyperlink r:id="rId1112" ref="A572"/>
    <hyperlink r:id="rId1113" ref="C572"/>
    <hyperlink r:id="rId1114" ref="A573"/>
    <hyperlink r:id="rId1115" ref="C573"/>
    <hyperlink r:id="rId1116" ref="A574"/>
    <hyperlink r:id="rId1117" ref="C574"/>
    <hyperlink r:id="rId1118" ref="A575"/>
    <hyperlink r:id="rId1119" ref="C575"/>
    <hyperlink r:id="rId1120" ref="A576"/>
    <hyperlink r:id="rId1121" ref="C576"/>
    <hyperlink r:id="rId1122" ref="A577"/>
    <hyperlink r:id="rId1123" ref="C577"/>
    <hyperlink r:id="rId1124" ref="A578"/>
    <hyperlink r:id="rId1125" ref="C578"/>
    <hyperlink r:id="rId1126" ref="A579"/>
    <hyperlink r:id="rId1127" ref="C579"/>
    <hyperlink r:id="rId1128" ref="A580"/>
    <hyperlink r:id="rId1129" ref="C580"/>
    <hyperlink r:id="rId1130" ref="A581"/>
    <hyperlink r:id="rId1131" ref="C581"/>
    <hyperlink r:id="rId1132" ref="A582"/>
    <hyperlink r:id="rId1133" ref="C582"/>
    <hyperlink r:id="rId1134" ref="A583"/>
    <hyperlink r:id="rId1135" ref="C583"/>
    <hyperlink r:id="rId1136" ref="A584"/>
    <hyperlink r:id="rId1137" ref="C584"/>
    <hyperlink r:id="rId1138" ref="A585"/>
    <hyperlink r:id="rId1139" ref="C585"/>
    <hyperlink r:id="rId1140" ref="A586"/>
    <hyperlink r:id="rId1141" ref="C586"/>
    <hyperlink r:id="rId1142" ref="A587"/>
    <hyperlink r:id="rId1143" ref="C587"/>
    <hyperlink r:id="rId1144" ref="A588"/>
    <hyperlink r:id="rId1145" ref="C588"/>
    <hyperlink r:id="rId1146" ref="A589"/>
    <hyperlink r:id="rId1147" ref="C589"/>
    <hyperlink r:id="rId1148" ref="A590"/>
    <hyperlink r:id="rId1149" ref="C590"/>
    <hyperlink r:id="rId1150" ref="A591"/>
    <hyperlink r:id="rId1151" ref="C591"/>
    <hyperlink r:id="rId1152" location=":~:text=1.,full%20customer%20journey%20in%20real" ref="A592"/>
    <hyperlink r:id="rId1153" ref="C592"/>
    <hyperlink r:id="rId1154" ref="A593"/>
    <hyperlink r:id="rId1155" ref="C593"/>
    <hyperlink r:id="rId1156" location=":~:text=Best%20overall%3A%20Cool%20Nerds%20Marketing.%20Best%20for,and%20Viral%20Marketing%3A%20Crispin%20Porter%20%2B%20Bogusky." ref="A594"/>
    <hyperlink r:id="rId1157" ref="C594"/>
    <hyperlink r:id="rId1158" ref="A595"/>
    <hyperlink r:id="rId1159" ref="C595"/>
    <hyperlink r:id="rId1160" location=":~:text=Check%3A%20Confirm%20the%20current%20scope,paired%20with%20real%20build%20muscle." ref="A596"/>
    <hyperlink r:id="rId1161" ref="C596"/>
    <hyperlink r:id="rId1162" ref="A597"/>
    <hyperlink r:id="rId1163" ref="C597"/>
    <hyperlink r:id="rId1164" ref="A598"/>
    <hyperlink r:id="rId1165" ref="C598"/>
    <hyperlink r:id="rId1166" ref="A599"/>
    <hyperlink r:id="rId1167" ref="C599"/>
    <hyperlink r:id="rId1168" ref="A600"/>
    <hyperlink r:id="rId1169" ref="C600"/>
    <hyperlink r:id="rId1170" ref="A601"/>
    <hyperlink r:id="rId1171" ref="C601"/>
    <hyperlink r:id="rId1172" ref="A602"/>
    <hyperlink r:id="rId1173" ref="A603"/>
    <hyperlink r:id="rId1174" ref="C603"/>
    <hyperlink r:id="rId1175" ref="A604"/>
    <hyperlink r:id="rId1176" ref="C604"/>
    <hyperlink r:id="rId1177" ref="A605"/>
    <hyperlink r:id="rId1178" ref="C605"/>
    <hyperlink r:id="rId1179" ref="A606"/>
    <hyperlink r:id="rId1180" ref="C606"/>
    <hyperlink r:id="rId1181" ref="A607"/>
    <hyperlink r:id="rId1182" ref="C607"/>
    <hyperlink r:id="rId1183" location=":~:text=Senior%20operators%20run%20creation%2C%20capture%2C%20ABM%2C%20and,SaaS%20companies)%2C%20with%20no%20junior%20account%2Dmanager%20handoffs." ref="A608"/>
    <hyperlink r:id="rId1184" ref="C608"/>
    <hyperlink r:id="rId1185" ref="A609"/>
    <hyperlink r:id="rId1186" ref="C609"/>
    <hyperlink r:id="rId1187" ref="A610"/>
    <hyperlink r:id="rId1188" ref="C610"/>
    <hyperlink r:id="rId1189" ref="A611"/>
    <hyperlink r:id="rId1190" ref="C611"/>
    <hyperlink r:id="rId1191" ref="A612"/>
    <hyperlink r:id="rId1192" ref="A613"/>
    <hyperlink r:id="rId1193" ref="C613"/>
    <hyperlink r:id="rId1194" ref="A614"/>
    <hyperlink r:id="rId1195" ref="C614"/>
    <hyperlink r:id="rId1196" ref="A615"/>
    <hyperlink r:id="rId1197" ref="A616"/>
    <hyperlink r:id="rId1198" ref="C616"/>
    <hyperlink r:id="rId1199" ref="A617"/>
    <hyperlink r:id="rId1200" ref="C617"/>
    <hyperlink r:id="rId1201" ref="A618"/>
    <hyperlink r:id="rId1202" ref="C618"/>
    <hyperlink r:id="rId1203" ref="A619"/>
    <hyperlink r:id="rId1204" ref="C619"/>
    <hyperlink r:id="rId1205" ref="A620"/>
    <hyperlink r:id="rId1206" ref="C620"/>
    <hyperlink r:id="rId1207" ref="A621"/>
    <hyperlink r:id="rId1208" ref="C621"/>
    <hyperlink r:id="rId1209" ref="A622"/>
    <hyperlink r:id="rId1210" ref="A623"/>
    <hyperlink r:id="rId1211" ref="C623"/>
    <hyperlink r:id="rId1212" ref="A624"/>
    <hyperlink r:id="rId1213" ref="C624"/>
    <hyperlink r:id="rId1214" ref="A625"/>
    <hyperlink r:id="rId1215" ref="C625"/>
    <hyperlink r:id="rId1216" ref="A626"/>
    <hyperlink r:id="rId1217" ref="C626"/>
    <hyperlink r:id="rId1218" ref="A627"/>
    <hyperlink r:id="rId1219" ref="C627"/>
    <hyperlink r:id="rId1220" ref="A628"/>
    <hyperlink r:id="rId1221" ref="A629"/>
    <hyperlink r:id="rId1222" ref="C629"/>
    <hyperlink r:id="rId1223" ref="A630"/>
    <hyperlink r:id="rId1224" ref="C630"/>
    <hyperlink r:id="rId1225" ref="A631"/>
    <hyperlink r:id="rId1226" ref="A632"/>
    <hyperlink r:id="rId1227" ref="C632"/>
    <hyperlink r:id="rId1228" ref="A633"/>
    <hyperlink r:id="rId1229" ref="C633"/>
    <hyperlink r:id="rId1230" ref="A634"/>
    <hyperlink r:id="rId1231" ref="C634"/>
    <hyperlink r:id="rId1232" ref="A635"/>
    <hyperlink r:id="rId1233" ref="C635"/>
    <hyperlink r:id="rId1234" ref="A636"/>
    <hyperlink r:id="rId1235" ref="C636"/>
    <hyperlink r:id="rId1236" ref="A637"/>
    <hyperlink r:id="rId1237" ref="C637"/>
    <hyperlink r:id="rId1238" ref="A638"/>
    <hyperlink r:id="rId1239" ref="C638"/>
    <hyperlink r:id="rId1240" ref="A639"/>
    <hyperlink r:id="rId1241" ref="A640"/>
    <hyperlink r:id="rId1242" ref="C640"/>
    <hyperlink r:id="rId1243" ref="A641"/>
    <hyperlink r:id="rId1244" ref="C641"/>
    <hyperlink r:id="rId1245" location=":~:text=The%20B2B%20AI%20search%20specialist%20connecting%20AI,earliest%20dedicated%20AI%20Search%20and%20Visibility%20programs." ref="A642"/>
    <hyperlink r:id="rId1246" ref="C642"/>
    <hyperlink r:id="rId1247" ref="A643"/>
    <hyperlink r:id="rId1248" ref="C643"/>
    <hyperlink r:id="rId1249" ref="A644"/>
    <hyperlink r:id="rId1250" ref="C644"/>
    <hyperlink r:id="rId1251" ref="A645"/>
    <hyperlink r:id="rId1252" ref="C645"/>
    <hyperlink r:id="rId1253" location=":~:text=Rethink%20the%20future%20of%20marketing%20with%20modular,Renown%20Health.%20Customer%20Story.%20Healthcare.%20Healthcare%20provider." ref="A646"/>
    <hyperlink r:id="rId1254" ref="C646"/>
    <hyperlink r:id="rId1255" ref="A647"/>
    <hyperlink r:id="rId1256" ref="C647"/>
    <hyperlink r:id="rId1257" ref="A648"/>
    <hyperlink r:id="rId1258" ref="C648"/>
    <hyperlink r:id="rId1259" ref="A649"/>
    <hyperlink r:id="rId1260" ref="C649"/>
    <hyperlink r:id="rId1261" ref="A650"/>
    <hyperlink r:id="rId1262" ref="C650"/>
    <hyperlink r:id="rId1263" ref="A651"/>
    <hyperlink r:id="rId1264" ref="C651"/>
    <hyperlink r:id="rId1265" ref="A652"/>
    <hyperlink r:id="rId1266" ref="C652"/>
    <hyperlink r:id="rId1267" ref="A653"/>
    <hyperlink r:id="rId1268" ref="C653"/>
    <hyperlink r:id="rId1269" ref="A654"/>
    <hyperlink r:id="rId1270" ref="C654"/>
    <hyperlink r:id="rId1271" ref="A655"/>
    <hyperlink r:id="rId1272" ref="C655"/>
    <hyperlink r:id="rId1273" ref="A656"/>
    <hyperlink r:id="rId1274" ref="C656"/>
    <hyperlink r:id="rId1275" ref="A657"/>
    <hyperlink r:id="rId1276" ref="C657"/>
    <hyperlink r:id="rId1277" location=":~:text=thesocialshepherd.com.%20Features.%20Paid%20Social%20(Meta%2C%20TikTok%2C%20Pinterest).,complex%20B2B%20enterprise%20lead%20gen%2C%20look%20elsewhere." ref="A658"/>
    <hyperlink r:id="rId1278" ref="C658"/>
    <hyperlink r:id="rId1279" location=":~:text=9%20%7C%20360i%20%7C%20New%20York%2C%20USA,Creative%20innovation%20%7C%20Advanced%20AI%20brand%20systems" ref="A659"/>
    <hyperlink r:id="rId1280" ref="C659"/>
    <hyperlink r:id="rId1281" ref="A660"/>
    <hyperlink r:id="rId1282" ref="C660"/>
    <hyperlink r:id="rId1283" ref="A661"/>
    <hyperlink r:id="rId1284" ref="C661"/>
    <hyperlink r:id="rId1285" ref="A662"/>
    <hyperlink r:id="rId1286" ref="C662"/>
    <hyperlink r:id="rId1287" location=":~:text=Industries%20Served%3A%20Retail%2C%20Financial%20Services%2C%20Healthcare%2C%20Travel,and%20personalization%20at%20scale.%20%2D%203.%20Jellyfish." ref="A663"/>
    <hyperlink r:id="rId1288" ref="C663"/>
    <hyperlink r:id="rId1289" ref="A664"/>
    <hyperlink r:id="rId1290" ref="C664"/>
    <hyperlink r:id="rId1291" location=":~:text=MullenLowe,Zulu%20Alpha" ref="A665"/>
    <hyperlink r:id="rId1292" ref="C665"/>
    <hyperlink r:id="rId1293" ref="A666"/>
    <hyperlink r:id="rId1294" ref="C666"/>
    <hyperlink r:id="rId1295" ref="A667"/>
    <hyperlink r:id="rId1296" ref="C667"/>
    <hyperlink r:id="rId1297" ref="A668"/>
    <hyperlink r:id="rId1298" ref="C668"/>
    <hyperlink r:id="rId1299" ref="A669"/>
    <hyperlink r:id="rId1300" ref="C669"/>
    <hyperlink r:id="rId1301" ref="A670"/>
    <hyperlink r:id="rId1302" ref="C670"/>
    <hyperlink r:id="rId1303" ref="A671"/>
    <hyperlink r:id="rId1304" ref="C671"/>
    <hyperlink r:id="rId1305" ref="A672"/>
    <hyperlink r:id="rId1306" ref="C672"/>
    <hyperlink r:id="rId1307" ref="A673"/>
    <hyperlink r:id="rId1308" ref="C673"/>
    <hyperlink r:id="rId1309" ref="A674"/>
    <hyperlink r:id="rId1310" ref="C674"/>
    <hyperlink r:id="rId1311" ref="A675"/>
    <hyperlink r:id="rId1312" ref="A676"/>
    <hyperlink r:id="rId1313" ref="C676"/>
    <hyperlink r:id="rId1314" ref="A677"/>
    <hyperlink r:id="rId1315" ref="C677"/>
    <hyperlink r:id="rId1316" ref="A678"/>
    <hyperlink r:id="rId1317" ref="C678"/>
    <hyperlink r:id="rId1318" ref="A679"/>
    <hyperlink r:id="rId1319" ref="C679"/>
    <hyperlink r:id="rId1320" ref="A680"/>
    <hyperlink r:id="rId1321" ref="C680"/>
    <hyperlink r:id="rId1322" ref="A681"/>
    <hyperlink r:id="rId1323" ref="C681"/>
    <hyperlink r:id="rId1324" ref="A682"/>
    <hyperlink r:id="rId1325" ref="C682"/>
    <hyperlink r:id="rId1326" location=":~:text=Digital%20Dot.%20Connecting%20the%20Dots%20to%20Your,driving%20organic%20traffic%20and%20generating%20quality%20leads." ref="A683"/>
    <hyperlink r:id="rId1327" ref="C683"/>
    <hyperlink r:id="rId1328" ref="A684"/>
    <hyperlink r:id="rId1329" ref="C684"/>
    <hyperlink r:id="rId1330" ref="A685"/>
    <hyperlink r:id="rId1331" ref="C685"/>
    <hyperlink r:id="rId1332" ref="A686"/>
    <hyperlink r:id="rId1333" ref="C686"/>
    <hyperlink r:id="rId1334" location=":~:text=Tinuiti%20is%20at%20the%20forefront,Core%20Features%3A" ref="A687"/>
    <hyperlink r:id="rId1335" ref="C687"/>
    <hyperlink r:id="rId1336" ref="A688"/>
    <hyperlink r:id="rId1337" ref="C688"/>
    <hyperlink r:id="rId1338" ref="A689"/>
    <hyperlink r:id="rId1339" ref="C689"/>
    <hyperlink r:id="rId1340" ref="A690"/>
    <hyperlink r:id="rId1341" ref="C690"/>
    <hyperlink r:id="rId1342" ref="A691"/>
    <hyperlink r:id="rId1343" ref="C691"/>
    <hyperlink r:id="rId1344" ref="A692"/>
    <hyperlink r:id="rId1345" ref="C692"/>
    <hyperlink r:id="rId1346" ref="A693"/>
    <hyperlink r:id="rId1347" ref="C693"/>
    <hyperlink r:id="rId1348" ref="A694"/>
    <hyperlink r:id="rId1349" ref="C694"/>
    <hyperlink r:id="rId1350" ref="A695"/>
    <hyperlink r:id="rId1351" ref="C695"/>
    <hyperlink r:id="rId1352" ref="A696"/>
    <hyperlink r:id="rId1353" ref="C696"/>
    <hyperlink r:id="rId1354" ref="A697"/>
    <hyperlink r:id="rId1355" ref="C697"/>
    <hyperlink r:id="rId1356" ref="A698"/>
    <hyperlink r:id="rId1357" ref="C698"/>
    <hyperlink r:id="rId1358" ref="A699"/>
    <hyperlink r:id="rId1359" ref="A700"/>
    <hyperlink r:id="rId1360" ref="A701"/>
    <hyperlink r:id="rId1361" ref="C701"/>
    <hyperlink r:id="rId1362" ref="A702"/>
    <hyperlink r:id="rId1363" ref="C702"/>
    <hyperlink r:id="rId1364" ref="A703"/>
    <hyperlink r:id="rId1365" ref="C703"/>
    <hyperlink r:id="rId1366" ref="A704"/>
    <hyperlink r:id="rId1367" ref="C704"/>
    <hyperlink r:id="rId1368" ref="A705"/>
    <hyperlink r:id="rId1369" ref="C705"/>
    <hyperlink r:id="rId1370" ref="A706"/>
    <hyperlink r:id="rId1371" ref="C706"/>
    <hyperlink r:id="rId1372" ref="A707"/>
    <hyperlink r:id="rId1373" ref="C707"/>
    <hyperlink r:id="rId1374" ref="A708"/>
    <hyperlink r:id="rId1375" ref="C708"/>
    <hyperlink r:id="rId1376" ref="A709"/>
    <hyperlink r:id="rId1377" ref="C709"/>
    <hyperlink r:id="rId1378" ref="A710"/>
    <hyperlink r:id="rId1379" ref="C710"/>
    <hyperlink r:id="rId1380" ref="A711"/>
    <hyperlink r:id="rId1381" ref="C711"/>
    <hyperlink r:id="rId1382" ref="A712"/>
    <hyperlink r:id="rId1383" ref="C712"/>
    <hyperlink r:id="rId1384" ref="A713"/>
    <hyperlink r:id="rId1385" ref="C713"/>
    <hyperlink r:id="rId1386" ref="A714"/>
    <hyperlink r:id="rId1387" ref="C714"/>
    <hyperlink r:id="rId1388" ref="A715"/>
    <hyperlink r:id="rId1389" ref="C715"/>
    <hyperlink r:id="rId1390" ref="A716"/>
    <hyperlink r:id="rId1391" ref="C716"/>
    <hyperlink r:id="rId1392" ref="A717"/>
    <hyperlink r:id="rId1393" ref="C717"/>
    <hyperlink r:id="rId1394" ref="A718"/>
    <hyperlink r:id="rId1395" ref="C718"/>
    <hyperlink r:id="rId1396" ref="A719"/>
    <hyperlink r:id="rId1397" ref="C719"/>
    <hyperlink r:id="rId1398" ref="A720"/>
    <hyperlink r:id="rId1399" ref="C720"/>
    <hyperlink r:id="rId1400" ref="A721"/>
    <hyperlink r:id="rId1401" ref="C721"/>
    <hyperlink r:id="rId1402" ref="A722"/>
    <hyperlink r:id="rId1403" ref="C722"/>
    <hyperlink r:id="rId1404" ref="A723"/>
    <hyperlink r:id="rId1405" ref="C723"/>
    <hyperlink r:id="rId1406" ref="A724"/>
    <hyperlink r:id="rId1407" ref="C724"/>
    <hyperlink r:id="rId1408" ref="A725"/>
    <hyperlink r:id="rId1409" ref="C725"/>
    <hyperlink r:id="rId1410" ref="A726"/>
    <hyperlink r:id="rId1411" ref="C726"/>
    <hyperlink r:id="rId1412" ref="A727"/>
    <hyperlink r:id="rId1413" ref="C727"/>
    <hyperlink r:id="rId1414" ref="A728"/>
    <hyperlink r:id="rId1415" ref="C728"/>
    <hyperlink r:id="rId1416" ref="A729"/>
    <hyperlink r:id="rId1417" ref="A730"/>
    <hyperlink r:id="rId1418" ref="C730"/>
    <hyperlink r:id="rId1419" ref="A731"/>
    <hyperlink r:id="rId1420" ref="C731"/>
    <hyperlink r:id="rId1421" ref="A732"/>
    <hyperlink r:id="rId1422" ref="C732"/>
    <hyperlink r:id="rId1423" ref="A733"/>
    <hyperlink r:id="rId1424" ref="C733"/>
    <hyperlink r:id="rId1425" ref="A734"/>
    <hyperlink r:id="rId1426" ref="C734"/>
    <hyperlink r:id="rId1427" ref="A735"/>
    <hyperlink r:id="rId1428" ref="C735"/>
    <hyperlink r:id="rId1429" ref="A736"/>
    <hyperlink r:id="rId1430" ref="C736"/>
    <hyperlink r:id="rId1431" ref="A737"/>
    <hyperlink r:id="rId1432" ref="C737"/>
    <hyperlink r:id="rId1433" ref="A738"/>
    <hyperlink r:id="rId1434" ref="C738"/>
    <hyperlink r:id="rId1435" ref="A739"/>
    <hyperlink r:id="rId1436" ref="C739"/>
    <hyperlink r:id="rId1437" ref="A740"/>
    <hyperlink r:id="rId1438" ref="C740"/>
    <hyperlink r:id="rId1439" ref="A741"/>
    <hyperlink r:id="rId1440" ref="C741"/>
    <hyperlink r:id="rId1441" ref="A742"/>
    <hyperlink r:id="rId1442" ref="C742"/>
    <hyperlink r:id="rId1443" ref="A743"/>
    <hyperlink r:id="rId1444" ref="A744"/>
    <hyperlink r:id="rId1445" ref="C744"/>
    <hyperlink r:id="rId1446" ref="A745"/>
    <hyperlink r:id="rId1447" ref="C745"/>
    <hyperlink r:id="rId1448" location=":~:text=For%20any%20company%20optimizing%20toward%20LTV%3ACAC%20%E2%80%94,%3D%20Total%20media%20spend%20%C3%B7%20Incremental%20conversions." ref="A746"/>
    <hyperlink r:id="rId1449" ref="C746"/>
    <hyperlink r:id="rId1450" ref="A747"/>
    <hyperlink r:id="rId1451" ref="A748"/>
    <hyperlink r:id="rId1452" ref="A749"/>
    <hyperlink r:id="rId1453" ref="C749"/>
    <hyperlink r:id="rId1454" ref="A750"/>
    <hyperlink r:id="rId1455" ref="C750"/>
    <hyperlink r:id="rId1456" ref="A751"/>
    <hyperlink r:id="rId1457" ref="C751"/>
    <hyperlink r:id="rId1458" location=":~:text=Tech%20Maven%20Geospatial%20stands%20at%20the%20forefront,of%20spatial%20data%20processing%20and%20conversion%20services." ref="A752"/>
    <hyperlink r:id="rId1459" ref="C752"/>
    <hyperlink r:id="rId1460" ref="A753"/>
    <hyperlink r:id="rId1461" ref="C753"/>
    <hyperlink r:id="rId1462" ref="A754"/>
    <hyperlink r:id="rId1463" ref="C754"/>
    <hyperlink r:id="rId1464" ref="A755"/>
    <hyperlink r:id="rId1465" ref="C755"/>
    <hyperlink r:id="rId1466" location=":~:text=8.%20Monsoon%20Agency.%20This%20enterprise%20digital%20marketing,seo%20marketing%20company%20and%20strategic%20growth%20partner." ref="A756"/>
    <hyperlink r:id="rId1467" ref="A757"/>
    <hyperlink r:id="rId1468" ref="C757"/>
    <hyperlink r:id="rId1469" ref="A758"/>
    <hyperlink r:id="rId1470" ref="C758"/>
    <hyperlink r:id="rId1471" location=":~:text=Demandbase%20is%20a%20B2B%20advertising%20platform%20with,purchase%20interest%20rather%20than%20broad%20demographic%20segments." ref="A759"/>
    <hyperlink r:id="rId1472" ref="C759"/>
    <hyperlink r:id="rId1473" ref="A760"/>
    <hyperlink r:id="rId1474" ref="C760"/>
    <hyperlink r:id="rId1475" ref="A761"/>
    <hyperlink r:id="rId1476" ref="C761"/>
    <hyperlink r:id="rId1477" ref="A762"/>
    <hyperlink r:id="rId1478" ref="C762"/>
    <hyperlink r:id="rId1479" location=":~:text=Hey%20Digital%20is%20a%20B2B%20SaaS%20performance,funnel.%20How%20Hey%20Digital%20approaches%20paid%20social." ref="A763"/>
    <hyperlink r:id="rId1480" ref="C763"/>
    <hyperlink r:id="rId1481" ref="A764"/>
    <hyperlink r:id="rId1482" ref="C764"/>
    <hyperlink r:id="rId1483" ref="A765"/>
    <hyperlink r:id="rId1484" ref="C765"/>
    <hyperlink r:id="rId1485" ref="A766"/>
    <hyperlink r:id="rId1486" ref="C766"/>
    <hyperlink r:id="rId1487" location=":~:text=After%20careful%20search%20and%20analysis,York%2C%20NY%2010004%2C%20United%20States" ref="A767"/>
    <hyperlink r:id="rId1488" ref="A768"/>
    <hyperlink r:id="rId1489" ref="C768"/>
    <hyperlink r:id="rId1490" ref="A769"/>
    <hyperlink r:id="rId1491" ref="C769"/>
    <hyperlink r:id="rId1492" location=":~:text=Slalom%20is%20a%20modern%20consulting,clients%20as%20AI%20systems%20evolve." ref="A770"/>
    <hyperlink r:id="rId1493" ref="C770"/>
    <hyperlink r:id="rId1494" location=":~:text=InData%20Labs%20occupies%20a%20distinct%20position%20in,data%20environment%2C%20business%20model%2C%20and%20growth%20objectives." ref="A771"/>
    <hyperlink r:id="rId1495" ref="C771"/>
    <hyperlink r:id="rId1496" ref="A772"/>
    <hyperlink r:id="rId1497" ref="C772"/>
    <hyperlink r:id="rId1498" ref="A773"/>
    <hyperlink r:id="rId1499" ref="C773"/>
    <hyperlink r:id="rId1500" ref="A774"/>
    <hyperlink r:id="rId1501" ref="C774"/>
    <hyperlink r:id="rId1502" ref="A775"/>
    <hyperlink r:id="rId1503" ref="C775"/>
    <hyperlink r:id="rId1504" ref="A776"/>
    <hyperlink r:id="rId1505" ref="C776"/>
    <hyperlink r:id="rId1506" ref="A777"/>
    <hyperlink r:id="rId1507" ref="C777"/>
    <hyperlink r:id="rId1508" ref="A778"/>
    <hyperlink r:id="rId1509" ref="C778"/>
    <hyperlink r:id="rId1510" location=":~:text=Different%20platforms%20approach%20calibration%20differently,making%20the%20model's%20confidence%20visible." ref="A779"/>
    <hyperlink r:id="rId1511" ref="C779"/>
    <hyperlink r:id="rId1512" ref="A780"/>
    <hyperlink r:id="rId1513" ref="C780"/>
    <hyperlink r:id="rId1514" ref="A781"/>
    <hyperlink r:id="rId1515" ref="C781"/>
    <hyperlink r:id="rId1516" ref="A782"/>
    <hyperlink r:id="rId1517" ref="C782"/>
    <hyperlink r:id="rId1518" ref="A783"/>
    <hyperlink r:id="rId1519" ref="C783"/>
    <hyperlink r:id="rId1520" ref="A784"/>
    <hyperlink r:id="rId1521" ref="C784"/>
    <hyperlink r:id="rId1522" ref="A785"/>
    <hyperlink r:id="rId1523" ref="C785"/>
    <hyperlink r:id="rId1524" ref="A786"/>
    <hyperlink r:id="rId1525" ref="C786"/>
    <hyperlink r:id="rId1526" ref="A787"/>
    <hyperlink r:id="rId1527" ref="C787"/>
    <hyperlink r:id="rId1528" ref="A788"/>
    <hyperlink r:id="rId1529" ref="C788"/>
    <hyperlink r:id="rId1530" ref="A789"/>
    <hyperlink r:id="rId1531" ref="C789"/>
    <hyperlink r:id="rId1532" ref="A790"/>
    <hyperlink r:id="rId1533" ref="C790"/>
    <hyperlink r:id="rId1534" ref="A791"/>
    <hyperlink r:id="rId1535" ref="C791"/>
    <hyperlink r:id="rId1536" ref="A792"/>
    <hyperlink r:id="rId1537" ref="C792"/>
    <hyperlink r:id="rId1538" ref="A793"/>
    <hyperlink r:id="rId1539" ref="C793"/>
    <hyperlink r:id="rId1540" ref="A794"/>
    <hyperlink r:id="rId1541" ref="C794"/>
    <hyperlink r:id="rId1542" ref="A795"/>
    <hyperlink r:id="rId1543" ref="C795"/>
    <hyperlink r:id="rId1544" ref="A796"/>
    <hyperlink r:id="rId1545" ref="C796"/>
    <hyperlink r:id="rId1546" ref="A797"/>
    <hyperlink r:id="rId1547" ref="C797"/>
    <hyperlink r:id="rId1548" location=":~:text=Intero%20Digital%20offers%20a%20full%20suite%20of,always%20aligned%20with%20their%20lead%20generation%20objectives." ref="A798"/>
    <hyperlink r:id="rId1549" ref="C798"/>
    <hyperlink r:id="rId1550" ref="A799"/>
    <hyperlink r:id="rId1551" ref="A800"/>
    <hyperlink r:id="rId1552" ref="A801"/>
    <hyperlink r:id="rId1553" ref="A802"/>
    <hyperlink r:id="rId1554" ref="C802"/>
    <hyperlink r:id="rId1555" ref="A803"/>
    <hyperlink r:id="rId1556" ref="C803"/>
    <hyperlink r:id="rId1557" ref="A804"/>
    <hyperlink r:id="rId1558" ref="C804"/>
    <hyperlink r:id="rId1559" ref="A805"/>
    <hyperlink r:id="rId1560" ref="C805"/>
    <hyperlink r:id="rId1561" ref="A806"/>
    <hyperlink r:id="rId1562" ref="C806"/>
    <hyperlink r:id="rId1563" location=":~:text=NGA%20enables%20the%20U.S.%20intelligence%20community%20and,in%20St.%20Louis%2C%20Missouri%20and%20Arnold%2C%20Missouri." ref="A807"/>
    <hyperlink r:id="rId1564" ref="C807"/>
    <hyperlink r:id="rId1565" ref="A808"/>
    <hyperlink r:id="rId1566" ref="C808"/>
    <hyperlink r:id="rId1567" ref="A809"/>
    <hyperlink r:id="rId1568" ref="C809"/>
    <hyperlink r:id="rId1569" ref="A810"/>
    <hyperlink r:id="rId1570" ref="C810"/>
    <hyperlink r:id="rId1571" ref="A811"/>
    <hyperlink r:id="rId1572" ref="C811"/>
    <hyperlink r:id="rId1573" ref="A812"/>
    <hyperlink r:id="rId1574" ref="C812"/>
    <hyperlink r:id="rId1575" ref="A813"/>
    <hyperlink r:id="rId1576" ref="C813"/>
    <hyperlink r:id="rId1577" ref="A814"/>
    <hyperlink r:id="rId1578" ref="C814"/>
    <hyperlink r:id="rId1579" location=":~:text=The%20strategy%20includes%20digital%20PR,designed%20to%20increase%20citation%20probability." ref="A815"/>
    <hyperlink r:id="rId1580" ref="C815"/>
    <hyperlink r:id="rId1581" ref="A816"/>
    <hyperlink r:id="rId1582" ref="C816"/>
    <hyperlink r:id="rId1583" ref="A817"/>
    <hyperlink r:id="rId1584" ref="C817"/>
    <hyperlink r:id="rId1585" ref="A818"/>
    <hyperlink r:id="rId1586" ref="C818"/>
    <hyperlink r:id="rId1587" ref="A819"/>
    <hyperlink r:id="rId1588" ref="C819"/>
    <hyperlink r:id="rId1589" ref="A820"/>
    <hyperlink r:id="rId1590" ref="C820"/>
    <hyperlink r:id="rId1591" ref="A821"/>
    <hyperlink r:id="rId1592" ref="C821"/>
    <hyperlink r:id="rId1593" ref="A822"/>
    <hyperlink r:id="rId1594" ref="C822"/>
    <hyperlink r:id="rId1595" ref="A823"/>
    <hyperlink r:id="rId1596" ref="C823"/>
    <hyperlink r:id="rId1597" ref="A824"/>
    <hyperlink r:id="rId1598" ref="C824"/>
    <hyperlink r:id="rId1599" ref="A825"/>
    <hyperlink r:id="rId1600" ref="C825"/>
    <hyperlink r:id="rId1601" ref="A826"/>
    <hyperlink r:id="rId1602" ref="C826"/>
    <hyperlink r:id="rId1603" ref="A827"/>
    <hyperlink r:id="rId1604" ref="C827"/>
    <hyperlink r:id="rId1605" ref="A828"/>
    <hyperlink r:id="rId1606" ref="C828"/>
    <hyperlink r:id="rId1607" ref="A829"/>
    <hyperlink r:id="rId1608" ref="C829"/>
    <hyperlink r:id="rId1609" ref="A830"/>
    <hyperlink r:id="rId1610" ref="A831"/>
    <hyperlink r:id="rId1611" ref="C831"/>
    <hyperlink r:id="rId1612" ref="A832"/>
    <hyperlink r:id="rId1613" ref="C832"/>
    <hyperlink r:id="rId1614" ref="A833"/>
    <hyperlink r:id="rId1615" ref="C833"/>
    <hyperlink r:id="rId1616" ref="A834"/>
    <hyperlink r:id="rId1617" ref="C834"/>
    <hyperlink r:id="rId1618" ref="A835"/>
    <hyperlink r:id="rId1619" ref="C835"/>
    <hyperlink r:id="rId1620" ref="A836"/>
    <hyperlink r:id="rId1621" ref="C836"/>
    <hyperlink r:id="rId1622" ref="A837"/>
    <hyperlink r:id="rId1623" ref="C837"/>
    <hyperlink r:id="rId1624" ref="A838"/>
    <hyperlink r:id="rId1625" ref="C838"/>
    <hyperlink r:id="rId1626" ref="A839"/>
    <hyperlink r:id="rId1627" ref="C839"/>
    <hyperlink r:id="rId1628" ref="A840"/>
    <hyperlink r:id="rId1629" ref="C840"/>
    <hyperlink r:id="rId1630" ref="A841"/>
    <hyperlink r:id="rId1631" ref="C841"/>
    <hyperlink r:id="rId1632" ref="A842"/>
    <hyperlink r:id="rId1633" ref="C842"/>
    <hyperlink r:id="rId1634" ref="A843"/>
    <hyperlink r:id="rId1635" ref="C843"/>
    <hyperlink r:id="rId1636" ref="A844"/>
    <hyperlink r:id="rId1637" ref="C844"/>
    <hyperlink r:id="rId1638" ref="A845"/>
    <hyperlink r:id="rId1639" ref="C845"/>
    <hyperlink r:id="rId1640" ref="A846"/>
    <hyperlink r:id="rId1641" ref="C846"/>
    <hyperlink r:id="rId1642" ref="A847"/>
    <hyperlink r:id="rId1643" ref="C847"/>
    <hyperlink r:id="rId1644" ref="A848"/>
    <hyperlink r:id="rId1645" ref="C848"/>
    <hyperlink r:id="rId1646" ref="A849"/>
    <hyperlink r:id="rId1647" ref="C849"/>
    <hyperlink r:id="rId1648" ref="A850"/>
    <hyperlink r:id="rId1649" ref="C850"/>
    <hyperlink r:id="rId1650" ref="A851"/>
    <hyperlink r:id="rId1651" ref="C851"/>
    <hyperlink r:id="rId1652" ref="A852"/>
    <hyperlink r:id="rId1653" ref="C852"/>
    <hyperlink r:id="rId1654" ref="A853"/>
    <hyperlink r:id="rId1655" ref="C853"/>
    <hyperlink r:id="rId1656" ref="A854"/>
    <hyperlink r:id="rId1657" ref="C854"/>
    <hyperlink r:id="rId1658" ref="A855"/>
    <hyperlink r:id="rId1659" ref="C855"/>
    <hyperlink r:id="rId1660" ref="A856"/>
    <hyperlink r:id="rId1661" ref="C856"/>
    <hyperlink r:id="rId1662" ref="A857"/>
    <hyperlink r:id="rId1663" ref="C857"/>
    <hyperlink r:id="rId1664" ref="A858"/>
    <hyperlink r:id="rId1665" ref="C858"/>
    <hyperlink r:id="rId1666" ref="A859"/>
    <hyperlink r:id="rId1667" ref="C859"/>
    <hyperlink r:id="rId1668" ref="A860"/>
    <hyperlink r:id="rId1669" ref="C860"/>
    <hyperlink r:id="rId1670" ref="A861"/>
    <hyperlink r:id="rId1671" ref="C861"/>
    <hyperlink r:id="rId1672" ref="A862"/>
    <hyperlink r:id="rId1673" ref="C862"/>
    <hyperlink r:id="rId1674" location=":~:text=XLR8%20AI%20offers%20extensive%20LLM,content%20creation%2C%20and%20page%20optimization." ref="A863"/>
    <hyperlink r:id="rId1675" ref="C863"/>
    <hyperlink r:id="rId1676" ref="A864"/>
    <hyperlink r:id="rId1677" ref="C864"/>
    <hyperlink r:id="rId1678" ref="A865"/>
    <hyperlink r:id="rId1679" ref="C865"/>
    <hyperlink r:id="rId1680" ref="A866"/>
    <hyperlink r:id="rId1681" ref="C866"/>
    <hyperlink r:id="rId1682" ref="A867"/>
    <hyperlink r:id="rId1683" ref="C867"/>
    <hyperlink r:id="rId1684" location=":~:text=Be%20sure%20to%20evaluate%20which%20would%20be,Advertising%3A%20%2D%20Fyber%3A%20%2D%20SmartyAds%3A%20%2D%20Choozel%3A" ref="A868"/>
    <hyperlink r:id="rId1685" ref="C868"/>
    <hyperlink r:id="rId1686" ref="A869"/>
    <hyperlink r:id="rId1687" ref="C869"/>
    <hyperlink r:id="rId1688" ref="A870"/>
    <hyperlink r:id="rId1689" ref="C870"/>
    <hyperlink r:id="rId1690" ref="A871"/>
    <hyperlink r:id="rId1691" ref="C871"/>
    <hyperlink r:id="rId1692" ref="A872"/>
    <hyperlink r:id="rId1693" ref="C872"/>
    <hyperlink r:id="rId1694" ref="A873"/>
    <hyperlink r:id="rId1695" ref="C873"/>
    <hyperlink r:id="rId1696" location=":~:text=Industries%20Served%3A%20Consumer%20Goods%2C%20Automotive%2C%20Technology%2C%20Financial,and%20advanced%20attribution%20modelling.%20%2D%203.%20Essence." ref="A874"/>
    <hyperlink r:id="rId1697" ref="C874"/>
    <hyperlink r:id="rId1698" ref="A875"/>
    <hyperlink r:id="rId1699" ref="C875"/>
    <hyperlink r:id="rId1700" ref="A876"/>
    <hyperlink r:id="rId1701" ref="C876"/>
    <hyperlink r:id="rId1702" ref="A877"/>
    <hyperlink r:id="rId1703" location=":~:text=Performance%20Media%2C%20Ad%20Tech%20Consulting.%20B2B%2C%20Healthcare%2C,ROI%2Dfocused%20Programmatic%20Engineering%20%26%20Automation.%20%2D%20Merkle." ref="A878"/>
    <hyperlink r:id="rId1704" ref="A879"/>
    <hyperlink r:id="rId1705" ref="C879"/>
    <hyperlink r:id="rId1706" ref="A880"/>
    <hyperlink r:id="rId1707" ref="C880"/>
    <hyperlink r:id="rId1708" ref="A881"/>
    <hyperlink r:id="rId1709" ref="C881"/>
    <hyperlink r:id="rId1710" ref="A882"/>
    <hyperlink r:id="rId1711" ref="C882"/>
    <hyperlink r:id="rId1712" ref="A883"/>
    <hyperlink r:id="rId1713" ref="C883"/>
    <hyperlink r:id="rId1714" ref="A884"/>
    <hyperlink r:id="rId1715" ref="C884"/>
    <hyperlink r:id="rId1716" ref="A885"/>
    <hyperlink r:id="rId1717" ref="C885"/>
    <hyperlink r:id="rId1718" location=":~:text=The%20agency%20focuses%20on%20maximizing%20ROI%20through,marketing.%20Paid%20advertising.%20SEO%20services.%20Content%20strategy." ref="A886"/>
    <hyperlink r:id="rId1719" ref="C886"/>
    <hyperlink r:id="rId1720" location=":~:text=Personalized%20client%20support.%20%2D%203.%20WebFX.%20WebFX,management.%20Data%2Ddriven%20campaign%20execution.%20Strong%20analytics%20capabilities." ref="A887"/>
    <hyperlink r:id="rId1721" ref="C887"/>
    <hyperlink r:id="rId1722" ref="A888"/>
    <hyperlink r:id="rId1723" ref="C888"/>
    <hyperlink r:id="rId1724" ref="A889"/>
    <hyperlink r:id="rId1725" ref="C889"/>
    <hyperlink r:id="rId1726" ref="A890"/>
    <hyperlink r:id="rId1727" ref="C890"/>
    <hyperlink r:id="rId1728" ref="A891"/>
    <hyperlink r:id="rId1729" ref="C891"/>
    <hyperlink r:id="rId1730" ref="A892"/>
    <hyperlink r:id="rId1731" ref="C892"/>
    <hyperlink r:id="rId1732" ref="A893"/>
    <hyperlink r:id="rId1733" ref="C893"/>
    <hyperlink r:id="rId1734" ref="A894"/>
    <hyperlink r:id="rId1735" ref="C894"/>
    <hyperlink r:id="rId1736" ref="A895"/>
    <hyperlink r:id="rId1737" ref="C895"/>
    <hyperlink r:id="rId1738" ref="A896"/>
    <hyperlink r:id="rId1739" ref="C896"/>
    <hyperlink r:id="rId1740" ref="A897"/>
    <hyperlink r:id="rId1741" ref="C897"/>
    <hyperlink r:id="rId1742" ref="A898"/>
    <hyperlink r:id="rId1743" ref="C898"/>
    <hyperlink r:id="rId1744" ref="A899"/>
    <hyperlink r:id="rId1745" ref="C899"/>
    <hyperlink r:id="rId1746" ref="A900"/>
    <hyperlink r:id="rId1747" ref="C900"/>
    <hyperlink r:id="rId1748" ref="A901"/>
    <hyperlink r:id="rId1749" ref="C901"/>
    <hyperlink r:id="rId1750" ref="A902"/>
    <hyperlink r:id="rId1751" ref="C902"/>
    <hyperlink r:id="rId1752" ref="A903"/>
    <hyperlink r:id="rId1753" ref="C903"/>
    <hyperlink r:id="rId1754" ref="A904"/>
    <hyperlink r:id="rId1755" ref="C904"/>
    <hyperlink r:id="rId1756" ref="A905"/>
    <hyperlink r:id="rId1757" ref="C905"/>
    <hyperlink r:id="rId1758" ref="A906"/>
    <hyperlink r:id="rId1759" ref="C906"/>
    <hyperlink r:id="rId1760" ref="A907"/>
    <hyperlink r:id="rId1761" ref="C907"/>
    <hyperlink r:id="rId1762" ref="A908"/>
    <hyperlink r:id="rId1763" ref="C908"/>
    <hyperlink r:id="rId1764" ref="A909"/>
    <hyperlink r:id="rId1765" ref="C909"/>
    <hyperlink r:id="rId1766" location=":~:text=HQ%3A%20Cary%2C%20NC%20with%20global%20operations%3B%207%2C983,regulatory%20reporting%2C%20and%20proven%20analytics%20software.%207." ref="A910"/>
    <hyperlink r:id="rId1767" ref="C910"/>
    <hyperlink r:id="rId1768" ref="A911"/>
    <hyperlink r:id="rId1769" ref="C911"/>
    <hyperlink r:id="rId1770" ref="A912"/>
    <hyperlink r:id="rId1771" ref="A913"/>
    <hyperlink r:id="rId1772" ref="C913"/>
    <hyperlink r:id="rId1773" ref="A914"/>
    <hyperlink r:id="rId1774" ref="C914"/>
    <hyperlink r:id="rId1775" ref="A915"/>
    <hyperlink r:id="rId1776" ref="C915"/>
    <hyperlink r:id="rId1777" ref="A916"/>
    <hyperlink r:id="rId1778" ref="C916"/>
    <hyperlink r:id="rId1779" ref="A917"/>
    <hyperlink r:id="rId1780" ref="C917"/>
    <hyperlink r:id="rId1781" ref="A918"/>
    <hyperlink r:id="rId1782" ref="C918"/>
    <hyperlink r:id="rId1783" ref="A919"/>
    <hyperlink r:id="rId1784" ref="C919"/>
    <hyperlink r:id="rId1785" ref="A920"/>
    <hyperlink r:id="rId1786" ref="C920"/>
    <hyperlink r:id="rId1787" ref="A921"/>
    <hyperlink r:id="rId1788" ref="C921"/>
    <hyperlink r:id="rId1789" ref="A922"/>
    <hyperlink r:id="rId1790" ref="C922"/>
    <hyperlink r:id="rId1791" ref="A923"/>
    <hyperlink r:id="rId1792" ref="C923"/>
    <hyperlink r:id="rId1793" ref="A924"/>
    <hyperlink r:id="rId1794" ref="C924"/>
    <hyperlink r:id="rId1795" ref="A925"/>
    <hyperlink r:id="rId1796" ref="C925"/>
    <hyperlink r:id="rId1797" ref="A926"/>
    <hyperlink r:id="rId1798" ref="C926"/>
    <hyperlink r:id="rId1799" ref="A927"/>
    <hyperlink r:id="rId1800" ref="C927"/>
    <hyperlink r:id="rId1801" ref="A928"/>
    <hyperlink r:id="rId1802" ref="C928"/>
    <hyperlink r:id="rId1803" ref="A929"/>
    <hyperlink r:id="rId1804" ref="C929"/>
    <hyperlink r:id="rId1805" ref="A930"/>
    <hyperlink r:id="rId1806" ref="C930"/>
    <hyperlink r:id="rId1807" ref="A931"/>
    <hyperlink r:id="rId1808" ref="C931"/>
    <hyperlink r:id="rId1809" ref="A932"/>
    <hyperlink r:id="rId1810" ref="C932"/>
    <hyperlink r:id="rId1811" ref="A933"/>
    <hyperlink r:id="rId1812" ref="C933"/>
    <hyperlink r:id="rId1813" ref="A934"/>
    <hyperlink r:id="rId1814" ref="C934"/>
    <hyperlink r:id="rId1815" ref="A935"/>
    <hyperlink r:id="rId1816" ref="C935"/>
    <hyperlink r:id="rId1817" ref="A936"/>
    <hyperlink r:id="rId1818" ref="C936"/>
    <hyperlink r:id="rId1819" ref="A937"/>
    <hyperlink r:id="rId1820" ref="C937"/>
    <hyperlink r:id="rId1821" ref="A938"/>
    <hyperlink r:id="rId1822" ref="C938"/>
    <hyperlink r:id="rId1823" location=":~:text=The%20CTPAT%2FAEO%20%E2%80%93%20Supply%20Chain,system%20to%20ensure%20ongoing%20compliance." ref="A939"/>
    <hyperlink r:id="rId1824" ref="C939"/>
    <hyperlink r:id="rId1825" ref="A940"/>
    <hyperlink r:id="rId1826" ref="C940"/>
    <hyperlink r:id="rId1827" ref="A941"/>
    <hyperlink r:id="rId1828" ref="C941"/>
    <hyperlink r:id="rId1829" ref="A942"/>
    <hyperlink r:id="rId1830" ref="C942"/>
    <hyperlink r:id="rId1831" ref="A943"/>
    <hyperlink r:id="rId1832" ref="C943"/>
    <hyperlink r:id="rId1833" ref="A944"/>
    <hyperlink r:id="rId1834" ref="C944"/>
    <hyperlink r:id="rId1835" ref="A945"/>
    <hyperlink r:id="rId1836" ref="C945"/>
    <hyperlink r:id="rId1837" ref="A946"/>
    <hyperlink r:id="rId1838" ref="C946"/>
    <hyperlink r:id="rId1839" ref="A947"/>
    <hyperlink r:id="rId1840" ref="C947"/>
    <hyperlink r:id="rId1841" ref="A948"/>
    <hyperlink r:id="rId1842" ref="C948"/>
    <hyperlink r:id="rId1843" ref="A949"/>
    <hyperlink r:id="rId1844" ref="C949"/>
    <hyperlink r:id="rId1845" location=":~:text=FlyPix%20AI%20is%20one%20of%20the%20geospatial,and%20aerial%20imagery%20through%20a%20no%2Dcode%20interface." ref="A950"/>
    <hyperlink r:id="rId1846" ref="C950"/>
    <hyperlink r:id="rId1847" ref="A951"/>
    <hyperlink r:id="rId1848" ref="C951"/>
    <hyperlink r:id="rId1849" ref="A952"/>
    <hyperlink r:id="rId1850" ref="C952"/>
    <hyperlink r:id="rId1851" ref="A953"/>
    <hyperlink r:id="rId1852" ref="C953"/>
    <hyperlink r:id="rId1853" ref="A954"/>
    <hyperlink r:id="rId1854" ref="C954"/>
    <hyperlink r:id="rId1855" ref="A955"/>
    <hyperlink r:id="rId1856" ref="C955"/>
    <hyperlink r:id="rId1857" ref="A956"/>
    <hyperlink r:id="rId1858" ref="C956"/>
    <hyperlink r:id="rId1859" ref="A957"/>
    <hyperlink r:id="rId1860" ref="C957"/>
    <hyperlink r:id="rId1861" ref="A958"/>
    <hyperlink r:id="rId1862" ref="C958"/>
    <hyperlink r:id="rId1863" ref="A959"/>
    <hyperlink r:id="rId1864" ref="C959"/>
    <hyperlink r:id="rId1865" ref="A960"/>
    <hyperlink r:id="rId1866" ref="C960"/>
    <hyperlink r:id="rId1867" ref="A961"/>
    <hyperlink r:id="rId1868" ref="C961"/>
    <hyperlink r:id="rId1869" location=":~:text=Deringer%20is%20the%20largest%20privately,over%20a%20million%20entries%20annually." ref="A962"/>
    <hyperlink r:id="rId1870" ref="C962"/>
    <hyperlink r:id="rId1871" ref="A963"/>
    <hyperlink r:id="rId1872" ref="C963"/>
    <hyperlink r:id="rId1873" ref="A964"/>
    <hyperlink r:id="rId1874" ref="C964"/>
    <hyperlink r:id="rId1875" ref="A965"/>
    <hyperlink r:id="rId1876" ref="C965"/>
    <hyperlink r:id="rId1877" ref="A966"/>
    <hyperlink r:id="rId1878" ref="C966"/>
    <hyperlink r:id="rId1879" ref="A967"/>
    <hyperlink r:id="rId1880" ref="C967"/>
    <hyperlink r:id="rId1881" ref="A968"/>
    <hyperlink r:id="rId1882" ref="C968"/>
    <hyperlink r:id="rId1883" ref="A969"/>
    <hyperlink r:id="rId1884" ref="C969"/>
    <hyperlink r:id="rId1885" ref="A970"/>
    <hyperlink r:id="rId1886" ref="C970"/>
    <hyperlink r:id="rId1887" ref="A971"/>
    <hyperlink r:id="rId1888" ref="C971"/>
    <hyperlink r:id="rId1889" ref="A972"/>
    <hyperlink r:id="rId1890" ref="C972"/>
    <hyperlink r:id="rId1891" ref="A973"/>
    <hyperlink r:id="rId1892" ref="C973"/>
    <hyperlink r:id="rId1893" ref="A974"/>
    <hyperlink r:id="rId1894" ref="C974"/>
    <hyperlink r:id="rId1895" ref="A975"/>
    <hyperlink r:id="rId1896" ref="C975"/>
    <hyperlink r:id="rId1897" ref="A976"/>
    <hyperlink r:id="rId1898" ref="C976"/>
    <hyperlink r:id="rId1899" ref="A977"/>
    <hyperlink r:id="rId1900" ref="C977"/>
    <hyperlink r:id="rId1901" ref="A978"/>
    <hyperlink r:id="rId1902" ref="C978"/>
    <hyperlink r:id="rId1903" ref="A979"/>
    <hyperlink r:id="rId1904" ref="C979"/>
    <hyperlink r:id="rId1905" ref="A980"/>
    <hyperlink r:id="rId1906" ref="C980"/>
    <hyperlink r:id="rId1907" ref="A981"/>
    <hyperlink r:id="rId1908" ref="C981"/>
    <hyperlink r:id="rId1909" ref="A982"/>
    <hyperlink r:id="rId1910" ref="C982"/>
    <hyperlink r:id="rId1911" ref="A983"/>
    <hyperlink r:id="rId1912" ref="C983"/>
    <hyperlink r:id="rId1913" ref="A984"/>
    <hyperlink r:id="rId1914" ref="C984"/>
    <hyperlink r:id="rId1915" ref="A985"/>
    <hyperlink r:id="rId1916" ref="C985"/>
    <hyperlink r:id="rId1917" ref="A986"/>
    <hyperlink r:id="rId1918" ref="C986"/>
    <hyperlink r:id="rId1919" ref="A987"/>
    <hyperlink r:id="rId1920" ref="C987"/>
    <hyperlink r:id="rId1921" ref="A988"/>
    <hyperlink r:id="rId1922" ref="C988"/>
    <hyperlink r:id="rId1923" ref="A989"/>
    <hyperlink r:id="rId1924" ref="C989"/>
    <hyperlink r:id="rId1925" ref="A990"/>
    <hyperlink r:id="rId1926" ref="C990"/>
    <hyperlink r:id="rId1927" location=":~:text=Follow%20us%20on%20Google%20News.%20SimpleTiger%2C%20a,reviews%2C%20market%20presence%2C%20and%20proven%20industry%20expertise." ref="A991"/>
    <hyperlink r:id="rId1928" ref="C991"/>
    <hyperlink r:id="rId1929" ref="A992"/>
    <hyperlink r:id="rId1930" ref="C992"/>
    <hyperlink r:id="rId1931" ref="A993"/>
    <hyperlink r:id="rId1932" ref="C993"/>
    <hyperlink r:id="rId1933" ref="A994"/>
    <hyperlink r:id="rId1934" ref="C994"/>
    <hyperlink r:id="rId1935" ref="A995"/>
    <hyperlink r:id="rId1936" ref="C995"/>
    <hyperlink r:id="rId1937" ref="A996"/>
    <hyperlink r:id="rId1938" ref="C996"/>
    <hyperlink r:id="rId1939" ref="A997"/>
    <hyperlink r:id="rId1940" ref="C997"/>
    <hyperlink r:id="rId1941" ref="A998"/>
    <hyperlink r:id="rId1942" ref="C998"/>
    <hyperlink r:id="rId1943" ref="A999"/>
    <hyperlink r:id="rId1944" ref="C999"/>
    <hyperlink r:id="rId1945" ref="A1000"/>
    <hyperlink r:id="rId1946" ref="C1000"/>
    <hyperlink r:id="rId1947" ref="A1001"/>
    <hyperlink r:id="rId1948" ref="C1001"/>
    <hyperlink r:id="rId1949" ref="A1002"/>
    <hyperlink r:id="rId1950" ref="C1002"/>
    <hyperlink r:id="rId1951" ref="A1003"/>
    <hyperlink r:id="rId1952" ref="C1003"/>
    <hyperlink r:id="rId1953" ref="A1004"/>
    <hyperlink r:id="rId1954" ref="C1004"/>
    <hyperlink r:id="rId1955" ref="A1005"/>
    <hyperlink r:id="rId1956" ref="C1005"/>
    <hyperlink r:id="rId1957" ref="A1006"/>
    <hyperlink r:id="rId1958" ref="C1006"/>
    <hyperlink r:id="rId1959" ref="A1007"/>
    <hyperlink r:id="rId1960" ref="C1007"/>
    <hyperlink r:id="rId1961" ref="A1008"/>
    <hyperlink r:id="rId1962" ref="C1008"/>
    <hyperlink r:id="rId1963" ref="A1009"/>
    <hyperlink r:id="rId1964" ref="C1009"/>
    <hyperlink r:id="rId1965" ref="A1010"/>
    <hyperlink r:id="rId1966" ref="C1010"/>
    <hyperlink r:id="rId1967" location=":~:text=A%20secure%20and%20compliant%20supply%20chain%20is,true%20dual%E2%80%91structure%E2%80%94legal%20%2B%20consulting%E2%80%94integrated%20into%20one%20ecosystem." ref="A1011"/>
    <hyperlink r:id="rId1968" ref="C1011"/>
    <hyperlink r:id="rId1969" ref="A1012"/>
    <hyperlink r:id="rId1970" ref="C1012"/>
    <hyperlink r:id="rId1971" ref="A1013"/>
    <hyperlink r:id="rId1972" ref="C1013"/>
    <hyperlink r:id="rId1973" ref="A1014"/>
    <hyperlink r:id="rId1974" ref="C1014"/>
    <hyperlink r:id="rId1975" ref="A1015"/>
    <hyperlink r:id="rId1976" ref="C1015"/>
    <hyperlink r:id="rId1977" ref="A1016"/>
    <hyperlink r:id="rId1978" ref="C1016"/>
    <hyperlink r:id="rId1979" ref="A1017"/>
    <hyperlink r:id="rId1980" ref="C1017"/>
    <hyperlink r:id="rId1981" ref="A1018"/>
    <hyperlink r:id="rId1982" ref="C1018"/>
    <hyperlink r:id="rId1983" ref="A1019"/>
    <hyperlink r:id="rId1984" ref="C1019"/>
    <hyperlink r:id="rId1985" ref="A1020"/>
    <hyperlink r:id="rId1986" ref="C1020"/>
    <hyperlink r:id="rId1987" ref="A1021"/>
    <hyperlink r:id="rId1988" ref="C1021"/>
    <hyperlink r:id="rId1989" ref="A1022"/>
    <hyperlink r:id="rId1990" ref="C1022"/>
    <hyperlink r:id="rId1991" ref="A1023"/>
    <hyperlink r:id="rId1992" ref="C1023"/>
    <hyperlink r:id="rId1993" ref="A1024"/>
    <hyperlink r:id="rId1994" ref="C1024"/>
    <hyperlink r:id="rId1995" ref="A1025"/>
    <hyperlink r:id="rId1996" ref="C1025"/>
    <hyperlink r:id="rId1997" ref="A1026"/>
    <hyperlink r:id="rId1998" ref="C1026"/>
    <hyperlink r:id="rId1999" ref="A1027"/>
    <hyperlink r:id="rId2000" ref="C1027"/>
    <hyperlink r:id="rId2001" ref="A1028"/>
    <hyperlink r:id="rId2002" ref="C1028"/>
    <hyperlink r:id="rId2003" ref="A1029"/>
    <hyperlink r:id="rId2004" ref="C1029"/>
    <hyperlink r:id="rId2005" ref="A1030"/>
    <hyperlink r:id="rId2006" ref="C1030"/>
    <hyperlink r:id="rId2007" ref="A1031"/>
    <hyperlink r:id="rId2008" ref="C1031"/>
    <hyperlink r:id="rId2009" ref="A1032"/>
    <hyperlink r:id="rId2010" ref="C1032"/>
    <hyperlink r:id="rId2011" ref="A1033"/>
    <hyperlink r:id="rId2012" ref="C1033"/>
    <hyperlink r:id="rId2013" ref="A1034"/>
    <hyperlink r:id="rId2014" ref="C1034"/>
    <hyperlink r:id="rId2015" ref="A1035"/>
    <hyperlink r:id="rId2016" ref="C1035"/>
    <hyperlink r:id="rId2017" location=":~:text=Services%3A%20Appointment%20setting%20%C2%B7%20Account%2Dbased%20marketing%20%C2%B7,SaaS%20marketing%20%C2%B7%20SEO.%20%2D%20Refine%20Labs." ref="A1036"/>
    <hyperlink r:id="rId2018" ref="C1036"/>
    <hyperlink r:id="rId2019" ref="A1037"/>
    <hyperlink r:id="rId2020" ref="C1037"/>
    <hyperlink r:id="rId2021" ref="A1038"/>
    <hyperlink r:id="rId2022" ref="C1038"/>
    <hyperlink r:id="rId2023" ref="A1039"/>
    <hyperlink r:id="rId2024" ref="C1039"/>
    <hyperlink r:id="rId2025" ref="A1040"/>
    <hyperlink r:id="rId2026" ref="C1040"/>
    <hyperlink r:id="rId2027" ref="A1041"/>
    <hyperlink r:id="rId2028" ref="C1041"/>
    <hyperlink r:id="rId2029" ref="A1042"/>
    <hyperlink r:id="rId2030" ref="C1042"/>
    <hyperlink r:id="rId2031" ref="A1043"/>
    <hyperlink r:id="rId2032" ref="C1043"/>
    <hyperlink r:id="rId2033" ref="A1044"/>
    <hyperlink r:id="rId2034" ref="C1044"/>
    <hyperlink r:id="rId2035" ref="A1045"/>
    <hyperlink r:id="rId2036" ref="C1045"/>
    <hyperlink r:id="rId2037" ref="A1046"/>
    <hyperlink r:id="rId2038" ref="C1046"/>
    <hyperlink r:id="rId2039" ref="A1047"/>
    <hyperlink r:id="rId2040" ref="C1047"/>
    <hyperlink r:id="rId2041" ref="A1048"/>
    <hyperlink r:id="rId2042" ref="C1048"/>
    <hyperlink r:id="rId2043" ref="A1049"/>
    <hyperlink r:id="rId2044" ref="C1049"/>
    <hyperlink r:id="rId2045" ref="A1050"/>
    <hyperlink r:id="rId2046" ref="C1050"/>
    <hyperlink r:id="rId2047" ref="A1051"/>
    <hyperlink r:id="rId2048" ref="C1051"/>
    <hyperlink r:id="rId2049" ref="A1052"/>
    <hyperlink r:id="rId2050" ref="C1052"/>
    <hyperlink r:id="rId2051" ref="A1053"/>
    <hyperlink r:id="rId2052" ref="C1053"/>
    <hyperlink r:id="rId2053" ref="A1054"/>
    <hyperlink r:id="rId2054" ref="C1054"/>
    <hyperlink r:id="rId2055" ref="A1055"/>
    <hyperlink r:id="rId2056" ref="C1055"/>
    <hyperlink r:id="rId2057" ref="A1056"/>
    <hyperlink r:id="rId2058" ref="C1056"/>
    <hyperlink r:id="rId2059" ref="A1057"/>
    <hyperlink r:id="rId2060" ref="A1058"/>
    <hyperlink r:id="rId2061" ref="A1059"/>
    <hyperlink r:id="rId2062" ref="C1059"/>
    <hyperlink r:id="rId2063" ref="A1060"/>
    <hyperlink r:id="rId2064" ref="C1060"/>
    <hyperlink r:id="rId2065" ref="A1061"/>
    <hyperlink r:id="rId2066" ref="C1061"/>
    <hyperlink r:id="rId2067" ref="A1062"/>
    <hyperlink r:id="rId2068" ref="C1062"/>
    <hyperlink r:id="rId2069" ref="A1063"/>
    <hyperlink r:id="rId2070" ref="C1063"/>
    <hyperlink r:id="rId2071" ref="A1064"/>
    <hyperlink r:id="rId2072" ref="C1064"/>
    <hyperlink r:id="rId2073" ref="A1065"/>
    <hyperlink r:id="rId2074" ref="C1065"/>
    <hyperlink r:id="rId2075" ref="A1066"/>
    <hyperlink r:id="rId2076" ref="C1066"/>
    <hyperlink r:id="rId2077" ref="A1067"/>
    <hyperlink r:id="rId2078" ref="C1067"/>
    <hyperlink r:id="rId2079" ref="A1068"/>
    <hyperlink r:id="rId2080" ref="C1068"/>
    <hyperlink r:id="rId2081" ref="A1069"/>
    <hyperlink r:id="rId2082" ref="C1069"/>
    <hyperlink r:id="rId2083" ref="A1070"/>
    <hyperlink r:id="rId2084" ref="C1070"/>
    <hyperlink r:id="rId2085" ref="A1071"/>
    <hyperlink r:id="rId2086" ref="C1071"/>
    <hyperlink r:id="rId2087" ref="A1072"/>
    <hyperlink r:id="rId2088" ref="C1072"/>
    <hyperlink r:id="rId2089" ref="A1073"/>
    <hyperlink r:id="rId2090" ref="C1073"/>
    <hyperlink r:id="rId2091" ref="A1074"/>
    <hyperlink r:id="rId2092" ref="C1074"/>
    <hyperlink r:id="rId2093" ref="A1075"/>
    <hyperlink r:id="rId2094" ref="C1075"/>
    <hyperlink r:id="rId2095" ref="A1076"/>
    <hyperlink r:id="rId2096" ref="C1076"/>
    <hyperlink r:id="rId2097" ref="A1077"/>
    <hyperlink r:id="rId2098" ref="C1077"/>
    <hyperlink r:id="rId2099" ref="A1078"/>
    <hyperlink r:id="rId2100" ref="C1078"/>
    <hyperlink r:id="rId2101" ref="A1079"/>
    <hyperlink r:id="rId2102" ref="C1079"/>
    <hyperlink r:id="rId2103" location=":~:text=Version2%20is%20an%20advertising%20agency%20specializing%20in,of%20reviewers%20highlighting%20their%20professionalism%20and%20commitment." ref="A1080"/>
    <hyperlink r:id="rId2104" ref="C1080"/>
    <hyperlink r:id="rId2105" ref="A1081"/>
    <hyperlink r:id="rId2106" ref="C1081"/>
    <hyperlink r:id="rId2107" ref="A1082"/>
    <hyperlink r:id="rId2108" ref="C1082"/>
    <hyperlink r:id="rId2109" ref="A1083"/>
    <hyperlink r:id="rId2110" ref="C1083"/>
    <hyperlink r:id="rId2111" location=":~:text=%2410%2C000%2B%20250%20%2D%20999.%20San%20Diego%2C%20CA.,execution%2C%20strong%20communication%2C%20and%20impressive%20project%20management." ref="A1084"/>
    <hyperlink r:id="rId2112" ref="C1084"/>
    <hyperlink r:id="rId2113" ref="A1085"/>
    <hyperlink r:id="rId2114" ref="C1085"/>
    <hyperlink r:id="rId2115" ref="A1086"/>
    <hyperlink r:id="rId2116" ref="C1086"/>
    <hyperlink r:id="rId2117" ref="A1087"/>
    <hyperlink r:id="rId2118" ref="C1087"/>
    <hyperlink r:id="rId2119" ref="A1088"/>
    <hyperlink r:id="rId2120" ref="C1088"/>
    <hyperlink r:id="rId2121" ref="A1089"/>
    <hyperlink r:id="rId2122" ref="C1089"/>
    <hyperlink r:id="rId2123" ref="A1090"/>
    <hyperlink r:id="rId2124" ref="C1090"/>
    <hyperlink r:id="rId2125" ref="A1091"/>
    <hyperlink r:id="rId2126" ref="C1091"/>
    <hyperlink r:id="rId2127" ref="A1092"/>
    <hyperlink r:id="rId2128" ref="C1092"/>
    <hyperlink r:id="rId2129" ref="A1093"/>
    <hyperlink r:id="rId2130" ref="C1093"/>
    <hyperlink r:id="rId2131" ref="A1094"/>
    <hyperlink r:id="rId2132" ref="C1094"/>
    <hyperlink r:id="rId2133" ref="A1095"/>
    <hyperlink r:id="rId2134" ref="C1095"/>
    <hyperlink r:id="rId2135" ref="A1096"/>
    <hyperlink r:id="rId2136" ref="C1096"/>
    <hyperlink r:id="rId2137" ref="A1097"/>
    <hyperlink r:id="rId2138" ref="C1097"/>
    <hyperlink r:id="rId2139" ref="A1098"/>
    <hyperlink r:id="rId2140" ref="C1098"/>
    <hyperlink r:id="rId2141" ref="A1099"/>
    <hyperlink r:id="rId2142" ref="C1099"/>
    <hyperlink r:id="rId2143" ref="A1100"/>
    <hyperlink r:id="rId2144" ref="C1100"/>
    <hyperlink r:id="rId2145" ref="A1101"/>
    <hyperlink r:id="rId2146" ref="C1101"/>
    <hyperlink r:id="rId2147" ref="A1102"/>
    <hyperlink r:id="rId2148" ref="C1102"/>
    <hyperlink r:id="rId2149" ref="A1103"/>
    <hyperlink r:id="rId2150" ref="C1103"/>
    <hyperlink r:id="rId2151" ref="A1104"/>
    <hyperlink r:id="rId2152" ref="C1104"/>
    <hyperlink r:id="rId2153" ref="A1105"/>
    <hyperlink r:id="rId2154" ref="C1105"/>
    <hyperlink r:id="rId2155" location=":~:text=An%20AI%20SEO%20agency%20gets%20a%20brand,website%20and%20wider%20online%20footprint%20to%20match." ref="A1106"/>
    <hyperlink r:id="rId2156" ref="C1106"/>
    <hyperlink r:id="rId2157" ref="A1107"/>
    <hyperlink r:id="rId2158" ref="C1107"/>
    <hyperlink r:id="rId2159" ref="A1108"/>
    <hyperlink r:id="rId2160" ref="C1108"/>
    <hyperlink r:id="rId2161" ref="A1109"/>
    <hyperlink r:id="rId2162" ref="C1109"/>
    <hyperlink r:id="rId2163" ref="A1110"/>
    <hyperlink r:id="rId2164" ref="C1110"/>
    <hyperlink r:id="rId2165" ref="A1111"/>
    <hyperlink r:id="rId2166" ref="C1111"/>
    <hyperlink r:id="rId2167" ref="A1112"/>
    <hyperlink r:id="rId2168" ref="C1112"/>
    <hyperlink r:id="rId2169" ref="A1113"/>
    <hyperlink r:id="rId2170" ref="C1113"/>
    <hyperlink r:id="rId2171" ref="A1114"/>
    <hyperlink r:id="rId2172" ref="C1114"/>
    <hyperlink r:id="rId2173" ref="A1115"/>
    <hyperlink r:id="rId2174" ref="C1115"/>
    <hyperlink r:id="rId2175" ref="A1116"/>
    <hyperlink r:id="rId2176" ref="C1116"/>
    <hyperlink r:id="rId2177" ref="A1117"/>
    <hyperlink r:id="rId2178" ref="C1117"/>
    <hyperlink r:id="rId2179" ref="A1118"/>
    <hyperlink r:id="rId2180" ref="C1118"/>
    <hyperlink r:id="rId2181" ref="A1119"/>
    <hyperlink r:id="rId2182" ref="C1119"/>
    <hyperlink r:id="rId2183" ref="A1120"/>
    <hyperlink r:id="rId2184" ref="C1120"/>
    <hyperlink r:id="rId2185" location=":~:text=New%2DYork%2Dbased%20NoGood%20launched%20a%20stand%2Dalone%20Answer%20Engine,AI%2Dsearch%20wins%20for%20fintech%20and%20health%2Dcare%20clients." ref="A1121"/>
    <hyperlink r:id="rId2186" ref="C1121"/>
    <hyperlink r:id="rId2187" ref="A1122"/>
    <hyperlink r:id="rId2188" ref="C1122"/>
    <hyperlink r:id="rId2189" ref="A1123"/>
    <hyperlink r:id="rId2190" ref="C1123"/>
    <hyperlink r:id="rId2191" ref="A1124"/>
    <hyperlink r:id="rId2192" ref="C1124"/>
    <hyperlink r:id="rId2193" ref="A1125"/>
    <hyperlink r:id="rId2194" ref="C1125"/>
    <hyperlink r:id="rId2195" ref="A1126"/>
    <hyperlink r:id="rId2196" ref="C1126"/>
    <hyperlink r:id="rId2197" ref="A1127"/>
    <hyperlink r:id="rId2198" ref="C1127"/>
    <hyperlink r:id="rId2199" ref="A1128"/>
    <hyperlink r:id="rId2200" ref="C1128"/>
    <hyperlink r:id="rId2201" ref="A1129"/>
    <hyperlink r:id="rId2202" ref="C1129"/>
    <hyperlink r:id="rId2203" ref="A1130"/>
    <hyperlink r:id="rId2204" ref="C1130"/>
    <hyperlink r:id="rId2205" ref="A1131"/>
    <hyperlink r:id="rId2206" ref="A1132"/>
    <hyperlink r:id="rId2207" ref="C1132"/>
    <hyperlink r:id="rId2208" ref="A1133"/>
    <hyperlink r:id="rId2209" ref="C1133"/>
    <hyperlink r:id="rId2210" ref="A1134"/>
    <hyperlink r:id="rId2211" ref="C1134"/>
    <hyperlink r:id="rId2212" ref="A1135"/>
    <hyperlink r:id="rId2213" ref="C1135"/>
    <hyperlink r:id="rId2214" ref="A1136"/>
    <hyperlink r:id="rId2215" ref="C1136"/>
    <hyperlink r:id="rId2216" ref="A1137"/>
    <hyperlink r:id="rId2217" ref="C1137"/>
    <hyperlink r:id="rId2218" location=":~:text=Absolutely.%20AEO%20certification%20solidifies%20your%20status%20as,certification%20is%20a%20relevant%20option%20for%20you." ref="A1138"/>
    <hyperlink r:id="rId2219" ref="C1138"/>
    <hyperlink r:id="rId2220" ref="A1139"/>
    <hyperlink r:id="rId2221" ref="C1139"/>
    <hyperlink r:id="rId2222" ref="A1140"/>
    <hyperlink r:id="rId2223" ref="C1140"/>
    <hyperlink r:id="rId2224" ref="A1141"/>
    <hyperlink r:id="rId2225" ref="C1141"/>
    <hyperlink r:id="rId2226" ref="A1142"/>
    <hyperlink r:id="rId2227" ref="C1142"/>
    <hyperlink r:id="rId2228" location=":~:text=Each%20brings%20distinct%20strengths%20to%20performance%20creative%2C,ROI%20and%20strategic%20partnership.%20%2D%202.%20Tinuiti." ref="A1143"/>
    <hyperlink r:id="rId2229" ref="C1143"/>
    <hyperlink r:id="rId2230" ref="A1144"/>
    <hyperlink r:id="rId2231" ref="C1144"/>
    <hyperlink r:id="rId2232" ref="A1145"/>
    <hyperlink r:id="rId2233" ref="C1145"/>
    <hyperlink r:id="rId2234" ref="A1146"/>
    <hyperlink r:id="rId2235" ref="C1146"/>
    <hyperlink r:id="rId2236" ref="A1147"/>
    <hyperlink r:id="rId2237" ref="C1147"/>
    <hyperlink r:id="rId2238" ref="A1148"/>
    <hyperlink r:id="rId2239" ref="C1148"/>
    <hyperlink r:id="rId2240" ref="A1149"/>
    <hyperlink r:id="rId2241" ref="C1149"/>
    <hyperlink r:id="rId2242" ref="A1150"/>
    <hyperlink r:id="rId2243" ref="C1150"/>
    <hyperlink r:id="rId2244" ref="A1151"/>
    <hyperlink r:id="rId2245" ref="A1152"/>
    <hyperlink r:id="rId2246" ref="A1153"/>
    <hyperlink r:id="rId2247" ref="C1153"/>
    <hyperlink r:id="rId2248" ref="A1154"/>
    <hyperlink r:id="rId2249" ref="C1154"/>
    <hyperlink r:id="rId2250" ref="A1155"/>
    <hyperlink r:id="rId2251" ref="C1155"/>
    <hyperlink r:id="rId2252" ref="A1156"/>
    <hyperlink r:id="rId2253" ref="C1156"/>
    <hyperlink r:id="rId2254" ref="A1157"/>
    <hyperlink r:id="rId2255" ref="C1157"/>
    <hyperlink r:id="rId2256" ref="A1158"/>
    <hyperlink r:id="rId2257" ref="C1158"/>
    <hyperlink r:id="rId2258" ref="A1159"/>
    <hyperlink r:id="rId2259" ref="C1159"/>
    <hyperlink r:id="rId2260" ref="A1160"/>
    <hyperlink r:id="rId2261" ref="C1160"/>
    <hyperlink r:id="rId2262" ref="A1161"/>
    <hyperlink r:id="rId2263" ref="C1161"/>
    <hyperlink r:id="rId2264" ref="A1162"/>
    <hyperlink r:id="rId2265" ref="C1162"/>
    <hyperlink r:id="rId2266" ref="A1163"/>
    <hyperlink r:id="rId2267" ref="C1163"/>
    <hyperlink r:id="rId2268" ref="A1164"/>
    <hyperlink r:id="rId2269" ref="C1164"/>
    <hyperlink r:id="rId2270" location=":~:text=With%20%244B%20in%20digital%20media%20under%20management,achieve%20perfect%20harmony.%20What%20makes%20Tinuiti%20special%3F" ref="A1165"/>
    <hyperlink r:id="rId2271" ref="C1165"/>
    <hyperlink r:id="rId2272" ref="A1166"/>
    <hyperlink r:id="rId2273" ref="C1166"/>
    <hyperlink r:id="rId2274" ref="A1167"/>
    <hyperlink r:id="rId2275" ref="C1167"/>
    <hyperlink r:id="rId2276" location=":~:text=Whether%20you're%20mapping%20a,what%20really%20sets%20us%20apart%3F" ref="A1168"/>
    <hyperlink r:id="rId2277" ref="C1168"/>
    <hyperlink r:id="rId2278" ref="A1169"/>
    <hyperlink r:id="rId2279" ref="C1169"/>
    <hyperlink r:id="rId2280" ref="A1170"/>
    <hyperlink r:id="rId2281" ref="C1170"/>
    <hyperlink r:id="rId2282" ref="A1171"/>
    <hyperlink r:id="rId2283" ref="C1171"/>
    <hyperlink r:id="rId2284" ref="A1172"/>
    <hyperlink r:id="rId2285" ref="C1172"/>
    <hyperlink r:id="rId2286" ref="A1173"/>
    <hyperlink r:id="rId2287" ref="C1173"/>
    <hyperlink r:id="rId2288" ref="A1174"/>
    <hyperlink r:id="rId2289" ref="C1174"/>
    <hyperlink r:id="rId2290" ref="A1175"/>
    <hyperlink r:id="rId2291" ref="C1175"/>
    <hyperlink r:id="rId2292" ref="A1176"/>
    <hyperlink r:id="rId2293" ref="C1176"/>
    <hyperlink r:id="rId2294" ref="A1177"/>
    <hyperlink r:id="rId2295" ref="C1177"/>
    <hyperlink r:id="rId2296" ref="A1178"/>
    <hyperlink r:id="rId2297" ref="C1178"/>
    <hyperlink r:id="rId2298" ref="A1179"/>
    <hyperlink r:id="rId2299" ref="C1179"/>
    <hyperlink r:id="rId2300" ref="A1180"/>
    <hyperlink r:id="rId2301" ref="C1180"/>
    <hyperlink r:id="rId2302" ref="A1181"/>
    <hyperlink r:id="rId2303" ref="C1181"/>
    <hyperlink r:id="rId2304" ref="A1182"/>
    <hyperlink r:id="rId2305" ref="C1182"/>
    <hyperlink r:id="rId2306" ref="A1183"/>
    <hyperlink r:id="rId2307" ref="C1183"/>
    <hyperlink r:id="rId2308" ref="A1184"/>
    <hyperlink r:id="rId2309" ref="C1184"/>
    <hyperlink r:id="rId2310" ref="A1185"/>
    <hyperlink r:id="rId2311" ref="C1185"/>
    <hyperlink r:id="rId2312" ref="A1186"/>
    <hyperlink r:id="rId2313" ref="C1186"/>
    <hyperlink r:id="rId2314" ref="A1187"/>
    <hyperlink r:id="rId2315" ref="C1187"/>
    <hyperlink r:id="rId2316" ref="A1188"/>
    <hyperlink r:id="rId2317" ref="C1188"/>
    <hyperlink r:id="rId2318" ref="A1189"/>
    <hyperlink r:id="rId2319" ref="C1189"/>
    <hyperlink r:id="rId2320" ref="A1190"/>
    <hyperlink r:id="rId2321" ref="C1190"/>
    <hyperlink r:id="rId2322" ref="A1191"/>
    <hyperlink r:id="rId2323" ref="C1191"/>
    <hyperlink r:id="rId2324" ref="A1192"/>
    <hyperlink r:id="rId2325" ref="C1192"/>
    <hyperlink r:id="rId2326" ref="A1193"/>
    <hyperlink r:id="rId2327" ref="C1193"/>
    <hyperlink r:id="rId2328" ref="A1194"/>
    <hyperlink r:id="rId2329" ref="C1194"/>
    <hyperlink r:id="rId2330" ref="A1195"/>
    <hyperlink r:id="rId2331" ref="C1195"/>
    <hyperlink r:id="rId2332" ref="A1196"/>
    <hyperlink r:id="rId2333" ref="C1196"/>
    <hyperlink r:id="rId2334" ref="A1197"/>
    <hyperlink r:id="rId2335" ref="C1197"/>
    <hyperlink r:id="rId2336" ref="A1198"/>
    <hyperlink r:id="rId2337" ref="C1198"/>
    <hyperlink r:id="rId2338" ref="A1199"/>
    <hyperlink r:id="rId2339" ref="C1199"/>
    <hyperlink r:id="rId2340" ref="A1200"/>
    <hyperlink r:id="rId2341" ref="C1200"/>
    <hyperlink r:id="rId2342" ref="A1201"/>
    <hyperlink r:id="rId2343" ref="C1201"/>
    <hyperlink r:id="rId2344" ref="A1202"/>
    <hyperlink r:id="rId2345" ref="C1202"/>
    <hyperlink r:id="rId2346" ref="A1203"/>
    <hyperlink r:id="rId2347" ref="C1203"/>
    <hyperlink r:id="rId2348" ref="A1204"/>
    <hyperlink r:id="rId2349" ref="C1204"/>
    <hyperlink r:id="rId2350" ref="A1205"/>
    <hyperlink r:id="rId2351" ref="C1205"/>
    <hyperlink r:id="rId2352" ref="A1206"/>
    <hyperlink r:id="rId2353" ref="C1206"/>
    <hyperlink r:id="rId2354" ref="A1207"/>
    <hyperlink r:id="rId2355" ref="C1207"/>
    <hyperlink r:id="rId2356" ref="A1208"/>
    <hyperlink r:id="rId2357" ref="C1208"/>
    <hyperlink r:id="rId2358" ref="A1209"/>
    <hyperlink r:id="rId2359" ref="C1209"/>
    <hyperlink r:id="rId2360" location=":~:text=Esri%20is%20a%20leading%20provider,insights%20from%20location%2Dbased%20data." ref="A1210"/>
    <hyperlink r:id="rId2361" ref="C1210"/>
    <hyperlink r:id="rId2362" ref="A1211"/>
    <hyperlink r:id="rId2363" ref="A1212"/>
    <hyperlink r:id="rId2364" ref="A1213"/>
    <hyperlink r:id="rId2365" ref="C1213"/>
    <hyperlink r:id="rId2366" location=":~:text=ASSET%20INVENTORY.%20With%20GIS%2C%20we%20can%20systematically,for%20good%20design.%20%2D%20STREETLIGHT%20INSTALLATION%20SUPPORT." ref="A1214"/>
    <hyperlink r:id="rId2367" ref="C1214"/>
    <hyperlink r:id="rId2368" ref="A1215"/>
    <hyperlink r:id="rId2369" ref="C1215"/>
    <hyperlink r:id="rId2370" ref="A1216"/>
    <hyperlink r:id="rId2371" ref="C1216"/>
    <hyperlink r:id="rId2372" ref="A1217"/>
    <hyperlink r:id="rId2373" ref="C1217"/>
    <hyperlink r:id="rId2374" ref="A1218"/>
    <hyperlink r:id="rId2375" ref="C1218"/>
    <hyperlink r:id="rId2376" ref="A1219"/>
    <hyperlink r:id="rId2377" ref="C1219"/>
    <hyperlink r:id="rId2378" ref="A1220"/>
    <hyperlink r:id="rId2379" ref="C1220"/>
    <hyperlink r:id="rId2380" ref="A1221"/>
    <hyperlink r:id="rId2381" ref="C1221"/>
    <hyperlink r:id="rId2382" ref="A1222"/>
    <hyperlink r:id="rId2383" ref="C1222"/>
    <hyperlink r:id="rId2384" ref="A1223"/>
    <hyperlink r:id="rId2385" ref="C1223"/>
    <hyperlink r:id="rId2386" ref="A1224"/>
    <hyperlink r:id="rId2387" ref="C1224"/>
    <hyperlink r:id="rId2388" ref="A1225"/>
    <hyperlink r:id="rId2389" ref="C1225"/>
    <hyperlink r:id="rId2390" ref="A1226"/>
    <hyperlink r:id="rId2391" ref="C1226"/>
    <hyperlink r:id="rId2392" ref="A1227"/>
    <hyperlink r:id="rId2393" ref="C1227"/>
    <hyperlink r:id="rId2394" ref="A1228"/>
    <hyperlink r:id="rId2395" ref="C1228"/>
    <hyperlink r:id="rId2396" location=":~:text=The%20agency%20has%20officially%20partnered%20with%20some,work%20with%20big%20clients%20with%20massive%20budgets." ref="A1229"/>
    <hyperlink r:id="rId2397" ref="A1230"/>
    <hyperlink r:id="rId2398" ref="C1230"/>
    <hyperlink r:id="rId2399" ref="A1231"/>
    <hyperlink r:id="rId2400" ref="C1231"/>
    <hyperlink r:id="rId2401" ref="A1232"/>
    <hyperlink r:id="rId2402" ref="C1232"/>
    <hyperlink r:id="rId2403" ref="A1233"/>
    <hyperlink r:id="rId2404" ref="C1233"/>
    <hyperlink r:id="rId2405" ref="A1234"/>
    <hyperlink r:id="rId2406" ref="C1234"/>
    <hyperlink r:id="rId2407" ref="A1235"/>
    <hyperlink r:id="rId2408" ref="C1235"/>
    <hyperlink r:id="rId2409" ref="A1236"/>
    <hyperlink r:id="rId2410" ref="C1236"/>
    <hyperlink r:id="rId2411" location=":~:text=First%20Page%20Sage%20is%20consistently%20ranked%20the,specifically%20for%20the%20complexity%20of%20B2B%20sales." ref="A1237"/>
    <hyperlink r:id="rId2412" ref="C1237"/>
    <hyperlink r:id="rId2413" ref="A1238"/>
    <hyperlink r:id="rId2414" ref="C1238"/>
    <hyperlink r:id="rId2415" ref="A1239"/>
    <hyperlink r:id="rId2416" ref="C1239"/>
    <hyperlink r:id="rId2417" ref="A1240"/>
    <hyperlink r:id="rId2418" ref="C1240"/>
    <hyperlink r:id="rId2419" location=":~:text=1.%20%2D%20Flying%20V%20Group.%20Flying%20V,numerous%20successful%20client%20campaigns%20and%20glowing%20testimonials." ref="A1241"/>
    <hyperlink r:id="rId2420" ref="C1241"/>
    <hyperlink r:id="rId2421" location=":~:text=NGA%20operates%20as%20both%20a,of%20the%20U.S.%20intelligence%20community." ref="A1242"/>
    <hyperlink r:id="rId2422" ref="C1242"/>
    <hyperlink r:id="rId2423" ref="A1243"/>
    <hyperlink r:id="rId2424" ref="C1243"/>
    <hyperlink r:id="rId2425" ref="A1244"/>
    <hyperlink r:id="rId2426" ref="C1244"/>
    <hyperlink r:id="rId2427" ref="A1245"/>
    <hyperlink r:id="rId2428" ref="C1245"/>
    <hyperlink r:id="rId2429" ref="A1246"/>
    <hyperlink r:id="rId2430" ref="C1246"/>
    <hyperlink r:id="rId2431" ref="A1247"/>
    <hyperlink r:id="rId2432" ref="C1247"/>
    <hyperlink r:id="rId2433" ref="A1248"/>
    <hyperlink r:id="rId2434" ref="C1248"/>
    <hyperlink r:id="rId2435" ref="A1249"/>
    <hyperlink r:id="rId2436" ref="C1249"/>
    <hyperlink r:id="rId2437" ref="A1250"/>
    <hyperlink r:id="rId2438" ref="C1250"/>
    <hyperlink r:id="rId2439" ref="A1251"/>
    <hyperlink r:id="rId2440" ref="C1251"/>
    <hyperlink r:id="rId2441" ref="A1252"/>
    <hyperlink r:id="rId2442" ref="C1252"/>
    <hyperlink r:id="rId2443" ref="A1253"/>
    <hyperlink r:id="rId2444" ref="C1253"/>
    <hyperlink r:id="rId2445" ref="A1254"/>
    <hyperlink r:id="rId2446" ref="C1254"/>
    <hyperlink r:id="rId2447" ref="A1255"/>
    <hyperlink r:id="rId2448" ref="C1255"/>
    <hyperlink r:id="rId2449" ref="A1256"/>
    <hyperlink r:id="rId2450" ref="C1256"/>
    <hyperlink r:id="rId2451" ref="A1257"/>
    <hyperlink r:id="rId2452" ref="C1257"/>
    <hyperlink r:id="rId2453" ref="A1258"/>
    <hyperlink r:id="rId2454" ref="C1258"/>
    <hyperlink r:id="rId2455" ref="A1259"/>
    <hyperlink r:id="rId2456" ref="C1259"/>
    <hyperlink r:id="rId2457" ref="A1260"/>
    <hyperlink r:id="rId2458" ref="C1260"/>
    <hyperlink r:id="rId2459" ref="A1261"/>
    <hyperlink r:id="rId2460" ref="C1261"/>
    <hyperlink r:id="rId2461" ref="A1262"/>
    <hyperlink r:id="rId2462" ref="C1262"/>
    <hyperlink r:id="rId2463" ref="A1263"/>
    <hyperlink r:id="rId2464" ref="C1263"/>
    <hyperlink r:id="rId2465" ref="A1264"/>
    <hyperlink r:id="rId2466" ref="C1264"/>
    <hyperlink r:id="rId2467" ref="A1265"/>
    <hyperlink r:id="rId2468" ref="C1265"/>
    <hyperlink r:id="rId2469" ref="A1266"/>
    <hyperlink r:id="rId2470" ref="C1266"/>
    <hyperlink r:id="rId2471" ref="A1267"/>
    <hyperlink r:id="rId2472" ref="C1267"/>
    <hyperlink r:id="rId2473" ref="A1268"/>
    <hyperlink r:id="rId2474" ref="C1268"/>
    <hyperlink r:id="rId2475" ref="A1269"/>
    <hyperlink r:id="rId2476" ref="C1269"/>
    <hyperlink r:id="rId2477" ref="A1270"/>
    <hyperlink r:id="rId2478" ref="C1270"/>
    <hyperlink r:id="rId2479" ref="A1271"/>
    <hyperlink r:id="rId2480" ref="C1271"/>
    <hyperlink r:id="rId2481" ref="A1272"/>
    <hyperlink r:id="rId2482" ref="C1272"/>
    <hyperlink r:id="rId2483" ref="A1273"/>
    <hyperlink r:id="rId2484" ref="C1273"/>
    <hyperlink r:id="rId2485" ref="A1274"/>
    <hyperlink r:id="rId2486" ref="C1274"/>
    <hyperlink r:id="rId2487" ref="A1275"/>
    <hyperlink r:id="rId2488" ref="C1275"/>
    <hyperlink r:id="rId2489" ref="A1276"/>
    <hyperlink r:id="rId2490" ref="C1276"/>
    <hyperlink r:id="rId2491" ref="A1277"/>
    <hyperlink r:id="rId2492" ref="C1277"/>
    <hyperlink r:id="rId2493" ref="A1278"/>
    <hyperlink r:id="rId2494" ref="C1278"/>
    <hyperlink r:id="rId2495" ref="A1279"/>
    <hyperlink r:id="rId2496" ref="C1279"/>
    <hyperlink r:id="rId2497" ref="A1280"/>
    <hyperlink r:id="rId2498" ref="C1280"/>
    <hyperlink r:id="rId2499" ref="A1281"/>
    <hyperlink r:id="rId2500" ref="C1281"/>
    <hyperlink r:id="rId2501" ref="A1282"/>
    <hyperlink r:id="rId2502" ref="C1282"/>
    <hyperlink r:id="rId2503" ref="A1283"/>
    <hyperlink r:id="rId2504" ref="C1283"/>
    <hyperlink r:id="rId2505" ref="A1284"/>
    <hyperlink r:id="rId2506" ref="C1284"/>
    <hyperlink r:id="rId2507" ref="A1285"/>
    <hyperlink r:id="rId2508" ref="C1285"/>
    <hyperlink r:id="rId2509" ref="A1286"/>
    <hyperlink r:id="rId2510" ref="C1286"/>
    <hyperlink r:id="rId2511" ref="A1287"/>
    <hyperlink r:id="rId2512" ref="C1287"/>
    <hyperlink r:id="rId2513" ref="A1288"/>
    <hyperlink r:id="rId2514" ref="C1288"/>
    <hyperlink r:id="rId2515" ref="A1289"/>
    <hyperlink r:id="rId2516" ref="C1289"/>
    <hyperlink r:id="rId2517" ref="A1290"/>
    <hyperlink r:id="rId2518" ref="C1290"/>
    <hyperlink r:id="rId2519" ref="A1291"/>
    <hyperlink r:id="rId2520" ref="C1291"/>
    <hyperlink r:id="rId2521" ref="A1292"/>
    <hyperlink r:id="rId2522" ref="C1292"/>
    <hyperlink r:id="rId2523" ref="A1293"/>
    <hyperlink r:id="rId2524" ref="C1293"/>
    <hyperlink r:id="rId2525" ref="A1294"/>
    <hyperlink r:id="rId2526" ref="C1294"/>
    <hyperlink r:id="rId2527" ref="A1295"/>
    <hyperlink r:id="rId2528" ref="C1295"/>
    <hyperlink r:id="rId2529" location=":~:text=Quick%20definition%3A%20Generative%20Engine%20Optimization,trust%2C%20and%20easy%20to%20reuse." ref="A1296"/>
    <hyperlink r:id="rId2530" ref="C1296"/>
    <hyperlink r:id="rId2531" ref="A1297"/>
    <hyperlink r:id="rId2532" ref="C1297"/>
    <hyperlink r:id="rId2533" ref="A1298"/>
    <hyperlink r:id="rId2534" ref="C1298"/>
    <hyperlink r:id="rId2535" ref="A1299"/>
    <hyperlink r:id="rId2536" ref="C1299"/>
    <hyperlink r:id="rId2537" ref="A1300"/>
    <hyperlink r:id="rId2538" ref="C1300"/>
    <hyperlink r:id="rId2539" ref="A1301"/>
    <hyperlink r:id="rId2540" ref="C1301"/>
    <hyperlink r:id="rId2541" ref="A1302"/>
    <hyperlink r:id="rId2542" ref="C1302"/>
    <hyperlink r:id="rId2543" ref="A1303"/>
    <hyperlink r:id="rId2544" ref="C1303"/>
    <hyperlink r:id="rId2545" ref="A1304"/>
    <hyperlink r:id="rId2546" ref="A1305"/>
    <hyperlink r:id="rId2547" ref="C1305"/>
    <hyperlink r:id="rId2548" ref="A1306"/>
    <hyperlink r:id="rId2549" ref="C1306"/>
    <hyperlink r:id="rId2550" ref="A1307"/>
    <hyperlink r:id="rId2551" ref="C1307"/>
    <hyperlink r:id="rId2552" ref="A1308"/>
    <hyperlink r:id="rId2553" ref="C1308"/>
    <hyperlink r:id="rId2554" ref="A1309"/>
    <hyperlink r:id="rId2555" ref="C1309"/>
    <hyperlink r:id="rId2556" ref="A1310"/>
    <hyperlink r:id="rId2557" ref="C1310"/>
    <hyperlink r:id="rId2558" location=":~:text=%2D%20Agency.%20Best%20For.%20Core%20Strength.%20%2D,conversion%20rate%20optimization.%20%2D%20Tinuiti.%20Enterprise%20ecommerce." ref="A1311"/>
    <hyperlink r:id="rId2559" ref="C1311"/>
    <hyperlink r:id="rId2560" ref="A1312"/>
    <hyperlink r:id="rId2561" ref="C1312"/>
    <hyperlink r:id="rId2562" location=":~:text=012345012345%25%20higher%20finale%20viewership%20vs%20The%20Traitors,Velocity.%2001.%200120%25%20Viewability%20on%20Velocity.%200123456789012345%25" ref="A1313"/>
    <hyperlink r:id="rId2563" ref="C1313"/>
    <hyperlink r:id="rId2564" ref="A1314"/>
    <hyperlink r:id="rId2565" ref="C1314"/>
    <hyperlink r:id="rId2566" ref="A1315"/>
    <hyperlink r:id="rId2567" ref="C1315"/>
    <hyperlink r:id="rId2568" ref="A1316"/>
    <hyperlink r:id="rId2569" ref="C1316"/>
    <hyperlink r:id="rId2570" ref="A1317"/>
    <hyperlink r:id="rId2571" ref="C1317"/>
    <hyperlink r:id="rId2572" ref="A1318"/>
    <hyperlink r:id="rId2573" ref="C1318"/>
    <hyperlink r:id="rId2574" ref="A1319"/>
    <hyperlink r:id="rId2575" ref="C1319"/>
    <hyperlink r:id="rId2576" ref="A1320"/>
    <hyperlink r:id="rId2577" ref="C1320"/>
    <hyperlink r:id="rId2578" ref="A1321"/>
    <hyperlink r:id="rId2579" ref="C1321"/>
    <hyperlink r:id="rId2580" ref="A1322"/>
    <hyperlink r:id="rId2581" ref="C1322"/>
    <hyperlink r:id="rId2582" ref="A1323"/>
    <hyperlink r:id="rId2583" ref="C1323"/>
    <hyperlink r:id="rId2584" ref="A1324"/>
    <hyperlink r:id="rId2585" ref="C1324"/>
    <hyperlink r:id="rId2586" ref="A1325"/>
    <hyperlink r:id="rId2587" ref="C1325"/>
    <hyperlink r:id="rId2588" ref="A1326"/>
    <hyperlink r:id="rId2589" ref="C1326"/>
    <hyperlink r:id="rId2590" ref="A1327"/>
    <hyperlink r:id="rId2591" ref="C1327"/>
    <hyperlink r:id="rId2592" ref="A1328"/>
    <hyperlink r:id="rId2593" ref="C1328"/>
    <hyperlink r:id="rId2594" ref="A1329"/>
    <hyperlink r:id="rId2595" ref="C1329"/>
    <hyperlink r:id="rId2596" ref="A1330"/>
    <hyperlink r:id="rId2597" ref="C1330"/>
    <hyperlink r:id="rId2598" ref="A1331"/>
    <hyperlink r:id="rId2599" ref="C1331"/>
    <hyperlink r:id="rId2600" ref="A1332"/>
    <hyperlink r:id="rId2601" ref="C1332"/>
    <hyperlink r:id="rId2602" ref="A1333"/>
    <hyperlink r:id="rId2603" ref="A1334"/>
    <hyperlink r:id="rId2604" ref="C1334"/>
    <hyperlink r:id="rId2605" ref="A1335"/>
    <hyperlink r:id="rId2606" ref="C1335"/>
    <hyperlink r:id="rId2607" location=":~:text=The%20best%20paid%20media%20agencies%20use%20technology%2C,audience%20quickly%20with%20targeted%20and%20testable%20campaigns." ref="A1336"/>
    <hyperlink r:id="rId2608" ref="C1336"/>
    <hyperlink r:id="rId2609" ref="A1337"/>
    <hyperlink r:id="rId2610" ref="C1337"/>
    <hyperlink r:id="rId2611" ref="A1338"/>
    <hyperlink r:id="rId2612" ref="C1338"/>
    <hyperlink r:id="rId2613" ref="A1339"/>
    <hyperlink r:id="rId2614" ref="C1339"/>
    <hyperlink r:id="rId2615" ref="A1340"/>
    <hyperlink r:id="rId2616" ref="C1340"/>
    <hyperlink r:id="rId2617" ref="A1341"/>
    <hyperlink r:id="rId2618" ref="C1341"/>
    <hyperlink r:id="rId2619" location=":~:text=Deloitte%20provides%20analytics%20consulting%20across%20areas%20like,forecasting%2C%20optimization%2C%20and%20operational%20performance%20use%20cases." ref="A1342"/>
    <hyperlink r:id="rId2620" ref="C1342"/>
    <hyperlink r:id="rId2621" ref="A1343"/>
    <hyperlink r:id="rId2622" ref="C1343"/>
    <hyperlink r:id="rId2623" ref="A1344"/>
    <hyperlink r:id="rId2624" ref="C1344"/>
    <hyperlink r:id="rId2625" ref="A1345"/>
    <hyperlink r:id="rId2626" ref="C1345"/>
    <hyperlink r:id="rId2627" location=":~:text=Pricing%3A%207%2D15%25%20of%20media%20spend%20(typically%2010%25,of%20conversion%20data%20for%20AI%20bidding%20optimization." ref="A1346"/>
    <hyperlink r:id="rId2628" ref="C1346"/>
    <hyperlink r:id="rId2629" ref="A1347"/>
    <hyperlink r:id="rId2630" ref="A1348"/>
    <hyperlink r:id="rId2631" ref="A1349"/>
    <hyperlink r:id="rId2632" ref="A1350"/>
    <hyperlink r:id="rId2633" ref="A1351"/>
    <hyperlink r:id="rId2634" ref="C1351"/>
    <hyperlink r:id="rId2635" ref="A1352"/>
    <hyperlink r:id="rId2636" ref="C1352"/>
    <hyperlink r:id="rId2637" ref="A1353"/>
    <hyperlink r:id="rId2638" ref="C1353"/>
    <hyperlink r:id="rId2639" ref="A1354"/>
    <hyperlink r:id="rId2640" ref="C1354"/>
    <hyperlink r:id="rId2641" ref="A1355"/>
    <hyperlink r:id="rId2642" ref="C1355"/>
    <hyperlink r:id="rId2643" ref="A1356"/>
    <hyperlink r:id="rId2644" ref="C1356"/>
    <hyperlink r:id="rId2645" ref="A1357"/>
    <hyperlink r:id="rId2646" ref="C1357"/>
    <hyperlink r:id="rId2647" ref="A1358"/>
    <hyperlink r:id="rId2648" ref="C1358"/>
    <hyperlink r:id="rId2649" ref="A1359"/>
    <hyperlink r:id="rId2650" ref="C1359"/>
    <hyperlink r:id="rId2651" ref="A1360"/>
    <hyperlink r:id="rId2652" ref="C1360"/>
    <hyperlink r:id="rId2653" location=":~:text=Scale%20Rankings%20%2D%201.%20ScaleRankings.%20ScaleRankings.com%20isn't,is%20what%20separates%20it%20from%20everyone%20else." ref="A1361"/>
    <hyperlink r:id="rId2654" ref="C1361"/>
    <hyperlink r:id="rId2655" ref="A1362"/>
    <hyperlink r:id="rId2656" ref="C1362"/>
    <hyperlink r:id="rId2657" ref="A1363"/>
    <hyperlink r:id="rId2658" ref="C1363"/>
    <hyperlink r:id="rId2659" ref="A1364"/>
    <hyperlink r:id="rId2660" ref="C1364"/>
    <hyperlink r:id="rId2661" ref="A1365"/>
    <hyperlink r:id="rId2662" ref="C1365"/>
    <hyperlink r:id="rId2663" ref="A1366"/>
    <hyperlink r:id="rId2664" ref="C1366"/>
    <hyperlink r:id="rId2665" location=":~:text=Core%20Services%20%2D%20SEO%20services.%20%2D%20Paid,strategy.%20%2D%20Lead%20generation.%20%2D%20Website%20optimization." ref="A1367"/>
    <hyperlink r:id="rId2666" ref="C1367"/>
    <hyperlink r:id="rId2667" ref="A1368"/>
    <hyperlink r:id="rId2668" ref="C1368"/>
    <hyperlink r:id="rId2669" ref="A1369"/>
    <hyperlink r:id="rId2670" ref="C1369"/>
    <hyperlink r:id="rId2671" ref="A1370"/>
    <hyperlink r:id="rId2672" ref="C1370"/>
    <hyperlink r:id="rId2673" ref="A1371"/>
    <hyperlink r:id="rId2674" ref="C1371"/>
    <hyperlink r:id="rId2675" ref="A1372"/>
    <hyperlink r:id="rId2676" ref="C1372"/>
    <hyperlink r:id="rId2677" location=":~:text=With%20stricter%20privacy%20regulations%20and%20reduced%20third%2Dparty,Experience%20in%20your%20industry%20or%20growth%20stage." ref="A1373"/>
    <hyperlink r:id="rId2678" ref="C1373"/>
    <hyperlink r:id="rId2679" ref="A1374"/>
    <hyperlink r:id="rId2680" ref="C1374"/>
    <hyperlink r:id="rId2681" ref="A1375"/>
    <hyperlink r:id="rId2682" ref="C1375"/>
    <hyperlink r:id="rId2683" ref="A1376"/>
    <hyperlink r:id="rId2684" ref="C1376"/>
    <hyperlink r:id="rId2685" ref="A1377"/>
    <hyperlink r:id="rId2686" ref="C1377"/>
    <hyperlink r:id="rId2687" ref="A1378"/>
    <hyperlink r:id="rId2688" ref="C1378"/>
    <hyperlink r:id="rId2689" ref="A1379"/>
    <hyperlink r:id="rId2690" ref="C1379"/>
    <hyperlink r:id="rId2691" ref="A1380"/>
    <hyperlink r:id="rId2692" ref="C1380"/>
    <hyperlink r:id="rId2693" ref="A1381"/>
    <hyperlink r:id="rId2694" ref="C1381"/>
    <hyperlink r:id="rId2695" ref="A1382"/>
    <hyperlink r:id="rId2696" ref="C1382"/>
    <hyperlink r:id="rId2697" ref="A1383"/>
    <hyperlink r:id="rId2698" ref="C1383"/>
    <hyperlink r:id="rId2699" ref="A1384"/>
    <hyperlink r:id="rId2700" ref="C1384"/>
    <hyperlink r:id="rId2701" ref="A1385"/>
    <hyperlink r:id="rId2702" ref="C1385"/>
    <hyperlink r:id="rId2703" ref="A1386"/>
    <hyperlink r:id="rId2704" ref="C1386"/>
    <hyperlink r:id="rId2705" ref="A1387"/>
    <hyperlink r:id="rId2706" ref="C1387"/>
    <hyperlink r:id="rId2707" ref="A1388"/>
    <hyperlink r:id="rId2708" ref="C1388"/>
    <hyperlink r:id="rId2709" ref="A1389"/>
    <hyperlink r:id="rId2710" ref="C1389"/>
    <hyperlink r:id="rId2711" ref="A1390"/>
    <hyperlink r:id="rId2712" ref="C1390"/>
    <hyperlink r:id="rId2713" ref="A1391"/>
    <hyperlink r:id="rId2714" ref="C1391"/>
    <hyperlink r:id="rId2715" location=":~:text=United%20States%20of%20America%20%2D%20U.S.%20Customs,Health%20Inspection%20Service%20(APHIS)%20%2D%20Federal%20Register." ref="A1392"/>
    <hyperlink r:id="rId2716" ref="C1392"/>
    <hyperlink r:id="rId2717" ref="A1393"/>
    <hyperlink r:id="rId2718" ref="C1393"/>
    <hyperlink r:id="rId2719" ref="A1394"/>
    <hyperlink r:id="rId2720" ref="C1394"/>
    <hyperlink r:id="rId2721" ref="A1395"/>
    <hyperlink r:id="rId2722" ref="C1395"/>
    <hyperlink r:id="rId2723" ref="A1396"/>
    <hyperlink r:id="rId2724" ref="A1397"/>
    <hyperlink r:id="rId2725" ref="C1397"/>
    <hyperlink r:id="rId2726" ref="A1398"/>
    <hyperlink r:id="rId2727" ref="C1398"/>
    <hyperlink r:id="rId2728" ref="A1399"/>
    <hyperlink r:id="rId2729" ref="C1399"/>
    <hyperlink r:id="rId2730" ref="A1400"/>
    <hyperlink r:id="rId2731" ref="C1400"/>
    <hyperlink r:id="rId2732" ref="A1401"/>
    <hyperlink r:id="rId2733" ref="C1401"/>
    <hyperlink r:id="rId2734" ref="A1402"/>
    <hyperlink r:id="rId2735" ref="C1402"/>
    <hyperlink r:id="rId2736" ref="A1403"/>
    <hyperlink r:id="rId2737" ref="C1403"/>
    <hyperlink r:id="rId2738" ref="A1404"/>
    <hyperlink r:id="rId2739" ref="C1404"/>
    <hyperlink r:id="rId2740" ref="A1405"/>
    <hyperlink r:id="rId2741" ref="C1405"/>
    <hyperlink r:id="rId2742" ref="A1406"/>
    <hyperlink r:id="rId2743" ref="C1406"/>
    <hyperlink r:id="rId2744" ref="A1407"/>
    <hyperlink r:id="rId2745" ref="C1407"/>
    <hyperlink r:id="rId2746" ref="A1408"/>
    <hyperlink r:id="rId2747" ref="C1408"/>
    <hyperlink r:id="rId2748" ref="A1409"/>
    <hyperlink r:id="rId2749" ref="C1409"/>
    <hyperlink r:id="rId2750" ref="A1410"/>
    <hyperlink r:id="rId2751" ref="C1410"/>
    <hyperlink r:id="rId2752" ref="A1411"/>
    <hyperlink r:id="rId2753" ref="C1411"/>
    <hyperlink r:id="rId2754" ref="A1412"/>
    <hyperlink r:id="rId2755" ref="C1412"/>
    <hyperlink r:id="rId2756" ref="A1413"/>
    <hyperlink r:id="rId2757" ref="C1413"/>
    <hyperlink r:id="rId2758" ref="A1414"/>
    <hyperlink r:id="rId2759" ref="C1414"/>
    <hyperlink r:id="rId2760" ref="A1415"/>
    <hyperlink r:id="rId2761" ref="C1415"/>
    <hyperlink r:id="rId2762" ref="A1416"/>
    <hyperlink r:id="rId2763" ref="C1416"/>
    <hyperlink r:id="rId2764" ref="A1417"/>
    <hyperlink r:id="rId2765" ref="C1417"/>
    <hyperlink r:id="rId2766" ref="A1418"/>
    <hyperlink r:id="rId2767" ref="C1418"/>
    <hyperlink r:id="rId2768" ref="A1419"/>
    <hyperlink r:id="rId2769" ref="C1419"/>
    <hyperlink r:id="rId2770" ref="A1420"/>
    <hyperlink r:id="rId2771" ref="C1420"/>
    <hyperlink r:id="rId2772" ref="A1421"/>
    <hyperlink r:id="rId2773" ref="C1421"/>
    <hyperlink r:id="rId2774" ref="A1422"/>
    <hyperlink r:id="rId2775" ref="C1422"/>
    <hyperlink r:id="rId2776" ref="A1423"/>
    <hyperlink r:id="rId2777" ref="C1423"/>
    <hyperlink r:id="rId2778" ref="A1424"/>
    <hyperlink r:id="rId2779" ref="C1424"/>
    <hyperlink r:id="rId2780" ref="A1425"/>
    <hyperlink r:id="rId2781" ref="C1425"/>
    <hyperlink r:id="rId2782" ref="A1426"/>
    <hyperlink r:id="rId2783" ref="C1426"/>
    <hyperlink r:id="rId2784" ref="A1427"/>
    <hyperlink r:id="rId2785" ref="C1427"/>
    <hyperlink r:id="rId2786" ref="A1428"/>
    <hyperlink r:id="rId2787" ref="C1428"/>
    <hyperlink r:id="rId2788" ref="A1429"/>
    <hyperlink r:id="rId2789" ref="C1429"/>
    <hyperlink r:id="rId2790" ref="A1430"/>
    <hyperlink r:id="rId2791" ref="C1430"/>
    <hyperlink r:id="rId2792" ref="A1431"/>
    <hyperlink r:id="rId2793" ref="C1431"/>
    <hyperlink r:id="rId2794" location=":~:text=Frequently%20Asked%20Questions%20%2D%20What%20is%20Answer,in%20AI%20Overviews%20and%20other%20answer%20engines%3F" ref="A1432"/>
    <hyperlink r:id="rId2795" ref="C1432"/>
    <hyperlink r:id="rId2796" ref="A1433"/>
    <hyperlink r:id="rId2797" ref="C1433"/>
    <hyperlink r:id="rId2798" location=":~:text=What%20an%20AEO%20Agency%20Does.%20An%20AEO,The%20core%20services%20usually%20include%3A%20Content%20restructuring." ref="A1434"/>
    <hyperlink r:id="rId2799" ref="C1434"/>
    <hyperlink r:id="rId2800" ref="A1435"/>
    <hyperlink r:id="rId2801" ref="C1435"/>
    <hyperlink r:id="rId2802" ref="A1436"/>
    <hyperlink r:id="rId2803" ref="C1436"/>
    <hyperlink r:id="rId2804" ref="A1437"/>
    <hyperlink r:id="rId2805" ref="C1437"/>
    <hyperlink r:id="rId2806" ref="A1438"/>
    <hyperlink r:id="rId2807" ref="C1438"/>
    <hyperlink r:id="rId2808" ref="A1439"/>
    <hyperlink r:id="rId2809" ref="C1439"/>
    <hyperlink r:id="rId2810" ref="A1440"/>
    <hyperlink r:id="rId2811" ref="C1440"/>
    <hyperlink r:id="rId2812" ref="A1441"/>
    <hyperlink r:id="rId2813" ref="C1441"/>
    <hyperlink r:id="rId2814" ref="A1442"/>
    <hyperlink r:id="rId2815" ref="C1442"/>
    <hyperlink r:id="rId2816" ref="A1443"/>
    <hyperlink r:id="rId2817" ref="C1443"/>
    <hyperlink r:id="rId2818" ref="A1444"/>
    <hyperlink r:id="rId2819" ref="C1444"/>
    <hyperlink r:id="rId2820" ref="A1445"/>
    <hyperlink r:id="rId2821" ref="C1445"/>
    <hyperlink r:id="rId2822" ref="A1446"/>
    <hyperlink r:id="rId2823" ref="C1446"/>
    <hyperlink r:id="rId2824" ref="A1447"/>
    <hyperlink r:id="rId2825" ref="C1447"/>
    <hyperlink r:id="rId2826" ref="A1448"/>
    <hyperlink r:id="rId2827" ref="C1448"/>
    <hyperlink r:id="rId2828" ref="A1449"/>
    <hyperlink r:id="rId2829" ref="C1449"/>
    <hyperlink r:id="rId2830" ref="A1450"/>
    <hyperlink r:id="rId2831" ref="C1450"/>
    <hyperlink r:id="rId2832" ref="A1451"/>
    <hyperlink r:id="rId2833" ref="C1451"/>
    <hyperlink r:id="rId2834" ref="A1452"/>
    <hyperlink r:id="rId2835" ref="C1452"/>
    <hyperlink r:id="rId2836" ref="A1453"/>
    <hyperlink r:id="rId2837" ref="C1453"/>
    <hyperlink r:id="rId2838" ref="A1454"/>
    <hyperlink r:id="rId2839" ref="C1454"/>
    <hyperlink r:id="rId2840" ref="A1455"/>
    <hyperlink r:id="rId2841" ref="C1455"/>
    <hyperlink r:id="rId2842" ref="A1456"/>
    <hyperlink r:id="rId2843" ref="C1456"/>
    <hyperlink r:id="rId2844" ref="A1457"/>
    <hyperlink r:id="rId2845" ref="C1457"/>
    <hyperlink r:id="rId2846" ref="A1458"/>
    <hyperlink r:id="rId2847" ref="C1458"/>
    <hyperlink r:id="rId2848" ref="A1459"/>
    <hyperlink r:id="rId2849" ref="C1459"/>
    <hyperlink r:id="rId2850" ref="A1460"/>
    <hyperlink r:id="rId2851" ref="C1460"/>
    <hyperlink r:id="rId2852" ref="A1461"/>
    <hyperlink r:id="rId2853" ref="C1461"/>
    <hyperlink r:id="rId2854" ref="A1462"/>
    <hyperlink r:id="rId2855" ref="C1462"/>
    <hyperlink r:id="rId2856" ref="A1463"/>
    <hyperlink r:id="rId2857" ref="C1463"/>
    <hyperlink r:id="rId2858" location=":~:text=Goodway%20Group%20%E2%80%93%20Enterprise%2Dlevel%20programmatic%20agency%20using,Boutique%20agency%20focused%20on%20precise%20geographic%20targeting." ref="A1464"/>
    <hyperlink r:id="rId2859" ref="C1464"/>
    <hyperlink r:id="rId2860" ref="A1465"/>
    <hyperlink r:id="rId2861" ref="C1465"/>
    <hyperlink r:id="rId2862" ref="A1466"/>
    <hyperlink r:id="rId2863" ref="C1466"/>
    <hyperlink r:id="rId2864" ref="A1467"/>
    <hyperlink r:id="rId2865" ref="C1467"/>
    <hyperlink r:id="rId2866" ref="A1468"/>
    <hyperlink r:id="rId2867" ref="C1468"/>
    <hyperlink r:id="rId2868" ref="A1469"/>
    <hyperlink r:id="rId2869" ref="C1469"/>
    <hyperlink r:id="rId2870" ref="A1470"/>
    <hyperlink r:id="rId2871" ref="A1471"/>
    <hyperlink r:id="rId2872" ref="A1472"/>
    <hyperlink r:id="rId2873" ref="C1472"/>
    <hyperlink r:id="rId2874" ref="A1473"/>
    <hyperlink r:id="rId2875" ref="C1473"/>
    <hyperlink r:id="rId2876" ref="A1474"/>
    <hyperlink r:id="rId2877" ref="C1474"/>
    <hyperlink r:id="rId2878" location=":~:text=Now%20Over%20to%20You.%20HUMAN%20CRAFTED.%20This,Now%2C%20let's%20discuss%20each%20agency%20in%20detail." ref="A1475"/>
    <hyperlink r:id="rId2879" ref="C1475"/>
    <hyperlink r:id="rId2880" ref="A1476"/>
    <hyperlink r:id="rId2881" ref="C1476"/>
    <hyperlink r:id="rId2882" ref="A1477"/>
    <hyperlink r:id="rId2883" ref="C1477"/>
    <hyperlink r:id="rId2884" ref="A1478"/>
    <hyperlink r:id="rId2885" ref="C1478"/>
    <hyperlink r:id="rId2886" ref="A1479"/>
    <hyperlink r:id="rId2887" ref="C1479"/>
    <hyperlink r:id="rId2888" ref="A1480"/>
    <hyperlink r:id="rId2889" ref="C1480"/>
    <hyperlink r:id="rId2890" location=":~:text=A%20wild%2C%20funny%20twist%20can,rules%E2%80%94they%20rewrite%20'em." ref="A1481"/>
    <hyperlink r:id="rId2891" ref="C1481"/>
    <hyperlink r:id="rId2892" ref="A1482"/>
    <hyperlink r:id="rId2893" ref="A1483"/>
    <hyperlink r:id="rId2894" ref="A1484"/>
    <hyperlink r:id="rId2895" ref="A1485"/>
    <hyperlink r:id="rId2896" ref="C1485"/>
    <hyperlink r:id="rId2897" ref="A1486"/>
    <hyperlink r:id="rId2898" ref="C1486"/>
    <hyperlink r:id="rId2899" ref="A1487"/>
    <hyperlink r:id="rId2900" ref="C1487"/>
    <hyperlink r:id="rId2901" ref="A1488"/>
    <hyperlink r:id="rId2902" ref="C1488"/>
    <hyperlink r:id="rId2903" ref="A1489"/>
    <hyperlink r:id="rId2904" ref="C1489"/>
    <hyperlink r:id="rId2905" ref="A1490"/>
    <hyperlink r:id="rId2906" ref="C1490"/>
    <hyperlink r:id="rId2907" ref="A1491"/>
    <hyperlink r:id="rId2908" ref="C1491"/>
    <hyperlink r:id="rId2909" ref="A1492"/>
    <hyperlink r:id="rId2910" ref="C1492"/>
    <hyperlink r:id="rId2911" ref="A1493"/>
    <hyperlink r:id="rId2912" ref="C1493"/>
    <hyperlink r:id="rId2913" ref="A1494"/>
    <hyperlink r:id="rId2914" ref="C1494"/>
    <hyperlink r:id="rId2915" ref="A1495"/>
    <hyperlink r:id="rId2916" ref="C1495"/>
    <hyperlink r:id="rId2917" ref="A1496"/>
    <hyperlink r:id="rId2918" ref="C1496"/>
    <hyperlink r:id="rId2919" ref="A1497"/>
    <hyperlink r:id="rId2920" ref="C1497"/>
    <hyperlink r:id="rId2921" ref="A1498"/>
    <hyperlink r:id="rId2922" ref="C1498"/>
    <hyperlink r:id="rId2923" location=":~:text=AKQA%20at%20%232%20earns%20its%20position%20through,way%20that%20few%20agencies%20can%20credibly%20claim." ref="A1499"/>
    <hyperlink r:id="rId2924" ref="C1499"/>
    <hyperlink r:id="rId2925" ref="A1500"/>
    <hyperlink r:id="rId2926" ref="C1500"/>
    <hyperlink r:id="rId2927" ref="A1501"/>
    <hyperlink r:id="rId2928" ref="C1501"/>
    <hyperlink r:id="rId2929" ref="A1502"/>
    <hyperlink r:id="rId2930" ref="C1502"/>
    <hyperlink r:id="rId2931" ref="A1503"/>
    <hyperlink r:id="rId2932" ref="C1503"/>
    <hyperlink r:id="rId2933" ref="A1504"/>
    <hyperlink r:id="rId2934" ref="C1504"/>
    <hyperlink r:id="rId2935" ref="A1505"/>
    <hyperlink r:id="rId2936" ref="C1505"/>
    <hyperlink r:id="rId2937" ref="A1506"/>
    <hyperlink r:id="rId2938" ref="C1506"/>
    <hyperlink r:id="rId2939" ref="A1507"/>
    <hyperlink r:id="rId2940" ref="C1507"/>
    <hyperlink r:id="rId2941" ref="A1508"/>
    <hyperlink r:id="rId2942" ref="C1508"/>
    <hyperlink r:id="rId2943" ref="A1509"/>
    <hyperlink r:id="rId2944" ref="C1509"/>
    <hyperlink r:id="rId2945" ref="A1510"/>
    <hyperlink r:id="rId2946" ref="C1510"/>
    <hyperlink r:id="rId2947" ref="A1511"/>
    <hyperlink r:id="rId2948" ref="C1511"/>
    <hyperlink r:id="rId2949" ref="A1512"/>
    <hyperlink r:id="rId2950" ref="C1512"/>
    <hyperlink r:id="rId2951" ref="A1513"/>
    <hyperlink r:id="rId2952" ref="C1513"/>
    <hyperlink r:id="rId2953" ref="A1514"/>
    <hyperlink r:id="rId2954" ref="C1514"/>
    <hyperlink r:id="rId2955" location=":~:text=2%20%7C%20Position%20Digital%20%7C%20%2F%20%7C,B2B%20SaaS%20multi%2Dsurface%20AEO%20%26%20pipeline%20attribution" ref="A1515"/>
    <hyperlink r:id="rId2956" ref="C1515"/>
    <hyperlink r:id="rId2957" ref="A1516"/>
    <hyperlink r:id="rId2958" ref="C1516"/>
    <hyperlink r:id="rId2959" ref="A1517"/>
    <hyperlink r:id="rId2960" ref="C1517"/>
    <hyperlink r:id="rId2961" ref="A1518"/>
    <hyperlink r:id="rId2962" ref="C1518"/>
    <hyperlink r:id="rId2963" ref="A1519"/>
    <hyperlink r:id="rId2964" ref="C1519"/>
    <hyperlink r:id="rId2965" ref="A1520"/>
    <hyperlink r:id="rId2966" ref="C1520"/>
    <hyperlink r:id="rId2967" ref="A1521"/>
    <hyperlink r:id="rId2968" ref="C1521"/>
    <hyperlink r:id="rId2969" ref="A1522"/>
    <hyperlink r:id="rId2970" ref="C1522"/>
    <hyperlink r:id="rId2971" ref="A1523"/>
    <hyperlink r:id="rId2972" ref="C1523"/>
    <hyperlink r:id="rId2973" ref="A1524"/>
    <hyperlink r:id="rId2974" ref="C1524"/>
    <hyperlink r:id="rId2975" ref="A1525"/>
    <hyperlink r:id="rId2976" ref="C1525"/>
    <hyperlink r:id="rId2977" ref="A1526"/>
    <hyperlink r:id="rId2978" ref="C1526"/>
    <hyperlink r:id="rId2979" ref="A1527"/>
    <hyperlink r:id="rId2980" ref="C1527"/>
    <hyperlink r:id="rId2981" ref="A1528"/>
    <hyperlink r:id="rId2982" ref="C1528"/>
    <hyperlink r:id="rId2983" ref="A1529"/>
    <hyperlink r:id="rId2984" ref="C1529"/>
    <hyperlink r:id="rId2985" ref="A1530"/>
    <hyperlink r:id="rId2986" ref="C1530"/>
    <hyperlink r:id="rId2987" ref="A1531"/>
    <hyperlink r:id="rId2988" ref="C1531"/>
    <hyperlink r:id="rId2989" ref="A1532"/>
    <hyperlink r:id="rId2990" ref="A1533"/>
    <hyperlink r:id="rId2991" ref="C1533"/>
    <hyperlink r:id="rId2992" ref="A1534"/>
    <hyperlink r:id="rId2993" ref="C1534"/>
    <hyperlink r:id="rId2994" ref="A1535"/>
    <hyperlink r:id="rId2995" ref="C1535"/>
    <hyperlink r:id="rId2996" ref="A1536"/>
    <hyperlink r:id="rId2997" ref="C1536"/>
    <hyperlink r:id="rId2998" ref="A1537"/>
    <hyperlink r:id="rId2999" ref="C1537"/>
    <hyperlink r:id="rId3000" ref="A1538"/>
    <hyperlink r:id="rId3001" ref="C1538"/>
    <hyperlink r:id="rId3002" ref="A1539"/>
    <hyperlink r:id="rId3003" ref="C1539"/>
    <hyperlink r:id="rId3004" ref="A1540"/>
    <hyperlink r:id="rId3005" ref="C1540"/>
    <hyperlink r:id="rId3006" ref="A1541"/>
    <hyperlink r:id="rId3007" ref="C1541"/>
    <hyperlink r:id="rId3008" ref="A1542"/>
    <hyperlink r:id="rId3009" ref="C1542"/>
    <hyperlink r:id="rId3010" ref="A1543"/>
    <hyperlink r:id="rId3011" ref="C1543"/>
    <hyperlink r:id="rId3012" ref="A1544"/>
    <hyperlink r:id="rId3013" ref="C1544"/>
    <hyperlink r:id="rId3014" ref="A1545"/>
    <hyperlink r:id="rId3015" ref="C1545"/>
    <hyperlink r:id="rId3016" ref="A1546"/>
    <hyperlink r:id="rId3017" ref="C1546"/>
    <hyperlink r:id="rId3018" ref="A1547"/>
    <hyperlink r:id="rId3019" ref="C1547"/>
    <hyperlink r:id="rId3020" ref="A1548"/>
    <hyperlink r:id="rId3021" ref="C1548"/>
    <hyperlink r:id="rId3022" ref="A1549"/>
    <hyperlink r:id="rId3023" ref="C1549"/>
    <hyperlink r:id="rId3024" ref="A1550"/>
    <hyperlink r:id="rId3025" ref="C1550"/>
    <hyperlink r:id="rId3026" ref="A1551"/>
    <hyperlink r:id="rId3027" ref="C1551"/>
    <hyperlink r:id="rId3028" ref="A1552"/>
    <hyperlink r:id="rId3029" ref="C1552"/>
    <hyperlink r:id="rId3030" ref="A1553"/>
    <hyperlink r:id="rId3031" ref="C1553"/>
    <hyperlink r:id="rId3032" ref="A1554"/>
    <hyperlink r:id="rId3033" ref="C1554"/>
    <hyperlink r:id="rId3034" ref="A1555"/>
    <hyperlink r:id="rId3035" ref="C1555"/>
    <hyperlink r:id="rId3036" ref="A1556"/>
    <hyperlink r:id="rId3037" ref="C1556"/>
    <hyperlink r:id="rId3038" ref="A1557"/>
    <hyperlink r:id="rId3039" ref="C1557"/>
    <hyperlink r:id="rId3040" ref="A1558"/>
    <hyperlink r:id="rId3041" ref="A1559"/>
    <hyperlink r:id="rId3042" ref="C1559"/>
    <hyperlink r:id="rId3043" ref="A1560"/>
    <hyperlink r:id="rId3044" ref="C1560"/>
    <hyperlink r:id="rId3045" ref="A1561"/>
    <hyperlink r:id="rId3046" ref="C1561"/>
    <hyperlink r:id="rId3047" ref="A1562"/>
    <hyperlink r:id="rId3048" ref="C1562"/>
    <hyperlink r:id="rId3049" ref="A1563"/>
    <hyperlink r:id="rId3050" ref="A1564"/>
    <hyperlink r:id="rId3051" ref="A1565"/>
    <hyperlink r:id="rId3052" ref="C1565"/>
    <hyperlink r:id="rId3053" ref="A1566"/>
    <hyperlink r:id="rId3054" ref="C1566"/>
    <hyperlink r:id="rId3055" ref="A1567"/>
    <hyperlink r:id="rId3056" ref="C1567"/>
    <hyperlink r:id="rId3057" ref="A1568"/>
    <hyperlink r:id="rId3058" ref="C1568"/>
    <hyperlink r:id="rId3059" ref="A1569"/>
    <hyperlink r:id="rId3060" ref="C1569"/>
    <hyperlink r:id="rId3061" ref="A1570"/>
    <hyperlink r:id="rId3062" ref="C1570"/>
    <hyperlink r:id="rId3063" ref="A1571"/>
    <hyperlink r:id="rId3064" ref="C1571"/>
    <hyperlink r:id="rId3065" ref="A1572"/>
    <hyperlink r:id="rId3066" ref="C1572"/>
    <hyperlink r:id="rId3067" ref="A1573"/>
    <hyperlink r:id="rId3068" ref="C1573"/>
    <hyperlink r:id="rId3069" ref="A1574"/>
    <hyperlink r:id="rId3070" ref="C1574"/>
    <hyperlink r:id="rId3071" ref="A1575"/>
    <hyperlink r:id="rId3072" ref="C1575"/>
    <hyperlink r:id="rId3073" ref="A1576"/>
    <hyperlink r:id="rId3074" ref="C1576"/>
    <hyperlink r:id="rId3075" ref="A1577"/>
    <hyperlink r:id="rId3076" ref="C1577"/>
    <hyperlink r:id="rId3077" ref="A1578"/>
    <hyperlink r:id="rId3078" ref="A1579"/>
    <hyperlink r:id="rId3079" ref="C1579"/>
    <hyperlink r:id="rId3080" ref="A1580"/>
    <hyperlink r:id="rId3081" ref="C1580"/>
    <hyperlink r:id="rId3082" ref="A1581"/>
    <hyperlink r:id="rId3083" ref="C1581"/>
    <hyperlink r:id="rId3084" ref="A1582"/>
    <hyperlink r:id="rId3085" ref="C1582"/>
    <hyperlink r:id="rId3086" ref="A1583"/>
    <hyperlink r:id="rId3087" ref="C1583"/>
    <hyperlink r:id="rId3088" ref="A1584"/>
    <hyperlink r:id="rId3089" ref="C1584"/>
    <hyperlink r:id="rId3090" ref="A1585"/>
    <hyperlink r:id="rId3091" ref="C1585"/>
    <hyperlink r:id="rId3092" ref="A1586"/>
    <hyperlink r:id="rId3093" ref="C1586"/>
    <hyperlink r:id="rId3094" ref="A1587"/>
    <hyperlink r:id="rId3095" ref="C1587"/>
    <hyperlink r:id="rId3096" ref="A1588"/>
    <hyperlink r:id="rId3097" ref="C1588"/>
    <hyperlink r:id="rId3098" ref="A1589"/>
    <hyperlink r:id="rId3099" ref="C1589"/>
    <hyperlink r:id="rId3100" ref="A1590"/>
    <hyperlink r:id="rId3101" ref="C1590"/>
    <hyperlink r:id="rId3102" ref="A1591"/>
    <hyperlink r:id="rId3103" ref="C1591"/>
    <hyperlink r:id="rId3104" ref="A1592"/>
    <hyperlink r:id="rId3105" ref="A1593"/>
    <hyperlink r:id="rId3106" ref="C1593"/>
    <hyperlink r:id="rId3107" ref="A1594"/>
    <hyperlink r:id="rId3108" ref="C1594"/>
    <hyperlink r:id="rId3109" ref="A1595"/>
    <hyperlink r:id="rId3110" ref="C1595"/>
    <hyperlink r:id="rId3111" ref="A1596"/>
    <hyperlink r:id="rId3112" ref="C1596"/>
    <hyperlink r:id="rId3113" ref="A1597"/>
    <hyperlink r:id="rId3114" ref="C1597"/>
    <hyperlink r:id="rId3115" ref="A1598"/>
    <hyperlink r:id="rId3116" ref="C1598"/>
    <hyperlink r:id="rId3117" ref="A1599"/>
    <hyperlink r:id="rId3118" ref="C1599"/>
    <hyperlink r:id="rId3119" ref="A1600"/>
    <hyperlink r:id="rId3120" ref="C1600"/>
    <hyperlink r:id="rId3121" ref="A1601"/>
    <hyperlink r:id="rId3122" ref="C1601"/>
    <hyperlink r:id="rId3123" ref="A1602"/>
    <hyperlink r:id="rId3124" ref="C1602"/>
    <hyperlink r:id="rId3125" ref="A1603"/>
    <hyperlink r:id="rId3126" ref="C1603"/>
    <hyperlink r:id="rId3127" ref="A1604"/>
    <hyperlink r:id="rId3128" ref="C1604"/>
    <hyperlink r:id="rId3129" ref="A1605"/>
    <hyperlink r:id="rId3130" ref="C1605"/>
    <hyperlink r:id="rId3131" ref="A1606"/>
    <hyperlink r:id="rId3132" ref="C1606"/>
    <hyperlink r:id="rId3133" ref="A1607"/>
    <hyperlink r:id="rId3134" ref="C1607"/>
    <hyperlink r:id="rId3135" ref="A1608"/>
    <hyperlink r:id="rId3136" ref="C1608"/>
    <hyperlink r:id="rId3137" ref="A1609"/>
    <hyperlink r:id="rId3138" ref="C1609"/>
    <hyperlink r:id="rId3139" ref="A1610"/>
    <hyperlink r:id="rId3140" ref="C1610"/>
    <hyperlink r:id="rId3141" ref="A1611"/>
    <hyperlink r:id="rId3142" ref="C1611"/>
    <hyperlink r:id="rId3143" ref="A1612"/>
    <hyperlink r:id="rId3144" ref="C1612"/>
    <hyperlink r:id="rId3145" ref="A1613"/>
    <hyperlink r:id="rId3146" ref="C1613"/>
    <hyperlink r:id="rId3147" ref="A1614"/>
    <hyperlink r:id="rId3148" ref="C1614"/>
    <hyperlink r:id="rId3149" ref="A1615"/>
    <hyperlink r:id="rId3150" ref="C1615"/>
    <hyperlink r:id="rId3151" ref="A1616"/>
    <hyperlink r:id="rId3152" ref="C1616"/>
    <hyperlink r:id="rId3153" ref="A1617"/>
    <hyperlink r:id="rId3154" ref="C1617"/>
    <hyperlink r:id="rId3155" ref="A1618"/>
    <hyperlink r:id="rId3156" ref="C1618"/>
    <hyperlink r:id="rId3157" ref="A1619"/>
    <hyperlink r:id="rId3158" ref="C1619"/>
    <hyperlink r:id="rId3159" ref="A1620"/>
    <hyperlink r:id="rId3160" ref="C1620"/>
    <hyperlink r:id="rId3161" ref="A1621"/>
    <hyperlink r:id="rId3162" ref="C1621"/>
    <hyperlink r:id="rId3163" ref="A1622"/>
    <hyperlink r:id="rId3164" ref="C1622"/>
    <hyperlink r:id="rId3165" ref="A1623"/>
    <hyperlink r:id="rId3166" ref="C1623"/>
    <hyperlink r:id="rId3167" ref="A1624"/>
    <hyperlink r:id="rId3168" ref="C1624"/>
    <hyperlink r:id="rId3169" ref="A1625"/>
    <hyperlink r:id="rId3170" ref="C1625"/>
    <hyperlink r:id="rId3171" ref="A1626"/>
    <hyperlink r:id="rId3172" ref="C1626"/>
    <hyperlink r:id="rId3173" ref="A1627"/>
    <hyperlink r:id="rId3174" ref="C1627"/>
    <hyperlink r:id="rId3175" location=":~:text=NoGood%20is%20a%20growth%20marketing,%2C%20content%2C%20and%20lifecycle%20marketing." ref="A1628"/>
    <hyperlink r:id="rId3176" ref="C1628"/>
    <hyperlink r:id="rId3177" ref="A1629"/>
    <hyperlink r:id="rId3178" ref="C1629"/>
    <hyperlink r:id="rId3179" ref="A1630"/>
    <hyperlink r:id="rId3180" ref="C1630"/>
    <hyperlink r:id="rId3181" ref="A1631"/>
    <hyperlink r:id="rId3182" ref="C1631"/>
    <hyperlink r:id="rId3183" ref="A1632"/>
    <hyperlink r:id="rId3184" ref="C1632"/>
    <hyperlink r:id="rId3185" ref="A1633"/>
    <hyperlink r:id="rId3186" ref="C1633"/>
    <hyperlink r:id="rId3187" ref="A1634"/>
    <hyperlink r:id="rId3188" ref="C1634"/>
    <hyperlink r:id="rId3189" ref="A1635"/>
    <hyperlink r:id="rId3190" ref="C1635"/>
    <hyperlink r:id="rId3191" ref="A1636"/>
    <hyperlink r:id="rId3192" ref="C1636"/>
    <hyperlink r:id="rId3193" ref="A1637"/>
    <hyperlink r:id="rId3194" ref="C1637"/>
    <hyperlink r:id="rId3195" location=":~:text=AI%20visibility%20monitoring.-,Generative%20Engine%20Optimization%20(GEO),Answer%20Engine%20Optimization%20(AEO)" ref="A1638"/>
    <hyperlink r:id="rId3196" ref="C1638"/>
    <hyperlink r:id="rId3197" ref="A1639"/>
    <hyperlink r:id="rId3198" ref="C1639"/>
    <hyperlink r:id="rId3199" ref="A1640"/>
    <hyperlink r:id="rId3200" ref="C1640"/>
    <hyperlink r:id="rId3201" ref="A1641"/>
    <hyperlink r:id="rId3202" ref="C1641"/>
    <hyperlink r:id="rId3203" ref="A1642"/>
    <hyperlink r:id="rId3204" ref="C1642"/>
    <hyperlink r:id="rId3205" ref="A1643"/>
    <hyperlink r:id="rId3206" ref="C1643"/>
    <hyperlink r:id="rId3207" ref="A1644"/>
    <hyperlink r:id="rId3208" ref="C1644"/>
    <hyperlink r:id="rId3209" ref="A1645"/>
    <hyperlink r:id="rId3210" ref="C1645"/>
    <hyperlink r:id="rId3211" ref="A1646"/>
    <hyperlink r:id="rId3212" ref="C1646"/>
    <hyperlink r:id="rId3213" ref="A1647"/>
    <hyperlink r:id="rId3214" ref="C1647"/>
    <hyperlink r:id="rId3215" ref="A1648"/>
    <hyperlink r:id="rId3216" ref="C1648"/>
    <hyperlink r:id="rId3217" ref="A1649"/>
    <hyperlink r:id="rId3218" ref="C1649"/>
    <hyperlink r:id="rId3219" ref="A1650"/>
    <hyperlink r:id="rId3220" ref="C1650"/>
    <hyperlink r:id="rId3221" ref="A1651"/>
    <hyperlink r:id="rId3222" ref="C1651"/>
    <hyperlink r:id="rId3223" ref="A1652"/>
    <hyperlink r:id="rId3224" ref="C1652"/>
    <hyperlink r:id="rId3225" ref="A1653"/>
    <hyperlink r:id="rId3226" ref="C1653"/>
    <hyperlink r:id="rId3227" ref="A1654"/>
    <hyperlink r:id="rId3228" ref="C1654"/>
    <hyperlink r:id="rId3229" ref="A1655"/>
    <hyperlink r:id="rId3230" ref="C1655"/>
    <hyperlink r:id="rId3231" ref="A1656"/>
    <hyperlink r:id="rId3232" ref="C1656"/>
    <hyperlink r:id="rId3233" ref="A1657"/>
    <hyperlink r:id="rId3234" ref="C1657"/>
    <hyperlink r:id="rId3235" ref="A1658"/>
    <hyperlink r:id="rId3236" ref="C1658"/>
    <hyperlink r:id="rId3237" ref="A1659"/>
    <hyperlink r:id="rId3238" ref="C1659"/>
    <hyperlink r:id="rId3239" ref="A1660"/>
    <hyperlink r:id="rId3240" ref="C1660"/>
    <hyperlink r:id="rId3241" ref="A1661"/>
    <hyperlink r:id="rId3242" ref="C1661"/>
    <hyperlink r:id="rId3243" ref="A1662"/>
    <hyperlink r:id="rId3244" ref="C1662"/>
    <hyperlink r:id="rId3245" ref="A1663"/>
    <hyperlink r:id="rId3246" ref="C1663"/>
    <hyperlink r:id="rId3247" ref="A1664"/>
    <hyperlink r:id="rId3248" ref="C1664"/>
    <hyperlink r:id="rId3249" ref="A1665"/>
    <hyperlink r:id="rId3250" ref="C1665"/>
    <hyperlink r:id="rId3251" ref="A1666"/>
    <hyperlink r:id="rId3252" ref="C1666"/>
    <hyperlink r:id="rId3253" ref="A1667"/>
    <hyperlink r:id="rId3254" ref="C1667"/>
    <hyperlink r:id="rId3255" ref="A1668"/>
    <hyperlink r:id="rId3256" ref="C1668"/>
    <hyperlink r:id="rId3257" ref="A1669"/>
    <hyperlink r:id="rId3258" ref="C1669"/>
    <hyperlink r:id="rId3259" ref="A1670"/>
    <hyperlink r:id="rId3260" ref="C1670"/>
    <hyperlink r:id="rId3261" ref="A1671"/>
    <hyperlink r:id="rId3262" ref="C1671"/>
    <hyperlink r:id="rId3263" ref="A1672"/>
    <hyperlink r:id="rId3264" ref="C1672"/>
    <hyperlink r:id="rId3265" ref="A1673"/>
    <hyperlink r:id="rId3266" ref="C1673"/>
    <hyperlink r:id="rId3267" ref="A1674"/>
    <hyperlink r:id="rId3268" ref="C1674"/>
    <hyperlink r:id="rId3269" ref="A1675"/>
    <hyperlink r:id="rId3270" ref="C1675"/>
    <hyperlink r:id="rId3271" ref="A1676"/>
    <hyperlink r:id="rId3272" ref="C1676"/>
    <hyperlink r:id="rId3273" ref="A1677"/>
    <hyperlink r:id="rId3274" ref="C1677"/>
    <hyperlink r:id="rId3275" ref="A1678"/>
    <hyperlink r:id="rId3276" ref="C1678"/>
    <hyperlink r:id="rId3277" ref="A1679"/>
    <hyperlink r:id="rId3278" ref="C1679"/>
    <hyperlink r:id="rId3279" ref="A1680"/>
    <hyperlink r:id="rId3280" ref="C1680"/>
    <hyperlink r:id="rId3281" ref="A1681"/>
    <hyperlink r:id="rId3282" ref="C1681"/>
    <hyperlink r:id="rId3283" ref="A1682"/>
    <hyperlink r:id="rId3284" ref="C1682"/>
    <hyperlink r:id="rId3285" ref="A1683"/>
    <hyperlink r:id="rId3286" ref="C1683"/>
    <hyperlink r:id="rId3287" ref="A1684"/>
    <hyperlink r:id="rId3288" ref="C1684"/>
    <hyperlink r:id="rId3289" ref="A1685"/>
    <hyperlink r:id="rId3290" ref="C1685"/>
    <hyperlink r:id="rId3291" location=":~:text=Instead%20of%20traditional%20agencies%20that%20bill%20per,marketing%20across%20all%20key%20channels%20and%20disciplines." ref="A1686"/>
    <hyperlink r:id="rId3292" ref="C1686"/>
    <hyperlink r:id="rId3293" ref="A1687"/>
    <hyperlink r:id="rId3294" ref="C1687"/>
    <hyperlink r:id="rId3295" ref="A1688"/>
    <hyperlink r:id="rId3296" ref="C1688"/>
    <hyperlink r:id="rId3297" ref="A1689"/>
    <hyperlink r:id="rId3298" ref="C1689"/>
    <hyperlink r:id="rId3299" ref="A1690"/>
    <hyperlink r:id="rId3300" ref="C1690"/>
    <hyperlink r:id="rId3301" ref="A1691"/>
    <hyperlink r:id="rId3302" ref="C1691"/>
    <hyperlink r:id="rId3303" ref="A1692"/>
    <hyperlink r:id="rId3304" ref="C1692"/>
    <hyperlink r:id="rId3305" ref="A1693"/>
    <hyperlink r:id="rId3306" ref="C1693"/>
    <hyperlink r:id="rId3307" ref="A1694"/>
    <hyperlink r:id="rId3308" ref="C1694"/>
    <hyperlink r:id="rId3309" ref="A1695"/>
    <hyperlink r:id="rId3310" ref="C1695"/>
    <hyperlink r:id="rId3311" ref="A1696"/>
    <hyperlink r:id="rId3312" ref="C1696"/>
    <hyperlink r:id="rId3313" ref="A1697"/>
    <hyperlink r:id="rId3314" ref="C1697"/>
    <hyperlink r:id="rId3315" location=":~:text=As%20a%20full%2Dservice%20GIS%20consulting%20firm%2C%20Stanley,and%20manage%20spatial%20information%20in%20real%20time." ref="A1698"/>
    <hyperlink r:id="rId3316" ref="C1698"/>
    <hyperlink r:id="rId3317" location=":~:text=Our%20experts%20streamline%20your%20supply%20chain%20processes,operations%2C%20enhancing%20efficiency%20and%20reducing%20potential%20disruptions." ref="A1699"/>
    <hyperlink r:id="rId3318" ref="C1699"/>
    <hyperlink r:id="rId3319" ref="A1700"/>
    <hyperlink r:id="rId3320" ref="C1700"/>
    <hyperlink r:id="rId3321" ref="A1701"/>
    <hyperlink r:id="rId3322" ref="C1701"/>
    <hyperlink r:id="rId3323" ref="A1702"/>
    <hyperlink r:id="rId3324" ref="C1702"/>
    <hyperlink r:id="rId3325" ref="A1703"/>
    <hyperlink r:id="rId3326" ref="C1703"/>
    <hyperlink r:id="rId3327" ref="A1704"/>
    <hyperlink r:id="rId3328" ref="C1704"/>
    <hyperlink r:id="rId3329" ref="A1705"/>
    <hyperlink r:id="rId3330" ref="C1705"/>
    <hyperlink r:id="rId3331" ref="A1706"/>
    <hyperlink r:id="rId3332" ref="C1706"/>
    <hyperlink r:id="rId3333" ref="A1707"/>
    <hyperlink r:id="rId3334" ref="C1707"/>
    <hyperlink r:id="rId3335" ref="A1708"/>
    <hyperlink r:id="rId3336" ref="C1708"/>
    <hyperlink r:id="rId3337" ref="A1709"/>
    <hyperlink r:id="rId3338" ref="C1709"/>
    <hyperlink r:id="rId3339" ref="A1710"/>
    <hyperlink r:id="rId3340" ref="C1710"/>
    <hyperlink r:id="rId3341" ref="A1711"/>
    <hyperlink r:id="rId3342" ref="C1711"/>
    <hyperlink r:id="rId3343" ref="A1712"/>
    <hyperlink r:id="rId3344" ref="C1712"/>
    <hyperlink r:id="rId3345" ref="A1713"/>
    <hyperlink r:id="rId3346" ref="C1713"/>
    <hyperlink r:id="rId3347" ref="A1714"/>
    <hyperlink r:id="rId3348" ref="A1715"/>
    <hyperlink r:id="rId3349" ref="C1715"/>
    <hyperlink r:id="rId3350" ref="A1716"/>
    <hyperlink r:id="rId3351" ref="C1716"/>
    <hyperlink r:id="rId3352" ref="A1717"/>
    <hyperlink r:id="rId3353" ref="C1717"/>
    <hyperlink r:id="rId3354" ref="A1718"/>
    <hyperlink r:id="rId3355" ref="C1718"/>
    <hyperlink r:id="rId3356" ref="A1719"/>
    <hyperlink r:id="rId3357" ref="C1719"/>
    <hyperlink r:id="rId3358" ref="A1720"/>
    <hyperlink r:id="rId3359" ref="C1720"/>
    <hyperlink r:id="rId3360" ref="A1721"/>
    <hyperlink r:id="rId3361" ref="C1721"/>
    <hyperlink r:id="rId3362" ref="A1722"/>
    <hyperlink r:id="rId3363" ref="C1722"/>
    <hyperlink r:id="rId3364" ref="A1723"/>
    <hyperlink r:id="rId3365" ref="C1723"/>
    <hyperlink r:id="rId3366" location=":~:text=Right%20Side%20Up%20is%20a,house%2C%20not%20junior%20account%20managers." ref="A1724"/>
    <hyperlink r:id="rId3367" ref="C1724"/>
    <hyperlink r:id="rId3368" ref="A1725"/>
    <hyperlink r:id="rId3369" ref="C1725"/>
    <hyperlink r:id="rId3370" ref="A1726"/>
    <hyperlink r:id="rId3371" ref="C1726"/>
    <hyperlink r:id="rId3372" ref="A1727"/>
    <hyperlink r:id="rId3373" ref="C1727"/>
    <hyperlink r:id="rId3374" ref="A1728"/>
    <hyperlink r:id="rId3375" ref="C1728"/>
    <hyperlink r:id="rId3376" ref="A1729"/>
    <hyperlink r:id="rId3377" ref="C1729"/>
    <hyperlink r:id="rId3378" ref="A1730"/>
    <hyperlink r:id="rId3379" ref="C1730"/>
    <hyperlink r:id="rId3380" ref="A1731"/>
    <hyperlink r:id="rId3381" ref="C1731"/>
    <hyperlink r:id="rId3382" ref="A1732"/>
    <hyperlink r:id="rId3383" ref="C1732"/>
    <hyperlink r:id="rId3384" ref="A1733"/>
    <hyperlink r:id="rId3385" ref="C1733"/>
    <hyperlink r:id="rId3386" ref="A1734"/>
    <hyperlink r:id="rId3387" ref="C1734"/>
    <hyperlink r:id="rId3388" location=":~:text=We%20assess%20your%20data%2C%20systems%2C%20governance%20and,ensuring%20your%20foundation%20is%20secure%20and%20scalable." ref="A1735"/>
    <hyperlink r:id="rId3389" ref="C1735"/>
    <hyperlink r:id="rId3390" ref="A1736"/>
    <hyperlink r:id="rId3391" ref="C1736"/>
    <hyperlink r:id="rId3392" ref="A1737"/>
    <hyperlink r:id="rId3393" ref="C1737"/>
    <hyperlink r:id="rId3394" ref="A1738"/>
    <hyperlink r:id="rId3395" ref="C1738"/>
    <hyperlink r:id="rId3396" ref="A1739"/>
    <hyperlink r:id="rId3397" ref="C1739"/>
    <hyperlink r:id="rId3398" ref="A1740"/>
    <hyperlink r:id="rId3399" ref="C1740"/>
    <hyperlink r:id="rId3400" ref="A1741"/>
    <hyperlink r:id="rId3401" ref="C1741"/>
    <hyperlink r:id="rId3402" ref="A1742"/>
    <hyperlink r:id="rId3403" ref="C1742"/>
    <hyperlink r:id="rId3404" ref="A1743"/>
    <hyperlink r:id="rId3405" ref="C1743"/>
    <hyperlink r:id="rId3406" ref="A1744"/>
    <hyperlink r:id="rId3407" ref="C1744"/>
    <hyperlink r:id="rId3408" ref="A1745"/>
    <hyperlink r:id="rId3409" ref="C1745"/>
    <hyperlink r:id="rId3410" ref="A1746"/>
    <hyperlink r:id="rId3411" ref="C1746"/>
    <hyperlink r:id="rId3412" ref="A1747"/>
    <hyperlink r:id="rId3413" ref="C1747"/>
    <hyperlink r:id="rId3414" ref="A1748"/>
    <hyperlink r:id="rId3415" ref="C1748"/>
    <hyperlink r:id="rId3416" ref="A1749"/>
    <hyperlink r:id="rId3417" ref="C1749"/>
    <hyperlink r:id="rId3418" ref="A1750"/>
    <hyperlink r:id="rId3419" ref="C1750"/>
    <hyperlink r:id="rId3420" ref="A1751"/>
    <hyperlink r:id="rId3421" ref="C1751"/>
    <hyperlink r:id="rId3422" ref="A1752"/>
    <hyperlink r:id="rId3423" ref="C1752"/>
    <hyperlink r:id="rId3424" ref="A1753"/>
    <hyperlink r:id="rId3425" ref="C1753"/>
    <hyperlink r:id="rId3426" ref="A1754"/>
    <hyperlink r:id="rId3427" ref="C1754"/>
    <hyperlink r:id="rId3428" ref="A1755"/>
    <hyperlink r:id="rId3429" ref="C1755"/>
    <hyperlink r:id="rId3430" ref="A1756"/>
    <hyperlink r:id="rId3431" ref="C1756"/>
    <hyperlink r:id="rId3432" ref="A1757"/>
    <hyperlink r:id="rId3433" ref="C1757"/>
    <hyperlink r:id="rId3434" ref="A1758"/>
    <hyperlink r:id="rId3435" ref="C1758"/>
    <hyperlink r:id="rId3436" ref="A1759"/>
    <hyperlink r:id="rId3437" ref="C1759"/>
    <hyperlink r:id="rId3438" location=":~:text=Incrementality%20testing%20is%20a%20controlled%20marketing%20experiment,for%20conversions%20that%20would%20have%20happened%20anyway." ref="A1760"/>
    <hyperlink r:id="rId3439" ref="C1760"/>
    <hyperlink r:id="rId3440" ref="A1761"/>
    <hyperlink r:id="rId3441" ref="C1761"/>
    <hyperlink r:id="rId3442" location=":~:text=They%20operate%20in%2015%2B%20languages,around%20content%20and%20authority%20signals." ref="A1762"/>
    <hyperlink r:id="rId3443" ref="C1762"/>
    <hyperlink r:id="rId3444" ref="A1763"/>
    <hyperlink r:id="rId3445" ref="C1763"/>
    <hyperlink r:id="rId3446" ref="A1764"/>
    <hyperlink r:id="rId3447" ref="C1764"/>
    <hyperlink r:id="rId3448" ref="A1765"/>
    <hyperlink r:id="rId3449" ref="C1765"/>
    <hyperlink r:id="rId3450" ref="A1766"/>
    <hyperlink r:id="rId3451" ref="C1766"/>
    <hyperlink r:id="rId3452" ref="A1767"/>
    <hyperlink r:id="rId3453" ref="C1767"/>
    <hyperlink r:id="rId3454" ref="A1768"/>
    <hyperlink r:id="rId3455" ref="C1768"/>
    <hyperlink r:id="rId3456" ref="A1769"/>
    <hyperlink r:id="rId3457" ref="C1769"/>
    <hyperlink r:id="rId3458" ref="A1770"/>
    <hyperlink r:id="rId3459" ref="C1770"/>
    <hyperlink r:id="rId3460" location=":~:text=The%20Trusted%20Trade%20Alliance%20team%20is%20comprised,the%20trusted%20trader%20and%20AEO%20programs%20of" ref="A1771"/>
    <hyperlink r:id="rId3461" ref="C1771"/>
    <hyperlink r:id="rId3462" ref="A1772"/>
    <hyperlink r:id="rId3463" ref="C1772"/>
    <hyperlink r:id="rId3464" ref="A1773"/>
    <hyperlink r:id="rId3465" ref="C1773"/>
    <hyperlink r:id="rId3466" ref="A1774"/>
    <hyperlink r:id="rId3467" ref="C1774"/>
    <hyperlink r:id="rId3468" ref="A1775"/>
    <hyperlink r:id="rId3469" ref="C1775"/>
    <hyperlink r:id="rId3470" ref="A1776"/>
    <hyperlink r:id="rId3471" ref="A1777"/>
    <hyperlink r:id="rId3472" ref="C1777"/>
    <hyperlink r:id="rId3473" ref="A1778"/>
    <hyperlink r:id="rId3474" ref="C1778"/>
    <hyperlink r:id="rId3475" ref="A1779"/>
    <hyperlink r:id="rId3476" ref="C1779"/>
    <hyperlink r:id="rId3477" ref="A1780"/>
    <hyperlink r:id="rId3478" ref="C1780"/>
    <hyperlink r:id="rId3479" ref="A1781"/>
    <hyperlink r:id="rId3480" ref="C1781"/>
    <hyperlink r:id="rId3481" ref="A1782"/>
    <hyperlink r:id="rId3482" ref="C1782"/>
    <hyperlink r:id="rId3483" ref="A1783"/>
    <hyperlink r:id="rId3484" ref="C1783"/>
    <hyperlink r:id="rId3485" ref="A1784"/>
    <hyperlink r:id="rId3486" ref="C1784"/>
    <hyperlink r:id="rId3487" ref="A1785"/>
    <hyperlink r:id="rId3488" ref="C1785"/>
    <hyperlink r:id="rId3489" location=":~:text=Sociallyin%20is%20a%20creative%2Dled%20social%20media%20marketing,strong%20blend%20of%20creativity%20with%20data%2Ddriven%20strategy." ref="A1786"/>
    <hyperlink r:id="rId3490" ref="C1786"/>
    <hyperlink r:id="rId3491" ref="A1787"/>
    <hyperlink r:id="rId3492" ref="C1787"/>
    <hyperlink r:id="rId3493" ref="A1788"/>
    <hyperlink r:id="rId3494" ref="C1788"/>
    <hyperlink r:id="rId3495" ref="A1789"/>
    <hyperlink r:id="rId3496" ref="C1789"/>
    <hyperlink r:id="rId3497" ref="A1790"/>
    <hyperlink r:id="rId3498" ref="C1790"/>
    <hyperlink r:id="rId3499" ref="A1791"/>
    <hyperlink r:id="rId3500" ref="C1791"/>
    <hyperlink r:id="rId3501" ref="A1792"/>
    <hyperlink r:id="rId3502" ref="C1792"/>
    <hyperlink r:id="rId3503" ref="A1793"/>
    <hyperlink r:id="rId3504" ref="C1793"/>
    <hyperlink r:id="rId3505" ref="A1794"/>
    <hyperlink r:id="rId3506" ref="C1794"/>
    <hyperlink r:id="rId3507" ref="A1795"/>
    <hyperlink r:id="rId3508" ref="C1795"/>
    <hyperlink r:id="rId3509" ref="A1796"/>
    <hyperlink r:id="rId3510" ref="C1796"/>
    <hyperlink r:id="rId3511" ref="A1797"/>
    <hyperlink r:id="rId3512" ref="C1797"/>
    <hyperlink r:id="rId3513" ref="A1798"/>
    <hyperlink r:id="rId3514" ref="C1798"/>
    <hyperlink r:id="rId3515" ref="A1799"/>
    <hyperlink r:id="rId3516" ref="C1799"/>
    <hyperlink r:id="rId3517" ref="A1800"/>
    <hyperlink r:id="rId3518" ref="C1800"/>
    <hyperlink r:id="rId3519" ref="A1801"/>
    <hyperlink r:id="rId3520" ref="C1801"/>
    <hyperlink r:id="rId3521" ref="A1802"/>
    <hyperlink r:id="rId3522" ref="C1802"/>
    <hyperlink r:id="rId3523" ref="A1803"/>
    <hyperlink r:id="rId3524" ref="C1803"/>
    <hyperlink r:id="rId3525" ref="A1804"/>
    <hyperlink r:id="rId3526" ref="C1804"/>
    <hyperlink r:id="rId3527" location=":~:text=%238.-,HawkSEM,clients%20averaging%204.5x%20ROI." ref="A1805"/>
    <hyperlink r:id="rId3528" ref="C1805"/>
    <hyperlink r:id="rId3529" ref="A1806"/>
    <hyperlink r:id="rId3530" ref="C1806"/>
    <hyperlink r:id="rId3531" ref="A1807"/>
    <hyperlink r:id="rId3532" ref="C1807"/>
    <hyperlink r:id="rId3533" ref="A1808"/>
    <hyperlink r:id="rId3534" ref="C1808"/>
    <hyperlink r:id="rId3535" ref="A1809"/>
    <hyperlink r:id="rId3536" ref="C1809"/>
    <hyperlink r:id="rId3537" ref="A1810"/>
    <hyperlink r:id="rId3538" ref="C1810"/>
    <hyperlink r:id="rId3539" ref="A1811"/>
    <hyperlink r:id="rId3540" ref="C1811"/>
    <hyperlink r:id="rId3541" location=":~:text=Deloitte%20leads%20on%20investment%20scale%20at%20%243,with%20outcomes%2Dbased%20billing%20models%20for%20AI%2Denabled%20engagements." ref="A1812"/>
    <hyperlink r:id="rId3542" ref="C1812"/>
    <hyperlink r:id="rId3543" ref="A1813"/>
    <hyperlink r:id="rId3544" ref="C1813"/>
    <hyperlink r:id="rId3545" ref="A1814"/>
    <hyperlink r:id="rId3546" ref="C1814"/>
    <hyperlink r:id="rId3547" ref="A1815"/>
    <hyperlink r:id="rId3548" ref="C1815"/>
    <hyperlink r:id="rId3549" ref="A1816"/>
    <hyperlink r:id="rId3550" ref="C1816"/>
    <hyperlink r:id="rId3551" ref="A1817"/>
    <hyperlink r:id="rId3552" ref="C1817"/>
    <hyperlink r:id="rId3553" ref="A1818"/>
    <hyperlink r:id="rId3554" ref="C1818"/>
    <hyperlink r:id="rId3555" ref="A1819"/>
    <hyperlink r:id="rId3556" ref="C1819"/>
    <hyperlink r:id="rId3557" ref="A1820"/>
    <hyperlink r:id="rId3558" ref="C1820"/>
    <hyperlink r:id="rId3559" ref="A1821"/>
    <hyperlink r:id="rId3560" ref="C1821"/>
    <hyperlink r:id="rId3561" ref="A1822"/>
    <hyperlink r:id="rId3562" ref="C1822"/>
    <hyperlink r:id="rId3563" ref="A1823"/>
    <hyperlink r:id="rId3564" ref="C1823"/>
    <hyperlink r:id="rId3565" ref="A1824"/>
    <hyperlink r:id="rId3566" ref="C1824"/>
    <hyperlink r:id="rId3567" ref="A1825"/>
    <hyperlink r:id="rId3568" ref="C1825"/>
    <hyperlink r:id="rId3569" ref="A1826"/>
    <hyperlink r:id="rId3570" ref="C1826"/>
    <hyperlink r:id="rId3571" ref="A1827"/>
    <hyperlink r:id="rId3572" ref="C1827"/>
    <hyperlink r:id="rId3573" ref="A1828"/>
    <hyperlink r:id="rId3574" ref="C1828"/>
    <hyperlink r:id="rId3575" ref="A1829"/>
    <hyperlink r:id="rId3576" ref="C1829"/>
    <hyperlink r:id="rId3577" ref="A1830"/>
    <hyperlink r:id="rId3578" ref="C1830"/>
    <hyperlink r:id="rId3579" ref="A1831"/>
    <hyperlink r:id="rId3580" ref="C1831"/>
    <hyperlink r:id="rId3581" ref="A1832"/>
    <hyperlink r:id="rId3582" ref="C1832"/>
    <hyperlink r:id="rId3583" ref="A1833"/>
    <hyperlink r:id="rId3584" ref="C1833"/>
    <hyperlink r:id="rId3585" ref="A1834"/>
    <hyperlink r:id="rId3586" ref="C1834"/>
    <hyperlink r:id="rId3587" ref="A1835"/>
    <hyperlink r:id="rId3588" ref="C1835"/>
    <hyperlink r:id="rId3589" ref="A1836"/>
    <hyperlink r:id="rId3590" ref="C1836"/>
    <hyperlink r:id="rId3591" ref="A1837"/>
    <hyperlink r:id="rId3592" ref="C1837"/>
    <hyperlink r:id="rId3593" ref="A1838"/>
    <hyperlink r:id="rId3594" ref="C1838"/>
    <hyperlink r:id="rId3595" ref="A1839"/>
    <hyperlink r:id="rId3596" ref="C1839"/>
    <hyperlink r:id="rId3597" ref="A1840"/>
    <hyperlink r:id="rId3598" ref="C1840"/>
    <hyperlink r:id="rId3599" ref="A1841"/>
    <hyperlink r:id="rId3600" ref="C1841"/>
    <hyperlink r:id="rId3601" ref="A1842"/>
    <hyperlink r:id="rId3602" ref="C1842"/>
    <hyperlink r:id="rId3603" ref="A1843"/>
    <hyperlink r:id="rId3604" ref="C1843"/>
    <hyperlink r:id="rId3605" ref="A1844"/>
    <hyperlink r:id="rId3606" ref="C1844"/>
    <hyperlink r:id="rId3607" ref="A1845"/>
    <hyperlink r:id="rId3608" ref="C1845"/>
    <hyperlink r:id="rId3609" ref="A1846"/>
    <hyperlink r:id="rId3610" ref="C1846"/>
    <hyperlink r:id="rId3611" ref="A1847"/>
    <hyperlink r:id="rId3612" ref="C1847"/>
    <hyperlink r:id="rId3613" ref="A1848"/>
    <hyperlink r:id="rId3614" ref="C1848"/>
    <hyperlink r:id="rId3615" ref="A1849"/>
    <hyperlink r:id="rId3616" ref="C1849"/>
    <hyperlink r:id="rId3617" ref="A1850"/>
    <hyperlink r:id="rId3618" ref="C1850"/>
    <hyperlink r:id="rId3619" ref="A1851"/>
    <hyperlink r:id="rId3620" ref="C1851"/>
    <hyperlink r:id="rId3621" ref="A1852"/>
    <hyperlink r:id="rId3622" ref="C1852"/>
    <hyperlink r:id="rId3623" ref="A1853"/>
    <hyperlink r:id="rId3624" ref="C1853"/>
    <hyperlink r:id="rId3625" ref="A1854"/>
    <hyperlink r:id="rId3626" ref="C1854"/>
    <hyperlink r:id="rId3627" ref="A1855"/>
    <hyperlink r:id="rId3628" ref="C1855"/>
    <hyperlink r:id="rId3629" ref="A1856"/>
    <hyperlink r:id="rId3630" ref="C1856"/>
  </hyperlinks>
  <drawing r:id="rId36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70.13"/>
    <col customWidth="1" min="3" max="4" width="12.63"/>
    <col customWidth="1" min="5" max="5" width="31.5"/>
    <col customWidth="1" min="6"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All'!A2:L1670,
    REGEXMATCH(LOWER(TRIM(TO_TEXT('PEEC - URLs - All'!B2:B1670))),""\bbest\b|\btop\b"")
  ),
  """"
)"),"https://clutch.co/us/agencies")</f>
        <v>https://clutch.co/us/agencies</v>
      </c>
      <c r="B2" s="11" t="str">
        <f>IFERROR(__xludf.DUMMYFUNCTION("""COMPUTED_VALUE"""),"Top Advertising Agencies in the United States - Jul 2026 Rankings \| Clutch.co")</f>
        <v>Top Advertising Agencies in the United States - Jul 2026 Rankings \| Clutch.co</v>
      </c>
      <c r="C2" s="10" t="str">
        <f>IFERROR(__xludf.DUMMYFUNCTION("""COMPUTED_VALUE"""),"clutch.co")</f>
        <v>clutch.co</v>
      </c>
      <c r="D2" s="11" t="str">
        <f>IFERROR(__xludf.DUMMYFUNCTION("""COMPUTED_VALUE"""),"CATEGORY_PAGE")</f>
        <v>CATEGORY_PAGE</v>
      </c>
      <c r="E2" s="11" t="str">
        <f>IFERROR(__xludf.DUMMYFUNCTION("""COMPUTED_VALUE"""),"COMPETITOR")</f>
        <v>COMPETITOR</v>
      </c>
      <c r="F2" s="11" t="str">
        <f>IFERROR(__xludf.DUMMYFUNCTION("""COMPUTED_VALUE"""),"Category Page")</f>
        <v>Category Page</v>
      </c>
      <c r="G2" s="11" t="b">
        <f>IFERROR(__xludf.DUMMYFUNCTION("""COMPUTED_VALUE"""),FALSE)</f>
        <v>0</v>
      </c>
      <c r="H2" s="11" t="str">
        <f>IFERROR(__xludf.DUMMYFUNCTION("""COMPUTED_VALUE"""),"Clutch, SmartSites, WebFX, Ignite Visibility, Momentum, NinjaPromo, KlientBoost, AdVenture Media, Sociallyin, Funnel Boost Media")</f>
        <v>Clutch, SmartSites, WebFX, Ignite Visibility, Momentum, NinjaPromo, KlientBoost, AdVenture Media, Sociallyin, Funnel Boost Media</v>
      </c>
      <c r="I2" s="11">
        <f>IFERROR(__xludf.DUMMYFUNCTION("""COMPUTED_VALUE"""),87.0)</f>
        <v>87</v>
      </c>
      <c r="J2" s="11">
        <f>IFERROR(__xludf.DUMMYFUNCTION("""COMPUTED_VALUE"""),0.09)</f>
        <v>0.09</v>
      </c>
      <c r="K2" s="11">
        <f>IFERROR(__xludf.DUMMYFUNCTION("""COMPUTED_VALUE"""),0.26)</f>
        <v>0.26</v>
      </c>
      <c r="L2" s="11"/>
    </row>
    <row r="3" ht="15.75" customHeight="1">
      <c r="A3" s="10" t="str">
        <f>IFERROR(__xludf.DUMMYFUNCTION("""COMPUTED_VALUE"""),"https://clutch.co/us/agencies/digital-marketing")</f>
        <v>https://clutch.co/us/agencies/digital-marketing</v>
      </c>
      <c r="B3" s="11" t="str">
        <f>IFERROR(__xludf.DUMMYFUNCTION("""COMPUTED_VALUE"""),"Top Digital Marketing Agencies in the United States - Jul 2026 Rankings \| Clutch.co")</f>
        <v>Top Digital Marketing Agencies in the United States - Jul 2026 Rankings \| Clutch.co</v>
      </c>
      <c r="C3" s="10" t="str">
        <f>IFERROR(__xludf.DUMMYFUNCTION("""COMPUTED_VALUE"""),"clutch.co")</f>
        <v>clutch.co</v>
      </c>
      <c r="D3" s="11" t="str">
        <f>IFERROR(__xludf.DUMMYFUNCTION("""COMPUTED_VALUE"""),"CATEGORY_PAGE")</f>
        <v>CATEGORY_PAGE</v>
      </c>
      <c r="E3" s="11" t="str">
        <f>IFERROR(__xludf.DUMMYFUNCTION("""COMPUTED_VALUE"""),"COMPETITOR")</f>
        <v>COMPETITOR</v>
      </c>
      <c r="F3" s="11" t="str">
        <f>IFERROR(__xludf.DUMMYFUNCTION("""COMPUTED_VALUE"""),"Category Page")</f>
        <v>Category Page</v>
      </c>
      <c r="G3" s="11" t="b">
        <f>IFERROR(__xludf.DUMMYFUNCTION("""COMPUTED_VALUE"""),FALSE)</f>
        <v>0</v>
      </c>
      <c r="H3"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3" s="11">
        <f>IFERROR(__xludf.DUMMYFUNCTION("""COMPUTED_VALUE"""),86.0)</f>
        <v>86</v>
      </c>
      <c r="J3" s="11">
        <f>IFERROR(__xludf.DUMMYFUNCTION("""COMPUTED_VALUE"""),0.08)</f>
        <v>0.08</v>
      </c>
      <c r="K3" s="11">
        <f>IFERROR(__xludf.DUMMYFUNCTION("""COMPUTED_VALUE"""),0.78)</f>
        <v>0.78</v>
      </c>
      <c r="L3" s="11"/>
    </row>
    <row r="4" ht="15.75" customHeight="1">
      <c r="A4" s="10" t="str">
        <f>IFERROR(__xludf.DUMMYFUNCTION("""COMPUTED_VALUE"""),"https://www.influencer-hero.com/blogs/top-paid-media-agencies-in-the-us")</f>
        <v>https://www.influencer-hero.com/blogs/top-paid-media-agencies-in-the-us</v>
      </c>
      <c r="B4" s="11" t="str">
        <f>IFERROR(__xludf.DUMMYFUNCTION("""COMPUTED_VALUE"""),"Top Paid Media Agencies in the US")</f>
        <v>Top Paid Media Agencies in the US</v>
      </c>
      <c r="C4" s="10" t="str">
        <f>IFERROR(__xludf.DUMMYFUNCTION("""COMPUTED_VALUE"""),"influencer-hero.com")</f>
        <v>influencer-hero.com</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IFERROR(__xludf.DUMMYFUNCTION("""COMPUTED_VALUE"""),"Tinuiti, Wpromote, Disruptive Advertising, Monks, Power Digital, NP Digital, Merkle, Dentsu")</f>
        <v>Tinuiti, Wpromote, Disruptive Advertising, Monks, Power Digital, NP Digital, Merkle, Dentsu</v>
      </c>
      <c r="I4" s="11">
        <f>IFERROR(__xludf.DUMMYFUNCTION("""COMPUTED_VALUE"""),68.0)</f>
        <v>68</v>
      </c>
      <c r="J4" s="11">
        <f>IFERROR(__xludf.DUMMYFUNCTION("""COMPUTED_VALUE"""),0.07)</f>
        <v>0.07</v>
      </c>
      <c r="K4" s="11">
        <f>IFERROR(__xludf.DUMMYFUNCTION("""COMPUTED_VALUE"""),1.37)</f>
        <v>1.37</v>
      </c>
      <c r="L4" s="11"/>
    </row>
    <row r="5" ht="15.75" customHeight="1">
      <c r="A5" s="10" t="str">
        <f>IFERROR(__xludf.DUMMYFUNCTION("""COMPUTED_VALUE"""),"https://www.webtonic.io/blog/best-paid-media-agencies-us")</f>
        <v>https://www.webtonic.io/blog/best-paid-media-agencies-us</v>
      </c>
      <c r="B5" s="11" t="str">
        <f>IFERROR(__xludf.DUMMYFUNCTION("""COMPUTED_VALUE"""),"The 29 Best Paid Media Agencies in the US for 2026")</f>
        <v>The 29 Best Paid Media Agencies in the US for 2026</v>
      </c>
      <c r="C5" s="10" t="str">
        <f>IFERROR(__xludf.DUMMYFUNCTION("""COMPUTED_VALUE"""),"webtonic.io")</f>
        <v>webtonic.io</v>
      </c>
      <c r="D5" s="11" t="str">
        <f>IFERROR(__xludf.DUMMYFUNCTION("""COMPUTED_VALUE"""),"LISTICLE")</f>
        <v>LISTICLE</v>
      </c>
      <c r="E5" s="11" t="str">
        <f>IFERROR(__xludf.DUMMYFUNCTION("""COMPUTED_VALUE"""),"COMPETITOR")</f>
        <v>COMPETITOR</v>
      </c>
      <c r="F5" s="11" t="str">
        <f>IFERROR(__xludf.DUMMYFUNCTION("""COMPUTED_VALUE"""),"Listicle")</f>
        <v>Listicle</v>
      </c>
      <c r="G5" s="11" t="b">
        <f>IFERROR(__xludf.DUMMYFUNCTION("""COMPUTED_VALUE"""),FALSE)</f>
        <v>0</v>
      </c>
      <c r="H5" s="11" t="str">
        <f>IFERROR(__xludf.DUMMYFUNCTION("""COMPUTED_VALUE"""),"Web Tonic, Wpromote, TransUnion, Tinuiti, PMG, Horizon Media, KlientBoost, Disruptive Advertising, NoGood, Brainlabs, HawkSEM, The Social Shepherd, Power Digital, iProspect, Dentsu, MuteSix, LYFE Marketing, VaynerMedia, Sociallyin, inBeat, Directive, Igni"&amp;"te Visibility, Common Thread Collective")</f>
        <v>Web Tonic, Wpromote, TransUnion, Tinuiti, PMG, Horizon Media, KlientBoost, Disruptive Advertising, NoGood, Brainlabs, HawkSEM, The Social Shepherd, Power Digital, iProspect, Dentsu, MuteSix, LYFE Marketing, VaynerMedia, Sociallyin, inBeat, Directive, Ignite Visibility, Common Thread Collective</v>
      </c>
      <c r="I5" s="11">
        <f>IFERROR(__xludf.DUMMYFUNCTION("""COMPUTED_VALUE"""),65.0)</f>
        <v>65</v>
      </c>
      <c r="J5" s="11">
        <f>IFERROR(__xludf.DUMMYFUNCTION("""COMPUTED_VALUE"""),0.06)</f>
        <v>0.06</v>
      </c>
      <c r="K5" s="11">
        <f>IFERROR(__xludf.DUMMYFUNCTION("""COMPUTED_VALUE"""),0.74)</f>
        <v>0.74</v>
      </c>
      <c r="L5" s="11"/>
    </row>
    <row r="6" ht="15.75" customHeight="1">
      <c r="A6" s="10" t="str">
        <f>IFERROR(__xludf.DUMMYFUNCTION("""COMPUTED_VALUE"""),"https://www.dataally.ai/blog/top-paid-media-agencies")</f>
        <v>https://www.dataally.ai/blog/top-paid-media-agencies</v>
      </c>
      <c r="B6" s="11" t="str">
        <f>IFERROR(__xludf.DUMMYFUNCTION("""COMPUTED_VALUE"""),"Top 15 Paid Media Agencies in 2026")</f>
        <v>Top 15 Paid Media Agencies in 2026</v>
      </c>
      <c r="C6" s="10" t="str">
        <f>IFERROR(__xludf.DUMMYFUNCTION("""COMPUTED_VALUE"""),"dataally.ai")</f>
        <v>dataally.ai</v>
      </c>
      <c r="D6" s="11" t="str">
        <f>IFERROR(__xludf.DUMMYFUNCTION("""COMPUTED_VALUE"""),"LISTICLE")</f>
        <v>LISTICLE</v>
      </c>
      <c r="E6" s="11" t="str">
        <f>IFERROR(__xludf.DUMMYFUNCTION("""COMPUTED_VALUE"""),"CORPORATE")</f>
        <v>CORPORATE</v>
      </c>
      <c r="F6" s="11" t="str">
        <f>IFERROR(__xludf.DUMMYFUNCTION("""COMPUTED_VALUE"""),"Listicle")</f>
        <v>Listicle</v>
      </c>
      <c r="G6" s="11" t="b">
        <f>IFERROR(__xludf.DUMMYFUNCTION("""COMPUTED_VALUE"""),FALSE)</f>
        <v>0</v>
      </c>
      <c r="H6" s="11" t="str">
        <f>IFERROR(__xludf.DUMMYFUNCTION("""COMPUTED_VALUE"""),"Brighter Click, NinjaPromo, inBeat, The Social Shepherd, Darkroom, KlientBoost, Disruptive Advertising, VaynerMedia, NP Digital, Viral Nation, Marcel Digital, WebFX")</f>
        <v>Brighter Click, NinjaPromo, inBeat, The Social Shepherd, Darkroom, KlientBoost, Disruptive Advertising, VaynerMedia, NP Digital, Viral Nation, Marcel Digital, WebFX</v>
      </c>
      <c r="I6" s="11">
        <f>IFERROR(__xludf.DUMMYFUNCTION("""COMPUTED_VALUE"""),63.0)</f>
        <v>63</v>
      </c>
      <c r="J6" s="11">
        <f>IFERROR(__xludf.DUMMYFUNCTION("""COMPUTED_VALUE"""),0.06)</f>
        <v>0.06</v>
      </c>
      <c r="K6" s="11">
        <f>IFERROR(__xludf.DUMMYFUNCTION("""COMPUTED_VALUE"""),1.16)</f>
        <v>1.16</v>
      </c>
      <c r="L6" s="11"/>
    </row>
    <row r="7" ht="15.75" customHeight="1">
      <c r="A7" s="10" t="str">
        <f>IFERROR(__xludf.DUMMYFUNCTION("""COMPUTED_VALUE"""),"https://hawkemedia.com/insights/top-performance-marketing-agencies/")</f>
        <v>https://hawkemedia.com/insights/top-performance-marketing-agencies/</v>
      </c>
      <c r="B7" s="11" t="str">
        <f>IFERROR(__xludf.DUMMYFUNCTION("""COMPUTED_VALUE"""),"Top 25 Performance Marketing Agencies In The U.S. 2026 | Hawke Media")</f>
        <v>Top 25 Performance Marketing Agencies In The U.S. 2026 | Hawke Media</v>
      </c>
      <c r="C7" s="10" t="str">
        <f>IFERROR(__xludf.DUMMYFUNCTION("""COMPUTED_VALUE"""),"hawkemedia.com")</f>
        <v>hawkemedia.com</v>
      </c>
      <c r="D7" s="11" t="str">
        <f>IFERROR(__xludf.DUMMYFUNCTION("""COMPUTED_VALUE"""),"LISTICLE")</f>
        <v>LISTICLE</v>
      </c>
      <c r="E7" s="11" t="str">
        <f>IFERROR(__xludf.DUMMYFUNCTION("""COMPUTED_VALUE"""),"COMPETITOR")</f>
        <v>COMPETITOR</v>
      </c>
      <c r="F7" s="11" t="str">
        <f>IFERROR(__xludf.DUMMYFUNCTION("""COMPUTED_VALUE"""),"Listicle")</f>
        <v>Listicle</v>
      </c>
      <c r="G7" s="11" t="b">
        <f>IFERROR(__xludf.DUMMYFUNCTION("""COMPUTED_VALUE"""),FALSE)</f>
        <v>0</v>
      </c>
      <c r="H7"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7" s="11">
        <f>IFERROR(__xludf.DUMMYFUNCTION("""COMPUTED_VALUE"""),62.0)</f>
        <v>62</v>
      </c>
      <c r="J7" s="11">
        <f>IFERROR(__xludf.DUMMYFUNCTION("""COMPUTED_VALUE"""),0.06)</f>
        <v>0.06</v>
      </c>
      <c r="K7" s="11">
        <f>IFERROR(__xludf.DUMMYFUNCTION("""COMPUTED_VALUE"""),2.06)</f>
        <v>2.06</v>
      </c>
      <c r="L7" s="11"/>
    </row>
    <row r="8" ht="15.75" customHeight="1">
      <c r="A8" s="10" t="str">
        <f>IFERROR(__xludf.DUMMYFUNCTION("""COMPUTED_VALUE"""),"https://www.searchbloom.com/strategy/best-ai-seo-agency-companies-services-usa/")</f>
        <v>https://www.searchbloom.com/strategy/best-ai-seo-agency-companies-services-usa/</v>
      </c>
      <c r="B8" s="11" t="str">
        <f>IFERROR(__xludf.DUMMYFUNCTION("""COMPUTED_VALUE"""),"Best AI SEO Companies + Services in the US 2026 (AEO/GEO) - Best AEO Agencies in USA")</f>
        <v>Best AI SEO Companies + Services in the US 2026 (AEO/GEO) - Best AEO Agencies in USA</v>
      </c>
      <c r="C8" s="10" t="str">
        <f>IFERROR(__xludf.DUMMYFUNCTION("""COMPUTED_VALUE"""),"searchbloom.com")</f>
        <v>searchbloom.com</v>
      </c>
      <c r="D8" s="11" t="str">
        <f>IFERROR(__xludf.DUMMYFUNCTION("""COMPUTED_VALUE"""),"LISTICLE")</f>
        <v>LISTICLE</v>
      </c>
      <c r="E8" s="11" t="str">
        <f>IFERROR(__xludf.DUMMYFUNCTION("""COMPUTED_VALUE"""),"COMPETITOR")</f>
        <v>COMPETITOR</v>
      </c>
      <c r="F8" s="11" t="str">
        <f>IFERROR(__xludf.DUMMYFUNCTION("""COMPUTED_VALUE"""),"Listicle")</f>
        <v>Listicle</v>
      </c>
      <c r="G8" s="11" t="b">
        <f>IFERROR(__xludf.DUMMYFUNCTION("""COMPUTED_VALUE"""),FALSE)</f>
        <v>0</v>
      </c>
      <c r="H8" s="11" t="str">
        <f>IFERROR(__xludf.DUMMYFUNCTION("""COMPUTED_VALUE"""),"Searchbloom, The SEO Works, Tinuiti, Digital Authority Partners, Omniscient Digital, iPullRank, Seer Interactive, Single Grain, Amsive, Siege Media, Clutch")</f>
        <v>Searchbloom, The SEO Works, Tinuiti, Digital Authority Partners, Omniscient Digital, iPullRank, Seer Interactive, Single Grain, Amsive, Siege Media, Clutch</v>
      </c>
      <c r="I8" s="11">
        <f>IFERROR(__xludf.DUMMYFUNCTION("""COMPUTED_VALUE"""),62.0)</f>
        <v>62</v>
      </c>
      <c r="J8" s="11">
        <f>IFERROR(__xludf.DUMMYFUNCTION("""COMPUTED_VALUE"""),0.06)</f>
        <v>0.06</v>
      </c>
      <c r="K8" s="11">
        <f>IFERROR(__xludf.DUMMYFUNCTION("""COMPUTED_VALUE"""),0.9)</f>
        <v>0.9</v>
      </c>
      <c r="L8" s="11"/>
    </row>
    <row r="9" ht="15.75" customHeight="1">
      <c r="A9" s="10" t="str">
        <f>IFERROR(__xludf.DUMMYFUNCTION("""COMPUTED_VALUE"""),"https://digitalagencynetwork.com/agencies/usa/ai-marketing/")</f>
        <v>https://digitalagencynetwork.com/agencies/usa/ai-marketing/</v>
      </c>
      <c r="B9" s="11" t="str">
        <f>IFERROR(__xludf.DUMMYFUNCTION("""COMPUTED_VALUE"""),"Top AI Marketing Agencies in USA (2026)")</f>
        <v>Top AI Marketing Agencies in USA (2026)</v>
      </c>
      <c r="C9" s="10" t="str">
        <f>IFERROR(__xludf.DUMMYFUNCTION("""COMPUTED_VALUE"""),"digitalagencynetwork.com")</f>
        <v>digitalagencynetwork.com</v>
      </c>
      <c r="D9" s="11" t="str">
        <f>IFERROR(__xludf.DUMMYFUNCTION("""COMPUTED_VALUE"""),"PROFILE")</f>
        <v>PROFILE</v>
      </c>
      <c r="E9" s="11" t="str">
        <f>IFERROR(__xludf.DUMMYFUNCTION("""COMPUTED_VALUE"""),"REFERENCE")</f>
        <v>REFERENCE</v>
      </c>
      <c r="F9" s="11" t="str">
        <f>IFERROR(__xludf.DUMMYFUNCTION("""COMPUTED_VALUE"""),"Profile")</f>
        <v>Profile</v>
      </c>
      <c r="G9" s="11" t="b">
        <f>IFERROR(__xludf.DUMMYFUNCTION("""COMPUTED_VALUE"""),FALSE)</f>
        <v>0</v>
      </c>
      <c r="H9" s="11" t="str">
        <f>IFERROR(__xludf.DUMMYFUNCTION("""COMPUTED_VALUE"""),"Major Tom, NoGood, Clay, Clutch, SmartSites, Ignite Visibility, Amsive, NinjaPromo, Victorious, BCG, Intero Digital")</f>
        <v>Major Tom, NoGood, Clay, Clutch, SmartSites, Ignite Visibility, Amsive, NinjaPromo, Victorious, BCG, Intero Digital</v>
      </c>
      <c r="I9" s="11">
        <f>IFERROR(__xludf.DUMMYFUNCTION("""COMPUTED_VALUE"""),59.0)</f>
        <v>59</v>
      </c>
      <c r="J9" s="11">
        <f>IFERROR(__xludf.DUMMYFUNCTION("""COMPUTED_VALUE"""),0.06)</f>
        <v>0.06</v>
      </c>
      <c r="K9" s="11">
        <f>IFERROR(__xludf.DUMMYFUNCTION("""COMPUTED_VALUE"""),0.22)</f>
        <v>0.22</v>
      </c>
      <c r="L9" s="11"/>
    </row>
    <row r="10" ht="15.75" customHeight="1">
      <c r="A10" s="10" t="str">
        <f>IFERROR(__xludf.DUMMYFUNCTION("""COMPUTED_VALUE"""),"https://beomniscient.com/blog/best-ai-marketing-agencies/")</f>
        <v>https://beomniscient.com/blog/best-ai-marketing-agencies/</v>
      </c>
      <c r="B10" s="11" t="str">
        <f>IFERROR(__xludf.DUMMYFUNCTION("""COMPUTED_VALUE"""),"The 5 Best AI Marketing Agencies For B2B (2026 Update) - Omniscient Digital")</f>
        <v>The 5 Best AI Marketing Agencies For B2B (2026 Update) - Omniscient Digital</v>
      </c>
      <c r="C10" s="10" t="str">
        <f>IFERROR(__xludf.DUMMYFUNCTION("""COMPUTED_VALUE"""),"beomniscient.com")</f>
        <v>beomniscient.com</v>
      </c>
      <c r="D10" s="11" t="str">
        <f>IFERROR(__xludf.DUMMYFUNCTION("""COMPUTED_VALUE"""),"LISTICLE")</f>
        <v>LISTICLE</v>
      </c>
      <c r="E10" s="11" t="str">
        <f>IFERROR(__xludf.DUMMYFUNCTION("""COMPUTED_VALUE"""),"COMPETITOR")</f>
        <v>COMPETITOR</v>
      </c>
      <c r="F10" s="11" t="str">
        <f>IFERROR(__xludf.DUMMYFUNCTION("""COMPUTED_VALUE"""),"Listicle")</f>
        <v>Listicle</v>
      </c>
      <c r="G10" s="11" t="b">
        <f>IFERROR(__xludf.DUMMYFUNCTION("""COMPUTED_VALUE"""),FALSE)</f>
        <v>0</v>
      </c>
      <c r="H10" s="11" t="str">
        <f>IFERROR(__xludf.DUMMYFUNCTION("""COMPUTED_VALUE"""),"Omniscient Digital, NoGood, Optimist, Daydream, Single Grain, Measured, Clay, McKinsey")</f>
        <v>Omniscient Digital, NoGood, Optimist, Daydream, Single Grain, Measured, Clay, McKinsey</v>
      </c>
      <c r="I10" s="11">
        <f>IFERROR(__xludf.DUMMYFUNCTION("""COMPUTED_VALUE"""),55.0)</f>
        <v>55</v>
      </c>
      <c r="J10" s="11">
        <f>IFERROR(__xludf.DUMMYFUNCTION("""COMPUTED_VALUE"""),0.05)</f>
        <v>0.05</v>
      </c>
      <c r="K10" s="11">
        <f>IFERROR(__xludf.DUMMYFUNCTION("""COMPUTED_VALUE"""),1.82)</f>
        <v>1.82</v>
      </c>
      <c r="L10" s="11"/>
    </row>
    <row r="11" ht="15.75" customHeight="1">
      <c r="A11" s="10" t="str">
        <f>IFERROR(__xludf.DUMMYFUNCTION("""COMPUTED_VALUE"""),"https://www.measured.com/faq/best-incrementality-testing-companies-software-for-marketing-2026/")</f>
        <v>https://www.measured.com/faq/best-incrementality-testing-companies-software-for-marketing-2026/</v>
      </c>
      <c r="B11" s="11" t="str">
        <f>IFERROR(__xludf.DUMMYFUNCTION("""COMPUTED_VALUE"""),"Best Incrementality Testing Companies &amp;amp; Software for Marketing (2026)")</f>
        <v>Best Incrementality Testing Companies &amp;amp; Software for Marketing (2026)</v>
      </c>
      <c r="C11" s="10" t="str">
        <f>IFERROR(__xludf.DUMMYFUNCTION("""COMPUTED_VALUE"""),"measured.com")</f>
        <v>measured.com</v>
      </c>
      <c r="D11" s="11" t="str">
        <f>IFERROR(__xludf.DUMMYFUNCTION("""COMPUTED_VALUE"""),"LISTICLE")</f>
        <v>LISTICLE</v>
      </c>
      <c r="E11" s="11" t="str">
        <f>IFERROR(__xludf.DUMMYFUNCTION("""COMPUTED_VALUE"""),"COMPETITOR")</f>
        <v>COMPETITOR</v>
      </c>
      <c r="F11" s="11" t="str">
        <f>IFERROR(__xludf.DUMMYFUNCTION("""COMPUTED_VALUE"""),"Listicle")</f>
        <v>Listicle</v>
      </c>
      <c r="G11" s="11" t="b">
        <f>IFERROR(__xludf.DUMMYFUNCTION("""COMPUTED_VALUE"""),FALSE)</f>
        <v>0</v>
      </c>
      <c r="H11" s="11" t="str">
        <f>IFERROR(__xludf.DUMMYFUNCTION("""COMPUTED_VALUE"""),"Measured, Clay, Neustar, TransUnion, Rockerbox, Haus, Recast, Analytic Partners")</f>
        <v>Measured, Clay, Neustar, TransUnion, Rockerbox, Haus, Recast, Analytic Partners</v>
      </c>
      <c r="I11" s="11">
        <f>IFERROR(__xludf.DUMMYFUNCTION("""COMPUTED_VALUE"""),53.0)</f>
        <v>53</v>
      </c>
      <c r="J11" s="11">
        <f>IFERROR(__xludf.DUMMYFUNCTION("""COMPUTED_VALUE"""),0.05)</f>
        <v>0.05</v>
      </c>
      <c r="K11" s="11">
        <f>IFERROR(__xludf.DUMMYFUNCTION("""COMPUTED_VALUE"""),2.25)</f>
        <v>2.25</v>
      </c>
      <c r="L11" s="11"/>
    </row>
    <row r="12" ht="15.75" customHeight="1">
      <c r="A12" s="10" t="str">
        <f>IFERROR(__xludf.DUMMYFUNCTION("""COMPUTED_VALUE"""),"https://inbeat.agency/blog/top-marketing-measurement-and-analytics-companies")</f>
        <v>https://inbeat.agency/blog/top-marketing-measurement-and-analytics-companies</v>
      </c>
      <c r="B12" s="11" t="str">
        <f>IFERROR(__xludf.DUMMYFUNCTION("""COMPUTED_VALUE"""),"Top 15 Marketing Measurement and Analytics Firms Unlocking ROI Clarity in 2026 - inBeat Agency")</f>
        <v>Top 15 Marketing Measurement and Analytics Firms Unlocking ROI Clarity in 2026 - inBeat Agency</v>
      </c>
      <c r="C12" s="11" t="str">
        <f>IFERROR(__xludf.DUMMYFUNCTION("""COMPUTED_VALUE"""),"inbeat.agency")</f>
        <v>inbeat.agency</v>
      </c>
      <c r="D12" s="11" t="str">
        <f>IFERROR(__xludf.DUMMYFUNCTION("""COMPUTED_VALUE"""),"LISTICLE")</f>
        <v>LISTICLE</v>
      </c>
      <c r="E12" s="11" t="str">
        <f>IFERROR(__xludf.DUMMYFUNCTION("""COMPUTED_VALUE"""),"COMPETITOR")</f>
        <v>COMPETITOR</v>
      </c>
      <c r="F12" s="11" t="str">
        <f>IFERROR(__xludf.DUMMYFUNCTION("""COMPUTED_VALUE"""),"Listicle")</f>
        <v>Listicle</v>
      </c>
      <c r="G12" s="11" t="b">
        <f>IFERROR(__xludf.DUMMYFUNCTION("""COMPUTED_VALUE"""),FALSE)</f>
        <v>0</v>
      </c>
      <c r="H12" s="11" t="str">
        <f>IFERROR(__xludf.DUMMYFUNCTION("""COMPUTED_VALUE"""),"inBeat, Nielsen, Artefact, McKinsey, Measured, WebFX")</f>
        <v>inBeat, Nielsen, Artefact, McKinsey, Measured, WebFX</v>
      </c>
      <c r="I12" s="11">
        <f>IFERROR(__xludf.DUMMYFUNCTION("""COMPUTED_VALUE"""),46.0)</f>
        <v>46</v>
      </c>
      <c r="J12" s="11">
        <f>IFERROR(__xludf.DUMMYFUNCTION("""COMPUTED_VALUE"""),0.05)</f>
        <v>0.05</v>
      </c>
      <c r="K12" s="11">
        <f>IFERROR(__xludf.DUMMYFUNCTION("""COMPUTED_VALUE"""),0.98)</f>
        <v>0.98</v>
      </c>
      <c r="L12" s="11"/>
    </row>
    <row r="13" ht="15.75" customHeight="1">
      <c r="A13" s="10" t="str">
        <f>IFERROR(__xludf.DUMMYFUNCTION("""COMPUTED_VALUE"""),"https://www.sortlist.com/s/paid-media/united-states-us")</f>
        <v>https://www.sortlist.com/s/paid-media/united-states-us</v>
      </c>
      <c r="B13" s="11" t="str">
        <f>IFERROR(__xludf.DUMMYFUNCTION("""COMPUTED_VALUE"""),"The 10 Best Paid Media Agencies in the United States - 2026 Reviews")</f>
        <v>The 10 Best Paid Media Agencies in the United States - 2026 Reviews</v>
      </c>
      <c r="C13" s="10"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IFERROR(__xludf.DUMMYFUNCTION("""COMPUTED_VALUE"""),"NinjaPromo, Triple Whale, Northbeam, HockeyStack, Clutch")</f>
        <v>NinjaPromo, Triple Whale, Northbeam, HockeyStack, Clutch</v>
      </c>
      <c r="I13" s="11">
        <f>IFERROR(__xludf.DUMMYFUNCTION("""COMPUTED_VALUE"""),44.0)</f>
        <v>44</v>
      </c>
      <c r="J13" s="11">
        <f>IFERROR(__xludf.DUMMYFUNCTION("""COMPUTED_VALUE"""),0.04)</f>
        <v>0.04</v>
      </c>
      <c r="K13" s="11">
        <f>IFERROR(__xludf.DUMMYFUNCTION("""COMPUTED_VALUE"""),0.0)</f>
        <v>0</v>
      </c>
      <c r="L13" s="11"/>
    </row>
    <row r="14" ht="15.75" customHeight="1">
      <c r="A14" s="10" t="str">
        <f>IFERROR(__xludf.DUMMYFUNCTION("""COMPUTED_VALUE"""),"https://agencies.semrush.com/list/display-advertising/united-states/")</f>
        <v>https://agencies.semrush.com/list/display-advertising/united-states/</v>
      </c>
      <c r="B14" s="11" t="str">
        <f>IFERROR(__xludf.DUMMYFUNCTION("""COMPUTED_VALUE"""),"Best Display Ads Agencies in United States 2026 | Semrush")</f>
        <v>Best Display Ads Agencies in United States 2026 | Semrush</v>
      </c>
      <c r="C14" s="10" t="str">
        <f>IFERROR(__xludf.DUMMYFUNCTION("""COMPUTED_VALUE"""),"semrush.com")</f>
        <v>semrush.com</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IFERROR(__xludf.DUMMYFUNCTION("""COMPUTED_VALUE"""),"SmartSites, Elit-Web, Brighter Click")</f>
        <v>SmartSites, Elit-Web, Brighter Click</v>
      </c>
      <c r="I14" s="11">
        <f>IFERROR(__xludf.DUMMYFUNCTION("""COMPUTED_VALUE"""),42.0)</f>
        <v>42</v>
      </c>
      <c r="J14" s="11">
        <f>IFERROR(__xludf.DUMMYFUNCTION("""COMPUTED_VALUE"""),0.04)</f>
        <v>0.04</v>
      </c>
      <c r="K14" s="11">
        <f>IFERROR(__xludf.DUMMYFUNCTION("""COMPUTED_VALUE"""),0.17)</f>
        <v>0.17</v>
      </c>
      <c r="L14" s="11"/>
    </row>
    <row r="15" ht="15.75" customHeight="1">
      <c r="A15" s="10" t="str">
        <f>IFERROR(__xludf.DUMMYFUNCTION("""COMPUTED_VALUE"""),"https://www.triplewhale.com/blog/best-incrementality-testing-tools")</f>
        <v>https://www.triplewhale.com/blog/best-incrementality-testing-tools</v>
      </c>
      <c r="B15" s="11" t="str">
        <f>IFERROR(__xludf.DUMMYFUNCTION("""COMPUTED_VALUE"""),"The Best Incrementality Testing Tools for Marketers in 2026 | Triple Whale")</f>
        <v>The Best Incrementality Testing Tools for Marketers in 2026 | Triple Whale</v>
      </c>
      <c r="C15" s="10" t="str">
        <f>IFERROR(__xludf.DUMMYFUNCTION("""COMPUTED_VALUE"""),"triplewhale.com")</f>
        <v>triplewhale.com</v>
      </c>
      <c r="D15" s="11" t="str">
        <f>IFERROR(__xludf.DUMMYFUNCTION("""COMPUTED_VALUE"""),"COMPARISON")</f>
        <v>COMPARISON</v>
      </c>
      <c r="E15" s="11" t="str">
        <f>IFERROR(__xludf.DUMMYFUNCTION("""COMPUTED_VALUE"""),"COMPETITOR")</f>
        <v>COMPETITOR</v>
      </c>
      <c r="F15" s="11" t="str">
        <f>IFERROR(__xludf.DUMMYFUNCTION("""COMPUTED_VALUE"""),"Comparison")</f>
        <v>Comparison</v>
      </c>
      <c r="G15" s="11" t="b">
        <f>IFERROR(__xludf.DUMMYFUNCTION("""COMPUTED_VALUE"""),FALSE)</f>
        <v>0</v>
      </c>
      <c r="H15" s="11" t="str">
        <f>IFERROR(__xludf.DUMMYFUNCTION("""COMPUTED_VALUE"""),"Triple Whale, Haus, Measured, INCRMNTAL")</f>
        <v>Triple Whale, Haus, Measured, INCRMNTAL</v>
      </c>
      <c r="I15" s="11">
        <f>IFERROR(__xludf.DUMMYFUNCTION("""COMPUTED_VALUE"""),41.0)</f>
        <v>41</v>
      </c>
      <c r="J15" s="11">
        <f>IFERROR(__xludf.DUMMYFUNCTION("""COMPUTED_VALUE"""),0.04)</f>
        <v>0.04</v>
      </c>
      <c r="K15" s="11">
        <f>IFERROR(__xludf.DUMMYFUNCTION("""COMPUTED_VALUE"""),0.83)</f>
        <v>0.83</v>
      </c>
      <c r="L15" s="11"/>
    </row>
    <row r="16" ht="15.75" customHeight="1">
      <c r="A16" s="10" t="str">
        <f>IFERROR(__xludf.DUMMYFUNCTION("""COMPUTED_VALUE"""),"https://www.yesoptimist.com/best-aeo-agencies/")</f>
        <v>https://www.yesoptimist.com/best-aeo-agencies/</v>
      </c>
      <c r="B16" s="11" t="str">
        <f>IFERROR(__xludf.DUMMYFUNCTION("""COMPUTED_VALUE"""),"The Best AEO Agencies for Growing AI Visibility &amp;amp; Revenue (2026) | Optimist")</f>
        <v>The Best AEO Agencies for Growing AI Visibility &amp;amp; Revenue (2026) | Optimist</v>
      </c>
      <c r="C16" s="10" t="str">
        <f>IFERROR(__xludf.DUMMYFUNCTION("""COMPUTED_VALUE"""),"yesoptimist.com")</f>
        <v>yesoptimist.com</v>
      </c>
      <c r="D16" s="11" t="str">
        <f>IFERROR(__xludf.DUMMYFUNCTION("""COMPUTED_VALUE"""),"LISTICLE")</f>
        <v>LISTICLE</v>
      </c>
      <c r="E16" s="11" t="str">
        <f>IFERROR(__xludf.DUMMYFUNCTION("""COMPUTED_VALUE"""),"COMPETITOR")</f>
        <v>COMPETITOR</v>
      </c>
      <c r="F16" s="11" t="str">
        <f>IFERROR(__xludf.DUMMYFUNCTION("""COMPUTED_VALUE"""),"Listicle")</f>
        <v>Listicle</v>
      </c>
      <c r="G16" s="11" t="b">
        <f>IFERROR(__xludf.DUMMYFUNCTION("""COMPUTED_VALUE"""),FALSE)</f>
        <v>0</v>
      </c>
      <c r="H16" s="11" t="str">
        <f>IFERROR(__xludf.DUMMYFUNCTION("""COMPUTED_VALUE"""),"Optimist, Discovered Labs, iPullRank, First Page Sage, Clutch, Omniscient Digital, RevenueZen, Animalz, Siege Media, Graphite, NoGood, Seer Interactive")</f>
        <v>Optimist, Discovered Labs, iPullRank, First Page Sage, Clutch, Omniscient Digital, RevenueZen, Animalz, Siege Media, Graphite, NoGood, Seer Interactive</v>
      </c>
      <c r="I16" s="11">
        <f>IFERROR(__xludf.DUMMYFUNCTION("""COMPUTED_VALUE"""),41.0)</f>
        <v>41</v>
      </c>
      <c r="J16" s="11">
        <f>IFERROR(__xludf.DUMMYFUNCTION("""COMPUTED_VALUE"""),0.04)</f>
        <v>0.04</v>
      </c>
      <c r="K16" s="11">
        <f>IFERROR(__xludf.DUMMYFUNCTION("""COMPUTED_VALUE"""),1.59)</f>
        <v>1.59</v>
      </c>
      <c r="L16" s="11"/>
    </row>
    <row r="17" ht="15.75" customHeight="1">
      <c r="A17" s="10" t="str">
        <f>IFERROR(__xludf.DUMMYFUNCTION("""COMPUTED_VALUE"""),"https://clutch.co/us/agencies/creative")</f>
        <v>https://clutch.co/us/agencies/creative</v>
      </c>
      <c r="B17" s="11" t="str">
        <f>IFERROR(__xludf.DUMMYFUNCTION("""COMPUTED_VALUE"""),"Top Creative Agencies in the United States - Jul 2026 Rankings | Clutch.co")</f>
        <v>Top Creative Agencies in the United States - Jul 2026 Rankings | Clutch.co</v>
      </c>
      <c r="C17" s="10" t="str">
        <f>IFERROR(__xludf.DUMMYFUNCTION("""COMPUTED_VALUE"""),"clutch.co")</f>
        <v>clutch.co</v>
      </c>
      <c r="D17" s="11" t="str">
        <f>IFERROR(__xludf.DUMMYFUNCTION("""COMPUTED_VALUE"""),"CATEGORY_PAGE")</f>
        <v>CATEGORY_PAGE</v>
      </c>
      <c r="E17" s="11" t="str">
        <f>IFERROR(__xludf.DUMMYFUNCTION("""COMPUTED_VALUE"""),"COMPETITOR")</f>
        <v>COMPETITOR</v>
      </c>
      <c r="F17" s="11" t="str">
        <f>IFERROR(__xludf.DUMMYFUNCTION("""COMPUTED_VALUE"""),"Category Page")</f>
        <v>Category Page</v>
      </c>
      <c r="G17" s="11" t="b">
        <f>IFERROR(__xludf.DUMMYFUNCTION("""COMPUTED_VALUE"""),FALSE)</f>
        <v>0</v>
      </c>
      <c r="H17" s="11" t="str">
        <f>IFERROR(__xludf.DUMMYFUNCTION("""COMPUTED_VALUE"""),"Clutch, Clay, Huge")</f>
        <v>Clutch, Clay, Huge</v>
      </c>
      <c r="I17" s="11">
        <f>IFERROR(__xludf.DUMMYFUNCTION("""COMPUTED_VALUE"""),39.0)</f>
        <v>39</v>
      </c>
      <c r="J17" s="11">
        <f>IFERROR(__xludf.DUMMYFUNCTION("""COMPUTED_VALUE"""),0.04)</f>
        <v>0.04</v>
      </c>
      <c r="K17" s="11">
        <f>IFERROR(__xludf.DUMMYFUNCTION("""COMPUTED_VALUE"""),0.54)</f>
        <v>0.54</v>
      </c>
      <c r="L17" s="11"/>
    </row>
    <row r="18" ht="15.75" customHeight="1">
      <c r="A18" s="10" t="str">
        <f>IFERROR(__xludf.DUMMYFUNCTION("""COMPUTED_VALUE"""),"https://directiveconsulting.com/blog/25-best-paid-media-agencies-that-turn-ad-spend-into-revenue/")</f>
        <v>https://directiveconsulting.com/blog/25-best-paid-media-agencies-that-turn-ad-spend-into-revenue/</v>
      </c>
      <c r="B18" s="11" t="str">
        <f>IFERROR(__xludf.DUMMYFUNCTION("""COMPUTED_VALUE"""),"25 Best Paid Media Agencies For B2B - Directive")</f>
        <v>25 Best Paid Media Agencies For B2B - Directive</v>
      </c>
      <c r="C18" s="10" t="str">
        <f>IFERROR(__xludf.DUMMYFUNCTION("""COMPUTED_VALUE"""),"directiveconsulting.com")</f>
        <v>directiveconsulting.com</v>
      </c>
      <c r="D18" s="11" t="str">
        <f>IFERROR(__xludf.DUMMYFUNCTION("""COMPUTED_VALUE"""),"LISTICLE")</f>
        <v>LISTICLE</v>
      </c>
      <c r="E18" s="11" t="str">
        <f>IFERROR(__xludf.DUMMYFUNCTION("""COMPUTED_VALUE"""),"COMPETITOR")</f>
        <v>COMPETITOR</v>
      </c>
      <c r="F18" s="11" t="str">
        <f>IFERROR(__xludf.DUMMYFUNCTION("""COMPUTED_VALUE"""),"Listicle")</f>
        <v>Listicle</v>
      </c>
      <c r="G18" s="11" t="b">
        <f>IFERROR(__xludf.DUMMYFUNCTION("""COMPUTED_VALUE"""),FALSE)</f>
        <v>0</v>
      </c>
      <c r="H18"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18" s="11">
        <f>IFERROR(__xludf.DUMMYFUNCTION("""COMPUTED_VALUE"""),39.0)</f>
        <v>39</v>
      </c>
      <c r="J18" s="11">
        <f>IFERROR(__xludf.DUMMYFUNCTION("""COMPUTED_VALUE"""),0.04)</f>
        <v>0.04</v>
      </c>
      <c r="K18" s="11">
        <f>IFERROR(__xludf.DUMMYFUNCTION("""COMPUTED_VALUE"""),0.77)</f>
        <v>0.77</v>
      </c>
      <c r="L18" s="11"/>
    </row>
    <row r="19" ht="15.75" customHeight="1">
      <c r="A19" s="10" t="str">
        <f>IFERROR(__xludf.DUMMYFUNCTION("""COMPUTED_VALUE"""),"https://www.silverbackstrategies.com/lists/best-social-media-advertising-agencies-in-the-us-ranked-reviewed/")</f>
        <v>https://www.silverbackstrategies.com/lists/best-social-media-advertising-agencies-in-the-us-ranked-reviewed/</v>
      </c>
      <c r="B19" s="11" t="str">
        <f>IFERROR(__xludf.DUMMYFUNCTION("""COMPUTED_VALUE"""),"Best Social Media Advertising Agencies in the U.S. in 2026 (Ranked &amp;amp; Reviewed) | Silverback Strategies")</f>
        <v>Best Social Media Advertising Agencies in the U.S. in 2026 (Ranked &amp;amp; Reviewed) | Silverback Strategies</v>
      </c>
      <c r="C19" s="10" t="str">
        <f>IFERROR(__xludf.DUMMYFUNCTION("""COMPUTED_VALUE"""),"silverbackstrategies.com")</f>
        <v>silverbackstrategies.com</v>
      </c>
      <c r="D19" s="11" t="str">
        <f>IFERROR(__xludf.DUMMYFUNCTION("""COMPUTED_VALUE"""),"LISTICLE")</f>
        <v>LISTICLE</v>
      </c>
      <c r="E19" s="11" t="str">
        <f>IFERROR(__xludf.DUMMYFUNCTION("""COMPUTED_VALUE"""),"COMPETITOR")</f>
        <v>COMPETITOR</v>
      </c>
      <c r="F19" s="11" t="str">
        <f>IFERROR(__xludf.DUMMYFUNCTION("""COMPUTED_VALUE"""),"Listicle")</f>
        <v>Listicle</v>
      </c>
      <c r="G19" s="11" t="b">
        <f>IFERROR(__xludf.DUMMYFUNCTION("""COMPUTED_VALUE"""),FALSE)</f>
        <v>0</v>
      </c>
      <c r="H19" s="11" t="str">
        <f>IFERROR(__xludf.DUMMYFUNCTION("""COMPUTED_VALUE"""),"Silverback Strategies, Clutch, Sociallyin, LYFE Marketing, NinjaPromo, Momentum")</f>
        <v>Silverback Strategies, Clutch, Sociallyin, LYFE Marketing, NinjaPromo, Momentum</v>
      </c>
      <c r="I19" s="11">
        <f>IFERROR(__xludf.DUMMYFUNCTION("""COMPUTED_VALUE"""),39.0)</f>
        <v>39</v>
      </c>
      <c r="J19" s="11">
        <f>IFERROR(__xludf.DUMMYFUNCTION("""COMPUTED_VALUE"""),0.04)</f>
        <v>0.04</v>
      </c>
      <c r="K19" s="11">
        <f>IFERROR(__xludf.DUMMYFUNCTION("""COMPUTED_VALUE"""),0.85)</f>
        <v>0.85</v>
      </c>
      <c r="L19" s="11"/>
    </row>
    <row r="20" ht="15.75" customHeight="1">
      <c r="A20" s="10" t="str">
        <f>IFERROR(__xludf.DUMMYFUNCTION("""COMPUTED_VALUE"""),"https://inbeat.agency/blog/top-marketing-analytics-agencies#:~:text=NP%20Digital%20is%20a%20full%2Dfunnel%20analytics%20partner,rigorous%20analytics%2C%20delivering%20clarity%20across%20every%20channel.")</f>
        <v>https://inbeat.agency/blog/top-marketing-analytics-agencies#:~:text=NP%20Digital%20is%20a%20full%2Dfunnel%20analytics%20partner,rigorous%20analytics%2C%20delivering%20clarity%20across%20every%20channel.</v>
      </c>
      <c r="B20" s="11" t="str">
        <f>IFERROR(__xludf.DUMMYFUNCTION("""COMPUTED_VALUE"""),"Top 15 Marketing Analytics Agencies Defining 2026 - inBeat Agency")</f>
        <v>Top 15 Marketing Analytics Agencies Defining 2026 - inBeat Agency</v>
      </c>
      <c r="C20" s="11" t="str">
        <f>IFERROR(__xludf.DUMMYFUNCTION("""COMPUTED_VALUE"""),"inbeat.agency")</f>
        <v>inbeat.agency</v>
      </c>
      <c r="D20" s="11" t="str">
        <f>IFERROR(__xludf.DUMMYFUNCTION("""COMPUTED_VALUE"""),"LISTICLE")</f>
        <v>LISTICLE</v>
      </c>
      <c r="E20" s="11" t="str">
        <f>IFERROR(__xludf.DUMMYFUNCTION("""COMPUTED_VALUE"""),"COMPETITOR")</f>
        <v>COMPETITOR</v>
      </c>
      <c r="F20" s="11" t="str">
        <f>IFERROR(__xludf.DUMMYFUNCTION("""COMPUTED_VALUE"""),"Listicle")</f>
        <v>Listicle</v>
      </c>
      <c r="G20" s="11" t="b">
        <f>IFERROR(__xludf.DUMMYFUNCTION("""COMPUTED_VALUE"""),FALSE)</f>
        <v>0</v>
      </c>
      <c r="H20" s="11" t="str">
        <f>IFERROR(__xludf.DUMMYFUNCTION("""COMPUTED_VALUE"""),"inBeat, Nielsen, NP Digital, Artefact, Forthea, Noble Studios, Momentum, McKinsey, Clutch, WebFX, IBM")</f>
        <v>inBeat, Nielsen, NP Digital, Artefact, Forthea, Noble Studios, Momentum, McKinsey, Clutch, WebFX, IBM</v>
      </c>
      <c r="I20" s="11">
        <f>IFERROR(__xludf.DUMMYFUNCTION("""COMPUTED_VALUE"""),38.0)</f>
        <v>38</v>
      </c>
      <c r="J20" s="11">
        <f>IFERROR(__xludf.DUMMYFUNCTION("""COMPUTED_VALUE"""),0.04)</f>
        <v>0.04</v>
      </c>
      <c r="K20" s="11">
        <f>IFERROR(__xludf.DUMMYFUNCTION("""COMPUTED_VALUE"""),3.21)</f>
        <v>3.21</v>
      </c>
      <c r="L20" s="11"/>
    </row>
    <row r="21" ht="15.75" customHeight="1">
      <c r="A21" s="10" t="str">
        <f>IFERROR(__xludf.DUMMYFUNCTION("""COMPUTED_VALUE"""),"https://www.designrush.com/agency/digital-marketing/analytics/us")</f>
        <v>https://www.designrush.com/agency/digital-marketing/analytics/us</v>
      </c>
      <c r="B21" s="11" t="str">
        <f>IFERROR(__xludf.DUMMYFUNCTION("""COMPUTED_VALUE"""),"Top United States Marketing Analytics Companies | 2026")</f>
        <v>Top United States Marketing Analytics Companies | 2026</v>
      </c>
      <c r="C21" s="10" t="str">
        <f>IFERROR(__xludf.DUMMYFUNCTION("""COMPUTED_VALUE"""),"designrush.com")</f>
        <v>designrush.com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IFERROR(__xludf.DUMMYFUNCTION("""COMPUTED_VALUE"""),"SmartSites, Huge, KlientBoost, Funnel Boost Media, Elit-Web, AdVenture Media, Monks, Ignite Visibility, IBM, Measured")</f>
        <v>SmartSites, Huge, KlientBoost, Funnel Boost Media, Elit-Web, AdVenture Media, Monks, Ignite Visibility, IBM, Measured</v>
      </c>
      <c r="I21" s="11">
        <f>IFERROR(__xludf.DUMMYFUNCTION("""COMPUTED_VALUE"""),37.0)</f>
        <v>37</v>
      </c>
      <c r="J21" s="11">
        <f>IFERROR(__xludf.DUMMYFUNCTION("""COMPUTED_VALUE"""),0.04)</f>
        <v>0.04</v>
      </c>
      <c r="K21" s="11">
        <f>IFERROR(__xludf.DUMMYFUNCTION("""COMPUTED_VALUE"""),0.54)</f>
        <v>0.54</v>
      </c>
      <c r="L21" s="11"/>
    </row>
    <row r="22" ht="15.75" customHeight="1">
      <c r="A22" s="10" t="str">
        <f>IFERROR(__xludf.DUMMYFUNCTION("""COMPUTED_VALUE"""),"https://unifiedplatforms.com/blogs/aeo/top-answer-engine-optimization-aeo-agencies-united-states/")</f>
        <v>https://unifiedplatforms.com/blogs/aeo/top-answer-engine-optimization-aeo-agencies-united-states/</v>
      </c>
      <c r="B22" s="11" t="str">
        <f>IFERROR(__xludf.DUMMYFUNCTION("""COMPUTED_VALUE"""),"Top AEO Agencies in the United States 2026 | Best Answer Engine Optimization")</f>
        <v>Top AEO Agencies in the United States 2026 | Best Answer Engine Optimization</v>
      </c>
      <c r="C22" s="10" t="str">
        <f>IFERROR(__xludf.DUMMYFUNCTION("""COMPUTED_VALUE"""),"unifiedplatforms.com")</f>
        <v>unifiedplatforms.com</v>
      </c>
      <c r="D22" s="11" t="str">
        <f>IFERROR(__xludf.DUMMYFUNCTION("""COMPUTED_VALUE"""),"LISTICLE")</f>
        <v>LISTICLE</v>
      </c>
      <c r="E22" s="11" t="str">
        <f>IFERROR(__xludf.DUMMYFUNCTION("""COMPUTED_VALUE"""),"CORPORATE")</f>
        <v>CORPORATE</v>
      </c>
      <c r="F22" s="11" t="str">
        <f>IFERROR(__xludf.DUMMYFUNCTION("""COMPUTED_VALUE"""),"Listicle")</f>
        <v>Listicle</v>
      </c>
      <c r="G22" s="11" t="b">
        <f>IFERROR(__xludf.DUMMYFUNCTION("""COMPUTED_VALUE"""),FALSE)</f>
        <v>0</v>
      </c>
      <c r="H22" s="11" t="str">
        <f>IFERROR(__xludf.DUMMYFUNCTION("""COMPUTED_VALUE"""),"NoGood, Single Grain, iPullRank, WebFX, Siege Media, Go Fish Digital, First Page Sage, Avenue Z, Marcel Digital, Measured, Merkle")</f>
        <v>NoGood, Single Grain, iPullRank, WebFX, Siege Media, Go Fish Digital, First Page Sage, Avenue Z, Marcel Digital, Measured, Merkle</v>
      </c>
      <c r="I22" s="11">
        <f>IFERROR(__xludf.DUMMYFUNCTION("""COMPUTED_VALUE"""),37.0)</f>
        <v>37</v>
      </c>
      <c r="J22" s="11">
        <f>IFERROR(__xludf.DUMMYFUNCTION("""COMPUTED_VALUE"""),0.04)</f>
        <v>0.04</v>
      </c>
      <c r="K22" s="11">
        <f>IFERROR(__xludf.DUMMYFUNCTION("""COMPUTED_VALUE"""),1.65)</f>
        <v>1.65</v>
      </c>
      <c r="L22" s="11"/>
    </row>
    <row r="23" ht="15.75" customHeight="1">
      <c r="A23" s="10" t="str">
        <f>IFERROR(__xludf.DUMMYFUNCTION("""COMPUTED_VALUE"""),"https://www.webtonic.io/blog/best-paid-social-agencies-us")</f>
        <v>https://www.webtonic.io/blog/best-paid-social-agencies-us</v>
      </c>
      <c r="B23" s="11" t="str">
        <f>IFERROR(__xludf.DUMMYFUNCTION("""COMPUTED_VALUE"""),"27 Best Paid Social Agencies in the US for 2026")</f>
        <v>27 Best Paid Social Agencies in the US for 2026</v>
      </c>
      <c r="C23" s="10" t="str">
        <f>IFERROR(__xludf.DUMMYFUNCTION("""COMPUTED_VALUE"""),"webtonic.io")</f>
        <v>webtonic.io</v>
      </c>
      <c r="D23" s="11" t="str">
        <f>IFERROR(__xludf.DUMMYFUNCTION("""COMPUTED_VALUE"""),"LISTICLE")</f>
        <v>LISTICLE</v>
      </c>
      <c r="E23" s="11" t="str">
        <f>IFERROR(__xludf.DUMMYFUNCTION("""COMPUTED_VALUE"""),"COMPETITOR")</f>
        <v>COMPETITOR</v>
      </c>
      <c r="F23" s="11" t="str">
        <f>IFERROR(__xludf.DUMMYFUNCTION("""COMPUTED_VALUE"""),"Listicle")</f>
        <v>Listicle</v>
      </c>
      <c r="G23" s="11" t="b">
        <f>IFERROR(__xludf.DUMMYFUNCTION("""COMPUTED_VALUE"""),FALSE)</f>
        <v>0</v>
      </c>
      <c r="H23" s="11" t="str">
        <f>IFERROR(__xludf.DUMMYFUNCTION("""COMPUTED_VALUE"""),"Web Tonic, Sociallyin, Tinuiti, Disruptive Advertising, Metric Theory, Power Digital, DEPT, Wpromote, TransUnion, Viral Nation, Jellyfish, The Social Shepherd, Ignite Visibility, MuteSix, Directive, Hawke Media")</f>
        <v>Web Tonic, Sociallyin, Tinuiti, Disruptive Advertising, Metric Theory, Power Digital, DEPT, Wpromote, TransUnion, Viral Nation, Jellyfish, The Social Shepherd, Ignite Visibility, MuteSix, Directive, Hawke Media</v>
      </c>
      <c r="I23" s="11">
        <f>IFERROR(__xludf.DUMMYFUNCTION("""COMPUTED_VALUE"""),37.0)</f>
        <v>37</v>
      </c>
      <c r="J23" s="11">
        <f>IFERROR(__xludf.DUMMYFUNCTION("""COMPUTED_VALUE"""),0.04)</f>
        <v>0.04</v>
      </c>
      <c r="K23" s="11">
        <f>IFERROR(__xludf.DUMMYFUNCTION("""COMPUTED_VALUE"""),1.84)</f>
        <v>1.84</v>
      </c>
      <c r="L23" s="11"/>
    </row>
    <row r="24" ht="15.75" customHeight="1">
      <c r="A24" s="10" t="str">
        <f>IFERROR(__xludf.DUMMYFUNCTION("""COMPUTED_VALUE"""),"https://www.linkedin.com/pulse/top-25-performance-marketing-agencies-us-hawkemedia-iqbnc")</f>
        <v>https://www.linkedin.com/pulse/top-25-performance-marketing-agencies-us-hawkemedia-iqbnc</v>
      </c>
      <c r="B24" s="11" t="str">
        <f>IFERROR(__xludf.DUMMYFUNCTION("""COMPUTED_VALUE"""),"Top 25 Performance Marketing Agencies In The U.S.")</f>
        <v>Top 25 Performance Marketing Agencies In The U.S.</v>
      </c>
      <c r="C24" s="10" t="str">
        <f>IFERROR(__xludf.DUMMYFUNCTION("""COMPUTED_VALUE"""),"linkedin.com")</f>
        <v>linkedin.com</v>
      </c>
      <c r="D24" s="11" t="str">
        <f>IFERROR(__xludf.DUMMYFUNCTION("""COMPUTED_VALUE"""),"LISTICLE")</f>
        <v>LISTICLE</v>
      </c>
      <c r="E24" s="11" t="str">
        <f>IFERROR(__xludf.DUMMYFUNCTION("""COMPUTED_VALUE"""),"UGC")</f>
        <v>UGC</v>
      </c>
      <c r="F24" s="11" t="str">
        <f>IFERROR(__xludf.DUMMYFUNCTION("""COMPUTED_VALUE"""),"Listicle")</f>
        <v>Listicle</v>
      </c>
      <c r="G24" s="11" t="b">
        <f>IFERROR(__xludf.DUMMYFUNCTION("""COMPUTED_VALUE"""),FALSE)</f>
        <v>0</v>
      </c>
      <c r="H24"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24" s="11">
        <f>IFERROR(__xludf.DUMMYFUNCTION("""COMPUTED_VALUE"""),36.0)</f>
        <v>36</v>
      </c>
      <c r="J24" s="11">
        <f>IFERROR(__xludf.DUMMYFUNCTION("""COMPUTED_VALUE"""),0.04)</f>
        <v>0.04</v>
      </c>
      <c r="K24" s="11">
        <f>IFERROR(__xludf.DUMMYFUNCTION("""COMPUTED_VALUE"""),1.22)</f>
        <v>1.22</v>
      </c>
      <c r="L24" s="11"/>
    </row>
    <row r="25" ht="15.75" customHeight="1">
      <c r="A25" s="10" t="str">
        <f>IFERROR(__xludf.DUMMYFUNCTION("""COMPUTED_VALUE"""),"https://www.nutshell.com/blog/top-geo-agencies")</f>
        <v>https://www.nutshell.com/blog/top-geo-agencies</v>
      </c>
      <c r="B25" s="11" t="str">
        <f>IFERROR(__xludf.DUMMYFUNCTION("""COMPUTED_VALUE"""),"The 10 Top GEO Agencies of 2026 (Reviewed)")</f>
        <v>The 10 Top GEO Agencies of 2026 (Reviewed)</v>
      </c>
      <c r="C25" s="10" t="str">
        <f>IFERROR(__xludf.DUMMYFUNCTION("""COMPUTED_VALUE"""),"nutshell.com")</f>
        <v>nutshell.com</v>
      </c>
      <c r="D25" s="11" t="str">
        <f>IFERROR(__xludf.DUMMYFUNCTION("""COMPUTED_VALUE"""),"LISTICLE")</f>
        <v>LISTICLE</v>
      </c>
      <c r="E25" s="11" t="str">
        <f>IFERROR(__xludf.DUMMYFUNCTION("""COMPUTED_VALUE"""),"CORPORATE")</f>
        <v>CORPORATE</v>
      </c>
      <c r="F25" s="11" t="str">
        <f>IFERROR(__xludf.DUMMYFUNCTION("""COMPUTED_VALUE"""),"Listicle")</f>
        <v>Listicle</v>
      </c>
      <c r="G25" s="11" t="b">
        <f>IFERROR(__xludf.DUMMYFUNCTION("""COMPUTED_VALUE"""),FALSE)</f>
        <v>0</v>
      </c>
      <c r="H25" s="11" t="str">
        <f>IFERROR(__xludf.DUMMYFUNCTION("""COMPUTED_VALUE"""),"Clutch, WebFX, Victorious, Siege Media, Major Tom, The SEO Works")</f>
        <v>Clutch, WebFX, Victorious, Siege Media, Major Tom, The SEO Works</v>
      </c>
      <c r="I25" s="11">
        <f>IFERROR(__xludf.DUMMYFUNCTION("""COMPUTED_VALUE"""),36.0)</f>
        <v>36</v>
      </c>
      <c r="J25" s="11">
        <f>IFERROR(__xludf.DUMMYFUNCTION("""COMPUTED_VALUE"""),0.04)</f>
        <v>0.04</v>
      </c>
      <c r="K25" s="11">
        <f>IFERROR(__xludf.DUMMYFUNCTION("""COMPUTED_VALUE"""),0.5)</f>
        <v>0.5</v>
      </c>
      <c r="L25" s="11"/>
    </row>
    <row r="26" ht="15.75" customHeight="1">
      <c r="A26" s="10" t="str">
        <f>IFERROR(__xludf.DUMMYFUNCTION("""COMPUTED_VALUE"""),"https://www.darkroomagency.com/observatory/best-performance-marketing-agencies-in-2026#:~:text=Their%20service%20positioning%20spans%20SEO%2C%20PPC%2C%20social,a%20traditional%20agency%20in%20the%20classic%20sense.")</f>
        <v>https://www.darkroomagency.com/observatory/best-performance-marketing-agencies-in-2026#:~:text=Their%20service%20positioning%20spans%20SEO%2C%20PPC%2C%20social,a%20traditional%20agency%20in%20the%20classic%20sense.</v>
      </c>
      <c r="B26" s="11" t="str">
        <f>IFERROR(__xludf.DUMMYFUNCTION("""COMPUTED_VALUE"""),"Best Performance Marketing Agencies for Ecommerce in 2026")</f>
        <v>Best Performance Marketing Agencies for Ecommerce in 2026</v>
      </c>
      <c r="C26" s="10" t="str">
        <f>IFERROR(__xludf.DUMMYFUNCTION("""COMPUTED_VALUE"""),"darkroomagency.com")</f>
        <v>darkroomagency.com</v>
      </c>
      <c r="D26" s="11" t="str">
        <f>IFERROR(__xludf.DUMMYFUNCTION("""COMPUTED_VALUE"""),"LISTICLE")</f>
        <v>LISTICLE</v>
      </c>
      <c r="E26" s="11" t="str">
        <f>IFERROR(__xludf.DUMMYFUNCTION("""COMPUTED_VALUE"""),"COMPETITOR")</f>
        <v>COMPETITOR</v>
      </c>
      <c r="F26" s="11" t="str">
        <f>IFERROR(__xludf.DUMMYFUNCTION("""COMPUTED_VALUE"""),"Listicle")</f>
        <v>Listicle</v>
      </c>
      <c r="G26" s="11" t="b">
        <f>IFERROR(__xludf.DUMMYFUNCTION("""COMPUTED_VALUE"""),FALSE)</f>
        <v>0</v>
      </c>
      <c r="H26" s="11" t="str">
        <f>IFERROR(__xludf.DUMMYFUNCTION("""COMPUTED_VALUE"""),"Darkroom, Tinuiti, Wpromote, Power Digital, Common Thread Collective, Disruptive Advertising, Ignite Visibility, WebFX, Right Side Up, Amsive, Measured, Droga5")</f>
        <v>Darkroom, Tinuiti, Wpromote, Power Digital, Common Thread Collective, Disruptive Advertising, Ignite Visibility, WebFX, Right Side Up, Amsive, Measured, Droga5</v>
      </c>
      <c r="I26" s="11">
        <f>IFERROR(__xludf.DUMMYFUNCTION("""COMPUTED_VALUE"""),35.0)</f>
        <v>35</v>
      </c>
      <c r="J26" s="11">
        <f>IFERROR(__xludf.DUMMYFUNCTION("""COMPUTED_VALUE"""),0.03)</f>
        <v>0.03</v>
      </c>
      <c r="K26" s="11">
        <f>IFERROR(__xludf.DUMMYFUNCTION("""COMPUTED_VALUE"""),1.11)</f>
        <v>1.11</v>
      </c>
      <c r="L26" s="11"/>
    </row>
    <row r="27" ht="15.75" customHeight="1">
      <c r="A27" s="10" t="str">
        <f>IFERROR(__xludf.DUMMYFUNCTION("""COMPUTED_VALUE"""),"https://disruptiveadvertising.com/blog/business/top-us-digital-marketing-agencies/")</f>
        <v>https://disruptiveadvertising.com/blog/business/top-us-digital-marketing-agencies/</v>
      </c>
      <c r="B27" s="11" t="str">
        <f>IFERROR(__xludf.DUMMYFUNCTION("""COMPUTED_VALUE"""),"Top U.S. Digital Marketing Agencies In 2026 | Disruptive Advertising")</f>
        <v>Top U.S. Digital Marketing Agencies In 2026 | Disruptive Advertising</v>
      </c>
      <c r="C27" s="10" t="str">
        <f>IFERROR(__xludf.DUMMYFUNCTION("""COMPUTED_VALUE"""),"disruptiveadvertising.com")</f>
        <v>disruptiveadvertising.com</v>
      </c>
      <c r="D27" s="11" t="str">
        <f>IFERROR(__xludf.DUMMYFUNCTION("""COMPUTED_VALUE"""),"LISTICLE")</f>
        <v>LISTICLE</v>
      </c>
      <c r="E27" s="11" t="str">
        <f>IFERROR(__xludf.DUMMYFUNCTION("""COMPUTED_VALUE"""),"COMPETITOR")</f>
        <v>COMPETITOR</v>
      </c>
      <c r="F27" s="11" t="str">
        <f>IFERROR(__xludf.DUMMYFUNCTION("""COMPUTED_VALUE"""),"Listicle")</f>
        <v>Listicle</v>
      </c>
      <c r="G27" s="11" t="b">
        <f>IFERROR(__xludf.DUMMYFUNCTION("""COMPUTED_VALUE"""),FALSE)</f>
        <v>0</v>
      </c>
      <c r="H27" s="11" t="str">
        <f>IFERROR(__xludf.DUMMYFUNCTION("""COMPUTED_VALUE"""),"Disruptive Advertising, KlientBoost, inBeat, Silverback Strategies, Sociallyin, Funnel Boost Media")</f>
        <v>Disruptive Advertising, KlientBoost, inBeat, Silverback Strategies, Sociallyin, Funnel Boost Media</v>
      </c>
      <c r="I27" s="11">
        <f>IFERROR(__xludf.DUMMYFUNCTION("""COMPUTED_VALUE"""),35.0)</f>
        <v>35</v>
      </c>
      <c r="J27" s="11">
        <f>IFERROR(__xludf.DUMMYFUNCTION("""COMPUTED_VALUE"""),0.03)</f>
        <v>0.03</v>
      </c>
      <c r="K27" s="11">
        <f>IFERROR(__xludf.DUMMYFUNCTION("""COMPUTED_VALUE"""),0.97)</f>
        <v>0.97</v>
      </c>
      <c r="L27" s="11"/>
    </row>
    <row r="28" ht="15.75" customHeight="1">
      <c r="A28" s="10" t="str">
        <f>IFERROR(__xludf.DUMMYFUNCTION("""COMPUTED_VALUE"""),"https://www.agencycluster.com/top-50/ppc-performance-marketing-agencies")</f>
        <v>https://www.agencycluster.com/top-50/ppc-performance-marketing-agencies</v>
      </c>
      <c r="B28" s="11" t="str">
        <f>IFERROR(__xludf.DUMMYFUNCTION("""COMPUTED_VALUE"""),"Top 50 PPC &amp;amp; Performance Marketing Agencies in the USA (2026) | AgencyCluster")</f>
        <v>Top 50 PPC &amp;amp; Performance Marketing Agencies in the USA (2026) | AgencyCluster</v>
      </c>
      <c r="C28" s="10" t="str">
        <f>IFERROR(__xludf.DUMMYFUNCTION("""COMPUTED_VALUE"""),"agencycluster.com")</f>
        <v>agencycluster.com</v>
      </c>
      <c r="D28" s="11" t="str">
        <f>IFERROR(__xludf.DUMMYFUNCTION("""COMPUTED_VALUE"""),"CATEGORY_PAGE")</f>
        <v>CATEGORY_PAGE</v>
      </c>
      <c r="E28" s="11" t="str">
        <f>IFERROR(__xludf.DUMMYFUNCTION("""COMPUTED_VALUE"""),"REFERENCE")</f>
        <v>REFERENCE</v>
      </c>
      <c r="F28" s="11" t="str">
        <f>IFERROR(__xludf.DUMMYFUNCTION("""COMPUTED_VALUE"""),"Category Page")</f>
        <v>Category Page</v>
      </c>
      <c r="G28" s="11" t="b">
        <f>IFERROR(__xludf.DUMMYFUNCTION("""COMPUTED_VALUE"""),FALSE)</f>
        <v>0</v>
      </c>
      <c r="H28" s="11" t="str">
        <f>IFERROR(__xludf.DUMMYFUNCTION("""COMPUTED_VALUE"""),"Disruptive Advertising, Ignite Visibility, KlientBoost, NP Digital, Power Digital, SmartSites, Tinuiti, WebFX, Wpromote, Amsive, HawkSEM, Intero Digital, Kobe Digital, New Engen, NoGood, Seer Interactive, Thrive Internet Marketing Agency, AdVenture Media,"&amp;" Digital Authority Partners, MuteSix")</f>
        <v>Disruptive Advertising, Ignite Visibility, KlientBoost, NP Digital, Power Digital, SmartSites, Tinuiti, WebFX, Wpromote, Amsive, HawkSEM, Intero Digital, Kobe Digital, New Engen, NoGood, Seer Interactive, Thrive Internet Marketing Agency, AdVenture Media, Digital Authority Partners, MuteSix</v>
      </c>
      <c r="I28" s="11">
        <f>IFERROR(__xludf.DUMMYFUNCTION("""COMPUTED_VALUE"""),34.0)</f>
        <v>34</v>
      </c>
      <c r="J28" s="11">
        <f>IFERROR(__xludf.DUMMYFUNCTION("""COMPUTED_VALUE"""),0.03)</f>
        <v>0.03</v>
      </c>
      <c r="K28" s="11">
        <f>IFERROR(__xludf.DUMMYFUNCTION("""COMPUTED_VALUE"""),0.76)</f>
        <v>0.76</v>
      </c>
      <c r="L28" s="11"/>
    </row>
    <row r="29" ht="15.75" customHeight="1">
      <c r="A29" s="10" t="str">
        <f>IFERROR(__xludf.DUMMYFUNCTION("""COMPUTED_VALUE"""),"https://nogood.io/blog/performance-marketing-agencies/")</f>
        <v>https://nogood.io/blog/performance-marketing-agencies/</v>
      </c>
      <c r="B29" s="11" t="str">
        <f>IFERROR(__xludf.DUMMYFUNCTION("""COMPUTED_VALUE"""),"Top Performance Marketing Agencies in 2026 | NoGood")</f>
        <v>Top Performance Marketing Agencies in 2026 | NoGood</v>
      </c>
      <c r="C29" s="10" t="str">
        <f>IFERROR(__xludf.DUMMYFUNCTION("""COMPUTED_VALUE"""),"nogood.io")</f>
        <v>nogood.io</v>
      </c>
      <c r="D29" s="11" t="str">
        <f>IFERROR(__xludf.DUMMYFUNCTION("""COMPUTED_VALUE"""),"LISTICLE")</f>
        <v>LISTICLE</v>
      </c>
      <c r="E29" s="11" t="str">
        <f>IFERROR(__xludf.DUMMYFUNCTION("""COMPUTED_VALUE"""),"COMPETITOR")</f>
        <v>COMPETITOR</v>
      </c>
      <c r="F29" s="11" t="str">
        <f>IFERROR(__xludf.DUMMYFUNCTION("""COMPUTED_VALUE"""),"Listicle")</f>
        <v>Listicle</v>
      </c>
      <c r="G29" s="11" t="b">
        <f>IFERROR(__xludf.DUMMYFUNCTION("""COMPUTED_VALUE"""),FALSE)</f>
        <v>0</v>
      </c>
      <c r="H29" s="11" t="str">
        <f>IFERROR(__xludf.DUMMYFUNCTION("""COMPUTED_VALUE"""),"NoGood, Traktor, inBeat, Kobe Digital, Ignite Visibility, Right Side Up, Disruptive Advertising, Wpromote, MuteSix, Power Digital, Monks, Intero Digital, Amsive, Directive, Measured, Clutch, TransUnion, Huge")</f>
        <v>NoGood, Traktor, inBeat, Kobe Digital, Ignite Visibility, Right Side Up, Disruptive Advertising, Wpromote, MuteSix, Power Digital, Monks, Intero Digital, Amsive, Directive, Measured, Clutch, TransUnion, Huge</v>
      </c>
      <c r="I29" s="11">
        <f>IFERROR(__xludf.DUMMYFUNCTION("""COMPUTED_VALUE"""),34.0)</f>
        <v>34</v>
      </c>
      <c r="J29" s="11">
        <f>IFERROR(__xludf.DUMMYFUNCTION("""COMPUTED_VALUE"""),0.03)</f>
        <v>0.03</v>
      </c>
      <c r="K29" s="11">
        <f>IFERROR(__xludf.DUMMYFUNCTION("""COMPUTED_VALUE"""),1.32)</f>
        <v>1.32</v>
      </c>
      <c r="L29" s="11"/>
    </row>
    <row r="30" ht="15.75" customHeight="1">
      <c r="A30" s="10" t="str">
        <f>IFERROR(__xludf.DUMMYFUNCTION("""COMPUTED_VALUE"""),"https://thesocialshepherd.com/blog/top-paid-media-agencies-us")</f>
        <v>https://thesocialshepherd.com/blog/top-paid-media-agencies-us</v>
      </c>
      <c r="B30" s="11" t="str">
        <f>IFERROR(__xludf.DUMMYFUNCTION("""COMPUTED_VALUE"""),"The Social Shepherd | Top 17 Paid Media Agencies in the U.S. (2026)")</f>
        <v>The Social Shepherd | Top 17 Paid Media Agencies in the U.S. (2026)</v>
      </c>
      <c r="C30" s="10" t="str">
        <f>IFERROR(__xludf.DUMMYFUNCTION("""COMPUTED_VALUE"""),"thesocialshepherd.com")</f>
        <v>thesocialshepherd.com</v>
      </c>
      <c r="D30" s="11" t="str">
        <f>IFERROR(__xludf.DUMMYFUNCTION("""COMPUTED_VALUE"""),"LISTICLE")</f>
        <v>LISTICLE</v>
      </c>
      <c r="E30" s="11" t="str">
        <f>IFERROR(__xludf.DUMMYFUNCTION("""COMPUTED_VALUE"""),"COMPETITOR")</f>
        <v>COMPETITOR</v>
      </c>
      <c r="F30" s="11" t="str">
        <f>IFERROR(__xludf.DUMMYFUNCTION("""COMPUTED_VALUE"""),"Listicle")</f>
        <v>Listicle</v>
      </c>
      <c r="G30" s="11" t="b">
        <f>IFERROR(__xludf.DUMMYFUNCTION("""COMPUTED_VALUE"""),FALSE)</f>
        <v>0</v>
      </c>
      <c r="H30" s="11" t="str">
        <f>IFERROR(__xludf.DUMMYFUNCTION("""COMPUTED_VALUE"""),"The Social Shepherd, Marcel Digital, Disruptive Advertising")</f>
        <v>The Social Shepherd, Marcel Digital, Disruptive Advertising</v>
      </c>
      <c r="I30" s="11">
        <f>IFERROR(__xludf.DUMMYFUNCTION("""COMPUTED_VALUE"""),34.0)</f>
        <v>34</v>
      </c>
      <c r="J30" s="11">
        <f>IFERROR(__xludf.DUMMYFUNCTION("""COMPUTED_VALUE"""),0.03)</f>
        <v>0.03</v>
      </c>
      <c r="K30" s="11">
        <f>IFERROR(__xludf.DUMMYFUNCTION("""COMPUTED_VALUE"""),0.12)</f>
        <v>0.12</v>
      </c>
      <c r="L30" s="11"/>
    </row>
    <row r="31" ht="15.75" customHeight="1">
      <c r="A31" s="10" t="str">
        <f>IFERROR(__xludf.DUMMYFUNCTION("""COMPUTED_VALUE"""),"https://www.yesoptimist.com/best-geo-agencies/")</f>
        <v>https://www.yesoptimist.com/best-geo-agencies/</v>
      </c>
      <c r="B31" s="11" t="str">
        <f>IFERROR(__xludf.DUMMYFUNCTION("""COMPUTED_VALUE"""),"The 7 Best GEO Agencies Driving Real Revenue from AI in 2026 | Optimist")</f>
        <v>The 7 Best GEO Agencies Driving Real Revenue from AI in 2026 | Optimist</v>
      </c>
      <c r="C31" s="10" t="str">
        <f>IFERROR(__xludf.DUMMYFUNCTION("""COMPUTED_VALUE"""),"yesoptimist.com")</f>
        <v>yesoptimist.com</v>
      </c>
      <c r="D31" s="11" t="str">
        <f>IFERROR(__xludf.DUMMYFUNCTION("""COMPUTED_VALUE"""),"LISTICLE")</f>
        <v>LISTICLE</v>
      </c>
      <c r="E31" s="11" t="str">
        <f>IFERROR(__xludf.DUMMYFUNCTION("""COMPUTED_VALUE"""),"COMPETITOR")</f>
        <v>COMPETITOR</v>
      </c>
      <c r="F31" s="11" t="str">
        <f>IFERROR(__xludf.DUMMYFUNCTION("""COMPUTED_VALUE"""),"Listicle")</f>
        <v>Listicle</v>
      </c>
      <c r="G31" s="11" t="b">
        <f>IFERROR(__xludf.DUMMYFUNCTION("""COMPUTED_VALUE"""),FALSE)</f>
        <v>0</v>
      </c>
      <c r="H31" s="11" t="str">
        <f>IFERROR(__xludf.DUMMYFUNCTION("""COMPUTED_VALUE"""),"Optimist, Measured, Clutch, iPullRank, Siege Media, Animalz, Omniscient Digital, First Page Sage")</f>
        <v>Optimist, Measured, Clutch, iPullRank, Siege Media, Animalz, Omniscient Digital, First Page Sage</v>
      </c>
      <c r="I31" s="11">
        <f>IFERROR(__xludf.DUMMYFUNCTION("""COMPUTED_VALUE"""),34.0)</f>
        <v>34</v>
      </c>
      <c r="J31" s="11">
        <f>IFERROR(__xludf.DUMMYFUNCTION("""COMPUTED_VALUE"""),0.03)</f>
        <v>0.03</v>
      </c>
      <c r="K31" s="11">
        <f>IFERROR(__xludf.DUMMYFUNCTION("""COMPUTED_VALUE"""),1.53)</f>
        <v>1.53</v>
      </c>
      <c r="L31" s="11"/>
    </row>
    <row r="32" ht="15.75" customHeight="1">
      <c r="A32" s="10" t="str">
        <f>IFERROR(__xludf.DUMMYFUNCTION("""COMPUTED_VALUE"""),"https://agencies.semrush.com/list/united-states/")</f>
        <v>https://agencies.semrush.com/list/united-states/</v>
      </c>
      <c r="B32" s="11" t="str">
        <f>IFERROR(__xludf.DUMMYFUNCTION("""COMPUTED_VALUE"""),"Best Digital Marketing Agencies in United States 2026 | Semrush")</f>
        <v>Best Digital Marketing Agencies in United States 2026 | Semrush</v>
      </c>
      <c r="C32" s="10" t="str">
        <f>IFERROR(__xludf.DUMMYFUNCTION("""COMPUTED_VALUE"""),"semrush.com")</f>
        <v>semrush.com</v>
      </c>
      <c r="D32" s="11" t="str">
        <f>IFERROR(__xludf.DUMMYFUNCTION("""COMPUTED_VALUE"""),"PROFILE")</f>
        <v>PROFILE</v>
      </c>
      <c r="E32" s="11" t="str">
        <f>IFERROR(__xludf.DUMMYFUNCTION("""COMPUTED_VALUE"""),"CORPORATE")</f>
        <v>CORPORATE</v>
      </c>
      <c r="F32" s="11" t="str">
        <f>IFERROR(__xludf.DUMMYFUNCTION("""COMPUTED_VALUE"""),"Profile")</f>
        <v>Profile</v>
      </c>
      <c r="G32" s="11" t="b">
        <f>IFERROR(__xludf.DUMMYFUNCTION("""COMPUTED_VALUE"""),FALSE)</f>
        <v>0</v>
      </c>
      <c r="H32" s="11" t="str">
        <f>IFERROR(__xludf.DUMMYFUNCTION("""COMPUTED_VALUE"""),"Clutch")</f>
        <v>Clutch</v>
      </c>
      <c r="I32" s="11">
        <f>IFERROR(__xludf.DUMMYFUNCTION("""COMPUTED_VALUE"""),33.0)</f>
        <v>33</v>
      </c>
      <c r="J32" s="11">
        <f>IFERROR(__xludf.DUMMYFUNCTION("""COMPUTED_VALUE"""),0.03)</f>
        <v>0.03</v>
      </c>
      <c r="K32" s="11">
        <f>IFERROR(__xludf.DUMMYFUNCTION("""COMPUTED_VALUE"""),0.24)</f>
        <v>0.24</v>
      </c>
      <c r="L32" s="11"/>
    </row>
    <row r="33" ht="15.75" customHeight="1">
      <c r="A33" s="10" t="str">
        <f>IFERROR(__xludf.DUMMYFUNCTION("""COMPUTED_VALUE"""),"https://clutch.co/us/agencies/ppc/display#:~:text=The%20agency%20consistently%20received%20high%20ratings%20for,2%20of%202%20reviews%20are%205%20stars.")</f>
        <v>https://clutch.co/us/agencies/ppc/display#:~:text=The%20agency%20consistently%20received%20high%20ratings%20for,2%20of%202%20reviews%20are%205%20stars.</v>
      </c>
      <c r="B33" s="11" t="str">
        <f>IFERROR(__xludf.DUMMYFUNCTION("""COMPUTED_VALUE"""),"Top Display Advertising Agencies in the United States - Jul 2026 Rankings \| Clutch.co")</f>
        <v>Top Display Advertising Agencies in the United States - Jul 2026 Rankings \| Clutch.co</v>
      </c>
      <c r="C33" s="10" t="str">
        <f>IFERROR(__xludf.DUMMYFUNCTION("""COMPUTED_VALUE"""),"clutch.co")</f>
        <v>clutch.co</v>
      </c>
      <c r="D33" s="11" t="str">
        <f>IFERROR(__xludf.DUMMYFUNCTION("""COMPUTED_VALUE"""),"OTHER")</f>
        <v>OTHER</v>
      </c>
      <c r="E33" s="11" t="str">
        <f>IFERROR(__xludf.DUMMYFUNCTION("""COMPUTED_VALUE"""),"COMPETITOR")</f>
        <v>COMPETITOR</v>
      </c>
      <c r="F33" s="11" t="str">
        <f>IFERROR(__xludf.DUMMYFUNCTION("""COMPUTED_VALUE"""),"Other")</f>
        <v>Other</v>
      </c>
      <c r="G33" s="11" t="b">
        <f>IFERROR(__xludf.DUMMYFUNCTION("""COMPUTED_VALUE"""),FALSE)</f>
        <v>0</v>
      </c>
      <c r="H33" s="11" t="str">
        <f>IFERROR(__xludf.DUMMYFUNCTION("""COMPUTED_VALUE"""),"Clutch, Elit-Web, AdVenture Media, Storm Brain")</f>
        <v>Clutch, Elit-Web, AdVenture Media, Storm Brain</v>
      </c>
      <c r="I33" s="11">
        <f>IFERROR(__xludf.DUMMYFUNCTION("""COMPUTED_VALUE"""),33.0)</f>
        <v>33</v>
      </c>
      <c r="J33" s="11">
        <f>IFERROR(__xludf.DUMMYFUNCTION("""COMPUTED_VALUE"""),0.03)</f>
        <v>0.03</v>
      </c>
      <c r="K33" s="11">
        <f>IFERROR(__xludf.DUMMYFUNCTION("""COMPUTED_VALUE"""),0.94)</f>
        <v>0.94</v>
      </c>
      <c r="L33" s="11"/>
    </row>
    <row r="34" ht="15.75" customHeight="1">
      <c r="A34" s="10" t="str">
        <f>IFERROR(__xludf.DUMMYFUNCTION("""COMPUTED_VALUE"""),"https://www.measured.com/faq/best-incrementality-testing-companies-software-for-marketing-2025/")</f>
        <v>https://www.measured.com/faq/best-incrementality-testing-companies-software-for-marketing-2025/</v>
      </c>
      <c r="B34" s="11" t="str">
        <f>IFERROR(__xludf.DUMMYFUNCTION("""COMPUTED_VALUE"""),"Best Incrementality Testing Companies &amp; Software for Marketing (2026)")</f>
        <v>Best Incrementality Testing Companies &amp; Software for Marketing (2026)</v>
      </c>
      <c r="C34" s="10" t="str">
        <f>IFERROR(__xludf.DUMMYFUNCTION("""COMPUTED_VALUE"""),"measured.com")</f>
        <v>measured.com</v>
      </c>
      <c r="D34" s="11" t="str">
        <f>IFERROR(__xludf.DUMMYFUNCTION("""COMPUTED_VALUE"""),"LISTICLE")</f>
        <v>LISTICLE</v>
      </c>
      <c r="E34" s="11" t="str">
        <f>IFERROR(__xludf.DUMMYFUNCTION("""COMPUTED_VALUE"""),"COMPETITOR")</f>
        <v>COMPETITOR</v>
      </c>
      <c r="F34" s="11" t="str">
        <f>IFERROR(__xludf.DUMMYFUNCTION("""COMPUTED_VALUE"""),"Listicle")</f>
        <v>Listicle</v>
      </c>
      <c r="G34" s="11" t="b">
        <f>IFERROR(__xludf.DUMMYFUNCTION("""COMPUTED_VALUE"""),FALSE)</f>
        <v>0</v>
      </c>
      <c r="H34" s="11" t="str">
        <f>IFERROR(__xludf.DUMMYFUNCTION("""COMPUTED_VALUE"""),"Measured, Clay, Neustar, TransUnion, Rockerbox, Haus, Recast, Analytic Partners")</f>
        <v>Measured, Clay, Neustar, TransUnion, Rockerbox, Haus, Recast, Analytic Partners</v>
      </c>
      <c r="I34" s="11">
        <f>IFERROR(__xludf.DUMMYFUNCTION("""COMPUTED_VALUE"""),33.0)</f>
        <v>33</v>
      </c>
      <c r="J34" s="11">
        <f>IFERROR(__xludf.DUMMYFUNCTION("""COMPUTED_VALUE"""),0.03)</f>
        <v>0.03</v>
      </c>
      <c r="K34" s="11">
        <f>IFERROR(__xludf.DUMMYFUNCTION("""COMPUTED_VALUE"""),1.7)</f>
        <v>1.7</v>
      </c>
      <c r="L34" s="11"/>
    </row>
    <row r="35" ht="15.75" customHeight="1">
      <c r="A35" s="10" t="str">
        <f>IFERROR(__xludf.DUMMYFUNCTION("""COMPUTED_VALUE"""),"https://www.thegrowthsyndicate.com/agencies/best-b2b-performance-marketing-agencies-us")</f>
        <v>https://www.thegrowthsyndicate.com/agencies/best-b2b-performance-marketing-agencies-us</v>
      </c>
      <c r="B35" s="11" t="str">
        <f>IFERROR(__xludf.DUMMYFUNCTION("""COMPUTED_VALUE"""),"The 11 Best B2B Performance Marketing Agencies in the US")</f>
        <v>The 11 Best B2B Performance Marketing Agencies in the US</v>
      </c>
      <c r="C35" s="10" t="str">
        <f>IFERROR(__xludf.DUMMYFUNCTION("""COMPUTED_VALUE"""),"thegrowthsyndicate.com")</f>
        <v>thegrowthsyndicate.com</v>
      </c>
      <c r="D35" s="11" t="str">
        <f>IFERROR(__xludf.DUMMYFUNCTION("""COMPUTED_VALUE"""),"LISTICLE")</f>
        <v>LISTICLE</v>
      </c>
      <c r="E35" s="11" t="str">
        <f>IFERROR(__xludf.DUMMYFUNCTION("""COMPUTED_VALUE"""),"CORPORATE")</f>
        <v>CORPORATE</v>
      </c>
      <c r="F35" s="11" t="str">
        <f>IFERROR(__xludf.DUMMYFUNCTION("""COMPUTED_VALUE"""),"Listicle")</f>
        <v>Listicle</v>
      </c>
      <c r="G35" s="11" t="b">
        <f>IFERROR(__xludf.DUMMYFUNCTION("""COMPUTED_VALUE"""),FALSE)</f>
        <v>0</v>
      </c>
      <c r="H35" s="11" t="str">
        <f>IFERROR(__xludf.DUMMYFUNCTION("""COMPUTED_VALUE"""),"Disruptive Advertising, KlientBoost, Tinuiti, Metric Theory, Brainlabs, NP Digital, Silverback Strategies, Anomaly, Clutch, Measured")</f>
        <v>Disruptive Advertising, KlientBoost, Tinuiti, Metric Theory, Brainlabs, NP Digital, Silverback Strategies, Anomaly, Clutch, Measured</v>
      </c>
      <c r="I35" s="11">
        <f>IFERROR(__xludf.DUMMYFUNCTION("""COMPUTED_VALUE"""),32.0)</f>
        <v>32</v>
      </c>
      <c r="J35" s="11">
        <f>IFERROR(__xludf.DUMMYFUNCTION("""COMPUTED_VALUE"""),0.03)</f>
        <v>0.03</v>
      </c>
      <c r="K35" s="11">
        <f>IFERROR(__xludf.DUMMYFUNCTION("""COMPUTED_VALUE"""),0.84)</f>
        <v>0.84</v>
      </c>
      <c r="L35" s="11"/>
    </row>
    <row r="36" ht="15.75" customHeight="1">
      <c r="A36" s="10" t="str">
        <f>IFERROR(__xludf.DUMMYFUNCTION("""COMPUTED_VALUE"""),"https://clutch.co/us/agencies/ppc")</f>
        <v>https://clutch.co/us/agencies/ppc</v>
      </c>
      <c r="B36" s="11" t="str">
        <f>IFERROR(__xludf.DUMMYFUNCTION("""COMPUTED_VALUE"""),"Top PPC Companies in the United States - Jul 2026 Rankings | Clutch.co")</f>
        <v>Top PPC Companies in the United States - Jul 2026 Rankings | Clutch.co</v>
      </c>
      <c r="C36" s="10" t="str">
        <f>IFERROR(__xludf.DUMMYFUNCTION("""COMPUTED_VALUE"""),"clutch.co")</f>
        <v>clutch.co</v>
      </c>
      <c r="D36" s="11" t="str">
        <f>IFERROR(__xludf.DUMMYFUNCTION("""COMPUTED_VALUE"""),"CATEGORY_PAGE")</f>
        <v>CATEGORY_PAGE</v>
      </c>
      <c r="E36" s="11" t="str">
        <f>IFERROR(__xludf.DUMMYFUNCTION("""COMPUTED_VALUE"""),"COMPETITOR")</f>
        <v>COMPETITOR</v>
      </c>
      <c r="F36" s="11" t="str">
        <f>IFERROR(__xludf.DUMMYFUNCTION("""COMPUTED_VALUE"""),"Category Page")</f>
        <v>Category Page</v>
      </c>
      <c r="G36" s="11" t="b">
        <f>IFERROR(__xludf.DUMMYFUNCTION("""COMPUTED_VALUE"""),FALSE)</f>
        <v>0</v>
      </c>
      <c r="H36" s="11" t="str">
        <f>IFERROR(__xludf.DUMMYFUNCTION("""COMPUTED_VALUE"""),"Clutch, KlientBoost, Disruptive Advertising, AdVenture Media, HawkSEM, SmartSites, Intero Digital, Elit-Web, Searchbloom, Acadia, Ignite Visibility, Storm Brain, Funnel Boost Media")</f>
        <v>Clutch, KlientBoost, Disruptive Advertising, AdVenture Media, HawkSEM, SmartSites, Intero Digital, Elit-Web, Searchbloom, Acadia, Ignite Visibility, Storm Brain, Funnel Boost Media</v>
      </c>
      <c r="I36" s="11">
        <f>IFERROR(__xludf.DUMMYFUNCTION("""COMPUTED_VALUE"""),31.0)</f>
        <v>31</v>
      </c>
      <c r="J36" s="11">
        <f>IFERROR(__xludf.DUMMYFUNCTION("""COMPUTED_VALUE"""),0.03)</f>
        <v>0.03</v>
      </c>
      <c r="K36" s="11">
        <f>IFERROR(__xludf.DUMMYFUNCTION("""COMPUTED_VALUE"""),1.03)</f>
        <v>1.03</v>
      </c>
      <c r="L36" s="11"/>
    </row>
    <row r="37" ht="15.75" customHeight="1">
      <c r="A37" s="10" t="str">
        <f>IFERROR(__xludf.DUMMYFUNCTION("""COMPUTED_VALUE"""),"https://www.goodfirms.co/directory/country/top-digital-marketing-companies/us")</f>
        <v>https://www.goodfirms.co/directory/country/top-digital-marketing-companies/us</v>
      </c>
      <c r="B37" s="11" t="str">
        <f>IFERROR(__xludf.DUMMYFUNCTION("""COMPUTED_VALUE"""),"Top Digital Marketing Agencies in USA - 2026 Reviews | Goodfirms")</f>
        <v>Top Digital Marketing Agencies in USA - 2026 Reviews | Goodfirms</v>
      </c>
      <c r="C37" s="10" t="str">
        <f>IFERROR(__xludf.DUMMYFUNCTION("""COMPUTED_VALUE"""),"goodfirms.co")</f>
        <v>goodfirms.co</v>
      </c>
      <c r="D37" s="11" t="str">
        <f>IFERROR(__xludf.DUMMYFUNCTION("""COMPUTED_VALUE"""),"CATEGORY_PAGE")</f>
        <v>CATEGORY_PAGE</v>
      </c>
      <c r="E37" s="11" t="str">
        <f>IFERROR(__xludf.DUMMYFUNCTION("""COMPUTED_VALUE"""),"UGC")</f>
        <v>UGC</v>
      </c>
      <c r="F37" s="11" t="str">
        <f>IFERROR(__xludf.DUMMYFUNCTION("""COMPUTED_VALUE"""),"Category Page")</f>
        <v>Category Page</v>
      </c>
      <c r="G37" s="11" t="b">
        <f>IFERROR(__xludf.DUMMYFUNCTION("""COMPUTED_VALUE"""),FALSE)</f>
        <v>0</v>
      </c>
      <c r="H37" s="11" t="str">
        <f>IFERROR(__xludf.DUMMYFUNCTION("""COMPUTED_VALUE"""),"WebFX, Searchbloom, SmartSites, Funnel Boost Media, Elit-Web, Storm Brain, Go Fish Digital")</f>
        <v>WebFX, Searchbloom, SmartSites, Funnel Boost Media, Elit-Web, Storm Brain, Go Fish Digital</v>
      </c>
      <c r="I37" s="11">
        <f>IFERROR(__xludf.DUMMYFUNCTION("""COMPUTED_VALUE"""),31.0)</f>
        <v>31</v>
      </c>
      <c r="J37" s="11">
        <f>IFERROR(__xludf.DUMMYFUNCTION("""COMPUTED_VALUE"""),0.03)</f>
        <v>0.03</v>
      </c>
      <c r="K37" s="11">
        <f>IFERROR(__xludf.DUMMYFUNCTION("""COMPUTED_VALUE"""),0.55)</f>
        <v>0.55</v>
      </c>
      <c r="L37" s="11"/>
    </row>
    <row r="38" ht="15.75" customHeight="1">
      <c r="A38" s="10" t="str">
        <f>IFERROR(__xludf.DUMMYFUNCTION("""COMPUTED_VALUE"""),"https://onelittleweb.com/top-agencies/top-performance-marketing-agencies/")</f>
        <v>https://onelittleweb.com/top-agencies/top-performance-marketing-agencies/</v>
      </c>
      <c r="B38" s="11" t="str">
        <f>IFERROR(__xludf.DUMMYFUNCTION("""COMPUTED_VALUE"""),"Top Performance Marketing Agencies 2026 – Ranked &amp;amp; Reviewed")</f>
        <v>Top Performance Marketing Agencies 2026 – Ranked &amp;amp; Reviewed</v>
      </c>
      <c r="C38" s="10" t="str">
        <f>IFERROR(__xludf.DUMMYFUNCTION("""COMPUTED_VALUE"""),"onelittleweb.com")</f>
        <v>onelittleweb.com</v>
      </c>
      <c r="D38" s="11" t="str">
        <f>IFERROR(__xludf.DUMMYFUNCTION("""COMPUTED_VALUE"""),"LISTICLE")</f>
        <v>LISTICLE</v>
      </c>
      <c r="E38" s="11" t="str">
        <f>IFERROR(__xludf.DUMMYFUNCTION("""COMPUTED_VALUE"""),"CORPORATE")</f>
        <v>CORPORATE</v>
      </c>
      <c r="F38" s="11" t="str">
        <f>IFERROR(__xludf.DUMMYFUNCTION("""COMPUTED_VALUE"""),"Listicle")</f>
        <v>Listicle</v>
      </c>
      <c r="G38" s="11" t="b">
        <f>IFERROR(__xludf.DUMMYFUNCTION("""COMPUTED_VALUE"""),FALSE)</f>
        <v>0</v>
      </c>
      <c r="H38" s="11" t="str">
        <f>IFERROR(__xludf.DUMMYFUNCTION("""COMPUTED_VALUE"""),"Clutch, WebFX, SmartSites, Disruptive Advertising, Funnel Boost Media, Searchbloom, DEPT, HawkSEM")</f>
        <v>Clutch, WebFX, SmartSites, Disruptive Advertising, Funnel Boost Media, Searchbloom, DEPT, HawkSEM</v>
      </c>
      <c r="I38" s="11">
        <f>IFERROR(__xludf.DUMMYFUNCTION("""COMPUTED_VALUE"""),31.0)</f>
        <v>31</v>
      </c>
      <c r="J38" s="11">
        <f>IFERROR(__xludf.DUMMYFUNCTION("""COMPUTED_VALUE"""),0.03)</f>
        <v>0.03</v>
      </c>
      <c r="K38" s="11">
        <f>IFERROR(__xludf.DUMMYFUNCTION("""COMPUTED_VALUE"""),0.19)</f>
        <v>0.19</v>
      </c>
      <c r="L38" s="11"/>
    </row>
    <row r="39" ht="15.75" customHeight="1">
      <c r="A39" s="10" t="str">
        <f>IFERROR(__xludf.DUMMYFUNCTION("""COMPUTED_VALUE"""),"https://www.m1-project.com/blog/10-best-ai-marketing-agencies-in-depth-comparison")</f>
        <v>https://www.m1-project.com/blog/10-best-ai-marketing-agencies-in-depth-comparison</v>
      </c>
      <c r="B39" s="11" t="str">
        <f>IFERROR(__xludf.DUMMYFUNCTION("""COMPUTED_VALUE"""),"10 Best AI Marketing Agencies: In-Depth Comparison | M1-Project")</f>
        <v>10 Best AI Marketing Agencies: In-Depth Comparison | M1-Project</v>
      </c>
      <c r="C39" s="10" t="str">
        <f>IFERROR(__xludf.DUMMYFUNCTION("""COMPUTED_VALUE"""),"m1-project.com")</f>
        <v>m1-project.com</v>
      </c>
      <c r="D39" s="11" t="str">
        <f>IFERROR(__xludf.DUMMYFUNCTION("""COMPUTED_VALUE"""),"LISTICLE")</f>
        <v>LISTICLE</v>
      </c>
      <c r="E39" s="11" t="str">
        <f>IFERROR(__xludf.DUMMYFUNCTION("""COMPUTED_VALUE"""),"CORPORATE")</f>
        <v>CORPORATE</v>
      </c>
      <c r="F39" s="11" t="str">
        <f>IFERROR(__xludf.DUMMYFUNCTION("""COMPUTED_VALUE"""),"Listicle")</f>
        <v>Listicle</v>
      </c>
      <c r="G39" s="11" t="b">
        <f>IFERROR(__xludf.DUMMYFUNCTION("""COMPUTED_VALUE"""),FALSE)</f>
        <v>0</v>
      </c>
      <c r="H39" s="11" t="str">
        <f>IFERROR(__xludf.DUMMYFUNCTION("""COMPUTED_VALUE"""),"NinjaPromo, Ignite Visibility, Major Tom, McKinsey, Measured")</f>
        <v>NinjaPromo, Ignite Visibility, Major Tom, McKinsey, Measured</v>
      </c>
      <c r="I39" s="11">
        <f>IFERROR(__xludf.DUMMYFUNCTION("""COMPUTED_VALUE"""),30.0)</f>
        <v>30</v>
      </c>
      <c r="J39" s="11">
        <f>IFERROR(__xludf.DUMMYFUNCTION("""COMPUTED_VALUE"""),0.03)</f>
        <v>0.03</v>
      </c>
      <c r="K39" s="11">
        <f>IFERROR(__xludf.DUMMYFUNCTION("""COMPUTED_VALUE"""),0.57)</f>
        <v>0.57</v>
      </c>
      <c r="L39" s="11"/>
    </row>
    <row r="40" ht="15.75" customHeight="1">
      <c r="A40" s="10" t="str">
        <f>IFERROR(__xludf.DUMMYFUNCTION("""COMPUTED_VALUE"""),"https://sellforte.com/blog/best-incrementality-testing-tools")</f>
        <v>https://sellforte.com/blog/best-incrementality-testing-tools</v>
      </c>
      <c r="B40" s="11" t="str">
        <f>IFERROR(__xludf.DUMMYFUNCTION("""COMPUTED_VALUE"""),"Best Incrementality Testing Tools in 2026: In-depth Vendor Comparison")</f>
        <v>Best Incrementality Testing Tools in 2026: In-depth Vendor Comparison</v>
      </c>
      <c r="C40" s="10" t="str">
        <f>IFERROR(__xludf.DUMMYFUNCTION("""COMPUTED_VALUE"""),"sellforte.com")</f>
        <v>sellforte.com</v>
      </c>
      <c r="D40" s="11" t="str">
        <f>IFERROR(__xludf.DUMMYFUNCTION("""COMPUTED_VALUE"""),"COMPARISON")</f>
        <v>COMPARISON</v>
      </c>
      <c r="E40" s="11" t="str">
        <f>IFERROR(__xludf.DUMMYFUNCTION("""COMPUTED_VALUE"""),"COMPETITOR")</f>
        <v>COMPETITOR</v>
      </c>
      <c r="F40" s="11" t="str">
        <f>IFERROR(__xludf.DUMMYFUNCTION("""COMPUTED_VALUE"""),"Comparison")</f>
        <v>Comparison</v>
      </c>
      <c r="G40" s="11" t="b">
        <f>IFERROR(__xludf.DUMMYFUNCTION("""COMPUTED_VALUE"""),FALSE)</f>
        <v>0</v>
      </c>
      <c r="H40" s="11" t="str">
        <f>IFERROR(__xludf.DUMMYFUNCTION("""COMPUTED_VALUE"""),"Sellforte, Measured, Haus, Recast, BCG")</f>
        <v>Sellforte, Measured, Haus, Recast, BCG</v>
      </c>
      <c r="I40" s="11">
        <f>IFERROR(__xludf.DUMMYFUNCTION("""COMPUTED_VALUE"""),30.0)</f>
        <v>30</v>
      </c>
      <c r="J40" s="11">
        <f>IFERROR(__xludf.DUMMYFUNCTION("""COMPUTED_VALUE"""),0.03)</f>
        <v>0.03</v>
      </c>
      <c r="K40" s="11">
        <f>IFERROR(__xludf.DUMMYFUNCTION("""COMPUTED_VALUE"""),1.27)</f>
        <v>1.27</v>
      </c>
      <c r="L40" s="11"/>
    </row>
    <row r="41" ht="15.75" customHeight="1">
      <c r="A41" s="10" t="str">
        <f>IFERROR(__xludf.DUMMYFUNCTION("""COMPUTED_VALUE"""),"https://clutch.co/us/agencies/social-media-marketing")</f>
        <v>https://clutch.co/us/agencies/social-media-marketing</v>
      </c>
      <c r="B41" s="11" t="str">
        <f>IFERROR(__xludf.DUMMYFUNCTION("""COMPUTED_VALUE"""),"Top Social Media Marketing Companies in the United States - Jul 2026 Rankings \| Clutch.co")</f>
        <v>Top Social Media Marketing Companies in the United States - Jul 2026 Rankings \| Clutch.co</v>
      </c>
      <c r="C41" s="10" t="str">
        <f>IFERROR(__xludf.DUMMYFUNCTION("""COMPUTED_VALUE"""),"clutch.co")</f>
        <v>clutch.co</v>
      </c>
      <c r="D41" s="11" t="str">
        <f>IFERROR(__xludf.DUMMYFUNCTION("""COMPUTED_VALUE"""),"CATEGORY_PAGE")</f>
        <v>CATEGORY_PAGE</v>
      </c>
      <c r="E41" s="11" t="str">
        <f>IFERROR(__xludf.DUMMYFUNCTION("""COMPUTED_VALUE"""),"COMPETITOR")</f>
        <v>COMPETITOR</v>
      </c>
      <c r="F41" s="11" t="str">
        <f>IFERROR(__xludf.DUMMYFUNCTION("""COMPUTED_VALUE"""),"Category Page")</f>
        <v>Category Page</v>
      </c>
      <c r="G41" s="11" t="b">
        <f>IFERROR(__xludf.DUMMYFUNCTION("""COMPUTED_VALUE"""),FALSE)</f>
        <v>0</v>
      </c>
      <c r="H41" s="11" t="str">
        <f>IFERROR(__xludf.DUMMYFUNCTION("""COMPUTED_VALUE"""),"Clutch, Sociallyin, LYFE Marketing, SmartSites, Ignite Visibility, Elit-Web, KlientBoost, Disruptive Advertising, AdVenture Media, HawkSEM")</f>
        <v>Clutch, Sociallyin, LYFE Marketing, SmartSites, Ignite Visibility, Elit-Web, KlientBoost, Disruptive Advertising, AdVenture Media, HawkSEM</v>
      </c>
      <c r="I41" s="11">
        <f>IFERROR(__xludf.DUMMYFUNCTION("""COMPUTED_VALUE"""),29.0)</f>
        <v>29</v>
      </c>
      <c r="J41" s="11">
        <f>IFERROR(__xludf.DUMMYFUNCTION("""COMPUTED_VALUE"""),0.03)</f>
        <v>0.03</v>
      </c>
      <c r="K41" s="11">
        <f>IFERROR(__xludf.DUMMYFUNCTION("""COMPUTED_VALUE"""),0.93)</f>
        <v>0.93</v>
      </c>
      <c r="L41" s="11"/>
    </row>
    <row r="42" ht="15.75" customHeight="1">
      <c r="A42" s="10" t="str">
        <f>IFERROR(__xludf.DUMMYFUNCTION("""COMPUTED_VALUE"""),"https://directiveconsulting.com/blog/top-performance-marketing-agencies/")</f>
        <v>https://directiveconsulting.com/blog/top-performance-marketing-agencies/</v>
      </c>
      <c r="B42" s="11" t="str">
        <f>IFERROR(__xludf.DUMMYFUNCTION("""COMPUTED_VALUE"""),"18 Best Performance Marketing Agencies For B2B - Directive")</f>
        <v>18 Best Performance Marketing Agencies For B2B - Directive</v>
      </c>
      <c r="C42" s="10" t="str">
        <f>IFERROR(__xludf.DUMMYFUNCTION("""COMPUTED_VALUE"""),"directiveconsulting.com")</f>
        <v>directiveconsulting.com</v>
      </c>
      <c r="D42" s="11" t="str">
        <f>IFERROR(__xludf.DUMMYFUNCTION("""COMPUTED_VALUE"""),"LISTICLE")</f>
        <v>LISTICLE</v>
      </c>
      <c r="E42" s="11" t="str">
        <f>IFERROR(__xludf.DUMMYFUNCTION("""COMPUTED_VALUE"""),"COMPETITOR")</f>
        <v>COMPETITOR</v>
      </c>
      <c r="F42" s="11" t="str">
        <f>IFERROR(__xludf.DUMMYFUNCTION("""COMPUTED_VALUE"""),"Listicle")</f>
        <v>Listicle</v>
      </c>
      <c r="G42" s="11" t="b">
        <f>IFERROR(__xludf.DUMMYFUNCTION("""COMPUTED_VALUE"""),FALSE)</f>
        <v>0</v>
      </c>
      <c r="H42" s="11" t="str">
        <f>IFERROR(__xludf.DUMMYFUNCTION("""COMPUTED_VALUE"""),"Directive, NoGood, Common Thread Collective, Amsive, Hey Digital, Right Side Up, Wpromote, Darkroom, inBeat, Single Grain, Omniscient Digital, Seer Interactive, Brighter Click, Metric Theory, Measured, TransUnion, Clutch")</f>
        <v>Directive, NoGood, Common Thread Collective, Amsive, Hey Digital, Right Side Up, Wpromote, Darkroom, inBeat, Single Grain, Omniscient Digital, Seer Interactive, Brighter Click, Metric Theory, Measured, TransUnion, Clutch</v>
      </c>
      <c r="I42" s="11">
        <f>IFERROR(__xludf.DUMMYFUNCTION("""COMPUTED_VALUE"""),29.0)</f>
        <v>29</v>
      </c>
      <c r="J42" s="11">
        <f>IFERROR(__xludf.DUMMYFUNCTION("""COMPUTED_VALUE"""),0.03)</f>
        <v>0.03</v>
      </c>
      <c r="K42" s="11">
        <f>IFERROR(__xludf.DUMMYFUNCTION("""COMPUTED_VALUE"""),1.72)</f>
        <v>1.72</v>
      </c>
      <c r="L42" s="11"/>
    </row>
    <row r="43" ht="15.75" customHeight="1">
      <c r="A43" s="10" t="str">
        <f>IFERROR(__xludf.DUMMYFUNCTION("""COMPUTED_VALUE"""),"https://firstpagesage.com/seo-blog/the-top-saas-geo-aeo-agencies/")</f>
        <v>https://firstpagesage.com/seo-blog/the-top-saas-geo-aeo-agencies/</v>
      </c>
      <c r="B43" s="11" t="str">
        <f>IFERROR(__xludf.DUMMYFUNCTION("""COMPUTED_VALUE"""),"The Top SaaS GEO / AEO Agencies of 2026 – First Page Sage")</f>
        <v>The Top SaaS GEO / AEO Agencies of 2026 – First Page Sage</v>
      </c>
      <c r="C43" s="10" t="str">
        <f>IFERROR(__xludf.DUMMYFUNCTION("""COMPUTED_VALUE"""),"firstpagesage.com")</f>
        <v>firstpagesage.com</v>
      </c>
      <c r="D43" s="11" t="str">
        <f>IFERROR(__xludf.DUMMYFUNCTION("""COMPUTED_VALUE"""),"LISTICLE")</f>
        <v>LISTICLE</v>
      </c>
      <c r="E43" s="11" t="str">
        <f>IFERROR(__xludf.DUMMYFUNCTION("""COMPUTED_VALUE"""),"COMPETITOR")</f>
        <v>COMPETITOR</v>
      </c>
      <c r="F43" s="11" t="str">
        <f>IFERROR(__xludf.DUMMYFUNCTION("""COMPUTED_VALUE"""),"Listicle")</f>
        <v>Listicle</v>
      </c>
      <c r="G43" s="11" t="b">
        <f>IFERROR(__xludf.DUMMYFUNCTION("""COMPUTED_VALUE"""),FALSE)</f>
        <v>0</v>
      </c>
      <c r="H43" s="11" t="str">
        <f>IFERROR(__xludf.DUMMYFUNCTION("""COMPUTED_VALUE"""),"First Page Sage, Clutch, Searchbloom")</f>
        <v>First Page Sage, Clutch, Searchbloom</v>
      </c>
      <c r="I43" s="11">
        <f>IFERROR(__xludf.DUMMYFUNCTION("""COMPUTED_VALUE"""),29.0)</f>
        <v>29</v>
      </c>
      <c r="J43" s="11">
        <f>IFERROR(__xludf.DUMMYFUNCTION("""COMPUTED_VALUE"""),0.03)</f>
        <v>0.03</v>
      </c>
      <c r="K43" s="11">
        <f>IFERROR(__xludf.DUMMYFUNCTION("""COMPUTED_VALUE"""),1.17)</f>
        <v>1.17</v>
      </c>
      <c r="L43" s="11"/>
    </row>
    <row r="44" ht="15.75" customHeight="1">
      <c r="A44" s="10" t="str">
        <f>IFERROR(__xludf.DUMMYFUNCTION("""COMPUTED_VALUE"""),"https://riseopp.com/blog/top-25-geo-agencies-in-the-united-states")</f>
        <v>https://riseopp.com/blog/top-25-geo-agencies-in-the-united-states</v>
      </c>
      <c r="B44" s="11" t="str">
        <f>IFERROR(__xludf.DUMMYFUNCTION("""COMPUTED_VALUE"""),"Top 25 GEO Agencies in the United States - RiseOpp")</f>
        <v>Top 25 GEO Agencies in the United States - RiseOpp</v>
      </c>
      <c r="C44" s="10" t="str">
        <f>IFERROR(__xludf.DUMMYFUNCTION("""COMPUTED_VALUE"""),"riseopp.com")</f>
        <v>riseopp.com</v>
      </c>
      <c r="D44" s="11" t="str">
        <f>IFERROR(__xludf.DUMMYFUNCTION("""COMPUTED_VALUE"""),"LISTICLE")</f>
        <v>LISTICLE</v>
      </c>
      <c r="E44" s="11" t="str">
        <f>IFERROR(__xludf.DUMMYFUNCTION("""COMPUTED_VALUE"""),"CORPORATE")</f>
        <v>CORPORATE</v>
      </c>
      <c r="F44" s="11" t="str">
        <f>IFERROR(__xludf.DUMMYFUNCTION("""COMPUTED_VALUE"""),"Listicle")</f>
        <v>Listicle</v>
      </c>
      <c r="G44" s="11" t="b">
        <f>IFERROR(__xludf.DUMMYFUNCTION("""COMPUTED_VALUE"""),FALSE)</f>
        <v>0</v>
      </c>
      <c r="H44" s="11" t="str">
        <f>IFERROR(__xludf.DUMMYFUNCTION("""COMPUTED_VALUE"""),"WebFX, Intero Digital, Siege Media, iPullRank, Omniscient Digital, First Page Sage, Hawke Media, Single Grain, Go Fish Digital")</f>
        <v>WebFX, Intero Digital, Siege Media, iPullRank, Omniscient Digital, First Page Sage, Hawke Media, Single Grain, Go Fish Digital</v>
      </c>
      <c r="I44" s="11">
        <f>IFERROR(__xludf.DUMMYFUNCTION("""COMPUTED_VALUE"""),29.0)</f>
        <v>29</v>
      </c>
      <c r="J44" s="11">
        <f>IFERROR(__xludf.DUMMYFUNCTION("""COMPUTED_VALUE"""),0.03)</f>
        <v>0.03</v>
      </c>
      <c r="K44" s="11">
        <f>IFERROR(__xludf.DUMMYFUNCTION("""COMPUTED_VALUE"""),0.76)</f>
        <v>0.76</v>
      </c>
      <c r="L44" s="11"/>
    </row>
    <row r="45" ht="15.75" customHeight="1">
      <c r="A45" s="10" t="str">
        <f>IFERROR(__xludf.DUMMYFUNCTION("""COMPUTED_VALUE"""),"https://sociallyin.com/resources/top-paid-media-agencies-us/")</f>
        <v>https://sociallyin.com/resources/top-paid-media-agencies-us/</v>
      </c>
      <c r="B45" s="11" t="str">
        <f>IFERROR(__xludf.DUMMYFUNCTION("""COMPUTED_VALUE"""),"Top 5 Paid Media Agencies US: An Expert 2026 Review")</f>
        <v>Top 5 Paid Media Agencies US: An Expert 2026 Review</v>
      </c>
      <c r="C45" s="10" t="str">
        <f>IFERROR(__xludf.DUMMYFUNCTION("""COMPUTED_VALUE"""),"sociallyin.com")</f>
        <v>sociallyin.com</v>
      </c>
      <c r="D45" s="11" t="str">
        <f>IFERROR(__xludf.DUMMYFUNCTION("""COMPUTED_VALUE"""),"LISTICLE")</f>
        <v>LISTICLE</v>
      </c>
      <c r="E45" s="11" t="str">
        <f>IFERROR(__xludf.DUMMYFUNCTION("""COMPUTED_VALUE"""),"COMPETITOR")</f>
        <v>COMPETITOR</v>
      </c>
      <c r="F45" s="11" t="str">
        <f>IFERROR(__xludf.DUMMYFUNCTION("""COMPUTED_VALUE"""),"Listicle")</f>
        <v>Listicle</v>
      </c>
      <c r="G45" s="11" t="b">
        <f>IFERROR(__xludf.DUMMYFUNCTION("""COMPUTED_VALUE"""),FALSE)</f>
        <v>0</v>
      </c>
      <c r="H45" s="11" t="str">
        <f>IFERROR(__xludf.DUMMYFUNCTION("""COMPUTED_VALUE"""),"Sociallyin, Wpromote, Marcel Digital, Tinuiti, Momentum")</f>
        <v>Sociallyin, Wpromote, Marcel Digital, Tinuiti, Momentum</v>
      </c>
      <c r="I45" s="11">
        <f>IFERROR(__xludf.DUMMYFUNCTION("""COMPUTED_VALUE"""),29.0)</f>
        <v>29</v>
      </c>
      <c r="J45" s="11">
        <f>IFERROR(__xludf.DUMMYFUNCTION("""COMPUTED_VALUE"""),0.03)</f>
        <v>0.03</v>
      </c>
      <c r="K45" s="11">
        <f>IFERROR(__xludf.DUMMYFUNCTION("""COMPUTED_VALUE"""),0.48)</f>
        <v>0.48</v>
      </c>
      <c r="L45" s="11"/>
    </row>
    <row r="46" ht="15.75" customHeight="1">
      <c r="A46" s="10" t="str">
        <f>IFERROR(__xludf.DUMMYFUNCTION("""COMPUTED_VALUE"""),"https://www.superside.com/blog/creative-agencies")</f>
        <v>https://www.superside.com/blog/creative-agencies</v>
      </c>
      <c r="B46" s="11" t="str">
        <f>IFERROR(__xludf.DUMMYFUNCTION("""COMPUTED_VALUE"""),"14 Best Creative Agencies That Make Brands Stand Out in 2026")</f>
        <v>14 Best Creative Agencies That Make Brands Stand Out in 2026</v>
      </c>
      <c r="C46" s="10" t="str">
        <f>IFERROR(__xludf.DUMMYFUNCTION("""COMPUTED_VALUE"""),"superside.com")</f>
        <v>superside.com</v>
      </c>
      <c r="D46" s="11" t="str">
        <f>IFERROR(__xludf.DUMMYFUNCTION("""COMPUTED_VALUE"""),"LISTICLE")</f>
        <v>LISTICLE</v>
      </c>
      <c r="E46" s="11" t="str">
        <f>IFERROR(__xludf.DUMMYFUNCTION("""COMPUTED_VALUE"""),"COMPETITOR")</f>
        <v>COMPETITOR</v>
      </c>
      <c r="F46" s="11" t="str">
        <f>IFERROR(__xludf.DUMMYFUNCTION("""COMPUTED_VALUE"""),"Listicle")</f>
        <v>Listicle</v>
      </c>
      <c r="G46" s="11" t="b">
        <f>IFERROR(__xludf.DUMMYFUNCTION("""COMPUTED_VALUE"""),FALSE)</f>
        <v>0</v>
      </c>
      <c r="H46" s="11" t="str">
        <f>IFERROR(__xludf.DUMMYFUNCTION("""COMPUTED_VALUE"""),"Superside, Giant Spoon, Wieden+Kennedy, Huge, Ogilvy")</f>
        <v>Superside, Giant Spoon, Wieden+Kennedy, Huge, Ogilvy</v>
      </c>
      <c r="I46" s="11">
        <f>IFERROR(__xludf.DUMMYFUNCTION("""COMPUTED_VALUE"""),29.0)</f>
        <v>29</v>
      </c>
      <c r="J46" s="11">
        <f>IFERROR(__xludf.DUMMYFUNCTION("""COMPUTED_VALUE"""),0.03)</f>
        <v>0.03</v>
      </c>
      <c r="K46" s="11">
        <f>IFERROR(__xludf.DUMMYFUNCTION("""COMPUTED_VALUE"""),1.48)</f>
        <v>1.48</v>
      </c>
      <c r="L46" s="11"/>
    </row>
    <row r="47" ht="15.75" customHeight="1">
      <c r="A47" s="10" t="str">
        <f>IFERROR(__xludf.DUMMYFUNCTION("""COMPUTED_VALUE"""),"https://clutch.co/us/agencies/ppc/advertising-industry")</f>
        <v>https://clutch.co/us/agencies/ppc/advertising-industry</v>
      </c>
      <c r="B47" s="11" t="str">
        <f>IFERROR(__xludf.DUMMYFUNCTION("""COMPUTED_VALUE"""),"Top PPC Agencies for Ad Agencies in the United States - Jul 2026 Rankings \| Clutch.co")</f>
        <v>Top PPC Agencies for Ad Agencies in the United States - Jul 2026 Rankings \| Clutch.co</v>
      </c>
      <c r="C47" s="10" t="str">
        <f>IFERROR(__xludf.DUMMYFUNCTION("""COMPUTED_VALUE"""),"clutch.co")</f>
        <v>clutch.co</v>
      </c>
      <c r="D47" s="11" t="str">
        <f>IFERROR(__xludf.DUMMYFUNCTION("""COMPUTED_VALUE"""),"CATEGORY_PAGE")</f>
        <v>CATEGORY_PAGE</v>
      </c>
      <c r="E47" s="11" t="str">
        <f>IFERROR(__xludf.DUMMYFUNCTION("""COMPUTED_VALUE"""),"COMPETITOR")</f>
        <v>COMPETITOR</v>
      </c>
      <c r="F47" s="11" t="str">
        <f>IFERROR(__xludf.DUMMYFUNCTION("""COMPUTED_VALUE"""),"Category Page")</f>
        <v>Category Page</v>
      </c>
      <c r="G47" s="11" t="b">
        <f>IFERROR(__xludf.DUMMYFUNCTION("""COMPUTED_VALUE"""),FALSE)</f>
        <v>0</v>
      </c>
      <c r="H47" s="11" t="str">
        <f>IFERROR(__xludf.DUMMYFUNCTION("""COMPUTED_VALUE"""),"Clutch, AdVenture Media, Disruptive Advertising, KlientBoost, LYFE Marketing")</f>
        <v>Clutch, AdVenture Media, Disruptive Advertising, KlientBoost, LYFE Marketing</v>
      </c>
      <c r="I47" s="11">
        <f>IFERROR(__xludf.DUMMYFUNCTION("""COMPUTED_VALUE"""),28.0)</f>
        <v>28</v>
      </c>
      <c r="J47" s="11">
        <f>IFERROR(__xludf.DUMMYFUNCTION("""COMPUTED_VALUE"""),0.03)</f>
        <v>0.03</v>
      </c>
      <c r="K47" s="11">
        <f>IFERROR(__xludf.DUMMYFUNCTION("""COMPUTED_VALUE"""),0.21)</f>
        <v>0.21</v>
      </c>
      <c r="L47" s="11"/>
    </row>
    <row r="48" ht="15.75" customHeight="1">
      <c r="A48" s="10" t="str">
        <f>IFERROR(__xludf.DUMMYFUNCTION("""COMPUTED_VALUE"""),"https://www.cometly.com/post/marketing-incrementality-testing-tools")</f>
        <v>https://www.cometly.com/post/marketing-incrementality-testing-tools</v>
      </c>
      <c r="B48" s="11" t="str">
        <f>IFERROR(__xludf.DUMMYFUNCTION("""COMPUTED_VALUE"""),"9 Best Marketing Incrementality Testing Tools 2026")</f>
        <v>9 Best Marketing Incrementality Testing Tools 2026</v>
      </c>
      <c r="C48" s="10" t="str">
        <f>IFERROR(__xludf.DUMMYFUNCTION("""COMPUTED_VALUE"""),"cometly.com")</f>
        <v>cometly.com</v>
      </c>
      <c r="D48" s="11" t="str">
        <f>IFERROR(__xludf.DUMMYFUNCTION("""COMPUTED_VALUE"""),"LISTICLE")</f>
        <v>LISTICLE</v>
      </c>
      <c r="E48" s="11" t="str">
        <f>IFERROR(__xludf.DUMMYFUNCTION("""COMPUTED_VALUE"""),"COMPETITOR")</f>
        <v>COMPETITOR</v>
      </c>
      <c r="F48" s="11" t="str">
        <f>IFERROR(__xludf.DUMMYFUNCTION("""COMPUTED_VALUE"""),"Listicle")</f>
        <v>Listicle</v>
      </c>
      <c r="G48" s="11" t="b">
        <f>IFERROR(__xludf.DUMMYFUNCTION("""COMPUTED_VALUE"""),FALSE)</f>
        <v>0</v>
      </c>
      <c r="H48" s="11" t="str">
        <f>IFERROR(__xludf.DUMMYFUNCTION("""COMPUTED_VALUE"""),"Cometly, Measured, Rockerbox, Northbeam, LifeSight, Haus, Recast")</f>
        <v>Cometly, Measured, Rockerbox, Northbeam, LifeSight, Haus, Recast</v>
      </c>
      <c r="I48" s="11">
        <f>IFERROR(__xludf.DUMMYFUNCTION("""COMPUTED_VALUE"""),28.0)</f>
        <v>28</v>
      </c>
      <c r="J48" s="11">
        <f>IFERROR(__xludf.DUMMYFUNCTION("""COMPUTED_VALUE"""),0.03)</f>
        <v>0.03</v>
      </c>
      <c r="K48" s="11">
        <f>IFERROR(__xludf.DUMMYFUNCTION("""COMPUTED_VALUE"""),1.18)</f>
        <v>1.18</v>
      </c>
      <c r="L48" s="11"/>
    </row>
    <row r="49" ht="15.75" customHeight="1">
      <c r="A49" s="10" t="str">
        <f>IFERROR(__xludf.DUMMYFUNCTION("""COMPUTED_VALUE"""),"https://www.creativefrontiers.co/blog/the-20-best-creative-marketing-agencies-in-the-usa-2025-guide")</f>
        <v>https://www.creativefrontiers.co/blog/the-20-best-creative-marketing-agencies-in-the-usa-2025-guide</v>
      </c>
      <c r="B49" s="11" t="str">
        <f>IFERROR(__xludf.DUMMYFUNCTION("""COMPUTED_VALUE"""),"The 20 Best Creative Marketing Agencies in the USA [2025 Guide] | Creative Frontiers")</f>
        <v>The 20 Best Creative Marketing Agencies in the USA [2025 Guide] | Creative Frontiers</v>
      </c>
      <c r="C49" s="10" t="str">
        <f>IFERROR(__xludf.DUMMYFUNCTION("""COMPUTED_VALUE"""),"creativefrontiers.co")</f>
        <v>creativefrontiers.co</v>
      </c>
      <c r="D49" s="11" t="str">
        <f>IFERROR(__xludf.DUMMYFUNCTION("""COMPUTED_VALUE"""),"LISTICLE")</f>
        <v>LISTICLE</v>
      </c>
      <c r="E49" s="11" t="str">
        <f>IFERROR(__xludf.DUMMYFUNCTION("""COMPUTED_VALUE"""),"OTHER")</f>
        <v>OTHER</v>
      </c>
      <c r="F49" s="11" t="str">
        <f>IFERROR(__xludf.DUMMYFUNCTION("""COMPUTED_VALUE"""),"Listicle")</f>
        <v>Listicle</v>
      </c>
      <c r="G49" s="11" t="b">
        <f>IFERROR(__xludf.DUMMYFUNCTION("""COMPUTED_VALUE"""),FALSE)</f>
        <v>0</v>
      </c>
      <c r="H49" s="11" t="str">
        <f>IFERROR(__xludf.DUMMYFUNCTION("""COMPUTED_VALUE"""),"Wieden+Kennedy, Droga5, Accenture Song, R/GA, BBDO, 72andSunny, Huge, TBWA\Chiat\Day, Giant Spoon, DEPT, Clutch")</f>
        <v>Wieden+Kennedy, Droga5, Accenture Song, R/GA, BBDO, 72andSunny, Huge, TBWA\Chiat\Day, Giant Spoon, DEPT, Clutch</v>
      </c>
      <c r="I49" s="11">
        <f>IFERROR(__xludf.DUMMYFUNCTION("""COMPUTED_VALUE"""),28.0)</f>
        <v>28</v>
      </c>
      <c r="J49" s="11">
        <f>IFERROR(__xludf.DUMMYFUNCTION("""COMPUTED_VALUE"""),0.03)</f>
        <v>0.03</v>
      </c>
      <c r="K49" s="11">
        <f>IFERROR(__xludf.DUMMYFUNCTION("""COMPUTED_VALUE"""),0.5)</f>
        <v>0.5</v>
      </c>
      <c r="L49" s="11"/>
    </row>
    <row r="50" ht="15.75" customHeight="1">
      <c r="A50" s="10" t="str">
        <f>IFERROR(__xludf.DUMMYFUNCTION("""COMPUTED_VALUE"""),"https://quimbydigital.com/top-social-media-agencies-in-the-us-2026/")</f>
        <v>https://quimbydigital.com/top-social-media-agencies-in-the-us-2026/</v>
      </c>
      <c r="B50" s="11" t="str">
        <f>IFERROR(__xludf.DUMMYFUNCTION("""COMPUTED_VALUE"""),"Top Social Media Marketing Agencies in the USA | 2026")</f>
        <v>Top Social Media Marketing Agencies in the USA | 2026</v>
      </c>
      <c r="C50" s="10" t="str">
        <f>IFERROR(__xludf.DUMMYFUNCTION("""COMPUTED_VALUE"""),"quimbydigital.com")</f>
        <v>quimbydigital.com</v>
      </c>
      <c r="D50" s="11" t="str">
        <f>IFERROR(__xludf.DUMMYFUNCTION("""COMPUTED_VALUE"""),"LISTICLE")</f>
        <v>LISTICLE</v>
      </c>
      <c r="E50" s="11" t="str">
        <f>IFERROR(__xludf.DUMMYFUNCTION("""COMPUTED_VALUE"""),"CORPORATE")</f>
        <v>CORPORATE</v>
      </c>
      <c r="F50" s="11" t="str">
        <f>IFERROR(__xludf.DUMMYFUNCTION("""COMPUTED_VALUE"""),"Listicle")</f>
        <v>Listicle</v>
      </c>
      <c r="G50" s="11" t="b">
        <f>IFERROR(__xludf.DUMMYFUNCTION("""COMPUTED_VALUE"""),FALSE)</f>
        <v>0</v>
      </c>
      <c r="H50" s="11" t="str">
        <f>IFERROR(__xludf.DUMMYFUNCTION("""COMPUTED_VALUE"""),"inBeat, Wpromote, Disruptive Advertising, MuteSix, Tinuiti, Sociallyin, Ignite Visibility, WebFX, Thrive Internet Marketing Agency, The Social Shepherd, NoGood, Viral Nation, Amsive")</f>
        <v>inBeat, Wpromote, Disruptive Advertising, MuteSix, Tinuiti, Sociallyin, Ignite Visibility, WebFX, Thrive Internet Marketing Agency, The Social Shepherd, NoGood, Viral Nation, Amsive</v>
      </c>
      <c r="I50" s="11">
        <f>IFERROR(__xludf.DUMMYFUNCTION("""COMPUTED_VALUE"""),28.0)</f>
        <v>28</v>
      </c>
      <c r="J50" s="11">
        <f>IFERROR(__xludf.DUMMYFUNCTION("""COMPUTED_VALUE"""),0.03)</f>
        <v>0.03</v>
      </c>
      <c r="K50" s="11">
        <f>IFERROR(__xludf.DUMMYFUNCTION("""COMPUTED_VALUE"""),1.14)</f>
        <v>1.14</v>
      </c>
      <c r="L50" s="11"/>
    </row>
    <row r="51" ht="15.75" customHeight="1">
      <c r="A51" s="10" t="str">
        <f>IFERROR(__xludf.DUMMYFUNCTION("""COMPUTED_VALUE"""),"https://www.ritnerdigital.com/blog/the-best-seo-and-ai-search-agencies-in-the-united-states-right-now")</f>
        <v>https://www.ritnerdigital.com/blog/the-best-seo-and-ai-search-agencies-in-the-united-states-right-now</v>
      </c>
      <c r="B51" s="11" t="str">
        <f>IFERROR(__xludf.DUMMYFUNCTION("""COMPUTED_VALUE"""),"The Best SEO and AI Search Agencies in the United States Right Now (2026) — Ritner Digital | AI Search &amp;amp; SEO Agency")</f>
        <v>The Best SEO and AI Search Agencies in the United States Right Now (2026) — Ritner Digital | AI Search &amp;amp; SEO Agency</v>
      </c>
      <c r="C51" s="10" t="str">
        <f>IFERROR(__xludf.DUMMYFUNCTION("""COMPUTED_VALUE"""),"ritnerdigital.com")</f>
        <v>ritnerdigital.com</v>
      </c>
      <c r="D51" s="11" t="str">
        <f>IFERROR(__xludf.DUMMYFUNCTION("""COMPUTED_VALUE"""),"LISTICLE")</f>
        <v>LISTICLE</v>
      </c>
      <c r="E51" s="11" t="str">
        <f>IFERROR(__xludf.DUMMYFUNCTION("""COMPUTED_VALUE"""),"CORPORATE")</f>
        <v>CORPORATE</v>
      </c>
      <c r="F51" s="11" t="str">
        <f>IFERROR(__xludf.DUMMYFUNCTION("""COMPUTED_VALUE"""),"Listicle")</f>
        <v>Listicle</v>
      </c>
      <c r="G51" s="11" t="b">
        <f>IFERROR(__xludf.DUMMYFUNCTION("""COMPUTED_VALUE"""),FALSE)</f>
        <v>0</v>
      </c>
      <c r="H51" s="11" t="str">
        <f>IFERROR(__xludf.DUMMYFUNCTION("""COMPUTED_VALUE"""),"WebFX, Thrive Internet Marketing Agency, Ignite Visibility, Silverback Strategies, Victorious, First Page Sage, iPullRank, Siege Media, Single Grain, Graphite, SmartSites, Funnel Boost Media, Clutch, Searchbloom")</f>
        <v>WebFX, Thrive Internet Marketing Agency, Ignite Visibility, Silverback Strategies, Victorious, First Page Sage, iPullRank, Siege Media, Single Grain, Graphite, SmartSites, Funnel Boost Media, Clutch, Searchbloom</v>
      </c>
      <c r="I51" s="11">
        <f>IFERROR(__xludf.DUMMYFUNCTION("""COMPUTED_VALUE"""),28.0)</f>
        <v>28</v>
      </c>
      <c r="J51" s="11">
        <f>IFERROR(__xludf.DUMMYFUNCTION("""COMPUTED_VALUE"""),0.03)</f>
        <v>0.03</v>
      </c>
      <c r="K51" s="11">
        <f>IFERROR(__xludf.DUMMYFUNCTION("""COMPUTED_VALUE"""),0.68)</f>
        <v>0.68</v>
      </c>
      <c r="L51" s="11"/>
    </row>
    <row r="52" ht="15.75" customHeight="1">
      <c r="A52" s="10" t="str">
        <f>IFERROR(__xludf.DUMMYFUNCTION("""COMPUTED_VALUE"""),"https://www.callboxinc.com/growth-hacking/best-aeo-agencies/")</f>
        <v>https://www.callboxinc.com/growth-hacking/best-aeo-agencies/</v>
      </c>
      <c r="B52" s="11" t="str">
        <f>IFERROR(__xludf.DUMMYFUNCTION("""COMPUTED_VALUE"""),"8 Top AEO Agencies in 2026 for Lead Generation")</f>
        <v>8 Top AEO Agencies in 2026 for Lead Generation</v>
      </c>
      <c r="C52" s="10" t="str">
        <f>IFERROR(__xludf.DUMMYFUNCTION("""COMPUTED_VALUE"""),"callboxinc.com")</f>
        <v>callboxinc.com</v>
      </c>
      <c r="D52" s="11" t="str">
        <f>IFERROR(__xludf.DUMMYFUNCTION("""COMPUTED_VALUE"""),"LISTICLE")</f>
        <v>LISTICLE</v>
      </c>
      <c r="E52" s="11" t="str">
        <f>IFERROR(__xludf.DUMMYFUNCTION("""COMPUTED_VALUE"""),"CORPORATE")</f>
        <v>CORPORATE</v>
      </c>
      <c r="F52" s="11" t="str">
        <f>IFERROR(__xludf.DUMMYFUNCTION("""COMPUTED_VALUE"""),"Listicle")</f>
        <v>Listicle</v>
      </c>
      <c r="G52" s="11" t="b">
        <f>IFERROR(__xludf.DUMMYFUNCTION("""COMPUTED_VALUE"""),FALSE)</f>
        <v>0</v>
      </c>
      <c r="H52" s="11" t="str">
        <f>IFERROR(__xludf.DUMMYFUNCTION("""COMPUTED_VALUE"""),"DEPT, Clutch, First Page Sage, iPullRank, Omniscient Digital, Directive, Siege Media, Animalz")</f>
        <v>DEPT, Clutch, First Page Sage, iPullRank, Omniscient Digital, Directive, Siege Media, Animalz</v>
      </c>
      <c r="I52" s="11">
        <f>IFERROR(__xludf.DUMMYFUNCTION("""COMPUTED_VALUE"""),27.0)</f>
        <v>27</v>
      </c>
      <c r="J52" s="11">
        <f>IFERROR(__xludf.DUMMYFUNCTION("""COMPUTED_VALUE"""),0.03)</f>
        <v>0.03</v>
      </c>
      <c r="K52" s="11">
        <f>IFERROR(__xludf.DUMMYFUNCTION("""COMPUTED_VALUE"""),0.93)</f>
        <v>0.93</v>
      </c>
      <c r="L52" s="11"/>
    </row>
    <row r="53" ht="15.75" customHeight="1">
      <c r="A53" s="10" t="str">
        <f>IFERROR(__xludf.DUMMYFUNCTION("""COMPUTED_VALUE"""),"https://directiveconsulting.com/blog/best-marketing-data-agency/")</f>
        <v>https://directiveconsulting.com/blog/best-marketing-data-agency/</v>
      </c>
      <c r="B53" s="11" t="str">
        <f>IFERROR(__xludf.DUMMYFUNCTION("""COMPUTED_VALUE"""),"18 Best Marketing Data Agencies for B2B - Directive")</f>
        <v>18 Best Marketing Data Agencies for B2B - Directive</v>
      </c>
      <c r="C53" s="10" t="str">
        <f>IFERROR(__xludf.DUMMYFUNCTION("""COMPUTED_VALUE"""),"directiveconsulting.com")</f>
        <v>directiveconsulting.com</v>
      </c>
      <c r="D53" s="11" t="str">
        <f>IFERROR(__xludf.DUMMYFUNCTION("""COMPUTED_VALUE"""),"LISTICLE")</f>
        <v>LISTICLE</v>
      </c>
      <c r="E53" s="11" t="str">
        <f>IFERROR(__xludf.DUMMYFUNCTION("""COMPUTED_VALUE"""),"COMPETITOR")</f>
        <v>COMPETITOR</v>
      </c>
      <c r="F53" s="11" t="str">
        <f>IFERROR(__xludf.DUMMYFUNCTION("""COMPUTED_VALUE"""),"Listicle")</f>
        <v>Listicle</v>
      </c>
      <c r="G53" s="11" t="b">
        <f>IFERROR(__xludf.DUMMYFUNCTION("""COMPUTED_VALUE"""),FALSE)</f>
        <v>0</v>
      </c>
      <c r="H53" s="11" t="str">
        <f>IFERROR(__xludf.DUMMYFUNCTION("""COMPUTED_VALUE"""),"Directive, RevPartners, KlientBoost, Brainlabs, Power Digital, Measured, Clutch")</f>
        <v>Directive, RevPartners, KlientBoost, Brainlabs, Power Digital, Measured, Clutch</v>
      </c>
      <c r="I53" s="11">
        <f>IFERROR(__xludf.DUMMYFUNCTION("""COMPUTED_VALUE"""),27.0)</f>
        <v>27</v>
      </c>
      <c r="J53" s="11">
        <f>IFERROR(__xludf.DUMMYFUNCTION("""COMPUTED_VALUE"""),0.03)</f>
        <v>0.03</v>
      </c>
      <c r="K53" s="11">
        <f>IFERROR(__xludf.DUMMYFUNCTION("""COMPUTED_VALUE"""),1.7)</f>
        <v>1.7</v>
      </c>
      <c r="L53" s="11"/>
    </row>
    <row r="54" ht="15.75" customHeight="1">
      <c r="A54" s="10" t="str">
        <f>IFERROR(__xludf.DUMMYFUNCTION("""COMPUTED_VALUE"""),"https://www.linkedin.com/pulse/top-10-aeo-agencies-usa-2026-best-answer-engine-companies-sam-israel-pgcwc")</f>
        <v>https://www.linkedin.com/pulse/top-10-aeo-agencies-usa-2026-best-answer-engine-companies-sam-israel-pgcwc</v>
      </c>
      <c r="B54" s="11" t="str">
        <f>IFERROR(__xludf.DUMMYFUNCTION("""COMPUTED_VALUE"""),"Top 10 AEO Agencies in the USA (2026): The Best Answer Engine Optimization Companies for AI Search Visibility")</f>
        <v>Top 10 AEO Agencies in the USA (2026): The Best Answer Engine Optimization Companies for AI Search Visibility</v>
      </c>
      <c r="C54" s="10" t="str">
        <f>IFERROR(__xludf.DUMMYFUNCTION("""COMPUTED_VALUE"""),"linkedin.com")</f>
        <v>linkedin.com</v>
      </c>
      <c r="D54" s="11" t="str">
        <f>IFERROR(__xludf.DUMMYFUNCTION("""COMPUTED_VALUE"""),"LISTICLE")</f>
        <v>LISTICLE</v>
      </c>
      <c r="E54" s="11" t="str">
        <f>IFERROR(__xludf.DUMMYFUNCTION("""COMPUTED_VALUE"""),"UGC")</f>
        <v>UGC</v>
      </c>
      <c r="F54" s="11" t="str">
        <f>IFERROR(__xludf.DUMMYFUNCTION("""COMPUTED_VALUE"""),"Listicle")</f>
        <v>Listicle</v>
      </c>
      <c r="G54" s="11" t="b">
        <f>IFERROR(__xludf.DUMMYFUNCTION("""COMPUTED_VALUE"""),FALSE)</f>
        <v>0</v>
      </c>
      <c r="H54" s="11" t="str">
        <f>IFERROR(__xludf.DUMMYFUNCTION("""COMPUTED_VALUE"""),"iPullRank, Omniscient Digital, Siege Media, WebFX, Single Grain, First Page Sage, NoGood, RevenueZen")</f>
        <v>iPullRank, Omniscient Digital, Siege Media, WebFX, Single Grain, First Page Sage, NoGood, RevenueZen</v>
      </c>
      <c r="I54" s="11">
        <f>IFERROR(__xludf.DUMMYFUNCTION("""COMPUTED_VALUE"""),27.0)</f>
        <v>27</v>
      </c>
      <c r="J54" s="11">
        <f>IFERROR(__xludf.DUMMYFUNCTION("""COMPUTED_VALUE"""),0.03)</f>
        <v>0.03</v>
      </c>
      <c r="K54" s="11">
        <f>IFERROR(__xludf.DUMMYFUNCTION("""COMPUTED_VALUE"""),2.15)</f>
        <v>2.15</v>
      </c>
      <c r="L54" s="11"/>
    </row>
    <row r="55" ht="15.75" customHeight="1">
      <c r="A55" s="10" t="str">
        <f>IFERROR(__xludf.DUMMYFUNCTION("""COMPUTED_VALUE"""),"https://percepture.com/geo-insights/best-ai-seo-agencies-usa/")</f>
        <v>https://percepture.com/geo-insights/best-ai-seo-agencies-usa/</v>
      </c>
      <c r="B55" s="11" t="str">
        <f>IFERROR(__xludf.DUMMYFUNCTION("""COMPUTED_VALUE"""),"Best AI SEO Agencies In The USA: Search Growth Guide for")</f>
        <v>Best AI SEO Agencies In The USA: Search Growth Guide for</v>
      </c>
      <c r="C55" s="10" t="str">
        <f>IFERROR(__xludf.DUMMYFUNCTION("""COMPUTED_VALUE"""),"percepture.com")</f>
        <v>percepture.com</v>
      </c>
      <c r="D55" s="11" t="str">
        <f>IFERROR(__xludf.DUMMYFUNCTION("""COMPUTED_VALUE"""),"LISTICLE")</f>
        <v>LISTICLE</v>
      </c>
      <c r="E55" s="11" t="str">
        <f>IFERROR(__xludf.DUMMYFUNCTION("""COMPUTED_VALUE"""),"COMPETITOR")</f>
        <v>COMPETITOR</v>
      </c>
      <c r="F55" s="11" t="str">
        <f>IFERROR(__xludf.DUMMYFUNCTION("""COMPUTED_VALUE"""),"Listicle")</f>
        <v>Listicle</v>
      </c>
      <c r="G55" s="11" t="b">
        <f>IFERROR(__xludf.DUMMYFUNCTION("""COMPUTED_VALUE"""),FALSE)</f>
        <v>0</v>
      </c>
      <c r="H55" s="11" t="str">
        <f>IFERROR(__xludf.DUMMYFUNCTION("""COMPUTED_VALUE"""),"Percepture, Daydream, iPullRank, First Page Sage, Siege Media, Intero Digital, WebFX, Searchbloom")</f>
        <v>Percepture, Daydream, iPullRank, First Page Sage, Siege Media, Intero Digital, WebFX, Searchbloom</v>
      </c>
      <c r="I55" s="11">
        <f>IFERROR(__xludf.DUMMYFUNCTION("""COMPUTED_VALUE"""),27.0)</f>
        <v>27</v>
      </c>
      <c r="J55" s="11">
        <f>IFERROR(__xludf.DUMMYFUNCTION("""COMPUTED_VALUE"""),0.03)</f>
        <v>0.03</v>
      </c>
      <c r="K55" s="11">
        <f>IFERROR(__xludf.DUMMYFUNCTION("""COMPUTED_VALUE"""),1.41)</f>
        <v>1.41</v>
      </c>
      <c r="L55" s="11"/>
    </row>
    <row r="56" ht="15.75" customHeight="1">
      <c r="A56" s="10" t="str">
        <f>IFERROR(__xludf.DUMMYFUNCTION("""COMPUTED_VALUE"""),"https://www.sortlist.com/s/display-advertising/united-states-us")</f>
        <v>https://www.sortlist.com/s/display-advertising/united-states-us</v>
      </c>
      <c r="B56" s="11" t="str">
        <f>IFERROR(__xludf.DUMMYFUNCTION("""COMPUTED_VALUE"""),"The 10 Best Display Advertising Agencies in the United States - 2026 Reviews")</f>
        <v>The 10 Best Display Advertising Agencies in the United States - 2026 Reviews</v>
      </c>
      <c r="C56" s="10" t="str">
        <f>IFERROR(__xludf.DUMMYFUNCTION("""COMPUTED_VALUE"""),"sortlist.com")</f>
        <v>sortlist.com</v>
      </c>
      <c r="D56" s="11" t="str">
        <f>IFERROR(__xludf.DUMMYFUNCTION("""COMPUTED_VALUE"""),"CATEGORY_PAGE")</f>
        <v>CATEGORY_PAGE</v>
      </c>
      <c r="E56" s="11" t="str">
        <f>IFERROR(__xludf.DUMMYFUNCTION("""COMPUTED_VALUE"""),"CORPORATE")</f>
        <v>CORPORATE</v>
      </c>
      <c r="F56" s="11" t="str">
        <f>IFERROR(__xludf.DUMMYFUNCTION("""COMPUTED_VALUE"""),"Category Page")</f>
        <v>Category Page</v>
      </c>
      <c r="G56" s="11" t="b">
        <f>IFERROR(__xludf.DUMMYFUNCTION("""COMPUTED_VALUE"""),FALSE)</f>
        <v>0</v>
      </c>
      <c r="H56" s="11" t="str">
        <f>IFERROR(__xludf.DUMMYFUNCTION("""COMPUTED_VALUE"""),"Triple Whale, Northbeam, HockeyStack, NinjaPromo, Clutch, IBM")</f>
        <v>Triple Whale, Northbeam, HockeyStack, NinjaPromo, Clutch, IBM</v>
      </c>
      <c r="I56" s="11">
        <f>IFERROR(__xludf.DUMMYFUNCTION("""COMPUTED_VALUE"""),27.0)</f>
        <v>27</v>
      </c>
      <c r="J56" s="11">
        <f>IFERROR(__xludf.DUMMYFUNCTION("""COMPUTED_VALUE"""),0.03)</f>
        <v>0.03</v>
      </c>
      <c r="K56" s="11">
        <f>IFERROR(__xludf.DUMMYFUNCTION("""COMPUTED_VALUE"""),0.0)</f>
        <v>0</v>
      </c>
      <c r="L56" s="11"/>
    </row>
    <row r="57" ht="15.75" customHeight="1">
      <c r="A57" s="10" t="str">
        <f>IFERROR(__xludf.DUMMYFUNCTION("""COMPUTED_VALUE"""),"https://www.agencycluster.com/top-50/branding-creative-agencies")</f>
        <v>https://www.agencycluster.com/top-50/branding-creative-agencies</v>
      </c>
      <c r="B57" s="11" t="str">
        <f>IFERROR(__xludf.DUMMYFUNCTION("""COMPUTED_VALUE"""),"Top 50 Branding &amp;amp; Creative Design Agencies in the USA (2026) | AgencyCluster")</f>
        <v>Top 50 Branding &amp;amp; Creative Design Agencies in the USA (2026) | AgencyCluster</v>
      </c>
      <c r="C57" s="10" t="str">
        <f>IFERROR(__xludf.DUMMYFUNCTION("""COMPUTED_VALUE"""),"agencycluster.com")</f>
        <v>agencycluster.com</v>
      </c>
      <c r="D57" s="11" t="str">
        <f>IFERROR(__xludf.DUMMYFUNCTION("""COMPUTED_VALUE"""),"CATEGORY_PAGE")</f>
        <v>CATEGORY_PAGE</v>
      </c>
      <c r="E57" s="11" t="str">
        <f>IFERROR(__xludf.DUMMYFUNCTION("""COMPUTED_VALUE"""),"REFERENCE")</f>
        <v>REFERENCE</v>
      </c>
      <c r="F57" s="11" t="str">
        <f>IFERROR(__xludf.DUMMYFUNCTION("""COMPUTED_VALUE"""),"Category Page")</f>
        <v>Category Page</v>
      </c>
      <c r="G57" s="11" t="b">
        <f>IFERROR(__xludf.DUMMYFUNCTION("""COMPUTED_VALUE"""),FALSE)</f>
        <v>0</v>
      </c>
      <c r="H57" s="11" t="str">
        <f>IFERROR(__xludf.DUMMYFUNCTION("""COMPUTED_VALUE"""),"Clay, Pentagram, R/GA, Wolff Olins, Wieden+Kennedy, Avenue Z, Momentum")</f>
        <v>Clay, Pentagram, R/GA, Wolff Olins, Wieden+Kennedy, Avenue Z, Momentum</v>
      </c>
      <c r="I57" s="11">
        <f>IFERROR(__xludf.DUMMYFUNCTION("""COMPUTED_VALUE"""),26.0)</f>
        <v>26</v>
      </c>
      <c r="J57" s="11">
        <f>IFERROR(__xludf.DUMMYFUNCTION("""COMPUTED_VALUE"""),0.03)</f>
        <v>0.03</v>
      </c>
      <c r="K57" s="11">
        <f>IFERROR(__xludf.DUMMYFUNCTION("""COMPUTED_VALUE"""),0.5)</f>
        <v>0.5</v>
      </c>
      <c r="L57" s="11"/>
    </row>
    <row r="58" ht="15.75" customHeight="1">
      <c r="A58" s="10" t="str">
        <f>IFERROR(__xludf.DUMMYFUNCTION("""COMPUTED_VALUE"""),"https://clutch.co/agencies")</f>
        <v>https://clutch.co/agencies</v>
      </c>
      <c r="B58" s="11" t="str">
        <f>IFERROR(__xludf.DUMMYFUNCTION("""COMPUTED_VALUE"""),"Top Advertising Agencies &amp;amp; Marketing Companies - Jul 2026 Rankings | Clutch.co")</f>
        <v>Top Advertising Agencies &amp;amp; Marketing Companies - Jul 2026 Rankings | Clutch.co</v>
      </c>
      <c r="C58" s="10" t="str">
        <f>IFERROR(__xludf.DUMMYFUNCTION("""COMPUTED_VALUE"""),"clutch.co")</f>
        <v>clutch.co</v>
      </c>
      <c r="D58" s="11" t="str">
        <f>IFERROR(__xludf.DUMMYFUNCTION("""COMPUTED_VALUE"""),"CATEGORY_PAGE")</f>
        <v>CATEGORY_PAGE</v>
      </c>
      <c r="E58" s="11" t="str">
        <f>IFERROR(__xludf.DUMMYFUNCTION("""COMPUTED_VALUE"""),"COMPETITOR")</f>
        <v>COMPETITOR</v>
      </c>
      <c r="F58" s="11" t="str">
        <f>IFERROR(__xludf.DUMMYFUNCTION("""COMPUTED_VALUE"""),"Category Page")</f>
        <v>Category Page</v>
      </c>
      <c r="G58" s="11" t="b">
        <f>IFERROR(__xludf.DUMMYFUNCTION("""COMPUTED_VALUE"""),FALSE)</f>
        <v>0</v>
      </c>
      <c r="H58" s="11" t="str">
        <f>IFERROR(__xludf.DUMMYFUNCTION("""COMPUTED_VALUE"""),"Clutch, Power Digital, Ignite Visibility, SmartSites, LYFE Marketing, NinjaPromo, WebFX, KlientBoost, AdVenture Media, Sociallyin, Funnel Boost Media, The SEO Works")</f>
        <v>Clutch, Power Digital, Ignite Visibility, SmartSites, LYFE Marketing, NinjaPromo, WebFX, KlientBoost, AdVenture Media, Sociallyin, Funnel Boost Media, The SEO Works</v>
      </c>
      <c r="I58" s="11">
        <f>IFERROR(__xludf.DUMMYFUNCTION("""COMPUTED_VALUE"""),26.0)</f>
        <v>26</v>
      </c>
      <c r="J58" s="11">
        <f>IFERROR(__xludf.DUMMYFUNCTION("""COMPUTED_VALUE"""),0.03)</f>
        <v>0.03</v>
      </c>
      <c r="K58" s="11">
        <f>IFERROR(__xludf.DUMMYFUNCTION("""COMPUTED_VALUE"""),0.12)</f>
        <v>0.12</v>
      </c>
      <c r="L58" s="11"/>
    </row>
    <row r="59" ht="15.75" customHeight="1">
      <c r="A59" s="10" t="str">
        <f>IFERROR(__xludf.DUMMYFUNCTION("""COMPUTED_VALUE"""),"https://digitalagencynetwork.com/agencies/usa/creative/")</f>
        <v>https://digitalagencynetwork.com/agencies/usa/creative/</v>
      </c>
      <c r="B59" s="11" t="str">
        <f>IFERROR(__xludf.DUMMYFUNCTION("""COMPUTED_VALUE"""),"Top Creative Agencies in USA (2026)")</f>
        <v>Top Creative Agencies in USA (2026)</v>
      </c>
      <c r="C59" s="10" t="str">
        <f>IFERROR(__xludf.DUMMYFUNCTION("""COMPUTED_VALUE"""),"digitalagencynetwork.com")</f>
        <v>digitalagencynetwork.com</v>
      </c>
      <c r="D59" s="11" t="str">
        <f>IFERROR(__xludf.DUMMYFUNCTION("""COMPUTED_VALUE"""),"CATEGORY_PAGE")</f>
        <v>CATEGORY_PAGE</v>
      </c>
      <c r="E59" s="11" t="str">
        <f>IFERROR(__xludf.DUMMYFUNCTION("""COMPUTED_VALUE"""),"REFERENCE")</f>
        <v>REFERENCE</v>
      </c>
      <c r="F59" s="11" t="str">
        <f>IFERROR(__xludf.DUMMYFUNCTION("""COMPUTED_VALUE"""),"Category Page")</f>
        <v>Category Page</v>
      </c>
      <c r="G59" s="11" t="b">
        <f>IFERROR(__xludf.DUMMYFUNCTION("""COMPUTED_VALUE"""),FALSE)</f>
        <v>0</v>
      </c>
      <c r="H59" s="11" t="str">
        <f>IFERROR(__xludf.DUMMYFUNCTION("""COMPUTED_VALUE"""),"Major Tom, Momentum, Clay, Brighter Click, PwC, NoGood, Forthea")</f>
        <v>Major Tom, Momentum, Clay, Brighter Click, PwC, NoGood, Forthea</v>
      </c>
      <c r="I59" s="11">
        <f>IFERROR(__xludf.DUMMYFUNCTION("""COMPUTED_VALUE"""),26.0)</f>
        <v>26</v>
      </c>
      <c r="J59" s="11">
        <f>IFERROR(__xludf.DUMMYFUNCTION("""COMPUTED_VALUE"""),0.03)</f>
        <v>0.03</v>
      </c>
      <c r="K59" s="11">
        <f>IFERROR(__xludf.DUMMYFUNCTION("""COMPUTED_VALUE"""),0.12)</f>
        <v>0.12</v>
      </c>
      <c r="L59" s="11"/>
    </row>
    <row r="60" ht="15.75" customHeight="1">
      <c r="A60" s="10" t="str">
        <f>IFERROR(__xludf.DUMMYFUNCTION("""COMPUTED_VALUE"""),"https://thesocialshepherd.com/blog/top-paid-social-agencies-us")</f>
        <v>https://thesocialshepherd.com/blog/top-paid-social-agencies-us</v>
      </c>
      <c r="B60" s="11" t="str">
        <f>IFERROR(__xludf.DUMMYFUNCTION("""COMPUTED_VALUE"""),"The Social Shepherd | Top 17 Paid Social Agencies in the U.S. (2026)")</f>
        <v>The Social Shepherd | Top 17 Paid Social Agencies in the U.S. (2026)</v>
      </c>
      <c r="C60" s="10" t="str">
        <f>IFERROR(__xludf.DUMMYFUNCTION("""COMPUTED_VALUE"""),"thesocialshepherd.com")</f>
        <v>thesocialshepherd.com</v>
      </c>
      <c r="D60" s="11" t="str">
        <f>IFERROR(__xludf.DUMMYFUNCTION("""COMPUTED_VALUE"""),"LISTICLE")</f>
        <v>LISTICLE</v>
      </c>
      <c r="E60" s="11" t="str">
        <f>IFERROR(__xludf.DUMMYFUNCTION("""COMPUTED_VALUE"""),"COMPETITOR")</f>
        <v>COMPETITOR</v>
      </c>
      <c r="F60" s="11" t="str">
        <f>IFERROR(__xludf.DUMMYFUNCTION("""COMPUTED_VALUE"""),"Listicle")</f>
        <v>Listicle</v>
      </c>
      <c r="G60" s="11" t="b">
        <f>IFERROR(__xludf.DUMMYFUNCTION("""COMPUTED_VALUE"""),FALSE)</f>
        <v>0</v>
      </c>
      <c r="H60" s="11" t="str">
        <f>IFERROR(__xludf.DUMMYFUNCTION("""COMPUTED_VALUE"""),"The Social Shepherd, Disruptive Advertising, Jellyfish, Tinuiti, iProspect")</f>
        <v>The Social Shepherd, Disruptive Advertising, Jellyfish, Tinuiti, iProspect</v>
      </c>
      <c r="I60" s="11">
        <f>IFERROR(__xludf.DUMMYFUNCTION("""COMPUTED_VALUE"""),26.0)</f>
        <v>26</v>
      </c>
      <c r="J60" s="11">
        <f>IFERROR(__xludf.DUMMYFUNCTION("""COMPUTED_VALUE"""),0.03)</f>
        <v>0.03</v>
      </c>
      <c r="K60" s="11">
        <f>IFERROR(__xludf.DUMMYFUNCTION("""COMPUTED_VALUE"""),0.92)</f>
        <v>0.92</v>
      </c>
      <c r="L60" s="11"/>
    </row>
    <row r="61" ht="15.75" customHeight="1">
      <c r="A61" s="10" t="str">
        <f>IFERROR(__xludf.DUMMYFUNCTION("""COMPUTED_VALUE"""),"https://www.webtonic.io/blog/top-performance-marketing-agencies-us")</f>
        <v>https://www.webtonic.io/blog/top-performance-marketing-agencies-us</v>
      </c>
      <c r="B61" s="11" t="str">
        <f>IFERROR(__xludf.DUMMYFUNCTION("""COMPUTED_VALUE"""),"The 50 Top Performance Marketing Agencies in the US as of 2026")</f>
        <v>The 50 Top Performance Marketing Agencies in the US as of 2026</v>
      </c>
      <c r="C61" s="10" t="str">
        <f>IFERROR(__xludf.DUMMYFUNCTION("""COMPUTED_VALUE"""),"webtonic.io")</f>
        <v>webtonic.io</v>
      </c>
      <c r="D61" s="11" t="str">
        <f>IFERROR(__xludf.DUMMYFUNCTION("""COMPUTED_VALUE"""),"LISTICLE")</f>
        <v>LISTICLE</v>
      </c>
      <c r="E61" s="11" t="str">
        <f>IFERROR(__xludf.DUMMYFUNCTION("""COMPUTED_VALUE"""),"COMPETITOR")</f>
        <v>COMPETITOR</v>
      </c>
      <c r="F61" s="11" t="str">
        <f>IFERROR(__xludf.DUMMYFUNCTION("""COMPUTED_VALUE"""),"Listicle")</f>
        <v>Listicle</v>
      </c>
      <c r="G61" s="11" t="b">
        <f>IFERROR(__xludf.DUMMYFUNCTION("""COMPUTED_VALUE"""),FALSE)</f>
        <v>0</v>
      </c>
      <c r="H61" s="11" t="str">
        <f>IFERROR(__xludf.DUMMYFUNCTION("""COMPUTED_VALUE"""),"Web Tonic, NoGood, Disruptive Advertising, Tinuiti, Wpromote, TransUnion, Power Digital, KlientBoost, Ignite Visibility, Directive, Thrive Internet Marketing Agency, LYFE Marketing, HawkSEM, iProspect, Dentsu, Merkle, MuteSix, WebFX, SmartSites, Single Gr"&amp;"ain, NinjaPromo, Silverback Strategies, IBM, Sociallyin, Refine Labs, Clutch, Accelerated Digital Media, Victorious, Avenue Z, Major Tom, NP Digital, Searchbloom")</f>
        <v>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v>
      </c>
      <c r="I61" s="11">
        <f>IFERROR(__xludf.DUMMYFUNCTION("""COMPUTED_VALUE"""),26.0)</f>
        <v>26</v>
      </c>
      <c r="J61" s="11">
        <f>IFERROR(__xludf.DUMMYFUNCTION("""COMPUTED_VALUE"""),0.03)</f>
        <v>0.03</v>
      </c>
      <c r="K61" s="11">
        <f>IFERROR(__xludf.DUMMYFUNCTION("""COMPUTED_VALUE"""),0.42)</f>
        <v>0.42</v>
      </c>
      <c r="L61" s="11"/>
    </row>
    <row r="62" ht="15.75" customHeight="1">
      <c r="A62" s="10" t="str">
        <f>IFERROR(__xludf.DUMMYFUNCTION("""COMPUTED_VALUE"""),"https://clutch.co/agencies/ppc/display")</f>
        <v>https://clutch.co/agencies/ppc/display</v>
      </c>
      <c r="B62" s="11" t="str">
        <f>IFERROR(__xludf.DUMMYFUNCTION("""COMPUTED_VALUE"""),"Top Display Advertising Agencies - Jul 2026 Rankings | Clutch.co")</f>
        <v>Top Display Advertising Agencies - Jul 2026 Rankings | Clutch.co</v>
      </c>
      <c r="C62" s="10" t="str">
        <f>IFERROR(__xludf.DUMMYFUNCTION("""COMPUTED_VALUE"""),"clutch.co")</f>
        <v>clutch.co</v>
      </c>
      <c r="D62" s="11" t="str">
        <f>IFERROR(__xludf.DUMMYFUNCTION("""COMPUTED_VALUE"""),"CATEGORY_PAGE")</f>
        <v>CATEGORY_PAGE</v>
      </c>
      <c r="E62" s="11" t="str">
        <f>IFERROR(__xludf.DUMMYFUNCTION("""COMPUTED_VALUE"""),"COMPETITOR")</f>
        <v>COMPETITOR</v>
      </c>
      <c r="F62" s="11" t="str">
        <f>IFERROR(__xludf.DUMMYFUNCTION("""COMPUTED_VALUE"""),"Category Page")</f>
        <v>Category Page</v>
      </c>
      <c r="G62" s="11" t="b">
        <f>IFERROR(__xludf.DUMMYFUNCTION("""COMPUTED_VALUE"""),FALSE)</f>
        <v>0</v>
      </c>
      <c r="H62" s="11" t="str">
        <f>IFERROR(__xludf.DUMMYFUNCTION("""COMPUTED_VALUE"""),"Clutch, Elit-Web, AdVenture Media, NinjaPromo, Storm Brain, The SEO Works")</f>
        <v>Clutch, Elit-Web, AdVenture Media, NinjaPromo, Storm Brain, The SEO Works</v>
      </c>
      <c r="I62" s="11">
        <f>IFERROR(__xludf.DUMMYFUNCTION("""COMPUTED_VALUE"""),25.0)</f>
        <v>25</v>
      </c>
      <c r="J62" s="11">
        <f>IFERROR(__xludf.DUMMYFUNCTION("""COMPUTED_VALUE"""),0.02)</f>
        <v>0.02</v>
      </c>
      <c r="K62" s="11">
        <f>IFERROR(__xludf.DUMMYFUNCTION("""COMPUTED_VALUE"""),0.4)</f>
        <v>0.4</v>
      </c>
      <c r="L62" s="11"/>
    </row>
    <row r="63" ht="15.75" customHeight="1">
      <c r="A63" s="10" t="str">
        <f>IFERROR(__xludf.DUMMYFUNCTION("""COMPUTED_VALUE"""),"https://www.agencycluster.com/top-25/branding-creative-agencies")</f>
        <v>https://www.agencycluster.com/top-25/branding-creative-agencies</v>
      </c>
      <c r="B63" s="11" t="str">
        <f>IFERROR(__xludf.DUMMYFUNCTION("""COMPUTED_VALUE"""),"Top 25 Branding &amp;amp; Creative Design Agencies in the USA (2026) | AgencyCluster")</f>
        <v>Top 25 Branding &amp;amp; Creative Design Agencies in the USA (2026) | AgencyCluster</v>
      </c>
      <c r="C63" s="10" t="str">
        <f>IFERROR(__xludf.DUMMYFUNCTION("""COMPUTED_VALUE"""),"agencycluster.com")</f>
        <v>agencycluster.com</v>
      </c>
      <c r="D63" s="11" t="str">
        <f>IFERROR(__xludf.DUMMYFUNCTION("""COMPUTED_VALUE"""),"LISTICLE")</f>
        <v>LISTICLE</v>
      </c>
      <c r="E63" s="11" t="str">
        <f>IFERROR(__xludf.DUMMYFUNCTION("""COMPUTED_VALUE"""),"REFERENCE")</f>
        <v>REFERENCE</v>
      </c>
      <c r="F63" s="11" t="str">
        <f>IFERROR(__xludf.DUMMYFUNCTION("""COMPUTED_VALUE"""),"Listicle")</f>
        <v>Listicle</v>
      </c>
      <c r="G63" s="11" t="b">
        <f>IFERROR(__xludf.DUMMYFUNCTION("""COMPUTED_VALUE"""),FALSE)</f>
        <v>0</v>
      </c>
      <c r="H63" s="11" t="str">
        <f>IFERROR(__xludf.DUMMYFUNCTION("""COMPUTED_VALUE"""),"Clay, Pentagram, R/GA, Wolff Olins, Wieden+Kennedy")</f>
        <v>Clay, Pentagram, R/GA, Wolff Olins, Wieden+Kennedy</v>
      </c>
      <c r="I63" s="11">
        <f>IFERROR(__xludf.DUMMYFUNCTION("""COMPUTED_VALUE"""),24.0)</f>
        <v>24</v>
      </c>
      <c r="J63" s="11">
        <f>IFERROR(__xludf.DUMMYFUNCTION("""COMPUTED_VALUE"""),0.02)</f>
        <v>0.02</v>
      </c>
      <c r="K63" s="11">
        <f>IFERROR(__xludf.DUMMYFUNCTION("""COMPUTED_VALUE"""),1.13)</f>
        <v>1.13</v>
      </c>
      <c r="L63" s="11"/>
    </row>
    <row r="64" ht="15.75" customHeight="1">
      <c r="A64" s="10" t="str">
        <f>IFERROR(__xludf.DUMMYFUNCTION("""COMPUTED_VALUE"""),"https://www.alphaapexgroup.com/blog/top-ai-consulting-firms")</f>
        <v>https://www.alphaapexgroup.com/blog/top-ai-consulting-firms</v>
      </c>
      <c r="B64"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64" s="10" t="str">
        <f>IFERROR(__xludf.DUMMYFUNCTION("""COMPUTED_VALUE"""),"alphaapexgroup.com")</f>
        <v>alphaapexgroup.com</v>
      </c>
      <c r="D64" s="11" t="str">
        <f>IFERROR(__xludf.DUMMYFUNCTION("""COMPUTED_VALUE"""),"LISTICLE")</f>
        <v>LISTICLE</v>
      </c>
      <c r="E64" s="11" t="str">
        <f>IFERROR(__xludf.DUMMYFUNCTION("""COMPUTED_VALUE"""),"CORPORATE")</f>
        <v>CORPORATE</v>
      </c>
      <c r="F64" s="11" t="str">
        <f>IFERROR(__xludf.DUMMYFUNCTION("""COMPUTED_VALUE"""),"Listicle")</f>
        <v>Listicle</v>
      </c>
      <c r="G64" s="11" t="b">
        <f>IFERROR(__xludf.DUMMYFUNCTION("""COMPUTED_VALUE"""),FALSE)</f>
        <v>0</v>
      </c>
      <c r="H64" s="11" t="str">
        <f>IFERROR(__xludf.DUMMYFUNCTION("""COMPUTED_VALUE"""),"Artefact, McKinsey, QuantumBlack, Ogilvy, Clutch")</f>
        <v>Artefact, McKinsey, QuantumBlack, Ogilvy, Clutch</v>
      </c>
      <c r="I64" s="11">
        <f>IFERROR(__xludf.DUMMYFUNCTION("""COMPUTED_VALUE"""),24.0)</f>
        <v>24</v>
      </c>
      <c r="J64" s="11">
        <f>IFERROR(__xludf.DUMMYFUNCTION("""COMPUTED_VALUE"""),0.02)</f>
        <v>0.02</v>
      </c>
      <c r="K64" s="11">
        <f>IFERROR(__xludf.DUMMYFUNCTION("""COMPUTED_VALUE"""),1.04)</f>
        <v>1.04</v>
      </c>
      <c r="L64" s="11"/>
    </row>
    <row r="65" ht="15.75" customHeight="1">
      <c r="A65" s="10" t="str">
        <f>IFERROR(__xludf.DUMMYFUNCTION("""COMPUTED_VALUE"""),"https://clutch.co/agencies/performance-marketing")</f>
        <v>https://clutch.co/agencies/performance-marketing</v>
      </c>
      <c r="B65" s="11" t="str">
        <f>IFERROR(__xludf.DUMMYFUNCTION("""COMPUTED_VALUE"""),"Top Performance Marketing Agencies - Jul 2026 Rankings | Clutch.co")</f>
        <v>Top Performance Marketing Agencies - Jul 2026 Rankings | Clutch.co</v>
      </c>
      <c r="C65" s="10" t="str">
        <f>IFERROR(__xludf.DUMMYFUNCTION("""COMPUTED_VALUE"""),"clutch.co")</f>
        <v>clutch.co</v>
      </c>
      <c r="D65" s="11" t="str">
        <f>IFERROR(__xludf.DUMMYFUNCTION("""COMPUTED_VALUE"""),"CATEGORY_PAGE")</f>
        <v>CATEGORY_PAGE</v>
      </c>
      <c r="E65" s="11" t="str">
        <f>IFERROR(__xludf.DUMMYFUNCTION("""COMPUTED_VALUE"""),"COMPETITOR")</f>
        <v>COMPETITOR</v>
      </c>
      <c r="F65" s="11" t="str">
        <f>IFERROR(__xludf.DUMMYFUNCTION("""COMPUTED_VALUE"""),"Category Page")</f>
        <v>Category Page</v>
      </c>
      <c r="G65" s="11" t="b">
        <f>IFERROR(__xludf.DUMMYFUNCTION("""COMPUTED_VALUE"""),FALSE)</f>
        <v>0</v>
      </c>
      <c r="H65" s="11" t="str">
        <f>IFERROR(__xludf.DUMMYFUNCTION("""COMPUTED_VALUE"""),"Clutch, Disruptive Advertising, Accelerated Digital Media, Momentum, Web Tonic")</f>
        <v>Clutch, Disruptive Advertising, Accelerated Digital Media, Momentum, Web Tonic</v>
      </c>
      <c r="I65" s="11">
        <f>IFERROR(__xludf.DUMMYFUNCTION("""COMPUTED_VALUE"""),24.0)</f>
        <v>24</v>
      </c>
      <c r="J65" s="11">
        <f>IFERROR(__xludf.DUMMYFUNCTION("""COMPUTED_VALUE"""),0.02)</f>
        <v>0.02</v>
      </c>
      <c r="K65" s="11">
        <f>IFERROR(__xludf.DUMMYFUNCTION("""COMPUTED_VALUE"""),1.54)</f>
        <v>1.54</v>
      </c>
      <c r="L65" s="11"/>
    </row>
    <row r="66" ht="15.75" customHeight="1">
      <c r="A66" s="10" t="str">
        <f>IFERROR(__xludf.DUMMYFUNCTION("""COMPUTED_VALUE"""),"https://nogood.io/blog/marketing-agencies-usa/#:~:text=%2D%20NoGood.%20Born%20in%20New%20York%20City,%2D%20BBDO.%20%2D%20Digitas.%20%2D%20Disruptive%20Advertising.")</f>
        <v>https://nogood.io/blog/marketing-agencies-usa/#:~:text=%2D%20NoGood.%20Born%20in%20New%20York%20City,%2D%20BBDO.%20%2D%20Digitas.%20%2D%20Disruptive%20Advertising.</v>
      </c>
      <c r="B66" s="11" t="str">
        <f>IFERROR(__xludf.DUMMYFUNCTION("""COMPUTED_VALUE"""),"Top Digital Marketing Agencies In The USA (2026)")</f>
        <v>Top Digital Marketing Agencies In The USA (2026)</v>
      </c>
      <c r="C66" s="10" t="str">
        <f>IFERROR(__xludf.DUMMYFUNCTION("""COMPUTED_VALUE"""),"nogood.io")</f>
        <v>nogood.io</v>
      </c>
      <c r="D66" s="11" t="str">
        <f>IFERROR(__xludf.DUMMYFUNCTION("""COMPUTED_VALUE"""),"LISTICLE")</f>
        <v>LISTICLE</v>
      </c>
      <c r="E66" s="11" t="str">
        <f>IFERROR(__xludf.DUMMYFUNCTION("""COMPUTED_VALUE"""),"COMPETITOR")</f>
        <v>COMPETITOR</v>
      </c>
      <c r="F66" s="11" t="str">
        <f>IFERROR(__xludf.DUMMYFUNCTION("""COMPUTED_VALUE"""),"Listicle")</f>
        <v>Listicle</v>
      </c>
      <c r="G66" s="11" t="b">
        <f>IFERROR(__xludf.DUMMYFUNCTION("""COMPUTED_VALUE"""),FALSE)</f>
        <v>0</v>
      </c>
      <c r="H66" s="11" t="str">
        <f>IFERROR(__xludf.DUMMYFUNCTION("""COMPUTED_VALUE"""),"NoGood, Ogilvy, DEPT, Disruptive Advertising, Ignite Visibility, Clutch, IBM, BBDO, Digitas, Publicis Groupe, Wieden+Kennedy, Dentsu, Monks, Major Tom, LYFE Marketing, Funnel Boost Media, Metric Theory")</f>
        <v>NoGood, Ogilvy, DEPT, Disruptive Advertising, Ignite Visibility, Clutch, IBM, BBDO, Digitas, Publicis Groupe, Wieden+Kennedy, Dentsu, Monks, Major Tom, LYFE Marketing, Funnel Boost Media, Metric Theory</v>
      </c>
      <c r="I66" s="11">
        <f>IFERROR(__xludf.DUMMYFUNCTION("""COMPUTED_VALUE"""),24.0)</f>
        <v>24</v>
      </c>
      <c r="J66" s="11">
        <f>IFERROR(__xludf.DUMMYFUNCTION("""COMPUTED_VALUE"""),0.02)</f>
        <v>0.02</v>
      </c>
      <c r="K66" s="11">
        <f>IFERROR(__xludf.DUMMYFUNCTION("""COMPUTED_VALUE"""),2.25)</f>
        <v>2.25</v>
      </c>
      <c r="L66" s="11"/>
    </row>
    <row r="67" ht="15.75" customHeight="1">
      <c r="A67" s="10" t="str">
        <f>IFERROR(__xludf.DUMMYFUNCTION("""COMPUTED_VALUE"""),"https://www.revvgrowth.com/aeo/aeo-agency-in-usa")</f>
        <v>https://www.revvgrowth.com/aeo/aeo-agency-in-usa</v>
      </c>
      <c r="B67" s="11" t="str">
        <f>IFERROR(__xludf.DUMMYFUNCTION("""COMPUTED_VALUE"""),"AEO | Discover the 10 Best AEO Agencies in the USA for AI Visibility")</f>
        <v>AEO | Discover the 10 Best AEO Agencies in the USA for AI Visibility</v>
      </c>
      <c r="C67" s="10" t="str">
        <f>IFERROR(__xludf.DUMMYFUNCTION("""COMPUTED_VALUE"""),"revvgrowth.com")</f>
        <v>revvgrowth.com</v>
      </c>
      <c r="D67" s="11" t="str">
        <f>IFERROR(__xludf.DUMMYFUNCTION("""COMPUTED_VALUE"""),"LISTICLE")</f>
        <v>LISTICLE</v>
      </c>
      <c r="E67" s="11" t="str">
        <f>IFERROR(__xludf.DUMMYFUNCTION("""COMPUTED_VALUE"""),"CORPORATE")</f>
        <v>CORPORATE</v>
      </c>
      <c r="F67" s="11" t="str">
        <f>IFERROR(__xludf.DUMMYFUNCTION("""COMPUTED_VALUE"""),"Listicle")</f>
        <v>Listicle</v>
      </c>
      <c r="G67" s="11" t="b">
        <f>IFERROR(__xludf.DUMMYFUNCTION("""COMPUTED_VALUE"""),FALSE)</f>
        <v>0</v>
      </c>
      <c r="H67" s="11" t="str">
        <f>IFERROR(__xludf.DUMMYFUNCTION("""COMPUTED_VALUE"""),"RevenueZen, Omniscient Digital, iPullRank, WebFX, First Page Sage, Single Grain, Avenue Z, NoGood, Siege Media, Clutch")</f>
        <v>RevenueZen, Omniscient Digital, iPullRank, WebFX, First Page Sage, Single Grain, Avenue Z, NoGood, Siege Media, Clutch</v>
      </c>
      <c r="I67" s="11">
        <f>IFERROR(__xludf.DUMMYFUNCTION("""COMPUTED_VALUE"""),24.0)</f>
        <v>24</v>
      </c>
      <c r="J67" s="11">
        <f>IFERROR(__xludf.DUMMYFUNCTION("""COMPUTED_VALUE"""),0.02)</f>
        <v>0.02</v>
      </c>
      <c r="K67" s="11">
        <f>IFERROR(__xludf.DUMMYFUNCTION("""COMPUTED_VALUE"""),0.79)</f>
        <v>0.79</v>
      </c>
      <c r="L67" s="11"/>
    </row>
    <row r="68" ht="15.75" customHeight="1">
      <c r="A68" s="10" t="str">
        <f>IFERROR(__xludf.DUMMYFUNCTION("""COMPUTED_VALUE"""),"https://sociallyin.com/resources/top-google-ads-agencies-us/")</f>
        <v>https://sociallyin.com/resources/top-google-ads-agencies-us/</v>
      </c>
      <c r="B68" s="11" t="str">
        <f>IFERROR(__xludf.DUMMYFUNCTION("""COMPUTED_VALUE"""),"Top 15 Google Ads Agencies in the US: 2026 Review")</f>
        <v>Top 15 Google Ads Agencies in the US: 2026 Review</v>
      </c>
      <c r="C68" s="10" t="str">
        <f>IFERROR(__xludf.DUMMYFUNCTION("""COMPUTED_VALUE"""),"sociallyin.com")</f>
        <v>sociallyin.com</v>
      </c>
      <c r="D68" s="11" t="str">
        <f>IFERROR(__xludf.DUMMYFUNCTION("""COMPUTED_VALUE"""),"LISTICLE")</f>
        <v>LISTICLE</v>
      </c>
      <c r="E68" s="11" t="str">
        <f>IFERROR(__xludf.DUMMYFUNCTION("""COMPUTED_VALUE"""),"COMPETITOR")</f>
        <v>COMPETITOR</v>
      </c>
      <c r="F68" s="11" t="str">
        <f>IFERROR(__xludf.DUMMYFUNCTION("""COMPUTED_VALUE"""),"Listicle")</f>
        <v>Listicle</v>
      </c>
      <c r="G68" s="11" t="b">
        <f>IFERROR(__xludf.DUMMYFUNCTION("""COMPUTED_VALUE"""),FALSE)</f>
        <v>0</v>
      </c>
      <c r="H68" s="11" t="str">
        <f>IFERROR(__xludf.DUMMYFUNCTION("""COMPUTED_VALUE"""),"Sociallyin, WebFX, SmartSites, AdVenture Media, Ignite Visibility, Disruptive Advertising, KlientBoost, Single Grain, Thrive Internet Marketing Agency, Measured")</f>
        <v>Sociallyin, WebFX, SmartSites, AdVenture Media, Ignite Visibility, Disruptive Advertising, KlientBoost, Single Grain, Thrive Internet Marketing Agency, Measured</v>
      </c>
      <c r="I68" s="11">
        <f>IFERROR(__xludf.DUMMYFUNCTION("""COMPUTED_VALUE"""),24.0)</f>
        <v>24</v>
      </c>
      <c r="J68" s="11">
        <f>IFERROR(__xludf.DUMMYFUNCTION("""COMPUTED_VALUE"""),0.02)</f>
        <v>0.02</v>
      </c>
      <c r="K68" s="11">
        <f>IFERROR(__xludf.DUMMYFUNCTION("""COMPUTED_VALUE"""),1.38)</f>
        <v>1.38</v>
      </c>
      <c r="L68" s="11"/>
    </row>
    <row r="69" ht="15.75" customHeight="1">
      <c r="A69" s="10" t="str">
        <f>IFERROR(__xludf.DUMMYFUNCTION("""COMPUTED_VALUE"""),"https://www.solved6.com/blogs/best-digital-marketing-agencies-usa-2026_report")</f>
        <v>https://www.solved6.com/blogs/best-digital-marketing-agencies-usa-2026_report</v>
      </c>
      <c r="B69" s="11" t="str">
        <f>IFERROR(__xludf.DUMMYFUNCTION("""COMPUTED_VALUE"""),"The 7 Best Digital Marketing Agencies in the USA (2026 Rankings) - BrightEdge")</f>
        <v>The 7 Best Digital Marketing Agencies in the USA (2026 Rankings) - BrightEdge</v>
      </c>
      <c r="C69" s="10" t="str">
        <f>IFERROR(__xludf.DUMMYFUNCTION("""COMPUTED_VALUE"""),"solved6.com")</f>
        <v>solved6.com</v>
      </c>
      <c r="D69" s="11" t="str">
        <f>IFERROR(__xludf.DUMMYFUNCTION("""COMPUTED_VALUE"""),"LISTICLE")</f>
        <v>LISTICLE</v>
      </c>
      <c r="E69" s="11" t="str">
        <f>IFERROR(__xludf.DUMMYFUNCTION("""COMPUTED_VALUE"""),"CORPORATE")</f>
        <v>CORPORATE</v>
      </c>
      <c r="F69" s="11" t="str">
        <f>IFERROR(__xludf.DUMMYFUNCTION("""COMPUTED_VALUE"""),"Listicle")</f>
        <v>Listicle</v>
      </c>
      <c r="G69" s="11" t="b">
        <f>IFERROR(__xludf.DUMMYFUNCTION("""COMPUTED_VALUE"""),FALSE)</f>
        <v>0</v>
      </c>
      <c r="H69" s="11" t="str">
        <f>IFERROR(__xludf.DUMMYFUNCTION("""COMPUTED_VALUE"""),"NoGood, Disruptive Advertising, Clutch, New Engen, Wieden+Kennedy")</f>
        <v>NoGood, Disruptive Advertising, Clutch, New Engen, Wieden+Kennedy</v>
      </c>
      <c r="I69" s="11">
        <f>IFERROR(__xludf.DUMMYFUNCTION("""COMPUTED_VALUE"""),24.0)</f>
        <v>24</v>
      </c>
      <c r="J69" s="11">
        <f>IFERROR(__xludf.DUMMYFUNCTION("""COMPUTED_VALUE"""),0.02)</f>
        <v>0.02</v>
      </c>
      <c r="K69" s="11">
        <f>IFERROR(__xludf.DUMMYFUNCTION("""COMPUTED_VALUE"""),1.46)</f>
        <v>1.46</v>
      </c>
      <c r="L69" s="11"/>
    </row>
    <row r="70" ht="15.75" customHeight="1">
      <c r="A70" s="10" t="str">
        <f>IFERROR(__xludf.DUMMYFUNCTION("""COMPUTED_VALUE"""),"https://www.uforocks.com/blog/top-ai-marketing-agencies-in-the-u-s/")</f>
        <v>https://www.uforocks.com/blog/top-ai-marketing-agencies-in-the-u-s/</v>
      </c>
      <c r="B70" s="11" t="str">
        <f>IFERROR(__xludf.DUMMYFUNCTION("""COMPUTED_VALUE"""),"Top AI Marketing Agencies in the U.S. - UFO Digital Marketing Agency")</f>
        <v>Top AI Marketing Agencies in the U.S. - UFO Digital Marketing Agency</v>
      </c>
      <c r="C70" s="10" t="str">
        <f>IFERROR(__xludf.DUMMYFUNCTION("""COMPUTED_VALUE"""),"uforocks.com")</f>
        <v>uforocks.com</v>
      </c>
      <c r="D70" s="11" t="str">
        <f>IFERROR(__xludf.DUMMYFUNCTION("""COMPUTED_VALUE"""),"LISTICLE")</f>
        <v>LISTICLE</v>
      </c>
      <c r="E70" s="11" t="str">
        <f>IFERROR(__xludf.DUMMYFUNCTION("""COMPUTED_VALUE"""),"CORPORATE")</f>
        <v>CORPORATE</v>
      </c>
      <c r="F70" s="11" t="str">
        <f>IFERROR(__xludf.DUMMYFUNCTION("""COMPUTED_VALUE"""),"Listicle")</f>
        <v>Listicle</v>
      </c>
      <c r="G70" s="11" t="b">
        <f>IFERROR(__xludf.DUMMYFUNCTION("""COMPUTED_VALUE"""),FALSE)</f>
        <v>0</v>
      </c>
      <c r="H70" s="11" t="str">
        <f>IFERROR(__xludf.DUMMYFUNCTION("""COMPUTED_VALUE"""),"NoGood, SmartSites, Single Grain, IBM, NP Digital, Tinuiti, WebFX, Wpromote, Clay")</f>
        <v>NoGood, SmartSites, Single Grain, IBM, NP Digital, Tinuiti, WebFX, Wpromote, Clay</v>
      </c>
      <c r="I70" s="11">
        <f>IFERROR(__xludf.DUMMYFUNCTION("""COMPUTED_VALUE"""),24.0)</f>
        <v>24</v>
      </c>
      <c r="J70" s="11">
        <f>IFERROR(__xludf.DUMMYFUNCTION("""COMPUTED_VALUE"""),0.02)</f>
        <v>0.02</v>
      </c>
      <c r="K70" s="11">
        <f>IFERROR(__xludf.DUMMYFUNCTION("""COMPUTED_VALUE"""),0.38)</f>
        <v>0.38</v>
      </c>
      <c r="L70" s="11"/>
    </row>
    <row r="71" ht="15.75" customHeight="1">
      <c r="A71" s="10" t="str">
        <f>IFERROR(__xludf.DUMMYFUNCTION("""COMPUTED_VALUE"""),"https://aeovision.ai/articles/best-aeo-geo-agencies-2026/")</f>
        <v>https://aeovision.ai/articles/best-aeo-geo-agencies-2026/</v>
      </c>
      <c r="B71" s="11" t="str">
        <f>IFERROR(__xludf.DUMMYFUNCTION("""COMPUTED_VALUE"""),"Best 60+ AEO/GEO Agencies in 2026 (US, Europe &amp;amp; Asia Directory) | AEO Vision")</f>
        <v>Best 60+ AEO/GEO Agencies in 2026 (US, Europe &amp;amp; Asia Directory) | AEO Vision</v>
      </c>
      <c r="C71" s="10" t="str">
        <f>IFERROR(__xludf.DUMMYFUNCTION("""COMPUTED_VALUE"""),"aeovision.ai")</f>
        <v>aeovision.ai</v>
      </c>
      <c r="D71" s="11" t="str">
        <f>IFERROR(__xludf.DUMMYFUNCTION("""COMPUTED_VALUE"""),"LISTICLE")</f>
        <v>LISTICLE</v>
      </c>
      <c r="E71" s="11" t="str">
        <f>IFERROR(__xludf.DUMMYFUNCTION("""COMPUTED_VALUE"""),"CORPORATE")</f>
        <v>CORPORATE</v>
      </c>
      <c r="F71" s="11" t="str">
        <f>IFERROR(__xludf.DUMMYFUNCTION("""COMPUTED_VALUE"""),"Listicle")</f>
        <v>Listicle</v>
      </c>
      <c r="G71" s="11" t="b">
        <f>IFERROR(__xludf.DUMMYFUNCTION("""COMPUTED_VALUE"""),FALSE)</f>
        <v>0</v>
      </c>
      <c r="H71" s="11" t="str">
        <f>IFERROR(__xludf.DUMMYFUNCTION("""COMPUTED_VALUE"""),"First Page Sage, iPullRank, Siege Media, Omniscient Digital, Optimist, NoGood, Directive, Animalz, RevenueZen, Single Grain, Avenue Z, Darkroom, Wpromote, Amsive, Discovered Labs")</f>
        <v>First Page Sage, iPullRank, Siege Media, Omniscient Digital, Optimist, NoGood, Directive, Animalz, RevenueZen, Single Grain, Avenue Z, Darkroom, Wpromote, Amsive, Discovered Labs</v>
      </c>
      <c r="I71" s="11">
        <f>IFERROR(__xludf.DUMMYFUNCTION("""COMPUTED_VALUE"""),23.0)</f>
        <v>23</v>
      </c>
      <c r="J71" s="11">
        <f>IFERROR(__xludf.DUMMYFUNCTION("""COMPUTED_VALUE"""),0.02)</f>
        <v>0.02</v>
      </c>
      <c r="K71" s="11">
        <f>IFERROR(__xludf.DUMMYFUNCTION("""COMPUTED_VALUE"""),0.39)</f>
        <v>0.39</v>
      </c>
      <c r="L71" s="11"/>
    </row>
    <row r="72" ht="15.75" customHeight="1">
      <c r="A72" s="10" t="str">
        <f>IFERROR(__xludf.DUMMYFUNCTION("""COMPUTED_VALUE"""),"https://www.designrush.com/agency/digital-marketing/analytics")</f>
        <v>https://www.designrush.com/agency/digital-marketing/analytics</v>
      </c>
      <c r="B72" s="11" t="str">
        <f>IFERROR(__xludf.DUMMYFUNCTION("""COMPUTED_VALUE"""),"Top Marketing Analytics Agencies in 2026")</f>
        <v>Top Marketing Analytics Agencies in 2026</v>
      </c>
      <c r="C72" s="10" t="str">
        <f>IFERROR(__xludf.DUMMYFUNCTION("""COMPUTED_VALUE"""),"designrush.com")</f>
        <v>designrush.com</v>
      </c>
      <c r="D72" s="11" t="str">
        <f>IFERROR(__xludf.DUMMYFUNCTION("""COMPUTED_VALUE"""),"CATEGORY_PAGE")</f>
        <v>CATEGORY_PAGE</v>
      </c>
      <c r="E72" s="11" t="str">
        <f>IFERROR(__xludf.DUMMYFUNCTION("""COMPUTED_VALUE"""),"CORPORATE")</f>
        <v>CORPORATE</v>
      </c>
      <c r="F72" s="11" t="str">
        <f>IFERROR(__xludf.DUMMYFUNCTION("""COMPUTED_VALUE"""),"Category Page")</f>
        <v>Category Page</v>
      </c>
      <c r="G72" s="11" t="b">
        <f>IFERROR(__xludf.DUMMYFUNCTION("""COMPUTED_VALUE"""),FALSE)</f>
        <v>0</v>
      </c>
      <c r="H72" s="11" t="str">
        <f>IFERROR(__xludf.DUMMYFUNCTION("""COMPUTED_VALUE"""),"SmartSites, Huge, KlientBoost, Funnel Boost Media, Elit-Web, AdVenture Media, Monks, Ignite Visibility, Ruler Analytics, Amsive, Intero Digital")</f>
        <v>SmartSites, Huge, KlientBoost, Funnel Boost Media, Elit-Web, AdVenture Media, Monks, Ignite Visibility, Ruler Analytics, Amsive, Intero Digital</v>
      </c>
      <c r="I72" s="11">
        <f>IFERROR(__xludf.DUMMYFUNCTION("""COMPUTED_VALUE"""),23.0)</f>
        <v>23</v>
      </c>
      <c r="J72" s="11">
        <f>IFERROR(__xludf.DUMMYFUNCTION("""COMPUTED_VALUE"""),0.02)</f>
        <v>0.02</v>
      </c>
      <c r="K72" s="11">
        <f>IFERROR(__xludf.DUMMYFUNCTION("""COMPUTED_VALUE"""),0.87)</f>
        <v>0.87</v>
      </c>
      <c r="L72" s="11"/>
    </row>
    <row r="73" ht="15.75" customHeight="1">
      <c r="A73" s="10" t="str">
        <f>IFERROR(__xludf.DUMMYFUNCTION("""COMPUTED_VALUE"""),"https://www.haus.io/blog/choosing-the-best-incrementality-testing-tool")</f>
        <v>https://www.haus.io/blog/choosing-the-best-incrementality-testing-tool</v>
      </c>
      <c r="B73" s="11" t="str">
        <f>IFERROR(__xludf.DUMMYFUNCTION("""COMPUTED_VALUE"""),"Incrementality Testing: How to Choose the Best Tool")</f>
        <v>Incrementality Testing: How to Choose the Best Tool</v>
      </c>
      <c r="C73" s="10" t="str">
        <f>IFERROR(__xludf.DUMMYFUNCTION("""COMPUTED_VALUE"""),"haus.io")</f>
        <v>haus.io</v>
      </c>
      <c r="D73" s="11" t="str">
        <f>IFERROR(__xludf.DUMMYFUNCTION("""COMPUTED_VALUE"""),"LISTICLE")</f>
        <v>LISTICLE</v>
      </c>
      <c r="E73" s="11" t="str">
        <f>IFERROR(__xludf.DUMMYFUNCTION("""COMPUTED_VALUE"""),"COMPETITOR")</f>
        <v>COMPETITOR</v>
      </c>
      <c r="F73" s="11" t="str">
        <f>IFERROR(__xludf.DUMMYFUNCTION("""COMPUTED_VALUE"""),"Listicle")</f>
        <v>Listicle</v>
      </c>
      <c r="G73" s="11" t="b">
        <f>IFERROR(__xludf.DUMMYFUNCTION("""COMPUTED_VALUE"""),FALSE)</f>
        <v>0</v>
      </c>
      <c r="H73" s="11" t="str">
        <f>IFERROR(__xludf.DUMMYFUNCTION("""COMPUTED_VALUE"""),"Haus, Anomaly")</f>
        <v>Haus, Anomaly</v>
      </c>
      <c r="I73" s="11">
        <f>IFERROR(__xludf.DUMMYFUNCTION("""COMPUTED_VALUE"""),23.0)</f>
        <v>23</v>
      </c>
      <c r="J73" s="11">
        <f>IFERROR(__xludf.DUMMYFUNCTION("""COMPUTED_VALUE"""),0.02)</f>
        <v>0.02</v>
      </c>
      <c r="K73" s="11">
        <f>IFERROR(__xludf.DUMMYFUNCTION("""COMPUTED_VALUE"""),0.57)</f>
        <v>0.57</v>
      </c>
      <c r="L73" s="11"/>
    </row>
    <row r="74" ht="15.75" customHeight="1">
      <c r="A74" s="10" t="str">
        <f>IFERROR(__xludf.DUMMYFUNCTION("""COMPUTED_VALUE"""),"https://www.rankshift.ai/blog/best-geo-agencies/")</f>
        <v>https://www.rankshift.ai/blog/best-geo-agencies/</v>
      </c>
      <c r="B74" s="11" t="str">
        <f>IFERROR(__xludf.DUMMYFUNCTION("""COMPUTED_VALUE"""),"20 Best GEO Agencies in 2026 for Generative Engine Optimization")</f>
        <v>20 Best GEO Agencies in 2026 for Generative Engine Optimization</v>
      </c>
      <c r="C74" s="10" t="str">
        <f>IFERROR(__xludf.DUMMYFUNCTION("""COMPUTED_VALUE"""),"rankshift.ai")</f>
        <v>rankshift.ai</v>
      </c>
      <c r="D74" s="11" t="str">
        <f>IFERROR(__xludf.DUMMYFUNCTION("""COMPUTED_VALUE"""),"LISTICLE")</f>
        <v>LISTICLE</v>
      </c>
      <c r="E74" s="11" t="str">
        <f>IFERROR(__xludf.DUMMYFUNCTION("""COMPUTED_VALUE"""),"CORPORATE")</f>
        <v>CORPORATE</v>
      </c>
      <c r="F74" s="11" t="str">
        <f>IFERROR(__xludf.DUMMYFUNCTION("""COMPUTED_VALUE"""),"Listicle")</f>
        <v>Listicle</v>
      </c>
      <c r="G74" s="11" t="b">
        <f>IFERROR(__xludf.DUMMYFUNCTION("""COMPUTED_VALUE"""),FALSE)</f>
        <v>0</v>
      </c>
      <c r="H74" s="11" t="str">
        <f>IFERROR(__xludf.DUMMYFUNCTION("""COMPUTED_VALUE"""),"Graphite, Seer Interactive, Go Fish Digital, iPullRank, WebFX, Clutch")</f>
        <v>Graphite, Seer Interactive, Go Fish Digital, iPullRank, WebFX, Clutch</v>
      </c>
      <c r="I74" s="11">
        <f>IFERROR(__xludf.DUMMYFUNCTION("""COMPUTED_VALUE"""),23.0)</f>
        <v>23</v>
      </c>
      <c r="J74" s="11">
        <f>IFERROR(__xludf.DUMMYFUNCTION("""COMPUTED_VALUE"""),0.02)</f>
        <v>0.02</v>
      </c>
      <c r="K74" s="11">
        <f>IFERROR(__xludf.DUMMYFUNCTION("""COMPUTED_VALUE"""),0.74)</f>
        <v>0.74</v>
      </c>
      <c r="L74" s="11"/>
    </row>
    <row r="75" ht="15.75" customHeight="1">
      <c r="A75" s="10" t="str">
        <f>IFERROR(__xludf.DUMMYFUNCTION("""COMPUTED_VALUE"""),"https://www.silverbackstrategies.com/lists/best-ai-search-agencies-in-2026-ranked-reviewed/")</f>
        <v>https://www.silverbackstrategies.com/lists/best-ai-search-agencies-in-2026-ranked-reviewed/</v>
      </c>
      <c r="B75" s="11" t="str">
        <f>IFERROR(__xludf.DUMMYFUNCTION("""COMPUTED_VALUE"""),"Best AI Search Agencies in 2026 (Ranked &amp;amp; Reviewed) | Silverback Strategies")</f>
        <v>Best AI Search Agencies in 2026 (Ranked &amp;amp; Reviewed) | Silverback Strategies</v>
      </c>
      <c r="C75" s="10" t="str">
        <f>IFERROR(__xludf.DUMMYFUNCTION("""COMPUTED_VALUE"""),"silverbackstrategies.com")</f>
        <v>silverbackstrategies.com</v>
      </c>
      <c r="D75" s="11" t="str">
        <f>IFERROR(__xludf.DUMMYFUNCTION("""COMPUTED_VALUE"""),"LISTICLE")</f>
        <v>LISTICLE</v>
      </c>
      <c r="E75" s="11" t="str">
        <f>IFERROR(__xludf.DUMMYFUNCTION("""COMPUTED_VALUE"""),"COMPETITOR")</f>
        <v>COMPETITOR</v>
      </c>
      <c r="F75" s="11" t="str">
        <f>IFERROR(__xludf.DUMMYFUNCTION("""COMPUTED_VALUE"""),"Listicle")</f>
        <v>Listicle</v>
      </c>
      <c r="G75" s="11" t="b">
        <f>IFERROR(__xludf.DUMMYFUNCTION("""COMPUTED_VALUE"""),FALSE)</f>
        <v>0</v>
      </c>
      <c r="H75" s="11" t="str">
        <f>IFERROR(__xludf.DUMMYFUNCTION("""COMPUTED_VALUE"""),"Silverback Strategies, Clutch, WebFX, Directive, Brainlabs, Omniscient Digital, Measured")</f>
        <v>Silverback Strategies, Clutch, WebFX, Directive, Brainlabs, Omniscient Digital, Measured</v>
      </c>
      <c r="I75" s="11">
        <f>IFERROR(__xludf.DUMMYFUNCTION("""COMPUTED_VALUE"""),23.0)</f>
        <v>23</v>
      </c>
      <c r="J75" s="11">
        <f>IFERROR(__xludf.DUMMYFUNCTION("""COMPUTED_VALUE"""),0.02)</f>
        <v>0.02</v>
      </c>
      <c r="K75" s="11">
        <f>IFERROR(__xludf.DUMMYFUNCTION("""COMPUTED_VALUE"""),1.0)</f>
        <v>1</v>
      </c>
      <c r="L75" s="11"/>
    </row>
    <row r="76" ht="15.75" customHeight="1">
      <c r="A76" s="10" t="str">
        <f>IFERROR(__xludf.DUMMYFUNCTION("""COMPUTED_VALUE"""),"https://www.sortlist.com/s/performance-marketing/united-states-us")</f>
        <v>https://www.sortlist.com/s/performance-marketing/united-states-us</v>
      </c>
      <c r="B76" s="11" t="str">
        <f>IFERROR(__xludf.DUMMYFUNCTION("""COMPUTED_VALUE"""),"The 10 Best Performance Marketing Agencies in the United States - 2026 Reviews")</f>
        <v>The 10 Best Performance Marketing Agencies in the United States - 2026 Reviews</v>
      </c>
      <c r="C76" s="10" t="str">
        <f>IFERROR(__xludf.DUMMYFUNCTION("""COMPUTED_VALUE"""),"sortlist.com")</f>
        <v>sortlist.com</v>
      </c>
      <c r="D76" s="11" t="str">
        <f>IFERROR(__xludf.DUMMYFUNCTION("""COMPUTED_VALUE"""),"CATEGORY_PAGE")</f>
        <v>CATEGORY_PAGE</v>
      </c>
      <c r="E76" s="11" t="str">
        <f>IFERROR(__xludf.DUMMYFUNCTION("""COMPUTED_VALUE"""),"CORPORATE")</f>
        <v>CORPORATE</v>
      </c>
      <c r="F76" s="11" t="str">
        <f>IFERROR(__xludf.DUMMYFUNCTION("""COMPUTED_VALUE"""),"Category Page")</f>
        <v>Category Page</v>
      </c>
      <c r="G76" s="11" t="b">
        <f>IFERROR(__xludf.DUMMYFUNCTION("""COMPUTED_VALUE"""),FALSE)</f>
        <v>0</v>
      </c>
      <c r="H76" s="11" t="str">
        <f>IFERROR(__xludf.DUMMYFUNCTION("""COMPUTED_VALUE"""),"Clutch, IBM")</f>
        <v>Clutch, IBM</v>
      </c>
      <c r="I76" s="11">
        <f>IFERROR(__xludf.DUMMYFUNCTION("""COMPUTED_VALUE"""),23.0)</f>
        <v>23</v>
      </c>
      <c r="J76" s="11">
        <f>IFERROR(__xludf.DUMMYFUNCTION("""COMPUTED_VALUE"""),0.02)</f>
        <v>0.02</v>
      </c>
      <c r="K76" s="11">
        <f>IFERROR(__xludf.DUMMYFUNCTION("""COMPUTED_VALUE"""),0.04)</f>
        <v>0.04</v>
      </c>
      <c r="L76" s="11"/>
    </row>
    <row r="77" ht="15.75" customHeight="1">
      <c r="A77" s="10" t="str">
        <f>IFERROR(__xludf.DUMMYFUNCTION("""COMPUTED_VALUE"""),"https://thriveagency.com/news/top-generative-engine-optimization-geo-agencies/")</f>
        <v>https://thriveagency.com/news/top-generative-engine-optimization-geo-agencies/</v>
      </c>
      <c r="B77" s="11" t="str">
        <f>IFERROR(__xludf.DUMMYFUNCTION("""COMPUTED_VALUE"""),"10 Top Generative Engine Optimization (GEO) Agencies in 2026")</f>
        <v>10 Top Generative Engine Optimization (GEO) Agencies in 2026</v>
      </c>
      <c r="C77" s="10" t="str">
        <f>IFERROR(__xludf.DUMMYFUNCTION("""COMPUTED_VALUE"""),"thriveagency.com")</f>
        <v>thriveagency.com</v>
      </c>
      <c r="D77" s="11" t="str">
        <f>IFERROR(__xludf.DUMMYFUNCTION("""COMPUTED_VALUE"""),"LISTICLE")</f>
        <v>LISTICLE</v>
      </c>
      <c r="E77" s="11" t="str">
        <f>IFERROR(__xludf.DUMMYFUNCTION("""COMPUTED_VALUE"""),"COMPETITOR")</f>
        <v>COMPETITOR</v>
      </c>
      <c r="F77" s="11" t="str">
        <f>IFERROR(__xludf.DUMMYFUNCTION("""COMPUTED_VALUE"""),"Listicle")</f>
        <v>Listicle</v>
      </c>
      <c r="G77" s="11" t="b">
        <f>IFERROR(__xludf.DUMMYFUNCTION("""COMPUTED_VALUE"""),FALSE)</f>
        <v>0</v>
      </c>
      <c r="H77" s="11" t="str">
        <f>IFERROR(__xludf.DUMMYFUNCTION("""COMPUTED_VALUE"""),"Thrive Internet Marketing Agency, Siege Media, Victorious, Power Digital, Percepture, Go Fish Digital, Directive, Measured")</f>
        <v>Thrive Internet Marketing Agency, Siege Media, Victorious, Power Digital, Percepture, Go Fish Digital, Directive, Measured</v>
      </c>
      <c r="I77" s="11">
        <f>IFERROR(__xludf.DUMMYFUNCTION("""COMPUTED_VALUE"""),23.0)</f>
        <v>23</v>
      </c>
      <c r="J77" s="11">
        <f>IFERROR(__xludf.DUMMYFUNCTION("""COMPUTED_VALUE"""),0.02)</f>
        <v>0.02</v>
      </c>
      <c r="K77" s="11">
        <f>IFERROR(__xludf.DUMMYFUNCTION("""COMPUTED_VALUE"""),0.91)</f>
        <v>0.91</v>
      </c>
      <c r="L77" s="11"/>
    </row>
    <row r="78" ht="15.75" customHeight="1">
      <c r="A78" s="10" t="str">
        <f>IFERROR(__xludf.DUMMYFUNCTION("""COMPUTED_VALUE"""),"https://www.yesoptimist.com/best-ai-seo-agencies/")</f>
        <v>https://www.yesoptimist.com/best-ai-seo-agencies/</v>
      </c>
      <c r="B78" s="11" t="str">
        <f>IFERROR(__xludf.DUMMYFUNCTION("""COMPUTED_VALUE"""),"The 7 Best AI SEO Agencies Helping Clients Win AI Search in 2026 | Optimist")</f>
        <v>The 7 Best AI SEO Agencies Helping Clients Win AI Search in 2026 | Optimist</v>
      </c>
      <c r="C78" s="10" t="str">
        <f>IFERROR(__xludf.DUMMYFUNCTION("""COMPUTED_VALUE"""),"yesoptimist.com")</f>
        <v>yesoptimist.com</v>
      </c>
      <c r="D78" s="11" t="str">
        <f>IFERROR(__xludf.DUMMYFUNCTION("""COMPUTED_VALUE"""),"LISTICLE")</f>
        <v>LISTICLE</v>
      </c>
      <c r="E78" s="11" t="str">
        <f>IFERROR(__xludf.DUMMYFUNCTION("""COMPUTED_VALUE"""),"COMPETITOR")</f>
        <v>COMPETITOR</v>
      </c>
      <c r="F78" s="11" t="str">
        <f>IFERROR(__xludf.DUMMYFUNCTION("""COMPUTED_VALUE"""),"Listicle")</f>
        <v>Listicle</v>
      </c>
      <c r="G78" s="11" t="b">
        <f>IFERROR(__xludf.DUMMYFUNCTION("""COMPUTED_VALUE"""),FALSE)</f>
        <v>0</v>
      </c>
      <c r="H78" s="11" t="str">
        <f>IFERROR(__xludf.DUMMYFUNCTION("""COMPUTED_VALUE"""),"Measured, Optimist, iPullRank, Omniscient Digital, RevenueZen, Siege Media, Single Grain, Clutch, Seer Interactive, Intero Digital")</f>
        <v>Measured, Optimist, iPullRank, Omniscient Digital, RevenueZen, Siege Media, Single Grain, Clutch, Seer Interactive, Intero Digital</v>
      </c>
      <c r="I78" s="11">
        <f>IFERROR(__xludf.DUMMYFUNCTION("""COMPUTED_VALUE"""),23.0)</f>
        <v>23</v>
      </c>
      <c r="J78" s="11">
        <f>IFERROR(__xludf.DUMMYFUNCTION("""COMPUTED_VALUE"""),0.02)</f>
        <v>0.02</v>
      </c>
      <c r="K78" s="11">
        <f>IFERROR(__xludf.DUMMYFUNCTION("""COMPUTED_VALUE"""),2.43)</f>
        <v>2.43</v>
      </c>
      <c r="L78" s="11"/>
    </row>
    <row r="79" ht="15.75" customHeight="1">
      <c r="A79" s="10" t="str">
        <f>IFERROR(__xludf.DUMMYFUNCTION("""COMPUTED_VALUE"""),"https://clutch.co/us/seo-firms/generative-engine-optimization")</f>
        <v>https://clutch.co/us/seo-firms/generative-engine-optimization</v>
      </c>
      <c r="B79" s="11" t="str">
        <f>IFERROR(__xludf.DUMMYFUNCTION("""COMPUTED_VALUE"""),"Top Generative Engine Optimization (GEO) Agencies in the United States - Jul 2026 Rankings | Clutch.co")</f>
        <v>Top Generative Engine Optimization (GEO) Agencies in the United States - Jul 2026 Rankings | Clutch.co</v>
      </c>
      <c r="C79" s="10" t="str">
        <f>IFERROR(__xludf.DUMMYFUNCTION("""COMPUTED_VALUE"""),"clutch.co")</f>
        <v>clutch.co</v>
      </c>
      <c r="D79" s="11" t="str">
        <f>IFERROR(__xludf.DUMMYFUNCTION("""COMPUTED_VALUE"""),"CATEGORY_PAGE")</f>
        <v>CATEGORY_PAGE</v>
      </c>
      <c r="E79" s="11" t="str">
        <f>IFERROR(__xludf.DUMMYFUNCTION("""COMPUTED_VALUE"""),"COMPETITOR")</f>
        <v>COMPETITOR</v>
      </c>
      <c r="F79" s="11" t="str">
        <f>IFERROR(__xludf.DUMMYFUNCTION("""COMPUTED_VALUE"""),"Category Page")</f>
        <v>Category Page</v>
      </c>
      <c r="G79" s="11" t="b">
        <f>IFERROR(__xludf.DUMMYFUNCTION("""COMPUTED_VALUE"""),FALSE)</f>
        <v>0</v>
      </c>
      <c r="H79" s="11" t="str">
        <f>IFERROR(__xludf.DUMMYFUNCTION("""COMPUTED_VALUE"""),"Clutch, Funnel Boost Media, WebFX, Intero Digital, Ignite Visibility, Elit-Web, Victorious, HawkSEM, Siege Media, Thrive Internet Marketing Agency, RevenueZen, Go Fish Digital, Silverback Strategies")</f>
        <v>Clutch, Funnel Boost Media, WebFX, Intero Digital, Ignite Visibility, Elit-Web, Victorious, HawkSEM, Siege Media, Thrive Internet Marketing Agency, RevenueZen, Go Fish Digital, Silverback Strategies</v>
      </c>
      <c r="I79" s="11">
        <f>IFERROR(__xludf.DUMMYFUNCTION("""COMPUTED_VALUE"""),22.0)</f>
        <v>22</v>
      </c>
      <c r="J79" s="11">
        <f>IFERROR(__xludf.DUMMYFUNCTION("""COMPUTED_VALUE"""),0.02)</f>
        <v>0.02</v>
      </c>
      <c r="K79" s="11">
        <f>IFERROR(__xludf.DUMMYFUNCTION("""COMPUTED_VALUE"""),2.09)</f>
        <v>2.09</v>
      </c>
      <c r="L79" s="11"/>
    </row>
    <row r="80" ht="15.75" customHeight="1">
      <c r="A80" s="10" t="str">
        <f>IFERROR(__xludf.DUMMYFUNCTION("""COMPUTED_VALUE"""),"https://www.g2.com/categories/marketing-analytics-services")</f>
        <v>https://www.g2.com/categories/marketing-analytics-services</v>
      </c>
      <c r="B80" s="11" t="str">
        <f>IFERROR(__xludf.DUMMYFUNCTION("""COMPUTED_VALUE"""),"Best Marketing Analytics Service Providers: User Reviews from January 2026")</f>
        <v>Best Marketing Analytics Service Providers: User Reviews from January 2026</v>
      </c>
      <c r="C80" s="10" t="str">
        <f>IFERROR(__xludf.DUMMYFUNCTION("""COMPUTED_VALUE"""),"g2.com")</f>
        <v>g2.com</v>
      </c>
      <c r="D80" s="11" t="str">
        <f>IFERROR(__xludf.DUMMYFUNCTION("""COMPUTED_VALUE"""),"CATEGORY_PAGE")</f>
        <v>CATEGORY_PAGE</v>
      </c>
      <c r="E80" s="11" t="str">
        <f>IFERROR(__xludf.DUMMYFUNCTION("""COMPUTED_VALUE"""),"UGC")</f>
        <v>UGC</v>
      </c>
      <c r="F80" s="11" t="str">
        <f>IFERROR(__xludf.DUMMYFUNCTION("""COMPUTED_VALUE"""),"Category Page")</f>
        <v>Category Page</v>
      </c>
      <c r="G80" s="11" t="b">
        <f>IFERROR(__xludf.DUMMYFUNCTION("""COMPUTED_VALUE"""),FALSE)</f>
        <v>0</v>
      </c>
      <c r="H80" s="11"/>
      <c r="I80" s="11">
        <f>IFERROR(__xludf.DUMMYFUNCTION("""COMPUTED_VALUE"""),22.0)</f>
        <v>22</v>
      </c>
      <c r="J80" s="11">
        <f>IFERROR(__xludf.DUMMYFUNCTION("""COMPUTED_VALUE"""),0.02)</f>
        <v>0.02</v>
      </c>
      <c r="K80" s="11">
        <f>IFERROR(__xludf.DUMMYFUNCTION("""COMPUTED_VALUE"""),0.14)</f>
        <v>0.14</v>
      </c>
      <c r="L80" s="11"/>
    </row>
    <row r="81" ht="15.75" customHeight="1">
      <c r="A81" s="10" t="str">
        <f>IFERROR(__xludf.DUMMYFUNCTION("""COMPUTED_VALUE"""),"https://www.growthspreeofficial.com/blogs/top-6-ai-powered-b2b-saas-marketing-agencies-in-the-united-states-2026")</f>
        <v>https://www.growthspreeofficial.com/blogs/top-6-ai-powered-b2b-saas-marketing-agencies-in-the-united-states-2026</v>
      </c>
      <c r="B81" s="11" t="str">
        <f>IFERROR(__xludf.DUMMYFUNCTION("""COMPUTED_VALUE"""),"Top 6 AI-Powered B2B SaaS Marketing Agencies USA 2026")</f>
        <v>Top 6 AI-Powered B2B SaaS Marketing Agencies USA 2026</v>
      </c>
      <c r="C81" s="10" t="str">
        <f>IFERROR(__xludf.DUMMYFUNCTION("""COMPUTED_VALUE"""),"growthspreeofficial.com")</f>
        <v>growthspreeofficial.com</v>
      </c>
      <c r="D81" s="11" t="str">
        <f>IFERROR(__xludf.DUMMYFUNCTION("""COMPUTED_VALUE"""),"LISTICLE")</f>
        <v>LISTICLE</v>
      </c>
      <c r="E81" s="11" t="str">
        <f>IFERROR(__xludf.DUMMYFUNCTION("""COMPUTED_VALUE"""),"CORPORATE")</f>
        <v>CORPORATE</v>
      </c>
      <c r="F81" s="11" t="str">
        <f>IFERROR(__xludf.DUMMYFUNCTION("""COMPUTED_VALUE"""),"Listicle")</f>
        <v>Listicle</v>
      </c>
      <c r="G81" s="11" t="b">
        <f>IFERROR(__xludf.DUMMYFUNCTION("""COMPUTED_VALUE"""),FALSE)</f>
        <v>0</v>
      </c>
      <c r="H81" s="11" t="str">
        <f>IFERROR(__xludf.DUMMYFUNCTION("""COMPUTED_VALUE"""),"GrowthSpree, Clutch, Measured")</f>
        <v>GrowthSpree, Clutch, Measured</v>
      </c>
      <c r="I81" s="11">
        <f>IFERROR(__xludf.DUMMYFUNCTION("""COMPUTED_VALUE"""),22.0)</f>
        <v>22</v>
      </c>
      <c r="J81" s="11">
        <f>IFERROR(__xludf.DUMMYFUNCTION("""COMPUTED_VALUE"""),0.02)</f>
        <v>0.02</v>
      </c>
      <c r="K81" s="11">
        <f>IFERROR(__xludf.DUMMYFUNCTION("""COMPUTED_VALUE"""),1.45)</f>
        <v>1.45</v>
      </c>
      <c r="L81" s="11"/>
    </row>
    <row r="82" ht="15.75" customHeight="1">
      <c r="A82" s="10" t="str">
        <f>IFERROR(__xludf.DUMMYFUNCTION("""COMPUTED_VALUE"""),"https://lifesight.io/blog/best-incrementality-testing-tools/")</f>
        <v>https://lifesight.io/blog/best-incrementality-testing-tools/</v>
      </c>
      <c r="B82" s="11" t="str">
        <f>IFERROR(__xludf.DUMMYFUNCTION("""COMPUTED_VALUE"""),"6 Best Incrementality Testing Tools in 2025 [UPDATED] - Lifesight")</f>
        <v>6 Best Incrementality Testing Tools in 2025 [UPDATED] - Lifesight</v>
      </c>
      <c r="C82" s="10" t="str">
        <f>IFERROR(__xludf.DUMMYFUNCTION("""COMPUTED_VALUE"""),"lifesight.io")</f>
        <v>lifesight.io</v>
      </c>
      <c r="D82" s="11" t="str">
        <f>IFERROR(__xludf.DUMMYFUNCTION("""COMPUTED_VALUE"""),"LISTICLE")</f>
        <v>LISTICLE</v>
      </c>
      <c r="E82" s="11" t="str">
        <f>IFERROR(__xludf.DUMMYFUNCTION("""COMPUTED_VALUE"""),"COMPETITOR")</f>
        <v>COMPETITOR</v>
      </c>
      <c r="F82" s="11" t="str">
        <f>IFERROR(__xludf.DUMMYFUNCTION("""COMPUTED_VALUE"""),"Listicle")</f>
        <v>Listicle</v>
      </c>
      <c r="G82" s="11" t="b">
        <f>IFERROR(__xludf.DUMMYFUNCTION("""COMPUTED_VALUE"""),FALSE)</f>
        <v>0</v>
      </c>
      <c r="H82" s="11" t="str">
        <f>IFERROR(__xludf.DUMMYFUNCTION("""COMPUTED_VALUE"""),"LifeSight, Haus, Measured, Recast, LiftLab, Northbeam, Triple Whale")</f>
        <v>LifeSight, Haus, Measured, Recast, LiftLab, Northbeam, Triple Whale</v>
      </c>
      <c r="I82" s="11">
        <f>IFERROR(__xludf.DUMMYFUNCTION("""COMPUTED_VALUE"""),22.0)</f>
        <v>22</v>
      </c>
      <c r="J82" s="11">
        <f>IFERROR(__xludf.DUMMYFUNCTION("""COMPUTED_VALUE"""),0.02)</f>
        <v>0.02</v>
      </c>
      <c r="K82" s="11">
        <f>IFERROR(__xludf.DUMMYFUNCTION("""COMPUTED_VALUE"""),0.77)</f>
        <v>0.77</v>
      </c>
      <c r="L82" s="11"/>
    </row>
    <row r="83" ht="15.75" customHeight="1">
      <c r="A83" s="10" t="str">
        <f>IFERROR(__xludf.DUMMYFUNCTION("""COMPUTED_VALUE"""),"https://www.lyfemarketing.com/blog/top-paid-media-agencies-us/")</f>
        <v>https://www.lyfemarketing.com/blog/top-paid-media-agencies-us/</v>
      </c>
      <c r="B83" s="11" t="str">
        <f>IFERROR(__xludf.DUMMYFUNCTION("""COMPUTED_VALUE"""),"Top 20 Paid Media Agencies In The US 2026")</f>
        <v>Top 20 Paid Media Agencies In The US 2026</v>
      </c>
      <c r="C83" s="10" t="str">
        <f>IFERROR(__xludf.DUMMYFUNCTION("""COMPUTED_VALUE"""),"lyfemarketing.com")</f>
        <v>lyfemarketing.com</v>
      </c>
      <c r="D83" s="11" t="str">
        <f>IFERROR(__xludf.DUMMYFUNCTION("""COMPUTED_VALUE"""),"LISTICLE")</f>
        <v>LISTICLE</v>
      </c>
      <c r="E83" s="11" t="str">
        <f>IFERROR(__xludf.DUMMYFUNCTION("""COMPUTED_VALUE"""),"CORPORATE")</f>
        <v>CORPORATE</v>
      </c>
      <c r="F83" s="11" t="str">
        <f>IFERROR(__xludf.DUMMYFUNCTION("""COMPUTED_VALUE"""),"Listicle")</f>
        <v>Listicle</v>
      </c>
      <c r="G83" s="11" t="b">
        <f>IFERROR(__xludf.DUMMYFUNCTION("""COMPUTED_VALUE"""),FALSE)</f>
        <v>0</v>
      </c>
      <c r="H83" s="11" t="str">
        <f>IFERROR(__xludf.DUMMYFUNCTION("""COMPUTED_VALUE"""),"LYFE Marketing, Marcel Digital, Power Digital, Anomaly, Tinuiti")</f>
        <v>LYFE Marketing, Marcel Digital, Power Digital, Anomaly, Tinuiti</v>
      </c>
      <c r="I83" s="11">
        <f>IFERROR(__xludf.DUMMYFUNCTION("""COMPUTED_VALUE"""),22.0)</f>
        <v>22</v>
      </c>
      <c r="J83" s="11">
        <f>IFERROR(__xludf.DUMMYFUNCTION("""COMPUTED_VALUE"""),0.02)</f>
        <v>0.02</v>
      </c>
      <c r="K83" s="11">
        <f>IFERROR(__xludf.DUMMYFUNCTION("""COMPUTED_VALUE"""),0.82)</f>
        <v>0.82</v>
      </c>
      <c r="L83" s="11"/>
    </row>
    <row r="84" ht="15.75" customHeight="1">
      <c r="A84" s="10" t="str">
        <f>IFERROR(__xludf.DUMMYFUNCTION("""COMPUTED_VALUE"""),"https://thesocialshepherd.com/blog/top-creative-agencies-us")</f>
        <v>https://thesocialshepherd.com/blog/top-creative-agencies-us</v>
      </c>
      <c r="B84" s="11" t="str">
        <f>IFERROR(__xludf.DUMMYFUNCTION("""COMPUTED_VALUE"""),"The Social Shepherd | Top 17 Creative Agencies in the U.S. (2026)")</f>
        <v>The Social Shepherd | Top 17 Creative Agencies in the U.S. (2026)</v>
      </c>
      <c r="C84" s="10" t="str">
        <f>IFERROR(__xludf.DUMMYFUNCTION("""COMPUTED_VALUE"""),"thesocialshepherd.com")</f>
        <v>thesocialshepherd.com</v>
      </c>
      <c r="D84" s="11" t="str">
        <f>IFERROR(__xludf.DUMMYFUNCTION("""COMPUTED_VALUE"""),"LISTICLE")</f>
        <v>LISTICLE</v>
      </c>
      <c r="E84" s="11" t="str">
        <f>IFERROR(__xludf.DUMMYFUNCTION("""COMPUTED_VALUE"""),"COMPETITOR")</f>
        <v>COMPETITOR</v>
      </c>
      <c r="F84" s="11" t="str">
        <f>IFERROR(__xludf.DUMMYFUNCTION("""COMPUTED_VALUE"""),"Listicle")</f>
        <v>Listicle</v>
      </c>
      <c r="G84" s="11" t="b">
        <f>IFERROR(__xludf.DUMMYFUNCTION("""COMPUTED_VALUE"""),FALSE)</f>
        <v>0</v>
      </c>
      <c r="H84" s="11" t="str">
        <f>IFERROR(__xludf.DUMMYFUNCTION("""COMPUTED_VALUE"""),"The Social Shepherd, inBeat, Dentsu")</f>
        <v>The Social Shepherd, inBeat, Dentsu</v>
      </c>
      <c r="I84" s="11">
        <f>IFERROR(__xludf.DUMMYFUNCTION("""COMPUTED_VALUE"""),22.0)</f>
        <v>22</v>
      </c>
      <c r="J84" s="11">
        <f>IFERROR(__xludf.DUMMYFUNCTION("""COMPUTED_VALUE"""),0.02)</f>
        <v>0.02</v>
      </c>
      <c r="K84" s="11">
        <f>IFERROR(__xludf.DUMMYFUNCTION("""COMPUTED_VALUE"""),0.77)</f>
        <v>0.77</v>
      </c>
      <c r="L84" s="11"/>
    </row>
    <row r="85" ht="15.75" customHeight="1">
      <c r="A85" s="10" t="str">
        <f>IFERROR(__xludf.DUMMYFUNCTION("""COMPUTED_VALUE"""),"https://agencies.semrush.com/list/smm/united-states/")</f>
        <v>https://agencies.semrush.com/list/smm/united-states/</v>
      </c>
      <c r="B85" s="11" t="str">
        <f>IFERROR(__xludf.DUMMYFUNCTION("""COMPUTED_VALUE"""),"Best Social Media Marketing Agencies in United States 2026 | Semrush")</f>
        <v>Best Social Media Marketing Agencies in United States 2026 | Semrush</v>
      </c>
      <c r="C85" s="10" t="str">
        <f>IFERROR(__xludf.DUMMYFUNCTION("""COMPUTED_VALUE"""),"semrush.com")</f>
        <v>semrush.com</v>
      </c>
      <c r="D85" s="11" t="str">
        <f>IFERROR(__xludf.DUMMYFUNCTION("""COMPUTED_VALUE"""),"CATEGORY_PAGE")</f>
        <v>CATEGORY_PAGE</v>
      </c>
      <c r="E85" s="11" t="str">
        <f>IFERROR(__xludf.DUMMYFUNCTION("""COMPUTED_VALUE"""),"CORPORATE")</f>
        <v>CORPORATE</v>
      </c>
      <c r="F85" s="11" t="str">
        <f>IFERROR(__xludf.DUMMYFUNCTION("""COMPUTED_VALUE"""),"Category Page")</f>
        <v>Category Page</v>
      </c>
      <c r="G85" s="11" t="b">
        <f>IFERROR(__xludf.DUMMYFUNCTION("""COMPUTED_VALUE"""),FALSE)</f>
        <v>0</v>
      </c>
      <c r="H85" s="11" t="str">
        <f>IFERROR(__xludf.DUMMYFUNCTION("""COMPUTED_VALUE"""),"SmartSites, Elit-Web, Brighter Click")</f>
        <v>SmartSites, Elit-Web, Brighter Click</v>
      </c>
      <c r="I85" s="11">
        <f>IFERROR(__xludf.DUMMYFUNCTION("""COMPUTED_VALUE"""),21.0)</f>
        <v>21</v>
      </c>
      <c r="J85" s="11">
        <f>IFERROR(__xludf.DUMMYFUNCTION("""COMPUTED_VALUE"""),0.02)</f>
        <v>0.02</v>
      </c>
      <c r="K85" s="11">
        <f>IFERROR(__xludf.DUMMYFUNCTION("""COMPUTED_VALUE"""),0.1)</f>
        <v>0.1</v>
      </c>
      <c r="L85" s="11"/>
    </row>
    <row r="86" ht="15.75" customHeight="1">
      <c r="A86" s="10" t="str">
        <f>IFERROR(__xludf.DUMMYFUNCTION("""COMPUTED_VALUE"""),"https://www.dataally.ai/blog/best-performance-marketing-agencies")</f>
        <v>https://www.dataally.ai/blog/best-performance-marketing-agencies</v>
      </c>
      <c r="B86" s="11" t="str">
        <f>IFERROR(__xludf.DUMMYFUNCTION("""COMPUTED_VALUE"""),"10 Best Performance Marketing Agencies in 2026")</f>
        <v>10 Best Performance Marketing Agencies in 2026</v>
      </c>
      <c r="C86" s="10" t="str">
        <f>IFERROR(__xludf.DUMMYFUNCTION("""COMPUTED_VALUE"""),"dataally.ai")</f>
        <v>dataally.ai</v>
      </c>
      <c r="D86" s="11" t="str">
        <f>IFERROR(__xludf.DUMMYFUNCTION("""COMPUTED_VALUE"""),"LISTICLE")</f>
        <v>LISTICLE</v>
      </c>
      <c r="E86" s="11" t="str">
        <f>IFERROR(__xludf.DUMMYFUNCTION("""COMPUTED_VALUE"""),"CORPORATE")</f>
        <v>CORPORATE</v>
      </c>
      <c r="F86" s="11" t="str">
        <f>IFERROR(__xludf.DUMMYFUNCTION("""COMPUTED_VALUE"""),"Listicle")</f>
        <v>Listicle</v>
      </c>
      <c r="G86" s="11" t="b">
        <f>IFERROR(__xludf.DUMMYFUNCTION("""COMPUTED_VALUE"""),FALSE)</f>
        <v>0</v>
      </c>
      <c r="H86" s="11" t="str">
        <f>IFERROR(__xludf.DUMMYFUNCTION("""COMPUTED_VALUE"""),"Nielsen, Power Digital, Brighter Click, Common Thread Collective, Tinuiti, Wpromote, MuteSix, Directive, NoGood, Right Side Up")</f>
        <v>Nielsen, Power Digital, Brighter Click, Common Thread Collective, Tinuiti, Wpromote, MuteSix, Directive, NoGood, Right Side Up</v>
      </c>
      <c r="I86" s="11">
        <f>IFERROR(__xludf.DUMMYFUNCTION("""COMPUTED_VALUE"""),21.0)</f>
        <v>21</v>
      </c>
      <c r="J86" s="11">
        <f>IFERROR(__xludf.DUMMYFUNCTION("""COMPUTED_VALUE"""),0.02)</f>
        <v>0.02</v>
      </c>
      <c r="K86" s="11">
        <f>IFERROR(__xludf.DUMMYFUNCTION("""COMPUTED_VALUE"""),0.24)</f>
        <v>0.24</v>
      </c>
      <c r="L86" s="11"/>
    </row>
    <row r="87" ht="15.75" customHeight="1">
      <c r="A87" s="10" t="str">
        <f>IFERROR(__xludf.DUMMYFUNCTION("""COMPUTED_VALUE"""),"https://primeavenuegroup.com/best-aeo-agencies/")</f>
        <v>https://primeavenuegroup.com/best-aeo-agencies/</v>
      </c>
      <c r="B87" s="11" t="str">
        <f>IFERROR(__xludf.DUMMYFUNCTION("""COMPUTED_VALUE"""),"Top 9 Best AEO Agencies in 2026 - Complete Guide to Answer Engine Optimization Providers - Prime Avenue Group")</f>
        <v>Top 9 Best AEO Agencies in 2026 - Complete Guide to Answer Engine Optimization Providers - Prime Avenue Group</v>
      </c>
      <c r="C87" s="10" t="str">
        <f>IFERROR(__xludf.DUMMYFUNCTION("""COMPUTED_VALUE"""),"primeavenuegroup.com")</f>
        <v>primeavenuegroup.com</v>
      </c>
      <c r="D87" s="11" t="str">
        <f>IFERROR(__xludf.DUMMYFUNCTION("""COMPUTED_VALUE"""),"LISTICLE")</f>
        <v>LISTICLE</v>
      </c>
      <c r="E87" s="11" t="str">
        <f>IFERROR(__xludf.DUMMYFUNCTION("""COMPUTED_VALUE"""),"CORPORATE")</f>
        <v>CORPORATE</v>
      </c>
      <c r="F87" s="11" t="str">
        <f>IFERROR(__xludf.DUMMYFUNCTION("""COMPUTED_VALUE"""),"Listicle")</f>
        <v>Listicle</v>
      </c>
      <c r="G87" s="11" t="b">
        <f>IFERROR(__xludf.DUMMYFUNCTION("""COMPUTED_VALUE"""),FALSE)</f>
        <v>0</v>
      </c>
      <c r="H87" s="11" t="str">
        <f>IFERROR(__xludf.DUMMYFUNCTION("""COMPUTED_VALUE"""),"First Page Sage, NoGood, Siege Media, Directive, Animalz, Amsive, Clutch")</f>
        <v>First Page Sage, NoGood, Siege Media, Directive, Animalz, Amsive, Clutch</v>
      </c>
      <c r="I87" s="11">
        <f>IFERROR(__xludf.DUMMYFUNCTION("""COMPUTED_VALUE"""),21.0)</f>
        <v>21</v>
      </c>
      <c r="J87" s="11">
        <f>IFERROR(__xludf.DUMMYFUNCTION("""COMPUTED_VALUE"""),0.02)</f>
        <v>0.02</v>
      </c>
      <c r="K87" s="11">
        <f>IFERROR(__xludf.DUMMYFUNCTION("""COMPUTED_VALUE"""),1.05)</f>
        <v>1.05</v>
      </c>
      <c r="L87" s="11"/>
    </row>
    <row r="88" ht="15.75" customHeight="1">
      <c r="A88" s="10" t="str">
        <f>IFERROR(__xludf.DUMMYFUNCTION("""COMPUTED_VALUE"""),"https://qoulomb.com/best-geo-agencies-in-the-usa/")</f>
        <v>https://qoulomb.com/best-geo-agencies-in-the-usa/</v>
      </c>
      <c r="B88" s="11" t="str">
        <f>IFERROR(__xludf.DUMMYFUNCTION("""COMPUTED_VALUE"""),"Best GEO Agencies in the USA")</f>
        <v>Best GEO Agencies in the USA</v>
      </c>
      <c r="C88" s="10" t="str">
        <f>IFERROR(__xludf.DUMMYFUNCTION("""COMPUTED_VALUE"""),"qoulomb.com")</f>
        <v>qoulomb.com</v>
      </c>
      <c r="D88" s="11" t="str">
        <f>IFERROR(__xludf.DUMMYFUNCTION("""COMPUTED_VALUE"""),"LISTICLE")</f>
        <v>LISTICLE</v>
      </c>
      <c r="E88" s="11" t="str">
        <f>IFERROR(__xludf.DUMMYFUNCTION("""COMPUTED_VALUE"""),"CORPORATE")</f>
        <v>CORPORATE</v>
      </c>
      <c r="F88" s="11" t="str">
        <f>IFERROR(__xludf.DUMMYFUNCTION("""COMPUTED_VALUE"""),"Listicle")</f>
        <v>Listicle</v>
      </c>
      <c r="G88" s="11" t="b">
        <f>IFERROR(__xludf.DUMMYFUNCTION("""COMPUTED_VALUE"""),FALSE)</f>
        <v>0</v>
      </c>
      <c r="H88" s="11" t="str">
        <f>IFERROR(__xludf.DUMMYFUNCTION("""COMPUTED_VALUE"""),"iPullRank, NoGood, WebFX, Directive, Avenue Z, Momentum")</f>
        <v>iPullRank, NoGood, WebFX, Directive, Avenue Z, Momentum</v>
      </c>
      <c r="I88" s="11">
        <f>IFERROR(__xludf.DUMMYFUNCTION("""COMPUTED_VALUE"""),21.0)</f>
        <v>21</v>
      </c>
      <c r="J88" s="11">
        <f>IFERROR(__xludf.DUMMYFUNCTION("""COMPUTED_VALUE"""),0.02)</f>
        <v>0.02</v>
      </c>
      <c r="K88" s="11">
        <f>IFERROR(__xludf.DUMMYFUNCTION("""COMPUTED_VALUE"""),1.43)</f>
        <v>1.43</v>
      </c>
      <c r="L88" s="11"/>
    </row>
    <row r="89" ht="15.75" customHeight="1">
      <c r="A89" s="10" t="str">
        <f>IFERROR(__xludf.DUMMYFUNCTION("""COMPUTED_VALUE"""),"https://www.ritnerdigital.com/blog/best-ai-search-agencies-in-the-us")</f>
        <v>https://www.ritnerdigital.com/blog/best-ai-search-agencies-in-the-us</v>
      </c>
      <c r="B89" s="11" t="str">
        <f>IFERROR(__xludf.DUMMYFUNCTION("""COMPUTED_VALUE"""),"Best AI Search Agencies in the US: Who's Doing Real Work and How to Choose — Ritner Digital | AI Search &amp;amp; SEO Agency")</f>
        <v>Best AI Search Agencies in the US: Who's Doing Real Work and How to Choose — Ritner Digital | AI Search &amp;amp; SEO Agency</v>
      </c>
      <c r="C89" s="10" t="str">
        <f>IFERROR(__xludf.DUMMYFUNCTION("""COMPUTED_VALUE"""),"ritnerdigital.com")</f>
        <v>ritnerdigital.com</v>
      </c>
      <c r="D89" s="11" t="str">
        <f>IFERROR(__xludf.DUMMYFUNCTION("""COMPUTED_VALUE"""),"LISTICLE")</f>
        <v>LISTICLE</v>
      </c>
      <c r="E89" s="11" t="str">
        <f>IFERROR(__xludf.DUMMYFUNCTION("""COMPUTED_VALUE"""),"CORPORATE")</f>
        <v>CORPORATE</v>
      </c>
      <c r="F89" s="11" t="str">
        <f>IFERROR(__xludf.DUMMYFUNCTION("""COMPUTED_VALUE"""),"Listicle")</f>
        <v>Listicle</v>
      </c>
      <c r="G89" s="11" t="b">
        <f>IFERROR(__xludf.DUMMYFUNCTION("""COMPUTED_VALUE"""),FALSE)</f>
        <v>0</v>
      </c>
      <c r="H89" s="11" t="str">
        <f>IFERROR(__xludf.DUMMYFUNCTION("""COMPUTED_VALUE"""),"Measured, iPullRank, Siege Media")</f>
        <v>Measured, iPullRank, Siege Media</v>
      </c>
      <c r="I89" s="11">
        <f>IFERROR(__xludf.DUMMYFUNCTION("""COMPUTED_VALUE"""),21.0)</f>
        <v>21</v>
      </c>
      <c r="J89" s="11">
        <f>IFERROR(__xludf.DUMMYFUNCTION("""COMPUTED_VALUE"""),0.02)</f>
        <v>0.02</v>
      </c>
      <c r="K89" s="11">
        <f>IFERROR(__xludf.DUMMYFUNCTION("""COMPUTED_VALUE"""),0.57)</f>
        <v>0.57</v>
      </c>
      <c r="L89" s="11"/>
    </row>
    <row r="90" ht="15.75" customHeight="1">
      <c r="A90" s="10" t="str">
        <f>IFERROR(__xludf.DUMMYFUNCTION("""COMPUTED_VALUE"""),"https://www.searchbloom.com/strategy/5-top-rated-google-ads-agencies/")</f>
        <v>https://www.searchbloom.com/strategy/5-top-rated-google-ads-agencies/</v>
      </c>
      <c r="B90" s="11" t="str">
        <f>IFERROR(__xludf.DUMMYFUNCTION("""COMPUTED_VALUE"""),"5 Top-Rated Google Ads Agencies for 2026")</f>
        <v>5 Top-Rated Google Ads Agencies for 2026</v>
      </c>
      <c r="C90" s="10" t="str">
        <f>IFERROR(__xludf.DUMMYFUNCTION("""COMPUTED_VALUE"""),"searchbloom.com")</f>
        <v>searchbloom.com</v>
      </c>
      <c r="D90" s="11" t="str">
        <f>IFERROR(__xludf.DUMMYFUNCTION("""COMPUTED_VALUE"""),"LISTICLE")</f>
        <v>LISTICLE</v>
      </c>
      <c r="E90" s="11" t="str">
        <f>IFERROR(__xludf.DUMMYFUNCTION("""COMPUTED_VALUE"""),"COMPETITOR")</f>
        <v>COMPETITOR</v>
      </c>
      <c r="F90" s="11" t="str">
        <f>IFERROR(__xludf.DUMMYFUNCTION("""COMPUTED_VALUE"""),"Listicle")</f>
        <v>Listicle</v>
      </c>
      <c r="G90" s="11" t="b">
        <f>IFERROR(__xludf.DUMMYFUNCTION("""COMPUTED_VALUE"""),FALSE)</f>
        <v>0</v>
      </c>
      <c r="H90" s="11" t="str">
        <f>IFERROR(__xludf.DUMMYFUNCTION("""COMPUTED_VALUE"""),"Searchbloom, BCG, LYFE Marketing, Clutch, Measured, KlientBoost, Disruptive Advertising")</f>
        <v>Searchbloom, BCG, LYFE Marketing, Clutch, Measured, KlientBoost, Disruptive Advertising</v>
      </c>
      <c r="I90" s="11">
        <f>IFERROR(__xludf.DUMMYFUNCTION("""COMPUTED_VALUE"""),21.0)</f>
        <v>21</v>
      </c>
      <c r="J90" s="11">
        <f>IFERROR(__xludf.DUMMYFUNCTION("""COMPUTED_VALUE"""),0.02)</f>
        <v>0.02</v>
      </c>
      <c r="K90" s="11">
        <f>IFERROR(__xludf.DUMMYFUNCTION("""COMPUTED_VALUE"""),0.0)</f>
        <v>0</v>
      </c>
      <c r="L90" s="11"/>
    </row>
    <row r="91" ht="15.75" customHeight="1">
      <c r="A91" s="10" t="str">
        <f>IFERROR(__xludf.DUMMYFUNCTION("""COMPUTED_VALUE"""),"https://segmentstream.com/blog/articles/top-10-incrementality-testing-tools")</f>
        <v>https://segmentstream.com/blog/articles/top-10-incrementality-testing-tools</v>
      </c>
      <c r="B91" s="11" t="str">
        <f>IFERROR(__xludf.DUMMYFUNCTION("""COMPUTED_VALUE"""),"10 Best Incrementality Testing Tools (2026) — SegmentStream")</f>
        <v>10 Best Incrementality Testing Tools (2026) — SegmentStream</v>
      </c>
      <c r="C91" s="10" t="str">
        <f>IFERROR(__xludf.DUMMYFUNCTION("""COMPUTED_VALUE"""),"segmentstream.com")</f>
        <v>segmentstream.com</v>
      </c>
      <c r="D91" s="11" t="str">
        <f>IFERROR(__xludf.DUMMYFUNCTION("""COMPUTED_VALUE"""),"LISTICLE")</f>
        <v>LISTICLE</v>
      </c>
      <c r="E91" s="11" t="str">
        <f>IFERROR(__xludf.DUMMYFUNCTION("""COMPUTED_VALUE"""),"COMPETITOR")</f>
        <v>COMPETITOR</v>
      </c>
      <c r="F91" s="11" t="str">
        <f>IFERROR(__xludf.DUMMYFUNCTION("""COMPUTED_VALUE"""),"Listicle")</f>
        <v>Listicle</v>
      </c>
      <c r="G91" s="11" t="b">
        <f>IFERROR(__xludf.DUMMYFUNCTION("""COMPUTED_VALUE"""),FALSE)</f>
        <v>0</v>
      </c>
      <c r="H91" s="11" t="str">
        <f>IFERROR(__xludf.DUMMYFUNCTION("""COMPUTED_VALUE"""),"SegmentStream, Measured, Haus, LifeSight, Rockerbox, Recast, LiftLab, INCRMNTAL")</f>
        <v>SegmentStream, Measured, Haus, LifeSight, Rockerbox, Recast, LiftLab, INCRMNTAL</v>
      </c>
      <c r="I91" s="11">
        <f>IFERROR(__xludf.DUMMYFUNCTION("""COMPUTED_VALUE"""),21.0)</f>
        <v>21</v>
      </c>
      <c r="J91" s="11">
        <f>IFERROR(__xludf.DUMMYFUNCTION("""COMPUTED_VALUE"""),0.02)</f>
        <v>0.02</v>
      </c>
      <c r="K91" s="11">
        <f>IFERROR(__xludf.DUMMYFUNCTION("""COMPUTED_VALUE"""),2.48)</f>
        <v>2.48</v>
      </c>
      <c r="L91" s="11"/>
    </row>
    <row r="92" ht="15.75" customHeight="1">
      <c r="A92" s="10" t="str">
        <f>IFERROR(__xludf.DUMMYFUNCTION("""COMPUTED_VALUE"""),"https://www.adbeacon.com/19-best-marketing-attribution-software-solutions-in-2026/")</f>
        <v>https://www.adbeacon.com/19-best-marketing-attribution-software-solutions-in-2026/</v>
      </c>
      <c r="B92" s="11" t="str">
        <f>IFERROR(__xludf.DUMMYFUNCTION("""COMPUTED_VALUE"""),"19 Best Marketing Attribution Software Solutions in 2026 | AdBeacon")</f>
        <v>19 Best Marketing Attribution Software Solutions in 2026 | AdBeacon</v>
      </c>
      <c r="C92" s="10" t="str">
        <f>IFERROR(__xludf.DUMMYFUNCTION("""COMPUTED_VALUE"""),"adbeacon.com")</f>
        <v>adbeacon.com</v>
      </c>
      <c r="D92" s="11" t="str">
        <f>IFERROR(__xludf.DUMMYFUNCTION("""COMPUTED_VALUE"""),"LISTICLE")</f>
        <v>LISTICLE</v>
      </c>
      <c r="E92" s="11" t="str">
        <f>IFERROR(__xludf.DUMMYFUNCTION("""COMPUTED_VALUE"""),"CORPORATE")</f>
        <v>CORPORATE</v>
      </c>
      <c r="F92" s="11" t="str">
        <f>IFERROR(__xludf.DUMMYFUNCTION("""COMPUTED_VALUE"""),"Listicle")</f>
        <v>Listicle</v>
      </c>
      <c r="G92" s="11" t="b">
        <f>IFERROR(__xludf.DUMMYFUNCTION("""COMPUTED_VALUE"""),FALSE)</f>
        <v>0</v>
      </c>
      <c r="H92" s="11" t="str">
        <f>IFERROR(__xludf.DUMMYFUNCTION("""COMPUTED_VALUE"""),"HockeyStack, Ruler Analytics, Anomaly, Triple Whale, Rockerbox")</f>
        <v>HockeyStack, Ruler Analytics, Anomaly, Triple Whale, Rockerbox</v>
      </c>
      <c r="I92" s="11">
        <f>IFERROR(__xludf.DUMMYFUNCTION("""COMPUTED_VALUE"""),20.0)</f>
        <v>20</v>
      </c>
      <c r="J92" s="11">
        <f>IFERROR(__xludf.DUMMYFUNCTION("""COMPUTED_VALUE"""),0.02)</f>
        <v>0.02</v>
      </c>
      <c r="K92" s="11">
        <f>IFERROR(__xludf.DUMMYFUNCTION("""COMPUTED_VALUE"""),1.1)</f>
        <v>1.1</v>
      </c>
      <c r="L92" s="11"/>
    </row>
    <row r="93" ht="15.75" customHeight="1">
      <c r="A93" s="10" t="str">
        <f>IFERROR(__xludf.DUMMYFUNCTION("""COMPUTED_VALUE"""),"https://agencies.semrush.com/list/ai-optimization/united-states/")</f>
        <v>https://agencies.semrush.com/list/ai-optimization/united-states/</v>
      </c>
      <c r="B93" s="11" t="str">
        <f>IFERROR(__xludf.DUMMYFUNCTION("""COMPUTED_VALUE"""),"Best AI Search Optimization Agencies in United States 2026 | Semrush")</f>
        <v>Best AI Search Optimization Agencies in United States 2026 | Semrush</v>
      </c>
      <c r="C93" s="10" t="str">
        <f>IFERROR(__xludf.DUMMYFUNCTION("""COMPUTED_VALUE"""),"semrush.com")</f>
        <v>semrush.com</v>
      </c>
      <c r="D93" s="11" t="str">
        <f>IFERROR(__xludf.DUMMYFUNCTION("""COMPUTED_VALUE"""),"CATEGORY_PAGE")</f>
        <v>CATEGORY_PAGE</v>
      </c>
      <c r="E93" s="11" t="str">
        <f>IFERROR(__xludf.DUMMYFUNCTION("""COMPUTED_VALUE"""),"CORPORATE")</f>
        <v>CORPORATE</v>
      </c>
      <c r="F93" s="11" t="str">
        <f>IFERROR(__xludf.DUMMYFUNCTION("""COMPUTED_VALUE"""),"Category Page")</f>
        <v>Category Page</v>
      </c>
      <c r="G93" s="11" t="b">
        <f>IFERROR(__xludf.DUMMYFUNCTION("""COMPUTED_VALUE"""),FALSE)</f>
        <v>0</v>
      </c>
      <c r="H93" s="11" t="str">
        <f>IFERROR(__xludf.DUMMYFUNCTION("""COMPUTED_VALUE"""),"SmartSites, Elit-Web")</f>
        <v>SmartSites, Elit-Web</v>
      </c>
      <c r="I93" s="11">
        <f>IFERROR(__xludf.DUMMYFUNCTION("""COMPUTED_VALUE"""),20.0)</f>
        <v>20</v>
      </c>
      <c r="J93" s="11">
        <f>IFERROR(__xludf.DUMMYFUNCTION("""COMPUTED_VALUE"""),0.02)</f>
        <v>0.02</v>
      </c>
      <c r="K93" s="11">
        <f>IFERROR(__xludf.DUMMYFUNCTION("""COMPUTED_VALUE"""),0.7)</f>
        <v>0.7</v>
      </c>
      <c r="L93" s="11"/>
    </row>
    <row r="94" ht="15.75" customHeight="1">
      <c r="A94" s="10" t="str">
        <f>IFERROR(__xludf.DUMMYFUNCTION("""COMPUTED_VALUE"""),"https://clicksgeek.com/marketing-attribution-tracking-services/")</f>
        <v>https://clicksgeek.com/marketing-attribution-tracking-services/</v>
      </c>
      <c r="B94" s="11" t="str">
        <f>IFERROR(__xludf.DUMMYFUNCTION("""COMPUTED_VALUE"""),"9 Best Marketing Attribution Tracking Services 2026")</f>
        <v>9 Best Marketing Attribution Tracking Services 2026</v>
      </c>
      <c r="C94" s="10" t="str">
        <f>IFERROR(__xludf.DUMMYFUNCTION("""COMPUTED_VALUE"""),"clicksgeek.com")</f>
        <v>clicksgeek.com</v>
      </c>
      <c r="D94" s="11" t="str">
        <f>IFERROR(__xludf.DUMMYFUNCTION("""COMPUTED_VALUE"""),"LISTICLE")</f>
        <v>LISTICLE</v>
      </c>
      <c r="E94" s="11" t="str">
        <f>IFERROR(__xludf.DUMMYFUNCTION("""COMPUTED_VALUE"""),"CORPORATE")</f>
        <v>CORPORATE</v>
      </c>
      <c r="F94" s="11" t="str">
        <f>IFERROR(__xludf.DUMMYFUNCTION("""COMPUTED_VALUE"""),"Listicle")</f>
        <v>Listicle</v>
      </c>
      <c r="G94" s="11" t="b">
        <f>IFERROR(__xludf.DUMMYFUNCTION("""COMPUTED_VALUE"""),FALSE)</f>
        <v>0</v>
      </c>
      <c r="H94" s="11" t="str">
        <f>IFERROR(__xludf.DUMMYFUNCTION("""COMPUTED_VALUE"""),"Measured, Triple Whale, Northbeam, Ruler Analytics, Rockerbox")</f>
        <v>Measured, Triple Whale, Northbeam, Ruler Analytics, Rockerbox</v>
      </c>
      <c r="I94" s="11">
        <f>IFERROR(__xludf.DUMMYFUNCTION("""COMPUTED_VALUE"""),20.0)</f>
        <v>20</v>
      </c>
      <c r="J94" s="11">
        <f>IFERROR(__xludf.DUMMYFUNCTION("""COMPUTED_VALUE"""),0.02)</f>
        <v>0.02</v>
      </c>
      <c r="K94" s="11">
        <f>IFERROR(__xludf.DUMMYFUNCTION("""COMPUTED_VALUE"""),1.2)</f>
        <v>1.2</v>
      </c>
      <c r="L94" s="11"/>
    </row>
    <row r="95" ht="15.75" customHeight="1">
      <c r="A95" s="10" t="str">
        <f>IFERROR(__xludf.DUMMYFUNCTION("""COMPUTED_VALUE"""),"https://www.designrush.com/agency/digital-marketing/performance-marketing-agencies")</f>
        <v>https://www.designrush.com/agency/digital-marketing/performance-marketing-agencies</v>
      </c>
      <c r="B95" s="11" t="str">
        <f>IFERROR(__xludf.DUMMYFUNCTION("""COMPUTED_VALUE"""),"Top Performance Marketing Agencies in 2026")</f>
        <v>Top Performance Marketing Agencies in 2026</v>
      </c>
      <c r="C95" s="10" t="str">
        <f>IFERROR(__xludf.DUMMYFUNCTION("""COMPUTED_VALUE"""),"designrush.com")</f>
        <v>designrush.com</v>
      </c>
      <c r="D95" s="11" t="str">
        <f>IFERROR(__xludf.DUMMYFUNCTION("""COMPUTED_VALUE"""),"LISTICLE")</f>
        <v>LISTICLE</v>
      </c>
      <c r="E95" s="11" t="str">
        <f>IFERROR(__xludf.DUMMYFUNCTION("""COMPUTED_VALUE"""),"CORPORATE")</f>
        <v>CORPORATE</v>
      </c>
      <c r="F95" s="11" t="str">
        <f>IFERROR(__xludf.DUMMYFUNCTION("""COMPUTED_VALUE"""),"Listicle")</f>
        <v>Listicle</v>
      </c>
      <c r="G95" s="11" t="b">
        <f>IFERROR(__xludf.DUMMYFUNCTION("""COMPUTED_VALUE"""),FALSE)</f>
        <v>0</v>
      </c>
      <c r="H95" s="11" t="str">
        <f>IFERROR(__xludf.DUMMYFUNCTION("""COMPUTED_VALUE"""),"Amsive, MuteSix, Wpromote, NoGood, Power Digital, Huge, Searchbloom, Funnel Boost Media, SmartSites, Intero Digital, Silverback Strategies, Disruptive Advertising, PwC, Web Tonic, KlientBoost, DEPT")</f>
        <v>Amsive, MuteSix, Wpromote, NoGood, Power Digital, Huge, Searchbloom, Funnel Boost Media, SmartSites, Intero Digital, Silverback Strategies, Disruptive Advertising, PwC, Web Tonic, KlientBoost, DEPT</v>
      </c>
      <c r="I95" s="11">
        <f>IFERROR(__xludf.DUMMYFUNCTION("""COMPUTED_VALUE"""),20.0)</f>
        <v>20</v>
      </c>
      <c r="J95" s="11">
        <f>IFERROR(__xludf.DUMMYFUNCTION("""COMPUTED_VALUE"""),0.02)</f>
        <v>0.02</v>
      </c>
      <c r="K95" s="11">
        <f>IFERROR(__xludf.DUMMYFUNCTION("""COMPUTED_VALUE"""),0.05)</f>
        <v>0.05</v>
      </c>
      <c r="L95" s="11"/>
    </row>
    <row r="96" ht="15.75" customHeight="1">
      <c r="A96" s="10" t="str">
        <f>IFERROR(__xludf.DUMMYFUNCTION("""COMPUTED_VALUE"""),"https://www.gartner.com/reviews/market/advanced-analytics-service-providers-for-marketing")</f>
        <v>https://www.gartner.com/reviews/market/advanced-analytics-service-providers-for-marketing</v>
      </c>
      <c r="B96" s="11" t="str">
        <f>IFERROR(__xludf.DUMMYFUNCTION("""COMPUTED_VALUE"""),"Best Advanced Analytics Service Providers for Marketing Reviews 2026 \| Gartner Peer Insights")</f>
        <v>Best Advanced Analytics Service Providers for Marketing Reviews 2026 \| Gartner Peer Insights</v>
      </c>
      <c r="C96" s="10" t="str">
        <f>IFERROR(__xludf.DUMMYFUNCTION("""COMPUTED_VALUE"""),"gartner.com")</f>
        <v>gartner.com</v>
      </c>
      <c r="D96" s="11" t="str">
        <f>IFERROR(__xludf.DUMMYFUNCTION("""COMPUTED_VALUE"""),"CATEGORY_PAGE")</f>
        <v>CATEGORY_PAGE</v>
      </c>
      <c r="E96" s="11" t="str">
        <f>IFERROR(__xludf.DUMMYFUNCTION("""COMPUTED_VALUE"""),"CORPORATE")</f>
        <v>CORPORATE</v>
      </c>
      <c r="F96" s="11" t="str">
        <f>IFERROR(__xludf.DUMMYFUNCTION("""COMPUTED_VALUE"""),"Category Page")</f>
        <v>Category Page</v>
      </c>
      <c r="G96" s="11" t="b">
        <f>IFERROR(__xludf.DUMMYFUNCTION("""COMPUTED_VALUE"""),FALSE)</f>
        <v>0</v>
      </c>
      <c r="H96" s="11" t="str">
        <f>IFERROR(__xludf.DUMMYFUNCTION("""COMPUTED_VALUE"""),"Measured, Acxiom, Nielsen, Anomaly, Analytic Partners, LatentView Analytics, Merkle")</f>
        <v>Measured, Acxiom, Nielsen, Anomaly, Analytic Partners, LatentView Analytics, Merkle</v>
      </c>
      <c r="I96" s="11">
        <f>IFERROR(__xludf.DUMMYFUNCTION("""COMPUTED_VALUE"""),20.0)</f>
        <v>20</v>
      </c>
      <c r="J96" s="11">
        <f>IFERROR(__xludf.DUMMYFUNCTION("""COMPUTED_VALUE"""),0.02)</f>
        <v>0.02</v>
      </c>
      <c r="K96" s="11">
        <f>IFERROR(__xludf.DUMMYFUNCTION("""COMPUTED_VALUE"""),0.3)</f>
        <v>0.3</v>
      </c>
      <c r="L96" s="11"/>
    </row>
    <row r="97" ht="15.75" customHeight="1">
      <c r="A97" s="10" t="str">
        <f>IFERROR(__xludf.DUMMYFUNCTION("""COMPUTED_VALUE"""),"https://www.rzlt.io/blog/best-ai-marketing-agencies-in-2026-the-definitive-guide-by-specialty")</f>
        <v>https://www.rzlt.io/blog/best-ai-marketing-agencies-in-2026-the-definitive-guide-by-specialty</v>
      </c>
      <c r="B97" s="11" t="str">
        <f>IFERROR(__xludf.DUMMYFUNCTION("""COMPUTED_VALUE"""),"Best AI Marketing Agencies in 2026: The Definitive Guide")</f>
        <v>Best AI Marketing Agencies in 2026: The Definitive Guide</v>
      </c>
      <c r="C97" s="10" t="str">
        <f>IFERROR(__xludf.DUMMYFUNCTION("""COMPUTED_VALUE"""),"rzlt.io")</f>
        <v>rzlt.io</v>
      </c>
      <c r="D97" s="11" t="str">
        <f>IFERROR(__xludf.DUMMYFUNCTION("""COMPUTED_VALUE"""),"LISTICLE")</f>
        <v>LISTICLE</v>
      </c>
      <c r="E97" s="11" t="str">
        <f>IFERROR(__xludf.DUMMYFUNCTION("""COMPUTED_VALUE"""),"CORPORATE")</f>
        <v>CORPORATE</v>
      </c>
      <c r="F97" s="11" t="str">
        <f>IFERROR(__xludf.DUMMYFUNCTION("""COMPUTED_VALUE"""),"Listicle")</f>
        <v>Listicle</v>
      </c>
      <c r="G97" s="11" t="b">
        <f>IFERROR(__xludf.DUMMYFUNCTION("""COMPUTED_VALUE"""),FALSE)</f>
        <v>0</v>
      </c>
      <c r="H97" s="11" t="str">
        <f>IFERROR(__xludf.DUMMYFUNCTION("""COMPUTED_VALUE"""),"Monks, NoGood, Superside, Wpromote, Viral Nation, Jellyfish, Clutch")</f>
        <v>Monks, NoGood, Superside, Wpromote, Viral Nation, Jellyfish, Clutch</v>
      </c>
      <c r="I97" s="11">
        <f>IFERROR(__xludf.DUMMYFUNCTION("""COMPUTED_VALUE"""),20.0)</f>
        <v>20</v>
      </c>
      <c r="J97" s="11">
        <f>IFERROR(__xludf.DUMMYFUNCTION("""COMPUTED_VALUE"""),0.02)</f>
        <v>0.02</v>
      </c>
      <c r="K97" s="11">
        <f>IFERROR(__xludf.DUMMYFUNCTION("""COMPUTED_VALUE"""),2.45)</f>
        <v>2.45</v>
      </c>
      <c r="L97" s="11"/>
    </row>
    <row r="98" ht="15.75" customHeight="1">
      <c r="A98" s="10" t="str">
        <f>IFERROR(__xludf.DUMMYFUNCTION("""COMPUTED_VALUE"""),"https://www.weareqry.com/blog/best-paid-media-agencies")</f>
        <v>https://www.weareqry.com/blog/best-paid-media-agencies</v>
      </c>
      <c r="B98" s="11" t="str">
        <f>IFERROR(__xludf.DUMMYFUNCTION("""COMPUTED_VALUE"""),"Best Paid Media Agencies for 2026 | QRY")</f>
        <v>Best Paid Media Agencies for 2026 | QRY</v>
      </c>
      <c r="C98" s="10" t="str">
        <f>IFERROR(__xludf.DUMMYFUNCTION("""COMPUTED_VALUE"""),"weareqry.com")</f>
        <v>weareqry.com</v>
      </c>
      <c r="D98" s="11" t="str">
        <f>IFERROR(__xludf.DUMMYFUNCTION("""COMPUTED_VALUE"""),"LISTICLE")</f>
        <v>LISTICLE</v>
      </c>
      <c r="E98" s="11" t="str">
        <f>IFERROR(__xludf.DUMMYFUNCTION("""COMPUTED_VALUE"""),"CORPORATE")</f>
        <v>CORPORATE</v>
      </c>
      <c r="F98" s="11" t="str">
        <f>IFERROR(__xludf.DUMMYFUNCTION("""COMPUTED_VALUE"""),"Listicle")</f>
        <v>Listicle</v>
      </c>
      <c r="G98" s="11" t="b">
        <f>IFERROR(__xludf.DUMMYFUNCTION("""COMPUTED_VALUE"""),FALSE)</f>
        <v>0</v>
      </c>
      <c r="H98" s="11" t="str">
        <f>IFERROR(__xludf.DUMMYFUNCTION("""COMPUTED_VALUE"""),"Wpromote, Power Digital, WebFX, Single Grain, Directive, Tinuiti")</f>
        <v>Wpromote, Power Digital, WebFX, Single Grain, Directive, Tinuiti</v>
      </c>
      <c r="I98" s="11">
        <f>IFERROR(__xludf.DUMMYFUNCTION("""COMPUTED_VALUE"""),20.0)</f>
        <v>20</v>
      </c>
      <c r="J98" s="11">
        <f>IFERROR(__xludf.DUMMYFUNCTION("""COMPUTED_VALUE"""),0.02)</f>
        <v>0.02</v>
      </c>
      <c r="K98" s="11">
        <f>IFERROR(__xludf.DUMMYFUNCTION("""COMPUTED_VALUE"""),1.5)</f>
        <v>1.5</v>
      </c>
      <c r="L98" s="11"/>
    </row>
    <row r="99" ht="15.75" customHeight="1">
      <c r="A99" s="10" t="str">
        <f>IFERROR(__xludf.DUMMYFUNCTION("""COMPUTED_VALUE"""),"https://www.adbeacon.com/7-best-marketing-attribution-tools-compared-2026/")</f>
        <v>https://www.adbeacon.com/7-best-marketing-attribution-tools-compared-2026/</v>
      </c>
      <c r="B99" s="11" t="str">
        <f>IFERROR(__xludf.DUMMYFUNCTION("""COMPUTED_VALUE"""),"7 Best Marketing Attribution Tools Compared (2026) | AdBeacon")</f>
        <v>7 Best Marketing Attribution Tools Compared (2026) | AdBeacon</v>
      </c>
      <c r="C99" s="10" t="str">
        <f>IFERROR(__xludf.DUMMYFUNCTION("""COMPUTED_VALUE"""),"adbeacon.com")</f>
        <v>adbeacon.com</v>
      </c>
      <c r="D99" s="11" t="str">
        <f>IFERROR(__xludf.DUMMYFUNCTION("""COMPUTED_VALUE"""),"LISTICLE")</f>
        <v>LISTICLE</v>
      </c>
      <c r="E99" s="11" t="str">
        <f>IFERROR(__xludf.DUMMYFUNCTION("""COMPUTED_VALUE"""),"CORPORATE")</f>
        <v>CORPORATE</v>
      </c>
      <c r="F99" s="11" t="str">
        <f>IFERROR(__xludf.DUMMYFUNCTION("""COMPUTED_VALUE"""),"Listicle")</f>
        <v>Listicle</v>
      </c>
      <c r="G99" s="11" t="b">
        <f>IFERROR(__xludf.DUMMYFUNCTION("""COMPUTED_VALUE"""),FALSE)</f>
        <v>0</v>
      </c>
      <c r="H99" s="11" t="str">
        <f>IFERROR(__xludf.DUMMYFUNCTION("""COMPUTED_VALUE"""),"Cometly, Triple Whale, Northbeam, Rockerbox, Ruler Analytics")</f>
        <v>Cometly, Triple Whale, Northbeam, Rockerbox, Ruler Analytics</v>
      </c>
      <c r="I99" s="11">
        <f>IFERROR(__xludf.DUMMYFUNCTION("""COMPUTED_VALUE"""),19.0)</f>
        <v>19</v>
      </c>
      <c r="J99" s="11">
        <f>IFERROR(__xludf.DUMMYFUNCTION("""COMPUTED_VALUE"""),0.02)</f>
        <v>0.02</v>
      </c>
      <c r="K99" s="11">
        <f>IFERROR(__xludf.DUMMYFUNCTION("""COMPUTED_VALUE"""),1.21)</f>
        <v>1.21</v>
      </c>
      <c r="L99" s="11"/>
    </row>
    <row r="100" ht="15.75" customHeight="1">
      <c r="A100" s="10" t="str">
        <f>IFERROR(__xludf.DUMMYFUNCTION("""COMPUTED_VALUE"""),"https://clutch.co/us/consulting/ai/strategy")</f>
        <v>https://clutch.co/us/consulting/ai/strategy</v>
      </c>
      <c r="B100" s="11" t="str">
        <f>IFERROR(__xludf.DUMMYFUNCTION("""COMPUTED_VALUE"""),"Top AI Strategy Companies in the United States - Jul 2026 Rankings \| Clutch.co")</f>
        <v>Top AI Strategy Companies in the United States - Jul 2026 Rankings \| Clutch.co</v>
      </c>
      <c r="C100" s="10" t="str">
        <f>IFERROR(__xludf.DUMMYFUNCTION("""COMPUTED_VALUE"""),"clutch.co")</f>
        <v>clutch.co</v>
      </c>
      <c r="D100" s="11" t="str">
        <f>IFERROR(__xludf.DUMMYFUNCTION("""COMPUTED_VALUE"""),"CATEGORY_PAGE")</f>
        <v>CATEGORY_PAGE</v>
      </c>
      <c r="E100" s="11" t="str">
        <f>IFERROR(__xludf.DUMMYFUNCTION("""COMPUTED_VALUE"""),"COMPETITOR")</f>
        <v>COMPETITOR</v>
      </c>
      <c r="F100" s="11" t="str">
        <f>IFERROR(__xludf.DUMMYFUNCTION("""COMPUTED_VALUE"""),"Category Page")</f>
        <v>Category Page</v>
      </c>
      <c r="G100" s="11" t="b">
        <f>IFERROR(__xludf.DUMMYFUNCTION("""COMPUTED_VALUE"""),FALSE)</f>
        <v>0</v>
      </c>
      <c r="H100" s="11" t="str">
        <f>IFERROR(__xludf.DUMMYFUNCTION("""COMPUTED_VALUE"""),"Clutch, Go Fish Digital")</f>
        <v>Clutch, Go Fish Digital</v>
      </c>
      <c r="I100" s="11">
        <f>IFERROR(__xludf.DUMMYFUNCTION("""COMPUTED_VALUE"""),19.0)</f>
        <v>19</v>
      </c>
      <c r="J100" s="11">
        <f>IFERROR(__xludf.DUMMYFUNCTION("""COMPUTED_VALUE"""),0.02)</f>
        <v>0.02</v>
      </c>
      <c r="K100" s="11">
        <f>IFERROR(__xludf.DUMMYFUNCTION("""COMPUTED_VALUE"""),0.26)</f>
        <v>0.26</v>
      </c>
      <c r="L100" s="11"/>
    </row>
    <row r="101" ht="15.75" customHeight="1">
      <c r="A101" s="10" t="str">
        <f>IFERROR(__xludf.DUMMYFUNCTION("""COMPUTED_VALUE"""),"https://www.designrush.com/agency/creative-agencies/us")</f>
        <v>https://www.designrush.com/agency/creative-agencies/us</v>
      </c>
      <c r="B101" s="11" t="str">
        <f>IFERROR(__xludf.DUMMYFUNCTION("""COMPUTED_VALUE"""),"Top Creative Agencies - Jul 2026 | DesignRush")</f>
        <v>Top Creative Agencies - Jul 2026 | DesignRush</v>
      </c>
      <c r="C101" s="10" t="str">
        <f>IFERROR(__xludf.DUMMYFUNCTION("""COMPUTED_VALUE"""),"designrush.com")</f>
        <v>designrush.com</v>
      </c>
      <c r="D101" s="11" t="str">
        <f>IFERROR(__xludf.DUMMYFUNCTION("""COMPUTED_VALUE"""),"CATEGORY_PAGE")</f>
        <v>CATEGORY_PAGE</v>
      </c>
      <c r="E101" s="11" t="str">
        <f>IFERROR(__xludf.DUMMYFUNCTION("""COMPUTED_VALUE"""),"CORPORATE")</f>
        <v>CORPORATE</v>
      </c>
      <c r="F101" s="11" t="str">
        <f>IFERROR(__xludf.DUMMYFUNCTION("""COMPUTED_VALUE"""),"Category Page")</f>
        <v>Category Page</v>
      </c>
      <c r="G101" s="11" t="b">
        <f>IFERROR(__xludf.DUMMYFUNCTION("""COMPUTED_VALUE"""),FALSE)</f>
        <v>0</v>
      </c>
      <c r="H101" s="11" t="str">
        <f>IFERROR(__xludf.DUMMYFUNCTION("""COMPUTED_VALUE"""),"PwC, Disruptive Advertising, IBM, Huge, Major Tom, Directive, McKinsey, Nielsen, Measured")</f>
        <v>PwC, Disruptive Advertising, IBM, Huge, Major Tom, Directive, McKinsey, Nielsen, Measured</v>
      </c>
      <c r="I101" s="11">
        <f>IFERROR(__xludf.DUMMYFUNCTION("""COMPUTED_VALUE"""),19.0)</f>
        <v>19</v>
      </c>
      <c r="J101" s="11">
        <f>IFERROR(__xludf.DUMMYFUNCTION("""COMPUTED_VALUE"""),0.02)</f>
        <v>0.02</v>
      </c>
      <c r="K101" s="11">
        <f>IFERROR(__xludf.DUMMYFUNCTION("""COMPUTED_VALUE"""),0.26)</f>
        <v>0.26</v>
      </c>
      <c r="L101" s="11"/>
    </row>
    <row r="102" ht="15.75" customHeight="1">
      <c r="A102" s="10" t="str">
        <f>IFERROR(__xludf.DUMMYFUNCTION("""COMPUTED_VALUE"""),"https://www.fahrenheitmarketing.com/services/strategy/top-10-marketing-agencies-usa/#:~:text=A%20powerhouse%20in%20the%20top%2010%20media,them%20a%20place%20among%20top%20marketing%20firms.")</f>
        <v>https://www.fahrenheitmarketing.com/services/strategy/top-10-marketing-agencies-usa/#:~:text=A%20powerhouse%20in%20the%20top%2010%20media,them%20a%20place%20among%20top%20marketing%20firms.</v>
      </c>
      <c r="B102" s="11" t="str">
        <f>IFERROR(__xludf.DUMMYFUNCTION("""COMPUTED_VALUE"""),"Top 10 Marketing Agencies in the USA — and What to Look for When Choosing One - Fahrenheit Marketing")</f>
        <v>Top 10 Marketing Agencies in the USA — and What to Look for When Choosing One - Fahrenheit Marketing</v>
      </c>
      <c r="C102" s="10" t="str">
        <f>IFERROR(__xludf.DUMMYFUNCTION("""COMPUTED_VALUE"""),"fahrenheitmarketing.com")</f>
        <v>fahrenheitmarketing.com</v>
      </c>
      <c r="D102" s="11" t="str">
        <f>IFERROR(__xludf.DUMMYFUNCTION("""COMPUTED_VALUE"""),"LISTICLE")</f>
        <v>LISTICLE</v>
      </c>
      <c r="E102" s="11" t="str">
        <f>IFERROR(__xludf.DUMMYFUNCTION("""COMPUTED_VALUE"""),"CORPORATE")</f>
        <v>CORPORATE</v>
      </c>
      <c r="F102" s="11" t="str">
        <f>IFERROR(__xludf.DUMMYFUNCTION("""COMPUTED_VALUE"""),"Listicle")</f>
        <v>Listicle</v>
      </c>
      <c r="G102" s="11" t="b">
        <f>IFERROR(__xludf.DUMMYFUNCTION("""COMPUTED_VALUE"""),FALSE)</f>
        <v>0</v>
      </c>
      <c r="H102" s="11" t="str">
        <f>IFERROR(__xludf.DUMMYFUNCTION("""COMPUTED_VALUE"""),"Ignite Visibility, Thrive Internet Marketing Agency, WebFX, Disruptive Advertising, NoGood, Tinuiti, Measured")</f>
        <v>Ignite Visibility, Thrive Internet Marketing Agency, WebFX, Disruptive Advertising, NoGood, Tinuiti, Measured</v>
      </c>
      <c r="I102" s="11">
        <f>IFERROR(__xludf.DUMMYFUNCTION("""COMPUTED_VALUE"""),19.0)</f>
        <v>19</v>
      </c>
      <c r="J102" s="11">
        <f>IFERROR(__xludf.DUMMYFUNCTION("""COMPUTED_VALUE"""),0.02)</f>
        <v>0.02</v>
      </c>
      <c r="K102" s="11">
        <f>IFERROR(__xludf.DUMMYFUNCTION("""COMPUTED_VALUE"""),1.05)</f>
        <v>1.05</v>
      </c>
      <c r="L102" s="11"/>
    </row>
    <row r="103" ht="15.75" customHeight="1">
      <c r="A103" s="10" t="str">
        <f>IFERROR(__xludf.DUMMYFUNCTION("""COMPUTED_VALUE"""),"https://www.leewayhertz.com/top-ai-consulting-companies/")</f>
        <v>https://www.leewayhertz.com/top-ai-consulting-companies/</v>
      </c>
      <c r="B103" s="11" t="str">
        <f>IFERROR(__xludf.DUMMYFUNCTION("""COMPUTED_VALUE"""),"Top 10 AI Consulting Companies 2026 | Top AI Consultants")</f>
        <v>Top 10 AI Consulting Companies 2026 | Top AI Consultants</v>
      </c>
      <c r="C103" s="10" t="str">
        <f>IFERROR(__xludf.DUMMYFUNCTION("""COMPUTED_VALUE"""),"leewayhertz.com")</f>
        <v>leewayhertz.com</v>
      </c>
      <c r="D103" s="11" t="str">
        <f>IFERROR(__xludf.DUMMYFUNCTION("""COMPUTED_VALUE"""),"LISTICLE")</f>
        <v>LISTICLE</v>
      </c>
      <c r="E103" s="11" t="str">
        <f>IFERROR(__xludf.DUMMYFUNCTION("""COMPUTED_VALUE"""),"CORPORATE")</f>
        <v>CORPORATE</v>
      </c>
      <c r="F103" s="11" t="str">
        <f>IFERROR(__xludf.DUMMYFUNCTION("""COMPUTED_VALUE"""),"Listicle")</f>
        <v>Listicle</v>
      </c>
      <c r="G103" s="11" t="b">
        <f>IFERROR(__xludf.DUMMYFUNCTION("""COMPUTED_VALUE"""),FALSE)</f>
        <v>0</v>
      </c>
      <c r="H103" s="11"/>
      <c r="I103" s="11">
        <f>IFERROR(__xludf.DUMMYFUNCTION("""COMPUTED_VALUE"""),19.0)</f>
        <v>19</v>
      </c>
      <c r="J103" s="11">
        <f>IFERROR(__xludf.DUMMYFUNCTION("""COMPUTED_VALUE"""),0.02)</f>
        <v>0.02</v>
      </c>
      <c r="K103" s="11">
        <f>IFERROR(__xludf.DUMMYFUNCTION("""COMPUTED_VALUE"""),0.05)</f>
        <v>0.05</v>
      </c>
      <c r="L103" s="11"/>
    </row>
    <row r="104" ht="15.75" customHeight="1">
      <c r="A104" s="10" t="str">
        <f>IFERROR(__xludf.DUMMYFUNCTION("""COMPUTED_VALUE"""),"https://nogood.io/blog/ai-marketing-agency/")</f>
        <v>https://nogood.io/blog/ai-marketing-agency/</v>
      </c>
      <c r="B104" s="11" t="str">
        <f>IFERROR(__xludf.DUMMYFUNCTION("""COMPUTED_VALUE"""),"Top 5 AI Marketing Agencies for Growth in 2026 | NoGood")</f>
        <v>Top 5 AI Marketing Agencies for Growth in 2026 | NoGood</v>
      </c>
      <c r="C104" s="10" t="str">
        <f>IFERROR(__xludf.DUMMYFUNCTION("""COMPUTED_VALUE"""),"nogood.io")</f>
        <v>nogood.io</v>
      </c>
      <c r="D104" s="11" t="str">
        <f>IFERROR(__xludf.DUMMYFUNCTION("""COMPUTED_VALUE"""),"LISTICLE")</f>
        <v>LISTICLE</v>
      </c>
      <c r="E104" s="11" t="str">
        <f>IFERROR(__xludf.DUMMYFUNCTION("""COMPUTED_VALUE"""),"COMPETITOR")</f>
        <v>COMPETITOR</v>
      </c>
      <c r="F104" s="11" t="str">
        <f>IFERROR(__xludf.DUMMYFUNCTION("""COMPUTED_VALUE"""),"Listicle")</f>
        <v>Listicle</v>
      </c>
      <c r="G104" s="11" t="b">
        <f>IFERROR(__xludf.DUMMYFUNCTION("""COMPUTED_VALUE"""),FALSE)</f>
        <v>0</v>
      </c>
      <c r="H104" s="11" t="str">
        <f>IFERROR(__xludf.DUMMYFUNCTION("""COMPUTED_VALUE"""),"NoGood, Keenfolks, Single Grain, inBeat")</f>
        <v>NoGood, Keenfolks, Single Grain, inBeat</v>
      </c>
      <c r="I104" s="11">
        <f>IFERROR(__xludf.DUMMYFUNCTION("""COMPUTED_VALUE"""),19.0)</f>
        <v>19</v>
      </c>
      <c r="J104" s="11">
        <f>IFERROR(__xludf.DUMMYFUNCTION("""COMPUTED_VALUE"""),0.02)</f>
        <v>0.02</v>
      </c>
      <c r="K104" s="11">
        <f>IFERROR(__xludf.DUMMYFUNCTION("""COMPUTED_VALUE"""),0.53)</f>
        <v>0.53</v>
      </c>
      <c r="L104" s="11"/>
    </row>
    <row r="105" ht="15.75" customHeight="1">
      <c r="A105" s="10" t="str">
        <f>IFERROR(__xludf.DUMMYFUNCTION("""COMPUTED_VALUE"""),"https://thatware.co/10-best-aeo-companies-in-usa/")</f>
        <v>https://thatware.co/10-best-aeo-companies-in-usa/</v>
      </c>
      <c r="B105" s="11" t="str">
        <f>IFERROR(__xludf.DUMMYFUNCTION("""COMPUTED_VALUE"""),"10 Best AEO Companies in the United States You Should Partner")</f>
        <v>10 Best AEO Companies in the United States You Should Partner</v>
      </c>
      <c r="C105" s="10" t="str">
        <f>IFERROR(__xludf.DUMMYFUNCTION("""COMPUTED_VALUE"""),"thatware.co")</f>
        <v>thatware.co</v>
      </c>
      <c r="D105" s="11" t="str">
        <f>IFERROR(__xludf.DUMMYFUNCTION("""COMPUTED_VALUE"""),"LISTICLE")</f>
        <v>LISTICLE</v>
      </c>
      <c r="E105" s="11" t="str">
        <f>IFERROR(__xludf.DUMMYFUNCTION("""COMPUTED_VALUE"""),"CORPORATE")</f>
        <v>CORPORATE</v>
      </c>
      <c r="F105" s="11" t="str">
        <f>IFERROR(__xludf.DUMMYFUNCTION("""COMPUTED_VALUE"""),"Listicle")</f>
        <v>Listicle</v>
      </c>
      <c r="G105" s="11" t="b">
        <f>IFERROR(__xludf.DUMMYFUNCTION("""COMPUTED_VALUE"""),FALSE)</f>
        <v>0</v>
      </c>
      <c r="H105" s="11" t="str">
        <f>IFERROR(__xludf.DUMMYFUNCTION("""COMPUTED_VALUE"""),"WebFX, Victorious, Funnel Boost Media, SmartSites, Ignite Visibility, Intero Digital, Clutch")</f>
        <v>WebFX, Victorious, Funnel Boost Media, SmartSites, Ignite Visibility, Intero Digital, Clutch</v>
      </c>
      <c r="I105" s="11">
        <f>IFERROR(__xludf.DUMMYFUNCTION("""COMPUTED_VALUE"""),19.0)</f>
        <v>19</v>
      </c>
      <c r="J105" s="11">
        <f>IFERROR(__xludf.DUMMYFUNCTION("""COMPUTED_VALUE"""),0.02)</f>
        <v>0.02</v>
      </c>
      <c r="K105" s="11">
        <f>IFERROR(__xludf.DUMMYFUNCTION("""COMPUTED_VALUE"""),0.58)</f>
        <v>0.58</v>
      </c>
      <c r="L105" s="11"/>
    </row>
    <row r="106" ht="15.75" customHeight="1">
      <c r="A106" s="10" t="str">
        <f>IFERROR(__xludf.DUMMYFUNCTION("""COMPUTED_VALUE"""),"https://clutch.co/agencies/social-media-marketing")</f>
        <v>https://clutch.co/agencies/social-media-marketing</v>
      </c>
      <c r="B106" s="11" t="str">
        <f>IFERROR(__xludf.DUMMYFUNCTION("""COMPUTED_VALUE"""),"Top Social Media Marketing Agencies - Jul 2026 Rankings | Clutch.co")</f>
        <v>Top Social Media Marketing Agencies - Jul 2026 Rankings | Clutch.co</v>
      </c>
      <c r="C106" s="10" t="str">
        <f>IFERROR(__xludf.DUMMYFUNCTION("""COMPUTED_VALUE"""),"clutch.co")</f>
        <v>clutch.co</v>
      </c>
      <c r="D106" s="11" t="str">
        <f>IFERROR(__xludf.DUMMYFUNCTION("""COMPUTED_VALUE"""),"CATEGORY_PAGE")</f>
        <v>CATEGORY_PAGE</v>
      </c>
      <c r="E106" s="11" t="str">
        <f>IFERROR(__xludf.DUMMYFUNCTION("""COMPUTED_VALUE"""),"COMPETITOR")</f>
        <v>COMPETITOR</v>
      </c>
      <c r="F106" s="11" t="str">
        <f>IFERROR(__xludf.DUMMYFUNCTION("""COMPUTED_VALUE"""),"Category Page")</f>
        <v>Category Page</v>
      </c>
      <c r="G106" s="11" t="b">
        <f>IFERROR(__xludf.DUMMYFUNCTION("""COMPUTED_VALUE"""),FALSE)</f>
        <v>0</v>
      </c>
      <c r="H106" s="11" t="str">
        <f>IFERROR(__xludf.DUMMYFUNCTION("""COMPUTED_VALUE"""),"Clutch, Sociallyin, LYFE Marketing, KlientBoost, Viral Nation, SmartSites, Huge, Ignite Visibility")</f>
        <v>Clutch, Sociallyin, LYFE Marketing, KlientBoost, Viral Nation, SmartSites, Huge, Ignite Visibility</v>
      </c>
      <c r="I106" s="11">
        <f>IFERROR(__xludf.DUMMYFUNCTION("""COMPUTED_VALUE"""),18.0)</f>
        <v>18</v>
      </c>
      <c r="J106" s="11">
        <f>IFERROR(__xludf.DUMMYFUNCTION("""COMPUTED_VALUE"""),0.02)</f>
        <v>0.02</v>
      </c>
      <c r="K106" s="11">
        <f>IFERROR(__xludf.DUMMYFUNCTION("""COMPUTED_VALUE"""),0.22)</f>
        <v>0.22</v>
      </c>
      <c r="L106" s="11"/>
    </row>
    <row r="107" ht="15.75" customHeight="1">
      <c r="A107" s="10" t="str">
        <f>IFERROR(__xludf.DUMMYFUNCTION("""COMPUTED_VALUE"""),"https://www.darkroomagency.com/observatory/the-12-top-rated-paid-media-agencies-this-year")</f>
        <v>https://www.darkroomagency.com/observatory/the-12-top-rated-paid-media-agencies-this-year</v>
      </c>
      <c r="B107" s="11" t="str">
        <f>IFERROR(__xludf.DUMMYFUNCTION("""COMPUTED_VALUE"""),"Top-Rated Paid Media Agencies for Scalable Growth")</f>
        <v>Top-Rated Paid Media Agencies for Scalable Growth</v>
      </c>
      <c r="C107" s="10" t="str">
        <f>IFERROR(__xludf.DUMMYFUNCTION("""COMPUTED_VALUE"""),"darkroomagency.com")</f>
        <v>darkroomagency.com</v>
      </c>
      <c r="D107" s="11" t="str">
        <f>IFERROR(__xludf.DUMMYFUNCTION("""COMPUTED_VALUE"""),"LISTICLE")</f>
        <v>LISTICLE</v>
      </c>
      <c r="E107" s="11" t="str">
        <f>IFERROR(__xludf.DUMMYFUNCTION("""COMPUTED_VALUE"""),"COMPETITOR")</f>
        <v>COMPETITOR</v>
      </c>
      <c r="F107" s="11" t="str">
        <f>IFERROR(__xludf.DUMMYFUNCTION("""COMPUTED_VALUE"""),"Listicle")</f>
        <v>Listicle</v>
      </c>
      <c r="G107" s="11" t="b">
        <f>IFERROR(__xludf.DUMMYFUNCTION("""COMPUTED_VALUE"""),FALSE)</f>
        <v>0</v>
      </c>
      <c r="H107" s="11" t="str">
        <f>IFERROR(__xludf.DUMMYFUNCTION("""COMPUTED_VALUE"""),"Darkroom, Tinuiti, NoGood, Power Digital, MuteSix, Disruptive Advertising, Wpromote, HawkSEM, LYFE Marketing, Directive, inBeat, Droga5")</f>
        <v>Darkroom, Tinuiti, NoGood, Power Digital, MuteSix, Disruptive Advertising, Wpromote, HawkSEM, LYFE Marketing, Directive, inBeat, Droga5</v>
      </c>
      <c r="I107" s="11">
        <f>IFERROR(__xludf.DUMMYFUNCTION("""COMPUTED_VALUE"""),18.0)</f>
        <v>18</v>
      </c>
      <c r="J107" s="11">
        <f>IFERROR(__xludf.DUMMYFUNCTION("""COMPUTED_VALUE"""),0.02)</f>
        <v>0.02</v>
      </c>
      <c r="K107" s="11">
        <f>IFERROR(__xludf.DUMMYFUNCTION("""COMPUTED_VALUE"""),1.44)</f>
        <v>1.44</v>
      </c>
      <c r="L107" s="11"/>
    </row>
    <row r="108" ht="15.75" customHeight="1">
      <c r="A108" s="10" t="str">
        <f>IFERROR(__xludf.DUMMYFUNCTION("""COMPUTED_VALUE"""),"https://disruptiveadvertising.com/blog/business/best-ppc-agencies-in-the-us/")</f>
        <v>https://disruptiveadvertising.com/blog/business/best-ppc-agencies-in-the-us/</v>
      </c>
      <c r="B108" s="11" t="str">
        <f>IFERROR(__xludf.DUMMYFUNCTION("""COMPUTED_VALUE"""),"Best PPC Agencies In The U.S For 2026 | Disruptive Advertising")</f>
        <v>Best PPC Agencies In The U.S For 2026 | Disruptive Advertising</v>
      </c>
      <c r="C108" s="10" t="str">
        <f>IFERROR(__xludf.DUMMYFUNCTION("""COMPUTED_VALUE"""),"disruptiveadvertising.com")</f>
        <v>disruptiveadvertising.com</v>
      </c>
      <c r="D108" s="11" t="str">
        <f>IFERROR(__xludf.DUMMYFUNCTION("""COMPUTED_VALUE"""),"LISTICLE")</f>
        <v>LISTICLE</v>
      </c>
      <c r="E108" s="11" t="str">
        <f>IFERROR(__xludf.DUMMYFUNCTION("""COMPUTED_VALUE"""),"COMPETITOR")</f>
        <v>COMPETITOR</v>
      </c>
      <c r="F108" s="11" t="str">
        <f>IFERROR(__xludf.DUMMYFUNCTION("""COMPUTED_VALUE"""),"Listicle")</f>
        <v>Listicle</v>
      </c>
      <c r="G108" s="11" t="b">
        <f>IFERROR(__xludf.DUMMYFUNCTION("""COMPUTED_VALUE"""),FALSE)</f>
        <v>0</v>
      </c>
      <c r="H108" s="11" t="str">
        <f>IFERROR(__xludf.DUMMYFUNCTION("""COMPUTED_VALUE"""),"Disruptive Advertising, Momentum, KlientBoost, SmartSites, Silverback Strategies, Single Grain, Clutch, HawkSEM, Intero Digital")</f>
        <v>Disruptive Advertising, Momentum, KlientBoost, SmartSites, Silverback Strategies, Single Grain, Clutch, HawkSEM, Intero Digital</v>
      </c>
      <c r="I108" s="11">
        <f>IFERROR(__xludf.DUMMYFUNCTION("""COMPUTED_VALUE"""),18.0)</f>
        <v>18</v>
      </c>
      <c r="J108" s="11">
        <f>IFERROR(__xludf.DUMMYFUNCTION("""COMPUTED_VALUE"""),0.02)</f>
        <v>0.02</v>
      </c>
      <c r="K108" s="11">
        <f>IFERROR(__xludf.DUMMYFUNCTION("""COMPUTED_VALUE"""),1.44)</f>
        <v>1.44</v>
      </c>
      <c r="L108" s="11"/>
    </row>
    <row r="109" ht="15.75" customHeight="1">
      <c r="A109" s="10" t="str">
        <f>IFERROR(__xludf.DUMMYFUNCTION("""COMPUTED_VALUE"""),"https://www.gartner.com/reviews/market/global-digital-marketing-agencies")</f>
        <v>https://www.gartner.com/reviews/market/global-digital-marketing-agencies</v>
      </c>
      <c r="B109" s="11" t="str">
        <f>IFERROR(__xludf.DUMMYFUNCTION("""COMPUTED_VALUE"""),"Best Global Digital Marketing Agencies Reviews 2026 | Gartner Peer Insights")</f>
        <v>Best Global Digital Marketing Agencies Reviews 2026 | Gartner Peer Insights</v>
      </c>
      <c r="C109" s="10" t="str">
        <f>IFERROR(__xludf.DUMMYFUNCTION("""COMPUTED_VALUE"""),"gartner.com")</f>
        <v>gartner.com</v>
      </c>
      <c r="D109" s="11" t="str">
        <f>IFERROR(__xludf.DUMMYFUNCTION("""COMPUTED_VALUE"""),"PROFILE")</f>
        <v>PROFILE</v>
      </c>
      <c r="E109" s="11" t="str">
        <f>IFERROR(__xludf.DUMMYFUNCTION("""COMPUTED_VALUE"""),"CORPORATE")</f>
        <v>CORPORATE</v>
      </c>
      <c r="F109" s="11" t="str">
        <f>IFERROR(__xludf.DUMMYFUNCTION("""COMPUTED_VALUE"""),"Profile")</f>
        <v>Profile</v>
      </c>
      <c r="G109" s="11" t="b">
        <f>IFERROR(__xludf.DUMMYFUNCTION("""COMPUTED_VALUE"""),FALSE)</f>
        <v>0</v>
      </c>
      <c r="H109" s="11" t="str">
        <f>IFERROR(__xludf.DUMMYFUNCTION("""COMPUTED_VALUE"""),"SmartSites, Accenture Song, Deloitte Digital, Huge, Merkle, AKQA, Digitas, VML, Ogilvy, R/GA")</f>
        <v>SmartSites, Accenture Song, Deloitte Digital, Huge, Merkle, AKQA, Digitas, VML, Ogilvy, R/GA</v>
      </c>
      <c r="I109" s="11">
        <f>IFERROR(__xludf.DUMMYFUNCTION("""COMPUTED_VALUE"""),18.0)</f>
        <v>18</v>
      </c>
      <c r="J109" s="11">
        <f>IFERROR(__xludf.DUMMYFUNCTION("""COMPUTED_VALUE"""),0.02)</f>
        <v>0.02</v>
      </c>
      <c r="K109" s="11">
        <f>IFERROR(__xludf.DUMMYFUNCTION("""COMPUTED_VALUE"""),1.61)</f>
        <v>1.61</v>
      </c>
      <c r="L109" s="11"/>
    </row>
    <row r="110" ht="15.75" customHeight="1">
      <c r="A110" s="10" t="str">
        <f>IFERROR(__xludf.DUMMYFUNCTION("""COMPUTED_VALUE"""),"https://www.goodfirms.co/big-data-analytics/marketing-analytics")</f>
        <v>https://www.goodfirms.co/big-data-analytics/marketing-analytics</v>
      </c>
      <c r="B110" s="11" t="str">
        <f>IFERROR(__xludf.DUMMYFUNCTION("""COMPUTED_VALUE"""),"Top Marketing Analytics Companies - 2026 Reviews | Goodfirms")</f>
        <v>Top Marketing Analytics Companies - 2026 Reviews | Goodfirms</v>
      </c>
      <c r="C110" s="10" t="str">
        <f>IFERROR(__xludf.DUMMYFUNCTION("""COMPUTED_VALUE"""),"goodfirms.co")</f>
        <v>goodfirms.co</v>
      </c>
      <c r="D110" s="11" t="str">
        <f>IFERROR(__xludf.DUMMYFUNCTION("""COMPUTED_VALUE"""),"PROFILE")</f>
        <v>PROFILE</v>
      </c>
      <c r="E110" s="11" t="str">
        <f>IFERROR(__xludf.DUMMYFUNCTION("""COMPUTED_VALUE"""),"UGC")</f>
        <v>UGC</v>
      </c>
      <c r="F110" s="11" t="str">
        <f>IFERROR(__xludf.DUMMYFUNCTION("""COMPUTED_VALUE"""),"Profile")</f>
        <v>Profile</v>
      </c>
      <c r="G110" s="11" t="b">
        <f>IFERROR(__xludf.DUMMYFUNCTION("""COMPUTED_VALUE"""),FALSE)</f>
        <v>0</v>
      </c>
      <c r="H110" s="11"/>
      <c r="I110" s="11">
        <f>IFERROR(__xludf.DUMMYFUNCTION("""COMPUTED_VALUE"""),18.0)</f>
        <v>18</v>
      </c>
      <c r="J110" s="11">
        <f>IFERROR(__xludf.DUMMYFUNCTION("""COMPUTED_VALUE"""),0.02)</f>
        <v>0.02</v>
      </c>
      <c r="K110" s="11">
        <f>IFERROR(__xludf.DUMMYFUNCTION("""COMPUTED_VALUE"""),0.0)</f>
        <v>0</v>
      </c>
      <c r="L110" s="11"/>
    </row>
    <row r="111" ht="15.75" customHeight="1">
      <c r="A111" s="10" t="str">
        <f>IFERROR(__xludf.DUMMYFUNCTION("""COMPUTED_VALUE"""),"https://www.loudface.co/blog/best-aeo-agencies-2026")</f>
        <v>https://www.loudface.co/blog/best-aeo-agencies-2026</v>
      </c>
      <c r="B111" s="11" t="str">
        <f>IFERROR(__xludf.DUMMYFUNCTION("""COMPUTED_VALUE"""),"Best AEO &amp;amp; AI Search Agencies in 2026 (Ranked) | LoudFace")</f>
        <v>Best AEO &amp;amp; AI Search Agencies in 2026 (Ranked) | LoudFace</v>
      </c>
      <c r="C111" s="10" t="str">
        <f>IFERROR(__xludf.DUMMYFUNCTION("""COMPUTED_VALUE"""),"loudface.co")</f>
        <v>loudface.co</v>
      </c>
      <c r="D111" s="11" t="str">
        <f>IFERROR(__xludf.DUMMYFUNCTION("""COMPUTED_VALUE"""),"LISTICLE")</f>
        <v>LISTICLE</v>
      </c>
      <c r="E111" s="11" t="str">
        <f>IFERROR(__xludf.DUMMYFUNCTION("""COMPUTED_VALUE"""),"CORPORATE")</f>
        <v>CORPORATE</v>
      </c>
      <c r="F111" s="11" t="str">
        <f>IFERROR(__xludf.DUMMYFUNCTION("""COMPUTED_VALUE"""),"Listicle")</f>
        <v>Listicle</v>
      </c>
      <c r="G111" s="11" t="b">
        <f>IFERROR(__xludf.DUMMYFUNCTION("""COMPUTED_VALUE"""),FALSE)</f>
        <v>0</v>
      </c>
      <c r="H111" s="11" t="str">
        <f>IFERROR(__xludf.DUMMYFUNCTION("""COMPUTED_VALUE"""),"iPullRank, First Page Sage, NoGood, Omniscient Digital, Animalz, Siege Media, Avenue Z, Measured")</f>
        <v>iPullRank, First Page Sage, NoGood, Omniscient Digital, Animalz, Siege Media, Avenue Z, Measured</v>
      </c>
      <c r="I111" s="11">
        <f>IFERROR(__xludf.DUMMYFUNCTION("""COMPUTED_VALUE"""),18.0)</f>
        <v>18</v>
      </c>
      <c r="J111" s="11">
        <f>IFERROR(__xludf.DUMMYFUNCTION("""COMPUTED_VALUE"""),0.02)</f>
        <v>0.02</v>
      </c>
      <c r="K111" s="11">
        <f>IFERROR(__xludf.DUMMYFUNCTION("""COMPUTED_VALUE"""),1.44)</f>
        <v>1.44</v>
      </c>
      <c r="L111" s="11"/>
    </row>
    <row r="112" ht="15.75" customHeight="1">
      <c r="A112" s="10" t="str">
        <f>IFERROR(__xludf.DUMMYFUNCTION("""COMPUTED_VALUE"""),"https://www.lyfemarketing.com/blog/top-performance-marketing-agencies-us/")</f>
        <v>https://www.lyfemarketing.com/blog/top-performance-marketing-agencies-us/</v>
      </c>
      <c r="B112" s="11" t="str">
        <f>IFERROR(__xludf.DUMMYFUNCTION("""COMPUTED_VALUE"""),"Top 36 Performance Marketing Agencies In The US 2026")</f>
        <v>Top 36 Performance Marketing Agencies In The US 2026</v>
      </c>
      <c r="C112" s="10" t="str">
        <f>IFERROR(__xludf.DUMMYFUNCTION("""COMPUTED_VALUE"""),"lyfemarketing.com")</f>
        <v>lyfemarketing.com</v>
      </c>
      <c r="D112" s="11" t="str">
        <f>IFERROR(__xludf.DUMMYFUNCTION("""COMPUTED_VALUE"""),"LISTICLE")</f>
        <v>LISTICLE</v>
      </c>
      <c r="E112" s="11" t="str">
        <f>IFERROR(__xludf.DUMMYFUNCTION("""COMPUTED_VALUE"""),"CORPORATE")</f>
        <v>CORPORATE</v>
      </c>
      <c r="F112" s="11" t="str">
        <f>IFERROR(__xludf.DUMMYFUNCTION("""COMPUTED_VALUE"""),"Listicle")</f>
        <v>Listicle</v>
      </c>
      <c r="G112" s="11" t="b">
        <f>IFERROR(__xludf.DUMMYFUNCTION("""COMPUTED_VALUE"""),FALSE)</f>
        <v>0</v>
      </c>
      <c r="H112" s="11" t="str">
        <f>IFERROR(__xludf.DUMMYFUNCTION("""COMPUTED_VALUE"""),"LYFE Marketing, Tinuiti, Directive, Kobe Digital, Power Digital, Amsive, Wpromote, Disruptive Advertising, Right Side Up, Ignite Visibility, MuteSix, Brainlabs, WPP, Publicis Groupe, Sociallyin")</f>
        <v>LYFE Marketing, Tinuiti, Directive, Kobe Digital, Power Digital, Amsive, Wpromote, Disruptive Advertising, Right Side Up, Ignite Visibility, MuteSix, Brainlabs, WPP, Publicis Groupe, Sociallyin</v>
      </c>
      <c r="I112" s="11">
        <f>IFERROR(__xludf.DUMMYFUNCTION("""COMPUTED_VALUE"""),18.0)</f>
        <v>18</v>
      </c>
      <c r="J112" s="11">
        <f>IFERROR(__xludf.DUMMYFUNCTION("""COMPUTED_VALUE"""),0.02)</f>
        <v>0.02</v>
      </c>
      <c r="K112" s="11">
        <f>IFERROR(__xludf.DUMMYFUNCTION("""COMPUTED_VALUE"""),1.17)</f>
        <v>1.17</v>
      </c>
      <c r="L112" s="11"/>
    </row>
    <row r="113" ht="15.75" customHeight="1">
      <c r="A113" s="10" t="str">
        <f>IFERROR(__xludf.DUMMYFUNCTION("""COMPUTED_VALUE"""),"https://mightyandtrue.com/insights/blog/best-ai-marketing-agencies/")</f>
        <v>https://mightyandtrue.com/insights/blog/best-ai-marketing-agencies/</v>
      </c>
      <c r="B113" s="11" t="str">
        <f>IFERROR(__xludf.DUMMYFUNCTION("""COMPUTED_VALUE"""),"The 10 Best AI Marketing Agencies in 2026 (Verified List) | Inference — Mighty &amp;amp; True")</f>
        <v>The 10 Best AI Marketing Agencies in 2026 (Verified List) | Inference — Mighty &amp;amp; True</v>
      </c>
      <c r="C113" s="10" t="str">
        <f>IFERROR(__xludf.DUMMYFUNCTION("""COMPUTED_VALUE"""),"mightyandtrue.com")</f>
        <v>mightyandtrue.com</v>
      </c>
      <c r="D113" s="11" t="str">
        <f>IFERROR(__xludf.DUMMYFUNCTION("""COMPUTED_VALUE"""),"LISTICLE")</f>
        <v>LISTICLE</v>
      </c>
      <c r="E113" s="11" t="str">
        <f>IFERROR(__xludf.DUMMYFUNCTION("""COMPUTED_VALUE"""),"CORPORATE")</f>
        <v>CORPORATE</v>
      </c>
      <c r="F113" s="11" t="str">
        <f>IFERROR(__xludf.DUMMYFUNCTION("""COMPUTED_VALUE"""),"Listicle")</f>
        <v>Listicle</v>
      </c>
      <c r="G113" s="11" t="b">
        <f>IFERROR(__xludf.DUMMYFUNCTION("""COMPUTED_VALUE"""),FALSE)</f>
        <v>0</v>
      </c>
      <c r="H113" s="11" t="str">
        <f>IFERROR(__xludf.DUMMYFUNCTION("""COMPUTED_VALUE"""),"Directive, Superside, NoGood, Single Grain, Omniscient Digital, Jellyfish, Keenfolks, Optimist, Daydream")</f>
        <v>Directive, Superside, NoGood, Single Grain, Omniscient Digital, Jellyfish, Keenfolks, Optimist, Daydream</v>
      </c>
      <c r="I113" s="11">
        <f>IFERROR(__xludf.DUMMYFUNCTION("""COMPUTED_VALUE"""),18.0)</f>
        <v>18</v>
      </c>
      <c r="J113" s="11">
        <f>IFERROR(__xludf.DUMMYFUNCTION("""COMPUTED_VALUE"""),0.02)</f>
        <v>0.02</v>
      </c>
      <c r="K113" s="11">
        <f>IFERROR(__xludf.DUMMYFUNCTION("""COMPUTED_VALUE"""),2.44)</f>
        <v>2.44</v>
      </c>
      <c r="L113" s="11"/>
    </row>
    <row r="114" ht="15.75" customHeight="1">
      <c r="A114" s="10" t="str">
        <f>IFERROR(__xludf.DUMMYFUNCTION("""COMPUTED_VALUE"""),"https://www.webtonic.io/blog/top-display-advertising-agencies")</f>
        <v>https://www.webtonic.io/blog/top-display-advertising-agencies</v>
      </c>
      <c r="B114" s="11" t="str">
        <f>IFERROR(__xludf.DUMMYFUNCTION("""COMPUTED_VALUE"""),"The 50 Top Display Advertising Agencies as of 2026")</f>
        <v>The 50 Top Display Advertising Agencies as of 2026</v>
      </c>
      <c r="C114" s="10" t="str">
        <f>IFERROR(__xludf.DUMMYFUNCTION("""COMPUTED_VALUE"""),"webtonic.io")</f>
        <v>webtonic.io</v>
      </c>
      <c r="D114" s="11" t="str">
        <f>IFERROR(__xludf.DUMMYFUNCTION("""COMPUTED_VALUE"""),"LISTICLE")</f>
        <v>LISTICLE</v>
      </c>
      <c r="E114" s="11" t="str">
        <f>IFERROR(__xludf.DUMMYFUNCTION("""COMPUTED_VALUE"""),"COMPETITOR")</f>
        <v>COMPETITOR</v>
      </c>
      <c r="F114" s="11" t="str">
        <f>IFERROR(__xludf.DUMMYFUNCTION("""COMPUTED_VALUE"""),"Listicle")</f>
        <v>Listicle</v>
      </c>
      <c r="G114" s="11" t="b">
        <f>IFERROR(__xludf.DUMMYFUNCTION("""COMPUTED_VALUE"""),FALSE)</f>
        <v>0</v>
      </c>
      <c r="H114" s="11" t="str">
        <f>IFERROR(__xludf.DUMMYFUNCTION("""COMPUTED_VALUE"""),"Web Tonic, WPP, GroupM, Measured, AdVenture Media")</f>
        <v>Web Tonic, WPP, GroupM, Measured, AdVenture Media</v>
      </c>
      <c r="I114" s="11">
        <f>IFERROR(__xludf.DUMMYFUNCTION("""COMPUTED_VALUE"""),18.0)</f>
        <v>18</v>
      </c>
      <c r="J114" s="11">
        <f>IFERROR(__xludf.DUMMYFUNCTION("""COMPUTED_VALUE"""),0.02)</f>
        <v>0.02</v>
      </c>
      <c r="K114" s="11">
        <f>IFERROR(__xludf.DUMMYFUNCTION("""COMPUTED_VALUE"""),0.89)</f>
        <v>0.89</v>
      </c>
      <c r="L114" s="11"/>
    </row>
    <row r="115" ht="15.75" customHeight="1">
      <c r="A115" s="10" t="str">
        <f>IFERROR(__xludf.DUMMYFUNCTION("""COMPUTED_VALUE"""),"https://beomniscient.com/blog/best-analytics-agency/")</f>
        <v>https://beomniscient.com/blog/best-analytics-agency/</v>
      </c>
      <c r="B115" s="11" t="str">
        <f>IFERROR(__xludf.DUMMYFUNCTION("""COMPUTED_VALUE"""),"The 6 Best Web Analytics Agencies in 2026 - Omniscient Digital")</f>
        <v>The 6 Best Web Analytics Agencies in 2026 - Omniscient Digital</v>
      </c>
      <c r="C115" s="10" t="str">
        <f>IFERROR(__xludf.DUMMYFUNCTION("""COMPUTED_VALUE"""),"beomniscient.com")</f>
        <v>beomniscient.com</v>
      </c>
      <c r="D115" s="11" t="str">
        <f>IFERROR(__xludf.DUMMYFUNCTION("""COMPUTED_VALUE"""),"LISTICLE")</f>
        <v>LISTICLE</v>
      </c>
      <c r="E115" s="11" t="str">
        <f>IFERROR(__xludf.DUMMYFUNCTION("""COMPUTED_VALUE"""),"COMPETITOR")</f>
        <v>COMPETITOR</v>
      </c>
      <c r="F115" s="11" t="str">
        <f>IFERROR(__xludf.DUMMYFUNCTION("""COMPUTED_VALUE"""),"Listicle")</f>
        <v>Listicle</v>
      </c>
      <c r="G115" s="11" t="b">
        <f>IFERROR(__xludf.DUMMYFUNCTION("""COMPUTED_VALUE"""),FALSE)</f>
        <v>0</v>
      </c>
      <c r="H115" s="11" t="str">
        <f>IFERROR(__xludf.DUMMYFUNCTION("""COMPUTED_VALUE"""),"Omniscient Digital, Seer Interactive, Evolytics, Huge")</f>
        <v>Omniscient Digital, Seer Interactive, Evolytics, Huge</v>
      </c>
      <c r="I115" s="11">
        <f>IFERROR(__xludf.DUMMYFUNCTION("""COMPUTED_VALUE"""),17.0)</f>
        <v>17</v>
      </c>
      <c r="J115" s="11">
        <f>IFERROR(__xludf.DUMMYFUNCTION("""COMPUTED_VALUE"""),0.02)</f>
        <v>0.02</v>
      </c>
      <c r="K115" s="11">
        <f>IFERROR(__xludf.DUMMYFUNCTION("""COMPUTED_VALUE"""),1.12)</f>
        <v>1.12</v>
      </c>
      <c r="L115" s="11"/>
    </row>
    <row r="116" ht="15.75" customHeight="1">
      <c r="A116" s="10" t="str">
        <f>IFERROR(__xludf.DUMMYFUNCTION("""COMPUTED_VALUE"""),"https://clutch.co/agencies/creative")</f>
        <v>https://clutch.co/agencies/creative</v>
      </c>
      <c r="B116" s="11" t="str">
        <f>IFERROR(__xludf.DUMMYFUNCTION("""COMPUTED_VALUE"""),"Top Creative Agencies - Jul 2026 Rankings | Clutch.co")</f>
        <v>Top Creative Agencies - Jul 2026 Rankings | Clutch.co</v>
      </c>
      <c r="C116" s="10" t="str">
        <f>IFERROR(__xludf.DUMMYFUNCTION("""COMPUTED_VALUE"""),"clutch.co")</f>
        <v>clutch.co</v>
      </c>
      <c r="D116" s="11" t="str">
        <f>IFERROR(__xludf.DUMMYFUNCTION("""COMPUTED_VALUE"""),"CATEGORY_PAGE")</f>
        <v>CATEGORY_PAGE</v>
      </c>
      <c r="E116" s="11" t="str">
        <f>IFERROR(__xludf.DUMMYFUNCTION("""COMPUTED_VALUE"""),"COMPETITOR")</f>
        <v>COMPETITOR</v>
      </c>
      <c r="F116" s="11" t="str">
        <f>IFERROR(__xludf.DUMMYFUNCTION("""COMPUTED_VALUE"""),"Category Page")</f>
        <v>Category Page</v>
      </c>
      <c r="G116" s="11" t="b">
        <f>IFERROR(__xludf.DUMMYFUNCTION("""COMPUTED_VALUE"""),FALSE)</f>
        <v>0</v>
      </c>
      <c r="H116" s="11" t="str">
        <f>IFERROR(__xludf.DUMMYFUNCTION("""COMPUTED_VALUE"""),"Clutch, Clay, Momentum")</f>
        <v>Clutch, Clay, Momentum</v>
      </c>
      <c r="I116" s="11">
        <f>IFERROR(__xludf.DUMMYFUNCTION("""COMPUTED_VALUE"""),17.0)</f>
        <v>17</v>
      </c>
      <c r="J116" s="11">
        <f>IFERROR(__xludf.DUMMYFUNCTION("""COMPUTED_VALUE"""),0.02)</f>
        <v>0.02</v>
      </c>
      <c r="K116" s="11">
        <f>IFERROR(__xludf.DUMMYFUNCTION("""COMPUTED_VALUE"""),0.12)</f>
        <v>0.12</v>
      </c>
      <c r="L116" s="11"/>
    </row>
    <row r="117" ht="15.75" customHeight="1">
      <c r="A117" s="10" t="str">
        <f>IFERROR(__xludf.DUMMYFUNCTION("""COMPUTED_VALUE"""),"https://www.effectivesoft.com/blog/top-ai-consulting-companies-usa.html")</f>
        <v>https://www.effectivesoft.com/blog/top-ai-consulting-companies-usa.html</v>
      </c>
      <c r="B117" s="11" t="str">
        <f>IFERROR(__xludf.DUMMYFUNCTION("""COMPUTED_VALUE"""),"Top 10 AI Consulting Companies in the USA [2026] - EffectiveSoft")</f>
        <v>Top 10 AI Consulting Companies in the USA [2026] - EffectiveSoft</v>
      </c>
      <c r="C117" s="10" t="str">
        <f>IFERROR(__xludf.DUMMYFUNCTION("""COMPUTED_VALUE"""),"effectivesoft.com")</f>
        <v>effectivesoft.com</v>
      </c>
      <c r="D117" s="11" t="str">
        <f>IFERROR(__xludf.DUMMYFUNCTION("""COMPUTED_VALUE"""),"LISTICLE")</f>
        <v>LISTICLE</v>
      </c>
      <c r="E117" s="11" t="str">
        <f>IFERROR(__xludf.DUMMYFUNCTION("""COMPUTED_VALUE"""),"CORPORATE")</f>
        <v>CORPORATE</v>
      </c>
      <c r="F117" s="11" t="str">
        <f>IFERROR(__xludf.DUMMYFUNCTION("""COMPUTED_VALUE"""),"Listicle")</f>
        <v>Listicle</v>
      </c>
      <c r="G117" s="11" t="b">
        <f>IFERROR(__xludf.DUMMYFUNCTION("""COMPUTED_VALUE"""),FALSE)</f>
        <v>0</v>
      </c>
      <c r="H117" s="11" t="str">
        <f>IFERROR(__xludf.DUMMYFUNCTION("""COMPUTED_VALUE"""),"Clutch")</f>
        <v>Clutch</v>
      </c>
      <c r="I117" s="11">
        <f>IFERROR(__xludf.DUMMYFUNCTION("""COMPUTED_VALUE"""),17.0)</f>
        <v>17</v>
      </c>
      <c r="J117" s="11">
        <f>IFERROR(__xludf.DUMMYFUNCTION("""COMPUTED_VALUE"""),0.02)</f>
        <v>0.02</v>
      </c>
      <c r="K117" s="11">
        <f>IFERROR(__xludf.DUMMYFUNCTION("""COMPUTED_VALUE"""),0.35)</f>
        <v>0.35</v>
      </c>
      <c r="L117" s="11"/>
    </row>
    <row r="118" ht="15.75" customHeight="1">
      <c r="A118" s="10" t="str">
        <f>IFERROR(__xludf.DUMMYFUNCTION("""COMPUTED_VALUE"""),"https://marketingltb.com/blog/agency/best-display-ads-agencies/")</f>
        <v>https://marketingltb.com/blog/agency/best-display-ads-agencies/</v>
      </c>
      <c r="B118" s="11" t="str">
        <f>IFERROR(__xludf.DUMMYFUNCTION("""COMPUTED_VALUE"""),"10 Best Display Ads Agencies in 2026 - Marketing LTB")</f>
        <v>10 Best Display Ads Agencies in 2026 - Marketing LTB</v>
      </c>
      <c r="C118" s="10" t="str">
        <f>IFERROR(__xludf.DUMMYFUNCTION("""COMPUTED_VALUE"""),"marketingltb.com")</f>
        <v>marketingltb.com</v>
      </c>
      <c r="D118" s="11" t="str">
        <f>IFERROR(__xludf.DUMMYFUNCTION("""COMPUTED_VALUE"""),"LISTICLE")</f>
        <v>LISTICLE</v>
      </c>
      <c r="E118" s="11" t="str">
        <f>IFERROR(__xludf.DUMMYFUNCTION("""COMPUTED_VALUE"""),"CORPORATE")</f>
        <v>CORPORATE</v>
      </c>
      <c r="F118" s="11" t="str">
        <f>IFERROR(__xludf.DUMMYFUNCTION("""COMPUTED_VALUE"""),"Listicle")</f>
        <v>Listicle</v>
      </c>
      <c r="G118" s="11" t="b">
        <f>IFERROR(__xludf.DUMMYFUNCTION("""COMPUTED_VALUE"""),FALSE)</f>
        <v>0</v>
      </c>
      <c r="H118" s="11" t="str">
        <f>IFERROR(__xludf.DUMMYFUNCTION("""COMPUTED_VALUE"""),"Disruptive Advertising, WebFX, Ignite Visibility, HawkSEM, Tinuiti, SmartSites, Directive, MuteSix, Clutch")</f>
        <v>Disruptive Advertising, WebFX, Ignite Visibility, HawkSEM, Tinuiti, SmartSites, Directive, MuteSix, Clutch</v>
      </c>
      <c r="I118" s="11">
        <f>IFERROR(__xludf.DUMMYFUNCTION("""COMPUTED_VALUE"""),17.0)</f>
        <v>17</v>
      </c>
      <c r="J118" s="11">
        <f>IFERROR(__xludf.DUMMYFUNCTION("""COMPUTED_VALUE"""),0.02)</f>
        <v>0.02</v>
      </c>
      <c r="K118" s="11">
        <f>IFERROR(__xludf.DUMMYFUNCTION("""COMPUTED_VALUE"""),3.53)</f>
        <v>3.53</v>
      </c>
      <c r="L118" s="11"/>
    </row>
    <row r="119" ht="15.75" customHeight="1">
      <c r="A119" s="10" t="str">
        <f>IFERROR(__xludf.DUMMYFUNCTION("""COMPUTED_VALUE"""),"https://www.mintcopywritingstudios.com/blog/ai-search-optimization-geo-agencies")</f>
        <v>https://www.mintcopywritingstudios.com/blog/ai-search-optimization-geo-agencies</v>
      </c>
      <c r="B119" s="11" t="str">
        <f>IFERROR(__xludf.DUMMYFUNCTION("""COMPUTED_VALUE"""),"Top Generative Engine Optimization (GEO) Agencies in 2026: 10+ AI Search Specialists Compared | Mint Studios")</f>
        <v>Top Generative Engine Optimization (GEO) Agencies in 2026: 10+ AI Search Specialists Compared | Mint Studios</v>
      </c>
      <c r="C119" s="10" t="str">
        <f>IFERROR(__xludf.DUMMYFUNCTION("""COMPUTED_VALUE"""),"mintcopywritingstudios.com")</f>
        <v>mintcopywritingstudios.com</v>
      </c>
      <c r="D119" s="11" t="str">
        <f>IFERROR(__xludf.DUMMYFUNCTION("""COMPUTED_VALUE"""),"LISTICLE")</f>
        <v>LISTICLE</v>
      </c>
      <c r="E119" s="11" t="str">
        <f>IFERROR(__xludf.DUMMYFUNCTION("""COMPUTED_VALUE"""),"CORPORATE")</f>
        <v>CORPORATE</v>
      </c>
      <c r="F119" s="11" t="str">
        <f>IFERROR(__xludf.DUMMYFUNCTION("""COMPUTED_VALUE"""),"Listicle")</f>
        <v>Listicle</v>
      </c>
      <c r="G119" s="11" t="b">
        <f>IFERROR(__xludf.DUMMYFUNCTION("""COMPUTED_VALUE"""),FALSE)</f>
        <v>0</v>
      </c>
      <c r="H119" s="11" t="str">
        <f>IFERROR(__xludf.DUMMYFUNCTION("""COMPUTED_VALUE"""),"NoGood, Intero Digital, Victorious, WebFX, The SEO Works, Siege Media, Omniscient Digital, Single Grain, Huge, Measured")</f>
        <v>NoGood, Intero Digital, Victorious, WebFX, The SEO Works, Siege Media, Omniscient Digital, Single Grain, Huge, Measured</v>
      </c>
      <c r="I119" s="11">
        <f>IFERROR(__xludf.DUMMYFUNCTION("""COMPUTED_VALUE"""),17.0)</f>
        <v>17</v>
      </c>
      <c r="J119" s="11">
        <f>IFERROR(__xludf.DUMMYFUNCTION("""COMPUTED_VALUE"""),0.02)</f>
        <v>0.02</v>
      </c>
      <c r="K119" s="11">
        <f>IFERROR(__xludf.DUMMYFUNCTION("""COMPUTED_VALUE"""),0.35)</f>
        <v>0.35</v>
      </c>
      <c r="L119" s="11"/>
    </row>
    <row r="120" ht="15.75" customHeight="1">
      <c r="A120" s="10" t="str">
        <f>IFERROR(__xludf.DUMMYFUNCTION("""COMPUTED_VALUE"""),"https://phosailabs.com/blog/best-ai-consulting-firms-marketing-agencies")</f>
        <v>https://phosailabs.com/blog/best-ai-consulting-firms-marketing-agencies</v>
      </c>
      <c r="B120" s="11" t="str">
        <f>IFERROR(__xludf.DUMMYFUNCTION("""COMPUTED_VALUE"""),"Best AI Consulting for Marketing Agencies (2026)")</f>
        <v>Best AI Consulting for Marketing Agencies (2026)</v>
      </c>
      <c r="C120" s="10" t="str">
        <f>IFERROR(__xludf.DUMMYFUNCTION("""COMPUTED_VALUE"""),"phosailabs.com")</f>
        <v>phosailabs.com</v>
      </c>
      <c r="D120" s="11" t="str">
        <f>IFERROR(__xludf.DUMMYFUNCTION("""COMPUTED_VALUE"""),"LISTICLE")</f>
        <v>LISTICLE</v>
      </c>
      <c r="E120" s="11" t="str">
        <f>IFERROR(__xludf.DUMMYFUNCTION("""COMPUTED_VALUE"""),"CORPORATE")</f>
        <v>CORPORATE</v>
      </c>
      <c r="F120" s="11" t="str">
        <f>IFERROR(__xludf.DUMMYFUNCTION("""COMPUTED_VALUE"""),"Listicle")</f>
        <v>Listicle</v>
      </c>
      <c r="G120" s="11" t="b">
        <f>IFERROR(__xludf.DUMMYFUNCTION("""COMPUTED_VALUE"""),FALSE)</f>
        <v>0</v>
      </c>
      <c r="H120" s="11"/>
      <c r="I120" s="11">
        <f>IFERROR(__xludf.DUMMYFUNCTION("""COMPUTED_VALUE"""),17.0)</f>
        <v>17</v>
      </c>
      <c r="J120" s="11">
        <f>IFERROR(__xludf.DUMMYFUNCTION("""COMPUTED_VALUE"""),0.02)</f>
        <v>0.02</v>
      </c>
      <c r="K120" s="11">
        <f>IFERROR(__xludf.DUMMYFUNCTION("""COMPUTED_VALUE"""),2.35)</f>
        <v>2.35</v>
      </c>
      <c r="L120" s="11"/>
    </row>
    <row r="121" ht="15.75" customHeight="1">
      <c r="A121" s="10" t="str">
        <f>IFERROR(__xludf.DUMMYFUNCTION("""COMPUTED_VALUE"""),"https://scalixai.com/blog/best-performance-marketing-agencies#:~:text=Growth%2Dstage%20startups.%20%24%24.%20TikTok.%20Multi%2Dchannel.%20ScalixAI.%20B2B,%2B%20SEO.%20%24%24%24.%20IKEA.%20Paid%20search%2C%20analytics.")</f>
        <v>https://scalixai.com/blog/best-performance-marketing-agencies#:~:text=Growth%2Dstage%20startups.%20%24%24.%20TikTok.%20Multi%2Dchannel.%20ScalixAI.%20B2B,%2B%20SEO.%20%24%24%24.%20IKEA.%20Paid%20search%2C%20analytics.</v>
      </c>
      <c r="B121" s="11" t="str">
        <f>IFERROR(__xludf.DUMMYFUNCTION("""COMPUTED_VALUE"""),"The Best Performance Marketing Agencies for 2026 | ScalixAI")</f>
        <v>The Best Performance Marketing Agencies for 2026 | ScalixAI</v>
      </c>
      <c r="C121" s="10" t="str">
        <f>IFERROR(__xludf.DUMMYFUNCTION("""COMPUTED_VALUE"""),"scalixai.com")</f>
        <v>scalixai.com</v>
      </c>
      <c r="D121" s="11" t="str">
        <f>IFERROR(__xludf.DUMMYFUNCTION("""COMPUTED_VALUE"""),"OTHER")</f>
        <v>OTHER</v>
      </c>
      <c r="E121" s="11" t="str">
        <f>IFERROR(__xludf.DUMMYFUNCTION("""COMPUTED_VALUE"""),"CORPORATE")</f>
        <v>CORPORATE</v>
      </c>
      <c r="F121" s="11" t="str">
        <f>IFERROR(__xludf.DUMMYFUNCTION("""COMPUTED_VALUE"""),"Other")</f>
        <v>Other</v>
      </c>
      <c r="G121" s="11" t="b">
        <f>IFERROR(__xludf.DUMMYFUNCTION("""COMPUTED_VALUE"""),FALSE)</f>
        <v>0</v>
      </c>
      <c r="H121" s="11" t="str">
        <f>IFERROR(__xludf.DUMMYFUNCTION("""COMPUTED_VALUE"""),"Directive, Refine Labs, NoGood, Hey Digital, Single Grain, Wpromote, Seer Interactive, Omniscient Digital, Darkroom, Common Thread Collective")</f>
        <v>Directive, Refine Labs, NoGood, Hey Digital, Single Grain, Wpromote, Seer Interactive, Omniscient Digital, Darkroom, Common Thread Collective</v>
      </c>
      <c r="I121" s="11">
        <f>IFERROR(__xludf.DUMMYFUNCTION("""COMPUTED_VALUE"""),17.0)</f>
        <v>17</v>
      </c>
      <c r="J121" s="11">
        <f>IFERROR(__xludf.DUMMYFUNCTION("""COMPUTED_VALUE"""),0.02)</f>
        <v>0.02</v>
      </c>
      <c r="K121" s="11">
        <f>IFERROR(__xludf.DUMMYFUNCTION("""COMPUTED_VALUE"""),1.65)</f>
        <v>1.65</v>
      </c>
      <c r="L121" s="11"/>
    </row>
    <row r="122" ht="15.75" customHeight="1">
      <c r="A122" s="10" t="str">
        <f>IFERROR(__xludf.DUMMYFUNCTION("""COMPUTED_VALUE"""),"https://thedigitalelevator.com/blog/best-generative-engine-optimization-geo-agencies/")</f>
        <v>https://thedigitalelevator.com/blog/best-generative-engine-optimization-geo-agencies/</v>
      </c>
      <c r="B122" s="11" t="str">
        <f>IFERROR(__xludf.DUMMYFUNCTION("""COMPUTED_VALUE"""),"The 12 Best Generative Engine Optimization (GEO) Agencies of 2026 | Digital Elevator")</f>
        <v>The 12 Best Generative Engine Optimization (GEO) Agencies of 2026 | Digital Elevator</v>
      </c>
      <c r="C122" s="10" t="str">
        <f>IFERROR(__xludf.DUMMYFUNCTION("""COMPUTED_VALUE"""),"thedigitalelevator.com")</f>
        <v>thedigitalelevator.com</v>
      </c>
      <c r="D122" s="11" t="str">
        <f>IFERROR(__xludf.DUMMYFUNCTION("""COMPUTED_VALUE"""),"LISTICLE")</f>
        <v>LISTICLE</v>
      </c>
      <c r="E122" s="11" t="str">
        <f>IFERROR(__xludf.DUMMYFUNCTION("""COMPUTED_VALUE"""),"CORPORATE")</f>
        <v>CORPORATE</v>
      </c>
      <c r="F122" s="11" t="str">
        <f>IFERROR(__xludf.DUMMYFUNCTION("""COMPUTED_VALUE"""),"Listicle")</f>
        <v>Listicle</v>
      </c>
      <c r="G122" s="11" t="b">
        <f>IFERROR(__xludf.DUMMYFUNCTION("""COMPUTED_VALUE"""),FALSE)</f>
        <v>0</v>
      </c>
      <c r="H122" s="11" t="str">
        <f>IFERROR(__xludf.DUMMYFUNCTION("""COMPUTED_VALUE"""),"Graphite, Directive, Animalz, Siege Media, Intero Digital, iPullRank, Go Fish Digital")</f>
        <v>Graphite, Directive, Animalz, Siege Media, Intero Digital, iPullRank, Go Fish Digital</v>
      </c>
      <c r="I122" s="11">
        <f>IFERROR(__xludf.DUMMYFUNCTION("""COMPUTED_VALUE"""),17.0)</f>
        <v>17</v>
      </c>
      <c r="J122" s="11">
        <f>IFERROR(__xludf.DUMMYFUNCTION("""COMPUTED_VALUE"""),0.02)</f>
        <v>0.02</v>
      </c>
      <c r="K122" s="11">
        <f>IFERROR(__xludf.DUMMYFUNCTION("""COMPUTED_VALUE"""),2.35)</f>
        <v>2.35</v>
      </c>
      <c r="L122" s="11"/>
    </row>
    <row r="123" ht="15.75" customHeight="1">
      <c r="A123" s="10" t="str">
        <f>IFERROR(__xludf.DUMMYFUNCTION("""COMPUTED_VALUE"""),"https://www.agencycluster.com/top-10/branding-creative-agencies")</f>
        <v>https://www.agencycluster.com/top-10/branding-creative-agencies</v>
      </c>
      <c r="B123" s="11" t="str">
        <f>IFERROR(__xludf.DUMMYFUNCTION("""COMPUTED_VALUE"""),"Top 10 Branding &amp;amp; Creative Design Agencies in the USA (2026) | AgencyCluster")</f>
        <v>Top 10 Branding &amp;amp; Creative Design Agencies in the USA (2026) | AgencyCluster</v>
      </c>
      <c r="C123" s="10" t="str">
        <f>IFERROR(__xludf.DUMMYFUNCTION("""COMPUTED_VALUE"""),"agencycluster.com")</f>
        <v>agencycluster.com</v>
      </c>
      <c r="D123" s="11" t="str">
        <f>IFERROR(__xludf.DUMMYFUNCTION("""COMPUTED_VALUE"""),"LISTICLE")</f>
        <v>LISTICLE</v>
      </c>
      <c r="E123" s="11" t="str">
        <f>IFERROR(__xludf.DUMMYFUNCTION("""COMPUTED_VALUE"""),"REFERENCE")</f>
        <v>REFERENCE</v>
      </c>
      <c r="F123" s="11" t="str">
        <f>IFERROR(__xludf.DUMMYFUNCTION("""COMPUTED_VALUE"""),"Listicle")</f>
        <v>Listicle</v>
      </c>
      <c r="G123" s="11" t="b">
        <f>IFERROR(__xludf.DUMMYFUNCTION("""COMPUTED_VALUE"""),FALSE)</f>
        <v>0</v>
      </c>
      <c r="H123" s="11" t="str">
        <f>IFERROR(__xludf.DUMMYFUNCTION("""COMPUTED_VALUE"""),"Clay, Pentagram, R/GA, Wolff Olins")</f>
        <v>Clay, Pentagram, R/GA, Wolff Olins</v>
      </c>
      <c r="I123" s="11">
        <f>IFERROR(__xludf.DUMMYFUNCTION("""COMPUTED_VALUE"""),16.0)</f>
        <v>16</v>
      </c>
      <c r="J123" s="11">
        <f>IFERROR(__xludf.DUMMYFUNCTION("""COMPUTED_VALUE"""),0.02)</f>
        <v>0.02</v>
      </c>
      <c r="K123" s="11">
        <f>IFERROR(__xludf.DUMMYFUNCTION("""COMPUTED_VALUE"""),0.38)</f>
        <v>0.38</v>
      </c>
      <c r="L123" s="11"/>
    </row>
    <row r="124" ht="15.75" customHeight="1">
      <c r="A124" s="10" t="str">
        <f>IFERROR(__xludf.DUMMYFUNCTION("""COMPUTED_VALUE"""),"https://www.agencyspotter.com/top/paid-search-and-paid-social-advertising")</f>
        <v>https://www.agencyspotter.com/top/paid-search-and-paid-social-advertising</v>
      </c>
      <c r="B124" s="11" t="str">
        <f>IFERROR(__xludf.DUMMYFUNCTION("""COMPUTED_VALUE"""),"Top 80 Paid Search &amp;amp; Paid Social Advertising Agencies Report | Agency Spotter")</f>
        <v>Top 80 Paid Search &amp;amp; Paid Social Advertising Agencies Report | Agency Spotter</v>
      </c>
      <c r="C124" s="10" t="str">
        <f>IFERROR(__xludf.DUMMYFUNCTION("""COMPUTED_VALUE"""),"agencyspotter.com")</f>
        <v>agencyspotter.com</v>
      </c>
      <c r="D124" s="11" t="str">
        <f>IFERROR(__xludf.DUMMYFUNCTION("""COMPUTED_VALUE"""),"LISTICLE")</f>
        <v>LISTICLE</v>
      </c>
      <c r="E124" s="11" t="str">
        <f>IFERROR(__xludf.DUMMYFUNCTION("""COMPUTED_VALUE"""),"REFERENCE")</f>
        <v>REFERENCE</v>
      </c>
      <c r="F124" s="11" t="str">
        <f>IFERROR(__xludf.DUMMYFUNCTION("""COMPUTED_VALUE"""),"Listicle")</f>
        <v>Listicle</v>
      </c>
      <c r="G124" s="11" t="b">
        <f>IFERROR(__xludf.DUMMYFUNCTION("""COMPUTED_VALUE"""),FALSE)</f>
        <v>0</v>
      </c>
      <c r="H124" s="11" t="str">
        <f>IFERROR(__xludf.DUMMYFUNCTION("""COMPUTED_VALUE"""),"Sociallyin, SmartSites")</f>
        <v>Sociallyin, SmartSites</v>
      </c>
      <c r="I124" s="11">
        <f>IFERROR(__xludf.DUMMYFUNCTION("""COMPUTED_VALUE"""),16.0)</f>
        <v>16</v>
      </c>
      <c r="J124" s="11">
        <f>IFERROR(__xludf.DUMMYFUNCTION("""COMPUTED_VALUE"""),0.02)</f>
        <v>0.02</v>
      </c>
      <c r="K124" s="11">
        <f>IFERROR(__xludf.DUMMYFUNCTION("""COMPUTED_VALUE"""),1.0)</f>
        <v>1</v>
      </c>
      <c r="L124" s="11"/>
    </row>
    <row r="125" ht="15.75" customHeight="1">
      <c r="A125" s="10" t="str">
        <f>IFERROR(__xludf.DUMMYFUNCTION("""COMPUTED_VALUE"""),"https://www.aimerce.ai/blogs/seo/top-5-incrementality-testing-tools-for-dtc-brands-in-2026")</f>
        <v>https://www.aimerce.ai/blogs/seo/top-5-incrementality-testing-tools-for-dtc-brands-in-2026</v>
      </c>
      <c r="B125" s="11" t="str">
        <f>IFERROR(__xludf.DUMMYFUNCTION("""COMPUTED_VALUE"""),"Top 5 Incrementality Testing Tools for DTC Brands in 2026")</f>
        <v>Top 5 Incrementality Testing Tools for DTC Brands in 2026</v>
      </c>
      <c r="C125" s="10" t="str">
        <f>IFERROR(__xludf.DUMMYFUNCTION("""COMPUTED_VALUE"""),"aimerce.ai")</f>
        <v>aimerce.ai</v>
      </c>
      <c r="D125" s="11" t="str">
        <f>IFERROR(__xludf.DUMMYFUNCTION("""COMPUTED_VALUE"""),"LISTICLE")</f>
        <v>LISTICLE</v>
      </c>
      <c r="E125" s="11" t="str">
        <f>IFERROR(__xludf.DUMMYFUNCTION("""COMPUTED_VALUE"""),"CORPORATE")</f>
        <v>CORPORATE</v>
      </c>
      <c r="F125" s="11" t="str">
        <f>IFERROR(__xludf.DUMMYFUNCTION("""COMPUTED_VALUE"""),"Listicle")</f>
        <v>Listicle</v>
      </c>
      <c r="G125" s="11" t="b">
        <f>IFERROR(__xludf.DUMMYFUNCTION("""COMPUTED_VALUE"""),FALSE)</f>
        <v>0</v>
      </c>
      <c r="H125" s="11" t="str">
        <f>IFERROR(__xludf.DUMMYFUNCTION("""COMPUTED_VALUE"""),"Northbeam, Triple Whale, Measured")</f>
        <v>Northbeam, Triple Whale, Measured</v>
      </c>
      <c r="I125" s="11">
        <f>IFERROR(__xludf.DUMMYFUNCTION("""COMPUTED_VALUE"""),16.0)</f>
        <v>16</v>
      </c>
      <c r="J125" s="11">
        <f>IFERROR(__xludf.DUMMYFUNCTION("""COMPUTED_VALUE"""),0.02)</f>
        <v>0.02</v>
      </c>
      <c r="K125" s="11">
        <f>IFERROR(__xludf.DUMMYFUNCTION("""COMPUTED_VALUE"""),0.69)</f>
        <v>0.69</v>
      </c>
      <c r="L125" s="11"/>
    </row>
    <row r="126" ht="15.75" customHeight="1">
      <c r="A126" s="10" t="str">
        <f>IFERROR(__xludf.DUMMYFUNCTION("""COMPUTED_VALUE"""),"https://www.andersoncollaborative.com/best-growth-marketing-agencies-in-the-united-states-accelerating-brand-expansion-through-innovative-strategies/")</f>
        <v>https://www.andersoncollaborative.com/best-growth-marketing-agencies-in-the-united-states-accelerating-brand-expansion-through-innovative-strategies/</v>
      </c>
      <c r="B126" s="11" t="str">
        <f>IFERROR(__xludf.DUMMYFUNCTION("""COMPUTED_VALUE"""),"Best Growth Marketing Agencies in the United States (2026 Rankings)")</f>
        <v>Best Growth Marketing Agencies in the United States (2026 Rankings)</v>
      </c>
      <c r="C126" s="10" t="str">
        <f>IFERROR(__xludf.DUMMYFUNCTION("""COMPUTED_VALUE"""),"andersoncollaborative.com")</f>
        <v>andersoncollaborative.com</v>
      </c>
      <c r="D126" s="11" t="str">
        <f>IFERROR(__xludf.DUMMYFUNCTION("""COMPUTED_VALUE"""),"LISTICLE")</f>
        <v>LISTICLE</v>
      </c>
      <c r="E126" s="11" t="str">
        <f>IFERROR(__xludf.DUMMYFUNCTION("""COMPUTED_VALUE"""),"CORPORATE")</f>
        <v>CORPORATE</v>
      </c>
      <c r="F126" s="11" t="str">
        <f>IFERROR(__xludf.DUMMYFUNCTION("""COMPUTED_VALUE"""),"Listicle")</f>
        <v>Listicle</v>
      </c>
      <c r="G126" s="11" t="b">
        <f>IFERROR(__xludf.DUMMYFUNCTION("""COMPUTED_VALUE"""),FALSE)</f>
        <v>0</v>
      </c>
      <c r="H126" s="11" t="str">
        <f>IFERROR(__xludf.DUMMYFUNCTION("""COMPUTED_VALUE"""),"Tinuiti, Power Digital, NoGood, Directive, KlientBoost, Single Grain, Metric Theory, WebFX, Disruptive Advertising, NP Digital, Wpromote, Seer Interactive, Thrive Internet Marketing Agency")</f>
        <v>Tinuiti, Power Digital, NoGood, Directive, KlientBoost, Single Grain, Metric Theory, WebFX, Disruptive Advertising, NP Digital, Wpromote, Seer Interactive, Thrive Internet Marketing Agency</v>
      </c>
      <c r="I126" s="11">
        <f>IFERROR(__xludf.DUMMYFUNCTION("""COMPUTED_VALUE"""),16.0)</f>
        <v>16</v>
      </c>
      <c r="J126" s="11">
        <f>IFERROR(__xludf.DUMMYFUNCTION("""COMPUTED_VALUE"""),0.02)</f>
        <v>0.02</v>
      </c>
      <c r="K126" s="11">
        <f>IFERROR(__xludf.DUMMYFUNCTION("""COMPUTED_VALUE"""),1.13)</f>
        <v>1.13</v>
      </c>
      <c r="L126" s="11"/>
    </row>
    <row r="127" ht="15.75" customHeight="1">
      <c r="A127" s="10" t="str">
        <f>IFERROR(__xludf.DUMMYFUNCTION("""COMPUTED_VALUE"""),"https://www.businessofapps.com/marketplace/ai-marketing/")</f>
        <v>https://www.businessofapps.com/marketplace/ai-marketing/</v>
      </c>
      <c r="B127" s="11" t="str">
        <f>IFERROR(__xludf.DUMMYFUNCTION("""COMPUTED_VALUE"""),"Top AI Marketing Companies (2026) - Business of Apps")</f>
        <v>Top AI Marketing Companies (2026) - Business of Apps</v>
      </c>
      <c r="C127" s="10" t="str">
        <f>IFERROR(__xludf.DUMMYFUNCTION("""COMPUTED_VALUE"""),"businessofapps.com")</f>
        <v>businessofapps.com</v>
      </c>
      <c r="D127" s="11" t="str">
        <f>IFERROR(__xludf.DUMMYFUNCTION("""COMPUTED_VALUE"""),"PROFILE")</f>
        <v>PROFILE</v>
      </c>
      <c r="E127" s="11" t="str">
        <f>IFERROR(__xludf.DUMMYFUNCTION("""COMPUTED_VALUE"""),"EDITORIAL")</f>
        <v>EDITORIAL</v>
      </c>
      <c r="F127" s="11" t="str">
        <f>IFERROR(__xludf.DUMMYFUNCTION("""COMPUTED_VALUE"""),"Profile")</f>
        <v>Profile</v>
      </c>
      <c r="G127" s="11" t="b">
        <f>IFERROR(__xludf.DUMMYFUNCTION("""COMPUTED_VALUE"""),FALSE)</f>
        <v>0</v>
      </c>
      <c r="H127" s="11" t="str">
        <f>IFERROR(__xludf.DUMMYFUNCTION("""COMPUTED_VALUE"""),"Huge, NinjaPromo, Anomaly")</f>
        <v>Huge, NinjaPromo, Anomaly</v>
      </c>
      <c r="I127" s="11">
        <f>IFERROR(__xludf.DUMMYFUNCTION("""COMPUTED_VALUE"""),16.0)</f>
        <v>16</v>
      </c>
      <c r="J127" s="11">
        <f>IFERROR(__xludf.DUMMYFUNCTION("""COMPUTED_VALUE"""),0.02)</f>
        <v>0.02</v>
      </c>
      <c r="K127" s="11">
        <f>IFERROR(__xludf.DUMMYFUNCTION("""COMPUTED_VALUE"""),0.19)</f>
        <v>0.19</v>
      </c>
      <c r="L127" s="11"/>
    </row>
    <row r="128" ht="15.75" customHeight="1">
      <c r="A128" s="10" t="str">
        <f>IFERROR(__xludf.DUMMYFUNCTION("""COMPUTED_VALUE"""),"https://clutch.co/us/agencies/media-buying")</f>
        <v>https://clutch.co/us/agencies/media-buying</v>
      </c>
      <c r="B128" s="11" t="str">
        <f>IFERROR(__xludf.DUMMYFUNCTION("""COMPUTED_VALUE"""),"Top Media Buying Agencies in the United States - Jul 2026 Rankings \| Clutch.co")</f>
        <v>Top Media Buying Agencies in the United States - Jul 2026 Rankings \| Clutch.co</v>
      </c>
      <c r="C128" s="10" t="str">
        <f>IFERROR(__xludf.DUMMYFUNCTION("""COMPUTED_VALUE"""),"clutch.co")</f>
        <v>clutch.co</v>
      </c>
      <c r="D128" s="11" t="str">
        <f>IFERROR(__xludf.DUMMYFUNCTION("""COMPUTED_VALUE"""),"CATEGORY_PAGE")</f>
        <v>CATEGORY_PAGE</v>
      </c>
      <c r="E128" s="11" t="str">
        <f>IFERROR(__xludf.DUMMYFUNCTION("""COMPUTED_VALUE"""),"COMPETITOR")</f>
        <v>COMPETITOR</v>
      </c>
      <c r="F128" s="11" t="str">
        <f>IFERROR(__xludf.DUMMYFUNCTION("""COMPUTED_VALUE"""),"Category Page")</f>
        <v>Category Page</v>
      </c>
      <c r="G128" s="11" t="b">
        <f>IFERROR(__xludf.DUMMYFUNCTION("""COMPUTED_VALUE"""),FALSE)</f>
        <v>0</v>
      </c>
      <c r="H128" s="11" t="str">
        <f>IFERROR(__xludf.DUMMYFUNCTION("""COMPUTED_VALUE"""),"Clutch, Accelerated Digital Media")</f>
        <v>Clutch, Accelerated Digital Media</v>
      </c>
      <c r="I128" s="11">
        <f>IFERROR(__xludf.DUMMYFUNCTION("""COMPUTED_VALUE"""),16.0)</f>
        <v>16</v>
      </c>
      <c r="J128" s="11">
        <f>IFERROR(__xludf.DUMMYFUNCTION("""COMPUTED_VALUE"""),0.02)</f>
        <v>0.02</v>
      </c>
      <c r="K128" s="11">
        <f>IFERROR(__xludf.DUMMYFUNCTION("""COMPUTED_VALUE"""),0.19)</f>
        <v>0.19</v>
      </c>
      <c r="L128" s="11"/>
    </row>
    <row r="129" ht="15.75" customHeight="1">
      <c r="A129" s="10" t="str">
        <f>IFERROR(__xludf.DUMMYFUNCTION("""COMPUTED_VALUE"""),"https://www.designrush.com/agency/digital-marketing/artificial-intelligence")</f>
        <v>https://www.designrush.com/agency/digital-marketing/artificial-intelligence</v>
      </c>
      <c r="B129" s="11" t="str">
        <f>IFERROR(__xludf.DUMMYFUNCTION("""COMPUTED_VALUE"""),"Top AI Marketing Companies in 2026")</f>
        <v>Top AI Marketing Companies in 2026</v>
      </c>
      <c r="C129" s="10" t="str">
        <f>IFERROR(__xludf.DUMMYFUNCTION("""COMPUTED_VALUE"""),"designrush.com")</f>
        <v>designrush.com</v>
      </c>
      <c r="D129" s="11" t="str">
        <f>IFERROR(__xludf.DUMMYFUNCTION("""COMPUTED_VALUE"""),"LISTICLE")</f>
        <v>LISTICLE</v>
      </c>
      <c r="E129" s="11" t="str">
        <f>IFERROR(__xludf.DUMMYFUNCTION("""COMPUTED_VALUE"""),"CORPORATE")</f>
        <v>CORPORATE</v>
      </c>
      <c r="F129" s="11" t="str">
        <f>IFERROR(__xludf.DUMMYFUNCTION("""COMPUTED_VALUE"""),"Listicle")</f>
        <v>Listicle</v>
      </c>
      <c r="G129" s="11" t="b">
        <f>IFERROR(__xludf.DUMMYFUNCTION("""COMPUTED_VALUE"""),FALSE)</f>
        <v>0</v>
      </c>
      <c r="H129" s="11" t="str">
        <f>IFERROR(__xludf.DUMMYFUNCTION("""COMPUTED_VALUE"""),"Amsive, Single Grain, Jellyfish, Major Tom, Searchbloom, SmartSites, Funnel Boost Media, Huge, Intero Digital, Disruptive Advertising, NinjaPromo, PwC, WebFX, IBM")</f>
        <v>Amsive, Single Grain, Jellyfish, Major Tom, Searchbloom, SmartSites, Funnel Boost Media, Huge, Intero Digital, Disruptive Advertising, NinjaPromo, PwC, WebFX, IBM</v>
      </c>
      <c r="I129" s="11">
        <f>IFERROR(__xludf.DUMMYFUNCTION("""COMPUTED_VALUE"""),16.0)</f>
        <v>16</v>
      </c>
      <c r="J129" s="11">
        <f>IFERROR(__xludf.DUMMYFUNCTION("""COMPUTED_VALUE"""),0.02)</f>
        <v>0.02</v>
      </c>
      <c r="K129" s="11">
        <f>IFERROR(__xludf.DUMMYFUNCTION("""COMPUTED_VALUE"""),0.19)</f>
        <v>0.19</v>
      </c>
      <c r="L129" s="11"/>
    </row>
    <row r="130" ht="15.75" customHeight="1">
      <c r="A130" s="10" t="str">
        <f>IFERROR(__xludf.DUMMYFUNCTION("""COMPUTED_VALUE"""),"https://digitalagencynetwork.com/agencies/usa/")</f>
        <v>https://digitalagencynetwork.com/agencies/usa/</v>
      </c>
      <c r="B130" s="11" t="str">
        <f>IFERROR(__xludf.DUMMYFUNCTION("""COMPUTED_VALUE"""),"Top Digital Marketing Agencies in USA (2026)")</f>
        <v>Top Digital Marketing Agencies in USA (2026)</v>
      </c>
      <c r="C130" s="10" t="str">
        <f>IFERROR(__xludf.DUMMYFUNCTION("""COMPUTED_VALUE"""),"digitalagencynetwork.com")</f>
        <v>digitalagencynetwork.com</v>
      </c>
      <c r="D130" s="11" t="str">
        <f>IFERROR(__xludf.DUMMYFUNCTION("""COMPUTED_VALUE"""),"CATEGORY_PAGE")</f>
        <v>CATEGORY_PAGE</v>
      </c>
      <c r="E130" s="11" t="str">
        <f>IFERROR(__xludf.DUMMYFUNCTION("""COMPUTED_VALUE"""),"REFERENCE")</f>
        <v>REFERENCE</v>
      </c>
      <c r="F130" s="11" t="str">
        <f>IFERROR(__xludf.DUMMYFUNCTION("""COMPUTED_VALUE"""),"Category Page")</f>
        <v>Category Page</v>
      </c>
      <c r="G130" s="11" t="b">
        <f>IFERROR(__xludf.DUMMYFUNCTION("""COMPUTED_VALUE"""),FALSE)</f>
        <v>0</v>
      </c>
      <c r="H130" s="11" t="str">
        <f>IFERROR(__xludf.DUMMYFUNCTION("""COMPUTED_VALUE"""),"Major Tom, Ignite Visibility, Dentsu, NinjaPromo, PwC, Monks, SmartSites, Victorious, BCG, Clay, Brighter Click, NoGood, Web Tonic, Amsive")</f>
        <v>Major Tom, Ignite Visibility, Dentsu, NinjaPromo, PwC, Monks, SmartSites, Victorious, BCG, Clay, Brighter Click, NoGood, Web Tonic, Amsive</v>
      </c>
      <c r="I130" s="11">
        <f>IFERROR(__xludf.DUMMYFUNCTION("""COMPUTED_VALUE"""),16.0)</f>
        <v>16</v>
      </c>
      <c r="J130" s="11">
        <f>IFERROR(__xludf.DUMMYFUNCTION("""COMPUTED_VALUE"""),0.02)</f>
        <v>0.02</v>
      </c>
      <c r="K130" s="11">
        <f>IFERROR(__xludf.DUMMYFUNCTION("""COMPUTED_VALUE"""),0.0)</f>
        <v>0</v>
      </c>
      <c r="L130" s="11"/>
    </row>
    <row r="131" ht="15.75" customHeight="1">
      <c r="A131" s="10" t="str">
        <f>IFERROR(__xludf.DUMMYFUNCTION("""COMPUTED_VALUE"""),"https://digitalagencynetwork.com/agencies/usa/geo/")</f>
        <v>https://digitalagencynetwork.com/agencies/usa/geo/</v>
      </c>
      <c r="B131" s="11" t="str">
        <f>IFERROR(__xludf.DUMMYFUNCTION("""COMPUTED_VALUE"""),"Top GEO Agencies in USA for Generative Engine Optimization (2026)")</f>
        <v>Top GEO Agencies in USA for Generative Engine Optimization (2026)</v>
      </c>
      <c r="C131" s="10" t="str">
        <f>IFERROR(__xludf.DUMMYFUNCTION("""COMPUTED_VALUE"""),"digitalagencynetwork.com")</f>
        <v>digitalagencynetwork.com</v>
      </c>
      <c r="D131" s="11" t="str">
        <f>IFERROR(__xludf.DUMMYFUNCTION("""COMPUTED_VALUE"""),"PROFILE")</f>
        <v>PROFILE</v>
      </c>
      <c r="E131" s="11" t="str">
        <f>IFERROR(__xludf.DUMMYFUNCTION("""COMPUTED_VALUE"""),"REFERENCE")</f>
        <v>REFERENCE</v>
      </c>
      <c r="F131" s="11" t="str">
        <f>IFERROR(__xludf.DUMMYFUNCTION("""COMPUTED_VALUE"""),"Profile")</f>
        <v>Profile</v>
      </c>
      <c r="G131" s="11" t="b">
        <f>IFERROR(__xludf.DUMMYFUNCTION("""COMPUTED_VALUE"""),FALSE)</f>
        <v>0</v>
      </c>
      <c r="H131" s="11" t="str">
        <f>IFERROR(__xludf.DUMMYFUNCTION("""COMPUTED_VALUE"""),"Measured, Amsive, NoGood, Major Tom, Victorious, BCG, Web Tonic, Ignite Visibility")</f>
        <v>Measured, Amsive, NoGood, Major Tom, Victorious, BCG, Web Tonic, Ignite Visibility</v>
      </c>
      <c r="I131" s="11">
        <f>IFERROR(__xludf.DUMMYFUNCTION("""COMPUTED_VALUE"""),16.0)</f>
        <v>16</v>
      </c>
      <c r="J131" s="11">
        <f>IFERROR(__xludf.DUMMYFUNCTION("""COMPUTED_VALUE"""),0.02)</f>
        <v>0.02</v>
      </c>
      <c r="K131" s="11">
        <f>IFERROR(__xludf.DUMMYFUNCTION("""COMPUTED_VALUE"""),0.56)</f>
        <v>0.56</v>
      </c>
      <c r="L131" s="11"/>
    </row>
    <row r="132" ht="15.75" customHeight="1">
      <c r="A132" s="10" t="str">
        <f>IFERROR(__xludf.DUMMYFUNCTION("""COMPUTED_VALUE"""),"https://digitalnomadshq.com.au/blog/marketing-agencies-usa/")</f>
        <v>https://digitalnomadshq.com.au/blog/marketing-agencies-usa/</v>
      </c>
      <c r="B132" s="11" t="str">
        <f>IFERROR(__xludf.DUMMYFUNCTION("""COMPUTED_VALUE"""),"15 Top Marketing Agencies in the USA [2026]")</f>
        <v>15 Top Marketing Agencies in the USA [2026]</v>
      </c>
      <c r="C132" s="10" t="str">
        <f>IFERROR(__xludf.DUMMYFUNCTION("""COMPUTED_VALUE"""),"digitalnomadshq.com.au")</f>
        <v>digitalnomadshq.com.au</v>
      </c>
      <c r="D132" s="11" t="str">
        <f>IFERROR(__xludf.DUMMYFUNCTION("""COMPUTED_VALUE"""),"LISTICLE")</f>
        <v>LISTICLE</v>
      </c>
      <c r="E132" s="11" t="str">
        <f>IFERROR(__xludf.DUMMYFUNCTION("""COMPUTED_VALUE"""),"EDITORIAL")</f>
        <v>EDITORIAL</v>
      </c>
      <c r="F132" s="11" t="str">
        <f>IFERROR(__xludf.DUMMYFUNCTION("""COMPUTED_VALUE"""),"Listicle")</f>
        <v>Listicle</v>
      </c>
      <c r="G132" s="11" t="b">
        <f>IFERROR(__xludf.DUMMYFUNCTION("""COMPUTED_VALUE"""),FALSE)</f>
        <v>0</v>
      </c>
      <c r="H132" s="11" t="str">
        <f>IFERROR(__xludf.DUMMYFUNCTION("""COMPUTED_VALUE"""),"BBDO, Ogilvy, SmartSites, NoGood, Clutch, Wieden+Kennedy, Ignite Visibility, Major Tom, Metric Theory, Disruptive Advertising")</f>
        <v>BBDO, Ogilvy, SmartSites, NoGood, Clutch, Wieden+Kennedy, Ignite Visibility, Major Tom, Metric Theory, Disruptive Advertising</v>
      </c>
      <c r="I132" s="11">
        <f>IFERROR(__xludf.DUMMYFUNCTION("""COMPUTED_VALUE"""),16.0)</f>
        <v>16</v>
      </c>
      <c r="J132" s="11">
        <f>IFERROR(__xludf.DUMMYFUNCTION("""COMPUTED_VALUE"""),0.02)</f>
        <v>0.02</v>
      </c>
      <c r="K132" s="11">
        <f>IFERROR(__xludf.DUMMYFUNCTION("""COMPUTED_VALUE"""),0.75)</f>
        <v>0.75</v>
      </c>
      <c r="L132" s="11"/>
    </row>
    <row r="133" ht="15.75" customHeight="1">
      <c r="A133" s="10" t="str">
        <f>IFERROR(__xludf.DUMMYFUNCTION("""COMPUTED_VALUE"""),"https://www.hockeystack.com/blog-posts/best-marketing-attribution-software")</f>
        <v>https://www.hockeystack.com/blog-posts/best-marketing-attribution-software</v>
      </c>
      <c r="B133" s="11" t="str">
        <f>IFERROR(__xludf.DUMMYFUNCTION("""COMPUTED_VALUE"""),"19 Best Marketing Attribution Software Solutions Reviewed for 2026")</f>
        <v>19 Best Marketing Attribution Software Solutions Reviewed for 2026</v>
      </c>
      <c r="C133" s="10" t="str">
        <f>IFERROR(__xludf.DUMMYFUNCTION("""COMPUTED_VALUE"""),"hockeystack.com")</f>
        <v>hockeystack.com</v>
      </c>
      <c r="D133" s="11" t="str">
        <f>IFERROR(__xludf.DUMMYFUNCTION("""COMPUTED_VALUE"""),"LISTICLE")</f>
        <v>LISTICLE</v>
      </c>
      <c r="E133" s="11" t="str">
        <f>IFERROR(__xludf.DUMMYFUNCTION("""COMPUTED_VALUE"""),"COMPETITOR")</f>
        <v>COMPETITOR</v>
      </c>
      <c r="F133" s="11" t="str">
        <f>IFERROR(__xludf.DUMMYFUNCTION("""COMPUTED_VALUE"""),"Listicle")</f>
        <v>Listicle</v>
      </c>
      <c r="G133" s="11" t="b">
        <f>IFERROR(__xludf.DUMMYFUNCTION("""COMPUTED_VALUE"""),FALSE)</f>
        <v>0</v>
      </c>
      <c r="H133" s="11" t="str">
        <f>IFERROR(__xludf.DUMMYFUNCTION("""COMPUTED_VALUE"""),"HockeyStack, Ruler Analytics, Anomaly, Triple Whale, Rockerbox, Northbeam")</f>
        <v>HockeyStack, Ruler Analytics, Anomaly, Triple Whale, Rockerbox, Northbeam</v>
      </c>
      <c r="I133" s="11">
        <f>IFERROR(__xludf.DUMMYFUNCTION("""COMPUTED_VALUE"""),16.0)</f>
        <v>16</v>
      </c>
      <c r="J133" s="11">
        <f>IFERROR(__xludf.DUMMYFUNCTION("""COMPUTED_VALUE"""),0.02)</f>
        <v>0.02</v>
      </c>
      <c r="K133" s="11">
        <f>IFERROR(__xludf.DUMMYFUNCTION("""COMPUTED_VALUE"""),0.06)</f>
        <v>0.06</v>
      </c>
      <c r="L133" s="11"/>
    </row>
    <row r="134" ht="15.75" customHeight="1">
      <c r="A134" s="10" t="str">
        <f>IFERROR(__xludf.DUMMYFUNCTION("""COMPUTED_VALUE"""),"https://marketinginsidergroup.com/content-marketing/best-geo-aeo-agencies-in-us/")</f>
        <v>https://marketinginsidergroup.com/content-marketing/best-geo-aeo-agencies-in-us/</v>
      </c>
      <c r="B134" s="11" t="str">
        <f>IFERROR(__xludf.DUMMYFUNCTION("""COMPUTED_VALUE"""),"The Best Generative Engine Optimization (GEO/AEO) Agencies In The US - Marketing Insider Group")</f>
        <v>The Best Generative Engine Optimization (GEO/AEO) Agencies In The US - Marketing Insider Group</v>
      </c>
      <c r="C134" s="10" t="str">
        <f>IFERROR(__xludf.DUMMYFUNCTION("""COMPUTED_VALUE"""),"marketinginsidergroup.com")</f>
        <v>marketinginsidergroup.com</v>
      </c>
      <c r="D134" s="11" t="str">
        <f>IFERROR(__xludf.DUMMYFUNCTION("""COMPUTED_VALUE"""),"LISTICLE")</f>
        <v>LISTICLE</v>
      </c>
      <c r="E134" s="11" t="str">
        <f>IFERROR(__xludf.DUMMYFUNCTION("""COMPUTED_VALUE"""),"EDITORIAL")</f>
        <v>EDITORIAL</v>
      </c>
      <c r="F134" s="11" t="str">
        <f>IFERROR(__xludf.DUMMYFUNCTION("""COMPUTED_VALUE"""),"Listicle")</f>
        <v>Listicle</v>
      </c>
      <c r="G134" s="11" t="b">
        <f>IFERROR(__xludf.DUMMYFUNCTION("""COMPUTED_VALUE"""),FALSE)</f>
        <v>0</v>
      </c>
      <c r="H134" s="11" t="str">
        <f>IFERROR(__xludf.DUMMYFUNCTION("""COMPUTED_VALUE"""),"NP Digital, Single Grain, Victorious, Ignite Visibility, Siege Media, Directive, Omniscient Digital, Animalz")</f>
        <v>NP Digital, Single Grain, Victorious, Ignite Visibility, Siege Media, Directive, Omniscient Digital, Animalz</v>
      </c>
      <c r="I134" s="11">
        <f>IFERROR(__xludf.DUMMYFUNCTION("""COMPUTED_VALUE"""),16.0)</f>
        <v>16</v>
      </c>
      <c r="J134" s="11">
        <f>IFERROR(__xludf.DUMMYFUNCTION("""COMPUTED_VALUE"""),0.02)</f>
        <v>0.02</v>
      </c>
      <c r="K134" s="11">
        <f>IFERROR(__xludf.DUMMYFUNCTION("""COMPUTED_VALUE"""),0.13)</f>
        <v>0.13</v>
      </c>
      <c r="L134" s="11"/>
    </row>
    <row r="135" ht="15.75" customHeight="1">
      <c r="A135" s="10" t="str">
        <f>IFERROR(__xludf.DUMMYFUNCTION("""COMPUTED_VALUE"""),"https://qoulomb.com/best-ai-seo-agencies-in-the-usa/")</f>
        <v>https://qoulomb.com/best-ai-seo-agencies-in-the-usa/</v>
      </c>
      <c r="B135" s="11" t="str">
        <f>IFERROR(__xludf.DUMMYFUNCTION("""COMPUTED_VALUE"""),"7 Best AI SEO Agencies in the USA (2026)")</f>
        <v>7 Best AI SEO Agencies in the USA (2026)</v>
      </c>
      <c r="C135" s="10" t="str">
        <f>IFERROR(__xludf.DUMMYFUNCTION("""COMPUTED_VALUE"""),"qoulomb.com")</f>
        <v>qoulomb.com</v>
      </c>
      <c r="D135" s="11" t="str">
        <f>IFERROR(__xludf.DUMMYFUNCTION("""COMPUTED_VALUE"""),"LISTICLE")</f>
        <v>LISTICLE</v>
      </c>
      <c r="E135" s="11" t="str">
        <f>IFERROR(__xludf.DUMMYFUNCTION("""COMPUTED_VALUE"""),"CORPORATE")</f>
        <v>CORPORATE</v>
      </c>
      <c r="F135" s="11" t="str">
        <f>IFERROR(__xludf.DUMMYFUNCTION("""COMPUTED_VALUE"""),"Listicle")</f>
        <v>Listicle</v>
      </c>
      <c r="G135" s="11" t="b">
        <f>IFERROR(__xludf.DUMMYFUNCTION("""COMPUTED_VALUE"""),FALSE)</f>
        <v>0</v>
      </c>
      <c r="H135" s="11" t="str">
        <f>IFERROR(__xludf.DUMMYFUNCTION("""COMPUTED_VALUE"""),"Searchbloom, iPullRank, Seer Interactive, Omniscient Digital, Single Grain, Clutch, Victorious, Siege Media, Directive, Measured")</f>
        <v>Searchbloom, iPullRank, Seer Interactive, Omniscient Digital, Single Grain, Clutch, Victorious, Siege Media, Directive, Measured</v>
      </c>
      <c r="I135" s="11">
        <f>IFERROR(__xludf.DUMMYFUNCTION("""COMPUTED_VALUE"""),16.0)</f>
        <v>16</v>
      </c>
      <c r="J135" s="11">
        <f>IFERROR(__xludf.DUMMYFUNCTION("""COMPUTED_VALUE"""),0.02)</f>
        <v>0.02</v>
      </c>
      <c r="K135" s="11">
        <f>IFERROR(__xludf.DUMMYFUNCTION("""COMPUTED_VALUE"""),1.06)</f>
        <v>1.06</v>
      </c>
      <c r="L135" s="11"/>
    </row>
    <row r="136" ht="15.75" customHeight="1">
      <c r="A136" s="10" t="str">
        <f>IFERROR(__xludf.DUMMYFUNCTION("""COMPUTED_VALUE"""),"https://www.relevance.com/2026-report-the-best-generative-engine-optimization-agencies/")</f>
        <v>https://www.relevance.com/2026-report-the-best-generative-engine-optimization-agencies/</v>
      </c>
      <c r="B136" s="11" t="str">
        <f>IFERROR(__xludf.DUMMYFUNCTION("""COMPUTED_VALUE"""),"The Best Generative Engine Optimization Agencies [2026 Report] - Relevance")</f>
        <v>The Best Generative Engine Optimization Agencies [2026 Report] - Relevance</v>
      </c>
      <c r="C136" s="10" t="str">
        <f>IFERROR(__xludf.DUMMYFUNCTION("""COMPUTED_VALUE"""),"relevance.com")</f>
        <v>relevance.com</v>
      </c>
      <c r="D136" s="11" t="str">
        <f>IFERROR(__xludf.DUMMYFUNCTION("""COMPUTED_VALUE"""),"LISTICLE")</f>
        <v>LISTICLE</v>
      </c>
      <c r="E136" s="11" t="str">
        <f>IFERROR(__xludf.DUMMYFUNCTION("""COMPUTED_VALUE"""),"CORPORATE")</f>
        <v>CORPORATE</v>
      </c>
      <c r="F136" s="11" t="str">
        <f>IFERROR(__xludf.DUMMYFUNCTION("""COMPUTED_VALUE"""),"Listicle")</f>
        <v>Listicle</v>
      </c>
      <c r="G136" s="11" t="b">
        <f>IFERROR(__xludf.DUMMYFUNCTION("""COMPUTED_VALUE"""),FALSE)</f>
        <v>0</v>
      </c>
      <c r="H136" s="11" t="str">
        <f>IFERROR(__xludf.DUMMYFUNCTION("""COMPUTED_VALUE"""),"Go Fish Digital, Siege Media, Victorious, Omniscient Digital, Directive")</f>
        <v>Go Fish Digital, Siege Media, Victorious, Omniscient Digital, Directive</v>
      </c>
      <c r="I136" s="11">
        <f>IFERROR(__xludf.DUMMYFUNCTION("""COMPUTED_VALUE"""),16.0)</f>
        <v>16</v>
      </c>
      <c r="J136" s="11">
        <f>IFERROR(__xludf.DUMMYFUNCTION("""COMPUTED_VALUE"""),0.02)</f>
        <v>0.02</v>
      </c>
      <c r="K136" s="11">
        <f>IFERROR(__xludf.DUMMYFUNCTION("""COMPUTED_VALUE"""),2.5)</f>
        <v>2.5</v>
      </c>
      <c r="L136" s="11"/>
    </row>
    <row r="137" ht="15.75" customHeight="1">
      <c r="A137" s="10" t="str">
        <f>IFERROR(__xludf.DUMMYFUNCTION("""COMPUTED_VALUE"""),"https://scopicstudios.com/blog/top-marketing-analytics-agencies/")</f>
        <v>https://scopicstudios.com/blog/top-marketing-analytics-agencies/</v>
      </c>
      <c r="B137" s="11" t="str">
        <f>IFERROR(__xludf.DUMMYFUNCTION("""COMPUTED_VALUE"""),"Top Marketing Analytics Agencies in 2026")</f>
        <v>Top Marketing Analytics Agencies in 2026</v>
      </c>
      <c r="C137" s="10" t="str">
        <f>IFERROR(__xludf.DUMMYFUNCTION("""COMPUTED_VALUE"""),"scopicstudios.com")</f>
        <v>scopicstudios.com</v>
      </c>
      <c r="D137" s="11" t="str">
        <f>IFERROR(__xludf.DUMMYFUNCTION("""COMPUTED_VALUE"""),"LISTICLE")</f>
        <v>LISTICLE</v>
      </c>
      <c r="E137" s="11" t="str">
        <f>IFERROR(__xludf.DUMMYFUNCTION("""COMPUTED_VALUE"""),"CORPORATE")</f>
        <v>CORPORATE</v>
      </c>
      <c r="F137" s="11" t="str">
        <f>IFERROR(__xludf.DUMMYFUNCTION("""COMPUTED_VALUE"""),"Listicle")</f>
        <v>Listicle</v>
      </c>
      <c r="G137" s="11" t="b">
        <f>IFERROR(__xludf.DUMMYFUNCTION("""COMPUTED_VALUE"""),FALSE)</f>
        <v>0</v>
      </c>
      <c r="H137" s="11" t="str">
        <f>IFERROR(__xludf.DUMMYFUNCTION("""COMPUTED_VALUE"""),"Clutch")</f>
        <v>Clutch</v>
      </c>
      <c r="I137" s="11">
        <f>IFERROR(__xludf.DUMMYFUNCTION("""COMPUTED_VALUE"""),16.0)</f>
        <v>16</v>
      </c>
      <c r="J137" s="11">
        <f>IFERROR(__xludf.DUMMYFUNCTION("""COMPUTED_VALUE"""),0.02)</f>
        <v>0.02</v>
      </c>
      <c r="K137" s="11">
        <f>IFERROR(__xludf.DUMMYFUNCTION("""COMPUTED_VALUE"""),0.25)</f>
        <v>0.25</v>
      </c>
      <c r="L137" s="11"/>
    </row>
    <row r="138" ht="15.75" customHeight="1">
      <c r="A138" s="10" t="str">
        <f>IFERROR(__xludf.DUMMYFUNCTION("""COMPUTED_VALUE"""),"https://sociallyin.com/resources/top-paid-social-agencies-us/")</f>
        <v>https://sociallyin.com/resources/top-paid-social-agencies-us/</v>
      </c>
      <c r="B138" s="11" t="str">
        <f>IFERROR(__xludf.DUMMYFUNCTION("""COMPUTED_VALUE"""),"Top 5 Paid Social Agencies US for 2026: An Expert Review")</f>
        <v>Top 5 Paid Social Agencies US for 2026: An Expert Review</v>
      </c>
      <c r="C138" s="10" t="str">
        <f>IFERROR(__xludf.DUMMYFUNCTION("""COMPUTED_VALUE"""),"sociallyin.com")</f>
        <v>sociallyin.com</v>
      </c>
      <c r="D138" s="11" t="str">
        <f>IFERROR(__xludf.DUMMYFUNCTION("""COMPUTED_VALUE"""),"LISTICLE")</f>
        <v>LISTICLE</v>
      </c>
      <c r="E138" s="11" t="str">
        <f>IFERROR(__xludf.DUMMYFUNCTION("""COMPUTED_VALUE"""),"COMPETITOR")</f>
        <v>COMPETITOR</v>
      </c>
      <c r="F138" s="11" t="str">
        <f>IFERROR(__xludf.DUMMYFUNCTION("""COMPUTED_VALUE"""),"Listicle")</f>
        <v>Listicle</v>
      </c>
      <c r="G138" s="11" t="b">
        <f>IFERROR(__xludf.DUMMYFUNCTION("""COMPUTED_VALUE"""),FALSE)</f>
        <v>0</v>
      </c>
      <c r="H138" s="11" t="str">
        <f>IFERROR(__xludf.DUMMYFUNCTION("""COMPUTED_VALUE"""),"Sociallyin, Tinuiti, Power Digital, VaynerMedia, NP Digital, Clutch")</f>
        <v>Sociallyin, Tinuiti, Power Digital, VaynerMedia, NP Digital, Clutch</v>
      </c>
      <c r="I138" s="11">
        <f>IFERROR(__xludf.DUMMYFUNCTION("""COMPUTED_VALUE"""),16.0)</f>
        <v>16</v>
      </c>
      <c r="J138" s="11">
        <f>IFERROR(__xludf.DUMMYFUNCTION("""COMPUTED_VALUE"""),0.02)</f>
        <v>0.02</v>
      </c>
      <c r="K138" s="11">
        <f>IFERROR(__xludf.DUMMYFUNCTION("""COMPUTED_VALUE"""),0.38)</f>
        <v>0.38</v>
      </c>
      <c r="L138" s="11"/>
    </row>
    <row r="139" ht="15.75" customHeight="1">
      <c r="A139" s="10" t="str">
        <f>IFERROR(__xludf.DUMMYFUNCTION("""COMPUTED_VALUE"""),"https://stratabeat.com/best-geo-agency/#:~:text=%23%20%233%20iPullRank%20Headquarters%20%7C%20New%20York%2C,Pricing%20%7C%20Custom%20%E2%80%94%20contact%20for%20quote")</f>
        <v>https://stratabeat.com/best-geo-agency/#:~:text=%23%20%233%20iPullRank%20Headquarters%20%7C%20New%20York%2C,Pricing%20%7C%20Custom%20%E2%80%94%20contact%20for%20quote</v>
      </c>
      <c r="B139" s="11" t="str">
        <f>IFERROR(__xludf.DUMMYFUNCTION("""COMPUTED_VALUE"""),"The 10 Best GEO Agencies in 2026 | Stratabeat")</f>
        <v>The 10 Best GEO Agencies in 2026 | Stratabeat</v>
      </c>
      <c r="C139" s="10" t="str">
        <f>IFERROR(__xludf.DUMMYFUNCTION("""COMPUTED_VALUE"""),"stratabeat.com")</f>
        <v>stratabeat.com</v>
      </c>
      <c r="D139" s="11" t="str">
        <f>IFERROR(__xludf.DUMMYFUNCTION("""COMPUTED_VALUE"""),"LISTICLE")</f>
        <v>LISTICLE</v>
      </c>
      <c r="E139" s="11" t="str">
        <f>IFERROR(__xludf.DUMMYFUNCTION("""COMPUTED_VALUE"""),"COMPETITOR")</f>
        <v>COMPETITOR</v>
      </c>
      <c r="F139" s="11" t="str">
        <f>IFERROR(__xludf.DUMMYFUNCTION("""COMPUTED_VALUE"""),"Listicle")</f>
        <v>Listicle</v>
      </c>
      <c r="G139" s="11" t="b">
        <f>IFERROR(__xludf.DUMMYFUNCTION("""COMPUTED_VALUE"""),FALSE)</f>
        <v>0</v>
      </c>
      <c r="H139" s="11" t="str">
        <f>IFERROR(__xludf.DUMMYFUNCTION("""COMPUTED_VALUE"""),"Stratabeat, Clutch, Go Fish Digital, iPullRank, First Page Sage, Omniscient Digital, RevenueZen, Avenue Z")</f>
        <v>Stratabeat, Clutch, Go Fish Digital, iPullRank, First Page Sage, Omniscient Digital, RevenueZen, Avenue Z</v>
      </c>
      <c r="I139" s="11">
        <f>IFERROR(__xludf.DUMMYFUNCTION("""COMPUTED_VALUE"""),16.0)</f>
        <v>16</v>
      </c>
      <c r="J139" s="11">
        <f>IFERROR(__xludf.DUMMYFUNCTION("""COMPUTED_VALUE"""),0.02)</f>
        <v>0.02</v>
      </c>
      <c r="K139" s="11">
        <f>IFERROR(__xludf.DUMMYFUNCTION("""COMPUTED_VALUE"""),0.88)</f>
        <v>0.88</v>
      </c>
      <c r="L139" s="11"/>
    </row>
    <row r="140" ht="15.75" customHeight="1">
      <c r="A140" s="10" t="str">
        <f>IFERROR(__xludf.DUMMYFUNCTION("""COMPUTED_VALUE"""),"https://topgeoagencies.com/")</f>
        <v>https://topgeoagencies.com/</v>
      </c>
      <c r="B140" s="11" t="str">
        <f>IFERROR(__xludf.DUMMYFUNCTION("""COMPUTED_VALUE"""),"The GEO 250 — Best Generative Engine Optimization (GEO) Agencies | TopGEOAgencies.com")</f>
        <v>The GEO 250 — Best Generative Engine Optimization (GEO) Agencies | TopGEOAgencies.com</v>
      </c>
      <c r="C140" s="10" t="str">
        <f>IFERROR(__xludf.DUMMYFUNCTION("""COMPUTED_VALUE"""),"topgeoagencies.com")</f>
        <v>topgeoagencies.com</v>
      </c>
      <c r="D140" s="11" t="str">
        <f>IFERROR(__xludf.DUMMYFUNCTION("""COMPUTED_VALUE"""),"HOMEPAGE")</f>
        <v>HOMEPAGE</v>
      </c>
      <c r="E140" s="11" t="str">
        <f>IFERROR(__xludf.DUMMYFUNCTION("""COMPUTED_VALUE"""),"CORPORATE")</f>
        <v>CORPORATE</v>
      </c>
      <c r="F140" s="11" t="str">
        <f>IFERROR(__xludf.DUMMYFUNCTION("""COMPUTED_VALUE"""),"Homepage")</f>
        <v>Homepage</v>
      </c>
      <c r="G140" s="11" t="b">
        <f>IFERROR(__xludf.DUMMYFUNCTION("""COMPUTED_VALUE"""),FALSE)</f>
        <v>0</v>
      </c>
      <c r="H140" s="11" t="str">
        <f>IFERROR(__xludf.DUMMYFUNCTION("""COMPUTED_VALUE"""),"Clutch, Siege Media, iPullRank, Silverback Strategies, First Page Sage, Graphite")</f>
        <v>Clutch, Siege Media, iPullRank, Silverback Strategies, First Page Sage, Graphite</v>
      </c>
      <c r="I140" s="11">
        <f>IFERROR(__xludf.DUMMYFUNCTION("""COMPUTED_VALUE"""),16.0)</f>
        <v>16</v>
      </c>
      <c r="J140" s="11">
        <f>IFERROR(__xludf.DUMMYFUNCTION("""COMPUTED_VALUE"""),0.02)</f>
        <v>0.02</v>
      </c>
      <c r="K140" s="11">
        <f>IFERROR(__xludf.DUMMYFUNCTION("""COMPUTED_VALUE"""),0.25)</f>
        <v>0.25</v>
      </c>
      <c r="L140" s="11"/>
    </row>
    <row r="141" ht="15.75" customHeight="1">
      <c r="A141" s="10" t="str">
        <f>IFERROR(__xludf.DUMMYFUNCTION("""COMPUTED_VALUE"""),"https://www.uforocks.com/blog/top-performance-marketing-agencies-in-the-u-s/")</f>
        <v>https://www.uforocks.com/blog/top-performance-marketing-agencies-in-the-u-s/</v>
      </c>
      <c r="B141" s="11" t="str">
        <f>IFERROR(__xludf.DUMMYFUNCTION("""COMPUTED_VALUE"""),"Top Performance Marketing Agencies in the U.S. - UFO Digital Marketing Agency")</f>
        <v>Top Performance Marketing Agencies in the U.S. - UFO Digital Marketing Agency</v>
      </c>
      <c r="C141" s="10" t="str">
        <f>IFERROR(__xludf.DUMMYFUNCTION("""COMPUTED_VALUE"""),"uforocks.com")</f>
        <v>uforocks.com</v>
      </c>
      <c r="D141" s="11" t="str">
        <f>IFERROR(__xludf.DUMMYFUNCTION("""COMPUTED_VALUE"""),"LISTICLE")</f>
        <v>LISTICLE</v>
      </c>
      <c r="E141" s="11" t="str">
        <f>IFERROR(__xludf.DUMMYFUNCTION("""COMPUTED_VALUE"""),"CORPORATE")</f>
        <v>CORPORATE</v>
      </c>
      <c r="F141" s="11" t="str">
        <f>IFERROR(__xludf.DUMMYFUNCTION("""COMPUTED_VALUE"""),"Listicle")</f>
        <v>Listicle</v>
      </c>
      <c r="G141" s="11" t="b">
        <f>IFERROR(__xludf.DUMMYFUNCTION("""COMPUTED_VALUE"""),FALSE)</f>
        <v>0</v>
      </c>
      <c r="H141" s="11" t="str">
        <f>IFERROR(__xludf.DUMMYFUNCTION("""COMPUTED_VALUE"""),"Accelerated Digital Media, Amsive, Hawke Media, Kobe Digital, New Engen, Publicis Groupe, Power Digital")</f>
        <v>Accelerated Digital Media, Amsive, Hawke Media, Kobe Digital, New Engen, Publicis Groupe, Power Digital</v>
      </c>
      <c r="I141" s="11">
        <f>IFERROR(__xludf.DUMMYFUNCTION("""COMPUTED_VALUE"""),16.0)</f>
        <v>16</v>
      </c>
      <c r="J141" s="11">
        <f>IFERROR(__xludf.DUMMYFUNCTION("""COMPUTED_VALUE"""),0.02)</f>
        <v>0.02</v>
      </c>
      <c r="K141" s="11">
        <f>IFERROR(__xludf.DUMMYFUNCTION("""COMPUTED_VALUE"""),0.63)</f>
        <v>0.63</v>
      </c>
      <c r="L141" s="11"/>
    </row>
    <row r="142" ht="15.75" customHeight="1">
      <c r="A142" s="10" t="str">
        <f>IFERROR(__xludf.DUMMYFUNCTION("""COMPUTED_VALUE"""),"https://agencies.semrush.com/list/display-advertising/")</f>
        <v>https://agencies.semrush.com/list/display-advertising/</v>
      </c>
      <c r="B142" s="11" t="str">
        <f>IFERROR(__xludf.DUMMYFUNCTION("""COMPUTED_VALUE"""),"Best Display Ads Agencies in the World 2026 | Semrush")</f>
        <v>Best Display Ads Agencies in the World 2026 | Semrush</v>
      </c>
      <c r="C142" s="10" t="str">
        <f>IFERROR(__xludf.DUMMYFUNCTION("""COMPUTED_VALUE"""),"semrush.com")</f>
        <v>semrush.com</v>
      </c>
      <c r="D142" s="11" t="str">
        <f>IFERROR(__xludf.DUMMYFUNCTION("""COMPUTED_VALUE"""),"CATEGORY_PAGE")</f>
        <v>CATEGORY_PAGE</v>
      </c>
      <c r="E142" s="11" t="str">
        <f>IFERROR(__xludf.DUMMYFUNCTION("""COMPUTED_VALUE"""),"CORPORATE")</f>
        <v>CORPORATE</v>
      </c>
      <c r="F142" s="11" t="str">
        <f>IFERROR(__xludf.DUMMYFUNCTION("""COMPUTED_VALUE"""),"Category Page")</f>
        <v>Category Page</v>
      </c>
      <c r="G142" s="11" t="b">
        <f>IFERROR(__xludf.DUMMYFUNCTION("""COMPUTED_VALUE"""),FALSE)</f>
        <v>0</v>
      </c>
      <c r="H142" s="11" t="str">
        <f>IFERROR(__xludf.DUMMYFUNCTION("""COMPUTED_VALUE"""),"SmartSites")</f>
        <v>SmartSites</v>
      </c>
      <c r="I142" s="11">
        <f>IFERROR(__xludf.DUMMYFUNCTION("""COMPUTED_VALUE"""),15.0)</f>
        <v>15</v>
      </c>
      <c r="J142" s="11">
        <f>IFERROR(__xludf.DUMMYFUNCTION("""COMPUTED_VALUE"""),0.01)</f>
        <v>0.01</v>
      </c>
      <c r="K142" s="11">
        <f>IFERROR(__xludf.DUMMYFUNCTION("""COMPUTED_VALUE"""),0.0)</f>
        <v>0</v>
      </c>
      <c r="L142" s="11"/>
    </row>
    <row r="143" ht="15.75" customHeight="1">
      <c r="A143" s="10" t="str">
        <f>IFERROR(__xludf.DUMMYFUNCTION("""COMPUTED_VALUE"""),"https://clutch.co/us/consulting/ai")</f>
        <v>https://clutch.co/us/consulting/ai</v>
      </c>
      <c r="B143" s="11" t="str">
        <f>IFERROR(__xludf.DUMMYFUNCTION("""COMPUTED_VALUE"""),"Top AI Consultants in the United States - Jul 2026 Rankings \| Clutch.co")</f>
        <v>Top AI Consultants in the United States - Jul 2026 Rankings \| Clutch.co</v>
      </c>
      <c r="C143" s="10" t="str">
        <f>IFERROR(__xludf.DUMMYFUNCTION("""COMPUTED_VALUE"""),"clutch.co")</f>
        <v>clutch.co</v>
      </c>
      <c r="D143" s="11" t="str">
        <f>IFERROR(__xludf.DUMMYFUNCTION("""COMPUTED_VALUE"""),"CATEGORY_PAGE")</f>
        <v>CATEGORY_PAGE</v>
      </c>
      <c r="E143" s="11" t="str">
        <f>IFERROR(__xludf.DUMMYFUNCTION("""COMPUTED_VALUE"""),"COMPETITOR")</f>
        <v>COMPETITOR</v>
      </c>
      <c r="F143" s="11" t="str">
        <f>IFERROR(__xludf.DUMMYFUNCTION("""COMPUTED_VALUE"""),"Category Page")</f>
        <v>Category Page</v>
      </c>
      <c r="G143" s="11" t="b">
        <f>IFERROR(__xludf.DUMMYFUNCTION("""COMPUTED_VALUE"""),FALSE)</f>
        <v>0</v>
      </c>
      <c r="H143" s="11" t="str">
        <f>IFERROR(__xludf.DUMMYFUNCTION("""COMPUTED_VALUE"""),"Clutch, Momentum")</f>
        <v>Clutch, Momentum</v>
      </c>
      <c r="I143" s="11">
        <f>IFERROR(__xludf.DUMMYFUNCTION("""COMPUTED_VALUE"""),15.0)</f>
        <v>15</v>
      </c>
      <c r="J143" s="11">
        <f>IFERROR(__xludf.DUMMYFUNCTION("""COMPUTED_VALUE"""),0.01)</f>
        <v>0.01</v>
      </c>
      <c r="K143" s="11">
        <f>IFERROR(__xludf.DUMMYFUNCTION("""COMPUTED_VALUE"""),0.47)</f>
        <v>0.47</v>
      </c>
      <c r="L143" s="11"/>
    </row>
    <row r="144" ht="15.75" customHeight="1">
      <c r="A144" s="10" t="str">
        <f>IFERROR(__xludf.DUMMYFUNCTION("""COMPUTED_VALUE"""),"https://www.designrush.com/agency/paid-media-pay-per-click/display-advertising-agency")</f>
        <v>https://www.designrush.com/agency/paid-media-pay-per-click/display-advertising-agency</v>
      </c>
      <c r="B144" s="11" t="str">
        <f>IFERROR(__xludf.DUMMYFUNCTION("""COMPUTED_VALUE"""),"Top Display Advertising Agencies in 2026")</f>
        <v>Top Display Advertising Agencies in 2026</v>
      </c>
      <c r="C144" s="10" t="str">
        <f>IFERROR(__xludf.DUMMYFUNCTION("""COMPUTED_VALUE"""),"designrush.com")</f>
        <v>designrush.com</v>
      </c>
      <c r="D144" s="11" t="str">
        <f>IFERROR(__xludf.DUMMYFUNCTION("""COMPUTED_VALUE"""),"LISTICLE")</f>
        <v>LISTICLE</v>
      </c>
      <c r="E144" s="11" t="str">
        <f>IFERROR(__xludf.DUMMYFUNCTION("""COMPUTED_VALUE"""),"CORPORATE")</f>
        <v>CORPORATE</v>
      </c>
      <c r="F144" s="11" t="str">
        <f>IFERROR(__xludf.DUMMYFUNCTION("""COMPUTED_VALUE"""),"Listicle")</f>
        <v>Listicle</v>
      </c>
      <c r="G144" s="11" t="b">
        <f>IFERROR(__xludf.DUMMYFUNCTION("""COMPUTED_VALUE"""),FALSE)</f>
        <v>0</v>
      </c>
      <c r="H144" s="11" t="str">
        <f>IFERROR(__xludf.DUMMYFUNCTION("""COMPUTED_VALUE"""),"Searchbloom, SmartSites, Funnel Boost Media, Huge, Disruptive Advertising, AdVenture Media, Web Tonic, WebFX")</f>
        <v>Searchbloom, SmartSites, Funnel Boost Media, Huge, Disruptive Advertising, AdVenture Media, Web Tonic, WebFX</v>
      </c>
      <c r="I144" s="11">
        <f>IFERROR(__xludf.DUMMYFUNCTION("""COMPUTED_VALUE"""),15.0)</f>
        <v>15</v>
      </c>
      <c r="J144" s="11">
        <f>IFERROR(__xludf.DUMMYFUNCTION("""COMPUTED_VALUE"""),0.01)</f>
        <v>0.01</v>
      </c>
      <c r="K144" s="11">
        <f>IFERROR(__xludf.DUMMYFUNCTION("""COMPUTED_VALUE"""),0.4)</f>
        <v>0.4</v>
      </c>
      <c r="L144" s="11"/>
    </row>
    <row r="145" ht="15.75" customHeight="1">
      <c r="A145" s="10" t="str">
        <f>IFERROR(__xludf.DUMMYFUNCTION("""COMPUTED_VALUE"""),"https://www.lyfemarketing.com/blog/top-paid-social-agencies-us/")</f>
        <v>https://www.lyfemarketing.com/blog/top-paid-social-agencies-us/</v>
      </c>
      <c r="B145" s="11" t="str">
        <f>IFERROR(__xludf.DUMMYFUNCTION("""COMPUTED_VALUE"""),"Top 20 Paid Social Agencies In The US 2026")</f>
        <v>Top 20 Paid Social Agencies In The US 2026</v>
      </c>
      <c r="C145" s="10" t="str">
        <f>IFERROR(__xludf.DUMMYFUNCTION("""COMPUTED_VALUE"""),"lyfemarketing.com")</f>
        <v>lyfemarketing.com</v>
      </c>
      <c r="D145" s="11" t="str">
        <f>IFERROR(__xludf.DUMMYFUNCTION("""COMPUTED_VALUE"""),"LISTICLE")</f>
        <v>LISTICLE</v>
      </c>
      <c r="E145" s="11" t="str">
        <f>IFERROR(__xludf.DUMMYFUNCTION("""COMPUTED_VALUE"""),"CORPORATE")</f>
        <v>CORPORATE</v>
      </c>
      <c r="F145" s="11" t="str">
        <f>IFERROR(__xludf.DUMMYFUNCTION("""COMPUTED_VALUE"""),"Listicle")</f>
        <v>Listicle</v>
      </c>
      <c r="G145" s="11" t="b">
        <f>IFERROR(__xludf.DUMMYFUNCTION("""COMPUTED_VALUE"""),FALSE)</f>
        <v>0</v>
      </c>
      <c r="H145" s="11" t="str">
        <f>IFERROR(__xludf.DUMMYFUNCTION("""COMPUTED_VALUE"""),"LYFE Marketing, Marcel Digital, Jellyfish, Tinuiti, Power Digital, Anomaly")</f>
        <v>LYFE Marketing, Marcel Digital, Jellyfish, Tinuiti, Power Digital, Anomaly</v>
      </c>
      <c r="I145" s="11">
        <f>IFERROR(__xludf.DUMMYFUNCTION("""COMPUTED_VALUE"""),15.0)</f>
        <v>15</v>
      </c>
      <c r="J145" s="11">
        <f>IFERROR(__xludf.DUMMYFUNCTION("""COMPUTED_VALUE"""),0.01)</f>
        <v>0.01</v>
      </c>
      <c r="K145" s="11">
        <f>IFERROR(__xludf.DUMMYFUNCTION("""COMPUTED_VALUE"""),0.27)</f>
        <v>0.27</v>
      </c>
      <c r="L145" s="11"/>
    </row>
    <row r="146" ht="15.75" customHeight="1">
      <c r="A146" s="10" t="str">
        <f>IFERROR(__xludf.DUMMYFUNCTION("""COMPUTED_VALUE"""),"https://www.nationalmarketingawards.com/")</f>
        <v>https://www.nationalmarketingawards.com/</v>
      </c>
      <c r="B146" s="11" t="str">
        <f>IFERROR(__xludf.DUMMYFUNCTION("""COMPUTED_VALUE"""),"Best Marketing Agencies in the US, Ranked (2026) | National Marketing Awards")</f>
        <v>Best Marketing Agencies in the US, Ranked (2026) | National Marketing Awards</v>
      </c>
      <c r="C146" s="10" t="str">
        <f>IFERROR(__xludf.DUMMYFUNCTION("""COMPUTED_VALUE"""),"nationalmarketingawards.com")</f>
        <v>nationalmarketingawards.com</v>
      </c>
      <c r="D146" s="11" t="str">
        <f>IFERROR(__xludf.DUMMYFUNCTION("""COMPUTED_VALUE"""),"HOMEPAGE")</f>
        <v>HOMEPAGE</v>
      </c>
      <c r="E146" s="11" t="str">
        <f>IFERROR(__xludf.DUMMYFUNCTION("""COMPUTED_VALUE"""),"REFERENCE")</f>
        <v>REFERENCE</v>
      </c>
      <c r="F146" s="11" t="str">
        <f>IFERROR(__xludf.DUMMYFUNCTION("""COMPUTED_VALUE"""),"Homepage")</f>
        <v>Homepage</v>
      </c>
      <c r="G146" s="11" t="b">
        <f>IFERROR(__xludf.DUMMYFUNCTION("""COMPUTED_VALUE"""),FALSE)</f>
        <v>0</v>
      </c>
      <c r="H146" s="11" t="str">
        <f>IFERROR(__xludf.DUMMYFUNCTION("""COMPUTED_VALUE"""),"WebFX, Ignite Visibility, SmartSites")</f>
        <v>WebFX, Ignite Visibility, SmartSites</v>
      </c>
      <c r="I146" s="11">
        <f>IFERROR(__xludf.DUMMYFUNCTION("""COMPUTED_VALUE"""),15.0)</f>
        <v>15</v>
      </c>
      <c r="J146" s="11">
        <f>IFERROR(__xludf.DUMMYFUNCTION("""COMPUTED_VALUE"""),0.01)</f>
        <v>0.01</v>
      </c>
      <c r="K146" s="11">
        <f>IFERROR(__xludf.DUMMYFUNCTION("""COMPUTED_VALUE"""),0.33)</f>
        <v>0.33</v>
      </c>
      <c r="L146" s="11"/>
    </row>
    <row r="147" ht="15.75" customHeight="1">
      <c r="A147" s="10" t="str">
        <f>IFERROR(__xludf.DUMMYFUNCTION("""COMPUTED_VALUE"""),"https://sageitinc.com/reference-center/best-ai-consulting-companies")</f>
        <v>https://sageitinc.com/reference-center/best-ai-consulting-companies</v>
      </c>
      <c r="B147" s="11" t="str">
        <f>IFERROR(__xludf.DUMMYFUNCTION("""COMPUTED_VALUE"""),"10 Best AI Consulting Companies to De-Risk Your AI Adoption")</f>
        <v>10 Best AI Consulting Companies to De-Risk Your AI Adoption</v>
      </c>
      <c r="C147" s="10" t="str">
        <f>IFERROR(__xludf.DUMMYFUNCTION("""COMPUTED_VALUE"""),"sageitinc.com")</f>
        <v>sageitinc.com</v>
      </c>
      <c r="D147" s="11" t="str">
        <f>IFERROR(__xludf.DUMMYFUNCTION("""COMPUTED_VALUE"""),"LISTICLE")</f>
        <v>LISTICLE</v>
      </c>
      <c r="E147" s="11" t="str">
        <f>IFERROR(__xludf.DUMMYFUNCTION("""COMPUTED_VALUE"""),"CORPORATE")</f>
        <v>CORPORATE</v>
      </c>
      <c r="F147" s="11" t="str">
        <f>IFERROR(__xludf.DUMMYFUNCTION("""COMPUTED_VALUE"""),"Listicle")</f>
        <v>Listicle</v>
      </c>
      <c r="G147" s="11" t="b">
        <f>IFERROR(__xludf.DUMMYFUNCTION("""COMPUTED_VALUE"""),FALSE)</f>
        <v>0</v>
      </c>
      <c r="H147" s="11" t="str">
        <f>IFERROR(__xludf.DUMMYFUNCTION("""COMPUTED_VALUE"""),"IBM, QuantumBlack, McKinsey, Anomaly, Clutch")</f>
        <v>IBM, QuantumBlack, McKinsey, Anomaly, Clutch</v>
      </c>
      <c r="I147" s="11">
        <f>IFERROR(__xludf.DUMMYFUNCTION("""COMPUTED_VALUE"""),15.0)</f>
        <v>15</v>
      </c>
      <c r="J147" s="11">
        <f>IFERROR(__xludf.DUMMYFUNCTION("""COMPUTED_VALUE"""),0.01)</f>
        <v>0.01</v>
      </c>
      <c r="K147" s="11">
        <f>IFERROR(__xludf.DUMMYFUNCTION("""COMPUTED_VALUE"""),1.47)</f>
        <v>1.47</v>
      </c>
      <c r="L147" s="11"/>
    </row>
    <row r="148" ht="15.75" customHeight="1">
      <c r="A148" s="10" t="str">
        <f>IFERROR(__xludf.DUMMYFUNCTION("""COMPUTED_VALUE"""),"https://www.sortlist.com/s/marketing-analytics/united-states-us")</f>
        <v>https://www.sortlist.com/s/marketing-analytics/united-states-us</v>
      </c>
      <c r="B148" s="11" t="str">
        <f>IFERROR(__xludf.DUMMYFUNCTION("""COMPUTED_VALUE"""),"The 10 Best Marketing Analytics Companies in the United States - 2026 Reviews")</f>
        <v>The 10 Best Marketing Analytics Companies in the United States - 2026 Reviews</v>
      </c>
      <c r="C148" s="10" t="str">
        <f>IFERROR(__xludf.DUMMYFUNCTION("""COMPUTED_VALUE"""),"sortlist.com")</f>
        <v>sortlist.com</v>
      </c>
      <c r="D148" s="11" t="str">
        <f>IFERROR(__xludf.DUMMYFUNCTION("""COMPUTED_VALUE"""),"CATEGORY_PAGE")</f>
        <v>CATEGORY_PAGE</v>
      </c>
      <c r="E148" s="11" t="str">
        <f>IFERROR(__xludf.DUMMYFUNCTION("""COMPUTED_VALUE"""),"CORPORATE")</f>
        <v>CORPORATE</v>
      </c>
      <c r="F148" s="11" t="str">
        <f>IFERROR(__xludf.DUMMYFUNCTION("""COMPUTED_VALUE"""),"Category Page")</f>
        <v>Category Page</v>
      </c>
      <c r="G148" s="11" t="b">
        <f>IFERROR(__xludf.DUMMYFUNCTION("""COMPUTED_VALUE"""),FALSE)</f>
        <v>0</v>
      </c>
      <c r="H148" s="11" t="str">
        <f>IFERROR(__xludf.DUMMYFUNCTION("""COMPUTED_VALUE"""),"NinjaPromo, IBM, Clutch")</f>
        <v>NinjaPromo, IBM, Clutch</v>
      </c>
      <c r="I148" s="11">
        <f>IFERROR(__xludf.DUMMYFUNCTION("""COMPUTED_VALUE"""),15.0)</f>
        <v>15</v>
      </c>
      <c r="J148" s="11">
        <f>IFERROR(__xludf.DUMMYFUNCTION("""COMPUTED_VALUE"""),0.01)</f>
        <v>0.01</v>
      </c>
      <c r="K148" s="11">
        <f>IFERROR(__xludf.DUMMYFUNCTION("""COMPUTED_VALUE"""),0.07)</f>
        <v>0.07</v>
      </c>
      <c r="L148" s="11"/>
    </row>
    <row r="149" ht="15.75" customHeight="1">
      <c r="A149" s="10" t="str">
        <f>IFERROR(__xludf.DUMMYFUNCTION("""COMPUTED_VALUE"""),"https://sweatpantsagency.com/the-top-9-social-media-ad-agencies")</f>
        <v>https://sweatpantsagency.com/the-top-9-social-media-ad-agencies</v>
      </c>
      <c r="B149" s="11" t="str">
        <f>IFERROR(__xludf.DUMMYFUNCTION("""COMPUTED_VALUE"""),"9 Best Paid Social Agencies for DTC Brands (2026) | Sweat Pants Agency")</f>
        <v>9 Best Paid Social Agencies for DTC Brands (2026) | Sweat Pants Agency</v>
      </c>
      <c r="C149" s="10" t="str">
        <f>IFERROR(__xludf.DUMMYFUNCTION("""COMPUTED_VALUE"""),"sweatpantsagency.com")</f>
        <v>sweatpantsagency.com</v>
      </c>
      <c r="D149" s="11" t="str">
        <f>IFERROR(__xludf.DUMMYFUNCTION("""COMPUTED_VALUE"""),"LISTICLE")</f>
        <v>LISTICLE</v>
      </c>
      <c r="E149" s="11" t="str">
        <f>IFERROR(__xludf.DUMMYFUNCTION("""COMPUTED_VALUE"""),"CORPORATE")</f>
        <v>CORPORATE</v>
      </c>
      <c r="F149" s="11" t="str">
        <f>IFERROR(__xludf.DUMMYFUNCTION("""COMPUTED_VALUE"""),"Listicle")</f>
        <v>Listicle</v>
      </c>
      <c r="G149" s="11" t="b">
        <f>IFERROR(__xludf.DUMMYFUNCTION("""COMPUTED_VALUE"""),FALSE)</f>
        <v>0</v>
      </c>
      <c r="H149" s="11" t="str">
        <f>IFERROR(__xludf.DUMMYFUNCTION("""COMPUTED_VALUE"""),"LYFE Marketing, The Social Shepherd, Sociallyin, Superside, MuteSix")</f>
        <v>LYFE Marketing, The Social Shepherd, Sociallyin, Superside, MuteSix</v>
      </c>
      <c r="I149" s="11">
        <f>IFERROR(__xludf.DUMMYFUNCTION("""COMPUTED_VALUE"""),15.0)</f>
        <v>15</v>
      </c>
      <c r="J149" s="11">
        <f>IFERROR(__xludf.DUMMYFUNCTION("""COMPUTED_VALUE"""),0.01)</f>
        <v>0.01</v>
      </c>
      <c r="K149" s="11">
        <f>IFERROR(__xludf.DUMMYFUNCTION("""COMPUTED_VALUE"""),1.67)</f>
        <v>1.67</v>
      </c>
      <c r="L149" s="11"/>
    </row>
    <row r="150" ht="15.75" customHeight="1">
      <c r="A150" s="10" t="str">
        <f>IFERROR(__xludf.DUMMYFUNCTION("""COMPUTED_VALUE"""),"https://techbehemoths.com/companies/marketing-analytics/united-states")</f>
        <v>https://techbehemoths.com/companies/marketing-analytics/united-states</v>
      </c>
      <c r="B150" s="11" t="str">
        <f>IFERROR(__xludf.DUMMYFUNCTION("""COMPUTED_VALUE"""),"Top 20+ Marketing analytics Companies in United States (2026) - TechBehemoths")</f>
        <v>Top 20+ Marketing analytics Companies in United States (2026) - TechBehemoths</v>
      </c>
      <c r="C150" s="10" t="str">
        <f>IFERROR(__xludf.DUMMYFUNCTION("""COMPUTED_VALUE"""),"techbehemoths.com")</f>
        <v>techbehemoths.com</v>
      </c>
      <c r="D150" s="11" t="str">
        <f>IFERROR(__xludf.DUMMYFUNCTION("""COMPUTED_VALUE"""),"PROFILE")</f>
        <v>PROFILE</v>
      </c>
      <c r="E150" s="11" t="str">
        <f>IFERROR(__xludf.DUMMYFUNCTION("""COMPUTED_VALUE"""),"REFERENCE")</f>
        <v>REFERENCE</v>
      </c>
      <c r="F150" s="11" t="str">
        <f>IFERROR(__xludf.DUMMYFUNCTION("""COMPUTED_VALUE"""),"Profile")</f>
        <v>Profile</v>
      </c>
      <c r="G150" s="11" t="b">
        <f>IFERROR(__xludf.DUMMYFUNCTION("""COMPUTED_VALUE"""),FALSE)</f>
        <v>0</v>
      </c>
      <c r="H150" s="11"/>
      <c r="I150" s="11">
        <f>IFERROR(__xludf.DUMMYFUNCTION("""COMPUTED_VALUE"""),15.0)</f>
        <v>15</v>
      </c>
      <c r="J150" s="11">
        <f>IFERROR(__xludf.DUMMYFUNCTION("""COMPUTED_VALUE"""),0.01)</f>
        <v>0.01</v>
      </c>
      <c r="K150" s="11">
        <f>IFERROR(__xludf.DUMMYFUNCTION("""COMPUTED_VALUE"""),0.13)</f>
        <v>0.13</v>
      </c>
      <c r="L150" s="11"/>
    </row>
    <row r="151" ht="15.75" customHeight="1">
      <c r="A151" s="10" t="str">
        <f>IFERROR(__xludf.DUMMYFUNCTION("""COMPUTED_VALUE"""),"https://thesocialshepherd.com/blog/top-google-ads-agencies-us")</f>
        <v>https://thesocialshepherd.com/blog/top-google-ads-agencies-us</v>
      </c>
      <c r="B151" s="11" t="str">
        <f>IFERROR(__xludf.DUMMYFUNCTION("""COMPUTED_VALUE"""),"The Social Shepherd | Top 17 Google Ads Agencies in the U.S. (2026)")</f>
        <v>The Social Shepherd | Top 17 Google Ads Agencies in the U.S. (2026)</v>
      </c>
      <c r="C151" s="10" t="str">
        <f>IFERROR(__xludf.DUMMYFUNCTION("""COMPUTED_VALUE"""),"thesocialshepherd.com")</f>
        <v>thesocialshepherd.com</v>
      </c>
      <c r="D151" s="11" t="str">
        <f>IFERROR(__xludf.DUMMYFUNCTION("""COMPUTED_VALUE"""),"LISTICLE")</f>
        <v>LISTICLE</v>
      </c>
      <c r="E151" s="11" t="str">
        <f>IFERROR(__xludf.DUMMYFUNCTION("""COMPUTED_VALUE"""),"COMPETITOR")</f>
        <v>COMPETITOR</v>
      </c>
      <c r="F151" s="11" t="str">
        <f>IFERROR(__xludf.DUMMYFUNCTION("""COMPUTED_VALUE"""),"Listicle")</f>
        <v>Listicle</v>
      </c>
      <c r="G151" s="11" t="b">
        <f>IFERROR(__xludf.DUMMYFUNCTION("""COMPUTED_VALUE"""),FALSE)</f>
        <v>0</v>
      </c>
      <c r="H151" s="11" t="str">
        <f>IFERROR(__xludf.DUMMYFUNCTION("""COMPUTED_VALUE"""),"The Social Shepherd, KlientBoost, Directive, Metric Theory, WebFX, Single Grain")</f>
        <v>The Social Shepherd, KlientBoost, Directive, Metric Theory, WebFX, Single Grain</v>
      </c>
      <c r="I151" s="11">
        <f>IFERROR(__xludf.DUMMYFUNCTION("""COMPUTED_VALUE"""),15.0)</f>
        <v>15</v>
      </c>
      <c r="J151" s="11">
        <f>IFERROR(__xludf.DUMMYFUNCTION("""COMPUTED_VALUE"""),0.01)</f>
        <v>0.01</v>
      </c>
      <c r="K151" s="11">
        <f>IFERROR(__xludf.DUMMYFUNCTION("""COMPUTED_VALUE"""),1.4)</f>
        <v>1.4</v>
      </c>
      <c r="L151" s="11"/>
    </row>
    <row r="152" ht="15.75" customHeight="1">
      <c r="A152" s="10" t="str">
        <f>IFERROR(__xludf.DUMMYFUNCTION("""COMPUTED_VALUE"""),"https://thesocialshepherd.com/blog/top-social-media-agencies-us")</f>
        <v>https://thesocialshepherd.com/blog/top-social-media-agencies-us</v>
      </c>
      <c r="B152" s="11" t="str">
        <f>IFERROR(__xludf.DUMMYFUNCTION("""COMPUTED_VALUE"""),"The Social Shepherd | Top 17 Social Media Marketing Agencies in the…")</f>
        <v>The Social Shepherd | Top 17 Social Media Marketing Agencies in the…</v>
      </c>
      <c r="C152" s="10" t="str">
        <f>IFERROR(__xludf.DUMMYFUNCTION("""COMPUTED_VALUE"""),"thesocialshepherd.com")</f>
        <v>thesocialshepherd.com</v>
      </c>
      <c r="D152" s="11" t="str">
        <f>IFERROR(__xludf.DUMMYFUNCTION("""COMPUTED_VALUE"""),"LISTICLE")</f>
        <v>LISTICLE</v>
      </c>
      <c r="E152" s="11" t="str">
        <f>IFERROR(__xludf.DUMMYFUNCTION("""COMPUTED_VALUE"""),"COMPETITOR")</f>
        <v>COMPETITOR</v>
      </c>
      <c r="F152" s="11" t="str">
        <f>IFERROR(__xludf.DUMMYFUNCTION("""COMPUTED_VALUE"""),"Listicle")</f>
        <v>Listicle</v>
      </c>
      <c r="G152" s="11" t="b">
        <f>IFERROR(__xludf.DUMMYFUNCTION("""COMPUTED_VALUE"""),FALSE)</f>
        <v>0</v>
      </c>
      <c r="H152" s="11" t="str">
        <f>IFERROR(__xludf.DUMMYFUNCTION("""COMPUTED_VALUE"""),"The Social Shepherd, inBeat, Ignite Visibility")</f>
        <v>The Social Shepherd, inBeat, Ignite Visibility</v>
      </c>
      <c r="I152" s="11">
        <f>IFERROR(__xludf.DUMMYFUNCTION("""COMPUTED_VALUE"""),15.0)</f>
        <v>15</v>
      </c>
      <c r="J152" s="11">
        <f>IFERROR(__xludf.DUMMYFUNCTION("""COMPUTED_VALUE"""),0.01)</f>
        <v>0.01</v>
      </c>
      <c r="K152" s="11">
        <f>IFERROR(__xludf.DUMMYFUNCTION("""COMPUTED_VALUE"""),0.07)</f>
        <v>0.07</v>
      </c>
      <c r="L152" s="11"/>
    </row>
    <row r="153" ht="15.75" customHeight="1">
      <c r="A153" s="10" t="str">
        <f>IFERROR(__xludf.DUMMYFUNCTION("""COMPUTED_VALUE"""),"https://thriveagency.com/news/best-digital-marketing-agencies/")</f>
        <v>https://thriveagency.com/news/best-digital-marketing-agencies/</v>
      </c>
      <c r="B153" s="11" t="str">
        <f>IFERROR(__xludf.DUMMYFUNCTION("""COMPUTED_VALUE"""),"20 Best Digital Marketing Agencies in 2026 | Thrive Agency")</f>
        <v>20 Best Digital Marketing Agencies in 2026 | Thrive Agency</v>
      </c>
      <c r="C153" s="10" t="str">
        <f>IFERROR(__xludf.DUMMYFUNCTION("""COMPUTED_VALUE"""),"thriveagency.com")</f>
        <v>thriveagency.com</v>
      </c>
      <c r="D153" s="11" t="str">
        <f>IFERROR(__xludf.DUMMYFUNCTION("""COMPUTED_VALUE"""),"LISTICLE")</f>
        <v>LISTICLE</v>
      </c>
      <c r="E153" s="11" t="str">
        <f>IFERROR(__xludf.DUMMYFUNCTION("""COMPUTED_VALUE"""),"COMPETITOR")</f>
        <v>COMPETITOR</v>
      </c>
      <c r="F153" s="11" t="str">
        <f>IFERROR(__xludf.DUMMYFUNCTION("""COMPUTED_VALUE"""),"Listicle")</f>
        <v>Listicle</v>
      </c>
      <c r="G153" s="11" t="b">
        <f>IFERROR(__xludf.DUMMYFUNCTION("""COMPUTED_VALUE"""),FALSE)</f>
        <v>0</v>
      </c>
      <c r="H153" s="11" t="str">
        <f>IFERROR(__xludf.DUMMYFUNCTION("""COMPUTED_VALUE"""),"Thrive Internet Marketing Agency, Disruptive Advertising, Power Digital, Intero Digital, KlientBoost, NP Digital, Directive, Victorious, VaynerMedia, Ogilvy, Tinuiti, Refine Labs, Single Grain, Major Tom")</f>
        <v>Thrive Internet Marketing Agency, Disruptive Advertising, Power Digital, Intero Digital, KlientBoost, NP Digital, Directive, Victorious, VaynerMedia, Ogilvy, Tinuiti, Refine Labs, Single Grain, Major Tom</v>
      </c>
      <c r="I153" s="11">
        <f>IFERROR(__xludf.DUMMYFUNCTION("""COMPUTED_VALUE"""),15.0)</f>
        <v>15</v>
      </c>
      <c r="J153" s="11">
        <f>IFERROR(__xludf.DUMMYFUNCTION("""COMPUTED_VALUE"""),0.01)</f>
        <v>0.01</v>
      </c>
      <c r="K153" s="11">
        <f>IFERROR(__xludf.DUMMYFUNCTION("""COMPUTED_VALUE"""),1.07)</f>
        <v>1.07</v>
      </c>
      <c r="L153" s="11"/>
    </row>
    <row r="154" ht="15.75" customHeight="1">
      <c r="A154" s="10" t="str">
        <f>IFERROR(__xludf.DUMMYFUNCTION("""COMPUTED_VALUE"""),"https://visionlabs.com/blog/top-web-analytics-agencies/")</f>
        <v>https://visionlabs.com/blog/top-web-analytics-agencies/</v>
      </c>
      <c r="B154" s="11" t="str">
        <f>IFERROR(__xludf.DUMMYFUNCTION("""COMPUTED_VALUE"""),"Best 7 Web Analytics Agencies of 2026 - A curated list | Vision Labs")</f>
        <v>Best 7 Web Analytics Agencies of 2026 - A curated list | Vision Labs</v>
      </c>
      <c r="C154" s="10" t="str">
        <f>IFERROR(__xludf.DUMMYFUNCTION("""COMPUTED_VALUE"""),"visionlabs.com")</f>
        <v>visionlabs.com</v>
      </c>
      <c r="D154" s="11" t="str">
        <f>IFERROR(__xludf.DUMMYFUNCTION("""COMPUTED_VALUE"""),"LISTICLE")</f>
        <v>LISTICLE</v>
      </c>
      <c r="E154" s="11" t="str">
        <f>IFERROR(__xludf.DUMMYFUNCTION("""COMPUTED_VALUE"""),"CORPORATE")</f>
        <v>CORPORATE</v>
      </c>
      <c r="F154" s="11" t="str">
        <f>IFERROR(__xludf.DUMMYFUNCTION("""COMPUTED_VALUE"""),"Listicle")</f>
        <v>Listicle</v>
      </c>
      <c r="G154" s="11" t="b">
        <f>IFERROR(__xludf.DUMMYFUNCTION("""COMPUTED_VALUE"""),FALSE)</f>
        <v>0</v>
      </c>
      <c r="H154" s="11" t="str">
        <f>IFERROR(__xludf.DUMMYFUNCTION("""COMPUTED_VALUE"""),"Omniscient Digital, Artefact, IBM")</f>
        <v>Omniscient Digital, Artefact, IBM</v>
      </c>
      <c r="I154" s="11">
        <f>IFERROR(__xludf.DUMMYFUNCTION("""COMPUTED_VALUE"""),15.0)</f>
        <v>15</v>
      </c>
      <c r="J154" s="11">
        <f>IFERROR(__xludf.DUMMYFUNCTION("""COMPUTED_VALUE"""),0.01)</f>
        <v>0.01</v>
      </c>
      <c r="K154" s="11">
        <f>IFERROR(__xludf.DUMMYFUNCTION("""COMPUTED_VALUE"""),1.27)</f>
        <v>1.27</v>
      </c>
      <c r="L154" s="11"/>
    </row>
    <row r="155" ht="15.75" customHeight="1">
      <c r="A155" s="10" t="str">
        <f>IFERROR(__xludf.DUMMYFUNCTION("""COMPUTED_VALUE"""),"https://clutch.co/agencies/digital-marketing")</f>
        <v>https://clutch.co/agencies/digital-marketing</v>
      </c>
      <c r="B155" s="11" t="str">
        <f>IFERROR(__xludf.DUMMYFUNCTION("""COMPUTED_VALUE"""),"Best Digital Marketing Agencies - Jul 2026 Rankings | Clutch.co")</f>
        <v>Best Digital Marketing Agencies - Jul 2026 Rankings | Clutch.co</v>
      </c>
      <c r="C155" s="10" t="str">
        <f>IFERROR(__xludf.DUMMYFUNCTION("""COMPUTED_VALUE"""),"clutch.co")</f>
        <v>clutch.co</v>
      </c>
      <c r="D155" s="11" t="str">
        <f>IFERROR(__xludf.DUMMYFUNCTION("""COMPUTED_VALUE"""),"CATEGORY_PAGE")</f>
        <v>CATEGORY_PAGE</v>
      </c>
      <c r="E155" s="11" t="str">
        <f>IFERROR(__xludf.DUMMYFUNCTION("""COMPUTED_VALUE"""),"COMPETITOR")</f>
        <v>COMPETITOR</v>
      </c>
      <c r="F155" s="11" t="str">
        <f>IFERROR(__xludf.DUMMYFUNCTION("""COMPUTED_VALUE"""),"Category Page")</f>
        <v>Category Page</v>
      </c>
      <c r="G155" s="11" t="b">
        <f>IFERROR(__xludf.DUMMYFUNCTION("""COMPUTED_VALUE"""),FALSE)</f>
        <v>0</v>
      </c>
      <c r="H155" s="11" t="str">
        <f>IFERROR(__xludf.DUMMYFUNCTION("""COMPUTED_VALUE"""),"Clutch, Ignite Visibility, Disruptive Advertising, Silverback Strategies, SmartSites, Power Digital, WebFX, Funnel Boost Media, Accelerated Digital Media, Thrive Internet Marketing Agency, Intero Digital, NinjaPromo, Elit-Web")</f>
        <v>Clutch, Ignite Visibility, Disruptive Advertising, Silverback Strategies, SmartSites, Power Digital, WebFX, Funnel Boost Media, Accelerated Digital Media, Thrive Internet Marketing Agency, Intero Digital, NinjaPromo, Elit-Web</v>
      </c>
      <c r="I155" s="11">
        <f>IFERROR(__xludf.DUMMYFUNCTION("""COMPUTED_VALUE"""),14.0)</f>
        <v>14</v>
      </c>
      <c r="J155" s="11">
        <f>IFERROR(__xludf.DUMMYFUNCTION("""COMPUTED_VALUE"""),0.01)</f>
        <v>0.01</v>
      </c>
      <c r="K155" s="11">
        <f>IFERROR(__xludf.DUMMYFUNCTION("""COMPUTED_VALUE"""),0.21)</f>
        <v>0.21</v>
      </c>
      <c r="L155" s="11"/>
    </row>
    <row r="156" ht="15.75" customHeight="1">
      <c r="A156" s="10" t="str">
        <f>IFERROR(__xludf.DUMMYFUNCTION("""COMPUTED_VALUE"""),"https://clutch.co/us/agencies/ppc/google-adwords")</f>
        <v>https://clutch.co/us/agencies/ppc/google-adwords</v>
      </c>
      <c r="B156" s="11" t="str">
        <f>IFERROR(__xludf.DUMMYFUNCTION("""COMPUTED_VALUE"""),"Top Adwords PPC Agencies in the United States - Jul 2026 Rankings \| Clutch.co")</f>
        <v>Top Adwords PPC Agencies in the United States - Jul 2026 Rankings \| Clutch.co</v>
      </c>
      <c r="C156" s="10" t="str">
        <f>IFERROR(__xludf.DUMMYFUNCTION("""COMPUTED_VALUE"""),"clutch.co")</f>
        <v>clutch.co</v>
      </c>
      <c r="D156" s="11" t="str">
        <f>IFERROR(__xludf.DUMMYFUNCTION("""COMPUTED_VALUE"""),"CATEGORY_PAGE")</f>
        <v>CATEGORY_PAGE</v>
      </c>
      <c r="E156" s="11" t="str">
        <f>IFERROR(__xludf.DUMMYFUNCTION("""COMPUTED_VALUE"""),"COMPETITOR")</f>
        <v>COMPETITOR</v>
      </c>
      <c r="F156" s="11" t="str">
        <f>IFERROR(__xludf.DUMMYFUNCTION("""COMPUTED_VALUE"""),"Category Page")</f>
        <v>Category Page</v>
      </c>
      <c r="G156" s="11" t="b">
        <f>IFERROR(__xludf.DUMMYFUNCTION("""COMPUTED_VALUE"""),FALSE)</f>
        <v>0</v>
      </c>
      <c r="H156" s="11" t="str">
        <f>IFERROR(__xludf.DUMMYFUNCTION("""COMPUTED_VALUE"""),"Clutch, KlientBoost, Disruptive Advertising, AdVenture Media, HawkSEM, SmartSites, Intero Digital, Elit-Web, Accelerated Digital Media, Ignite Visibility, Searchbloom")</f>
        <v>Clutch, KlientBoost, Disruptive Advertising, AdVenture Media, HawkSEM, SmartSites, Intero Digital, Elit-Web, Accelerated Digital Media, Ignite Visibility, Searchbloom</v>
      </c>
      <c r="I156" s="11">
        <f>IFERROR(__xludf.DUMMYFUNCTION("""COMPUTED_VALUE"""),14.0)</f>
        <v>14</v>
      </c>
      <c r="J156" s="11">
        <f>IFERROR(__xludf.DUMMYFUNCTION("""COMPUTED_VALUE"""),0.01)</f>
        <v>0.01</v>
      </c>
      <c r="K156" s="11">
        <f>IFERROR(__xludf.DUMMYFUNCTION("""COMPUTED_VALUE"""),1.5)</f>
        <v>1.5</v>
      </c>
      <c r="L156" s="11"/>
    </row>
    <row r="157" ht="15.75" customHeight="1">
      <c r="A157" s="10" t="str">
        <f>IFERROR(__xludf.DUMMYFUNCTION("""COMPUTED_VALUE"""),"https://www.cometly.com/post/marketing-attribution-tools-for-agencies")</f>
        <v>https://www.cometly.com/post/marketing-attribution-tools-for-agencies</v>
      </c>
      <c r="B157" s="11" t="str">
        <f>IFERROR(__xludf.DUMMYFUNCTION("""COMPUTED_VALUE"""),"Best Marketing Attribution Tools For Agencies 2026")</f>
        <v>Best Marketing Attribution Tools For Agencies 2026</v>
      </c>
      <c r="C157" s="10" t="str">
        <f>IFERROR(__xludf.DUMMYFUNCTION("""COMPUTED_VALUE"""),"cometly.com")</f>
        <v>cometly.com</v>
      </c>
      <c r="D157" s="11" t="str">
        <f>IFERROR(__xludf.DUMMYFUNCTION("""COMPUTED_VALUE"""),"LISTICLE")</f>
        <v>LISTICLE</v>
      </c>
      <c r="E157" s="11" t="str">
        <f>IFERROR(__xludf.DUMMYFUNCTION("""COMPUTED_VALUE"""),"COMPETITOR")</f>
        <v>COMPETITOR</v>
      </c>
      <c r="F157" s="11" t="str">
        <f>IFERROR(__xludf.DUMMYFUNCTION("""COMPUTED_VALUE"""),"Listicle")</f>
        <v>Listicle</v>
      </c>
      <c r="G157" s="11" t="b">
        <f>IFERROR(__xludf.DUMMYFUNCTION("""COMPUTED_VALUE"""),FALSE)</f>
        <v>0</v>
      </c>
      <c r="H157" s="11" t="str">
        <f>IFERROR(__xludf.DUMMYFUNCTION("""COMPUTED_VALUE"""),"Cometly, Triple Whale, Northbeam, Rockerbox, Ruler Analytics")</f>
        <v>Cometly, Triple Whale, Northbeam, Rockerbox, Ruler Analytics</v>
      </c>
      <c r="I157" s="11">
        <f>IFERROR(__xludf.DUMMYFUNCTION("""COMPUTED_VALUE"""),14.0)</f>
        <v>14</v>
      </c>
      <c r="J157" s="11">
        <f>IFERROR(__xludf.DUMMYFUNCTION("""COMPUTED_VALUE"""),0.01)</f>
        <v>0.01</v>
      </c>
      <c r="K157" s="11">
        <f>IFERROR(__xludf.DUMMYFUNCTION("""COMPUTED_VALUE"""),0.86)</f>
        <v>0.86</v>
      </c>
      <c r="L157" s="11"/>
    </row>
    <row r="158" ht="15.75" customHeight="1">
      <c r="A158" s="10" t="str">
        <f>IFERROR(__xludf.DUMMYFUNCTION("""COMPUTED_VALUE"""),"https://dmidigitalmarketing.com/top-15-ai-marketing-agencies-in-the-us-2026/")</f>
        <v>https://dmidigitalmarketing.com/top-15-ai-marketing-agencies-in-the-us-2026/</v>
      </c>
      <c r="B158" s="11" t="str">
        <f>IFERROR(__xludf.DUMMYFUNCTION("""COMPUTED_VALUE"""),"&amp;nbsp;Top 15 AI Marketing Agencies in the US (2026) -")</f>
        <v>&amp;nbsp;Top 15 AI Marketing Agencies in the US (2026) -</v>
      </c>
      <c r="C158" s="10" t="str">
        <f>IFERROR(__xludf.DUMMYFUNCTION("""COMPUTED_VALUE"""),"dmidigitalmarketing.com")</f>
        <v>dmidigitalmarketing.com</v>
      </c>
      <c r="D158" s="11" t="str">
        <f>IFERROR(__xludf.DUMMYFUNCTION("""COMPUTED_VALUE"""),"LISTICLE")</f>
        <v>LISTICLE</v>
      </c>
      <c r="E158" s="11" t="str">
        <f>IFERROR(__xludf.DUMMYFUNCTION("""COMPUTED_VALUE"""),"CORPORATE")</f>
        <v>CORPORATE</v>
      </c>
      <c r="F158" s="11" t="str">
        <f>IFERROR(__xludf.DUMMYFUNCTION("""COMPUTED_VALUE"""),"Listicle")</f>
        <v>Listicle</v>
      </c>
      <c r="G158" s="11" t="b">
        <f>IFERROR(__xludf.DUMMYFUNCTION("""COMPUTED_VALUE"""),FALSE)</f>
        <v>0</v>
      </c>
      <c r="H158" s="11" t="str">
        <f>IFERROR(__xludf.DUMMYFUNCTION("""COMPUTED_VALUE"""),"Amsive, Viral Nation, Directive, Single Grain, Ignite Visibility, SmartSites, NoGood")</f>
        <v>Amsive, Viral Nation, Directive, Single Grain, Ignite Visibility, SmartSites, NoGood</v>
      </c>
      <c r="I158" s="11">
        <f>IFERROR(__xludf.DUMMYFUNCTION("""COMPUTED_VALUE"""),14.0)</f>
        <v>14</v>
      </c>
      <c r="J158" s="11">
        <f>IFERROR(__xludf.DUMMYFUNCTION("""COMPUTED_VALUE"""),0.01)</f>
        <v>0.01</v>
      </c>
      <c r="K158" s="11">
        <f>IFERROR(__xludf.DUMMYFUNCTION("""COMPUTED_VALUE"""),1.0)</f>
        <v>1</v>
      </c>
      <c r="L158" s="11"/>
    </row>
    <row r="159" ht="15.75" customHeight="1">
      <c r="A159" s="10" t="str">
        <f>IFERROR(__xludf.DUMMYFUNCTION("""COMPUTED_VALUE"""),"https://thecmo.com/tools/best-marketing-attribution-software/")</f>
        <v>https://thecmo.com/tools/best-marketing-attribution-software/</v>
      </c>
      <c r="B159" s="11" t="str">
        <f>IFERROR(__xludf.DUMMYFUNCTION("""COMPUTED_VALUE"""),"10 Best Marketing Attribution Software Reviewed For 2026")</f>
        <v>10 Best Marketing Attribution Software Reviewed For 2026</v>
      </c>
      <c r="C159" s="10" t="str">
        <f>IFERROR(__xludf.DUMMYFUNCTION("""COMPUTED_VALUE"""),"thecmo.com")</f>
        <v>thecmo.com</v>
      </c>
      <c r="D159" s="11" t="str">
        <f>IFERROR(__xludf.DUMMYFUNCTION("""COMPUTED_VALUE"""),"LISTICLE")</f>
        <v>LISTICLE</v>
      </c>
      <c r="E159" s="11" t="str">
        <f>IFERROR(__xludf.DUMMYFUNCTION("""COMPUTED_VALUE"""),"OTHER")</f>
        <v>OTHER</v>
      </c>
      <c r="F159" s="11" t="str">
        <f>IFERROR(__xludf.DUMMYFUNCTION("""COMPUTED_VALUE"""),"Listicle")</f>
        <v>Listicle</v>
      </c>
      <c r="G159" s="11" t="b">
        <f>IFERROR(__xludf.DUMMYFUNCTION("""COMPUTED_VALUE"""),FALSE)</f>
        <v>0</v>
      </c>
      <c r="H159" s="11" t="str">
        <f>IFERROR(__xludf.DUMMYFUNCTION("""COMPUTED_VALUE"""),"HockeyStack, Triple Whale, Anomaly, Ruler Analytics, Neustar, Huge")</f>
        <v>HockeyStack, Triple Whale, Anomaly, Ruler Analytics, Neustar, Huge</v>
      </c>
      <c r="I159" s="11">
        <f>IFERROR(__xludf.DUMMYFUNCTION("""COMPUTED_VALUE"""),14.0)</f>
        <v>14</v>
      </c>
      <c r="J159" s="11">
        <f>IFERROR(__xludf.DUMMYFUNCTION("""COMPUTED_VALUE"""),0.01)</f>
        <v>0.01</v>
      </c>
      <c r="K159" s="11">
        <f>IFERROR(__xludf.DUMMYFUNCTION("""COMPUTED_VALUE"""),0.0)</f>
        <v>0</v>
      </c>
      <c r="L159" s="11"/>
    </row>
    <row r="160" ht="15.75" customHeight="1">
      <c r="A160" s="10" t="str">
        <f>IFERROR(__xludf.DUMMYFUNCTION("""COMPUTED_VALUE"""),"https://thesocialshepherd.com/blog/top-performance-marketing-agencies-us")</f>
        <v>https://thesocialshepherd.com/blog/top-performance-marketing-agencies-us</v>
      </c>
      <c r="B160" s="11" t="str">
        <f>IFERROR(__xludf.DUMMYFUNCTION("""COMPUTED_VALUE"""),"The Social Shepherd | Top 17 Performance Marketing Agencies in the…")</f>
        <v>The Social Shepherd | Top 17 Performance Marketing Agencies in the…</v>
      </c>
      <c r="C160" s="10" t="str">
        <f>IFERROR(__xludf.DUMMYFUNCTION("""COMPUTED_VALUE"""),"thesocialshepherd.com")</f>
        <v>thesocialshepherd.com</v>
      </c>
      <c r="D160" s="11" t="str">
        <f>IFERROR(__xludf.DUMMYFUNCTION("""COMPUTED_VALUE"""),"LISTICLE")</f>
        <v>LISTICLE</v>
      </c>
      <c r="E160" s="11" t="str">
        <f>IFERROR(__xludf.DUMMYFUNCTION("""COMPUTED_VALUE"""),"COMPETITOR")</f>
        <v>COMPETITOR</v>
      </c>
      <c r="F160" s="11" t="str">
        <f>IFERROR(__xludf.DUMMYFUNCTION("""COMPUTED_VALUE"""),"Listicle")</f>
        <v>Listicle</v>
      </c>
      <c r="G160" s="11" t="b">
        <f>IFERROR(__xludf.DUMMYFUNCTION("""COMPUTED_VALUE"""),FALSE)</f>
        <v>0</v>
      </c>
      <c r="H160" s="11" t="str">
        <f>IFERROR(__xludf.DUMMYFUNCTION("""COMPUTED_VALUE"""),"The Social Shepherd, Single Grain, Tinuiti, Power Digital")</f>
        <v>The Social Shepherd, Single Grain, Tinuiti, Power Digital</v>
      </c>
      <c r="I160" s="11">
        <f>IFERROR(__xludf.DUMMYFUNCTION("""COMPUTED_VALUE"""),14.0)</f>
        <v>14</v>
      </c>
      <c r="J160" s="11">
        <f>IFERROR(__xludf.DUMMYFUNCTION("""COMPUTED_VALUE"""),0.01)</f>
        <v>0.01</v>
      </c>
      <c r="K160" s="11">
        <f>IFERROR(__xludf.DUMMYFUNCTION("""COMPUTED_VALUE"""),0.0)</f>
        <v>0</v>
      </c>
      <c r="L160" s="11"/>
    </row>
    <row r="161" ht="15.75" customHeight="1">
      <c r="A161" s="10" t="str">
        <f>IFERROR(__xludf.DUMMYFUNCTION("""COMPUTED_VALUE"""),"https://advertising-in-the-united-states.com/display-advertising-agencies")</f>
        <v>https://advertising-in-the-united-states.com/display-advertising-agencies</v>
      </c>
      <c r="B161" s="11" t="str">
        <f>IFERROR(__xludf.DUMMYFUNCTION("""COMPUTED_VALUE"""),"The best Display Advertising Agencies")</f>
        <v>The best Display Advertising Agencies</v>
      </c>
      <c r="C161" s="10" t="str">
        <f>IFERROR(__xludf.DUMMYFUNCTION("""COMPUTED_VALUE"""),"advertising-in-the-united-states.com")</f>
        <v>advertising-in-the-united-states.com</v>
      </c>
      <c r="D161" s="11" t="str">
        <f>IFERROR(__xludf.DUMMYFUNCTION("""COMPUTED_VALUE"""),"OTHER")</f>
        <v>OTHER</v>
      </c>
      <c r="E161" s="11" t="str">
        <f>IFERROR(__xludf.DUMMYFUNCTION("""COMPUTED_VALUE"""),"REFERENCE")</f>
        <v>REFERENCE</v>
      </c>
      <c r="F161" s="11" t="str">
        <f>IFERROR(__xludf.DUMMYFUNCTION("""COMPUTED_VALUE"""),"Other")</f>
        <v>Other</v>
      </c>
      <c r="G161" s="11" t="b">
        <f>IFERROR(__xludf.DUMMYFUNCTION("""COMPUTED_VALUE"""),FALSE)</f>
        <v>0</v>
      </c>
      <c r="H161" s="11" t="str">
        <f>IFERROR(__xludf.DUMMYFUNCTION("""COMPUTED_VALUE"""),"Clay, NinjaPromo, Clutch, IBM")</f>
        <v>Clay, NinjaPromo, Clutch, IBM</v>
      </c>
      <c r="I161" s="11">
        <f>IFERROR(__xludf.DUMMYFUNCTION("""COMPUTED_VALUE"""),13.0)</f>
        <v>13</v>
      </c>
      <c r="J161" s="11">
        <f>IFERROR(__xludf.DUMMYFUNCTION("""COMPUTED_VALUE"""),0.01)</f>
        <v>0.01</v>
      </c>
      <c r="K161" s="11">
        <f>IFERROR(__xludf.DUMMYFUNCTION("""COMPUTED_VALUE"""),0.0)</f>
        <v>0</v>
      </c>
      <c r="L161" s="11"/>
    </row>
    <row r="162" ht="15.75" customHeight="1">
      <c r="A162" s="10" t="str">
        <f>IFERROR(__xludf.DUMMYFUNCTION("""COMPUTED_VALUE"""),"https://agencies.semrush.com/list/display-advertising/united-states/enterprise-business/")</f>
        <v>https://agencies.semrush.com/list/display-advertising/united-states/enterprise-business/</v>
      </c>
      <c r="B162" s="11" t="str">
        <f>IFERROR(__xludf.DUMMYFUNCTION("""COMPUTED_VALUE"""),"Best Display Ads Agencies for Enterprise Business in United States 2026 | Semrush")</f>
        <v>Best Display Ads Agencies for Enterprise Business in United States 2026 | Semrush</v>
      </c>
      <c r="C162" s="10" t="str">
        <f>IFERROR(__xludf.DUMMYFUNCTION("""COMPUTED_VALUE"""),"semrush.com")</f>
        <v>semrush.com</v>
      </c>
      <c r="D162" s="11" t="str">
        <f>IFERROR(__xludf.DUMMYFUNCTION("""COMPUTED_VALUE"""),"CATEGORY_PAGE")</f>
        <v>CATEGORY_PAGE</v>
      </c>
      <c r="E162" s="11" t="str">
        <f>IFERROR(__xludf.DUMMYFUNCTION("""COMPUTED_VALUE"""),"CORPORATE")</f>
        <v>CORPORATE</v>
      </c>
      <c r="F162" s="11" t="str">
        <f>IFERROR(__xludf.DUMMYFUNCTION("""COMPUTED_VALUE"""),"Category Page")</f>
        <v>Category Page</v>
      </c>
      <c r="G162" s="11" t="b">
        <f>IFERROR(__xludf.DUMMYFUNCTION("""COMPUTED_VALUE"""),FALSE)</f>
        <v>0</v>
      </c>
      <c r="H162" s="11" t="str">
        <f>IFERROR(__xludf.DUMMYFUNCTION("""COMPUTED_VALUE"""),"SmartSites, Elit-Web, Brighter Click")</f>
        <v>SmartSites, Elit-Web, Brighter Click</v>
      </c>
      <c r="I162" s="11">
        <f>IFERROR(__xludf.DUMMYFUNCTION("""COMPUTED_VALUE"""),13.0)</f>
        <v>13</v>
      </c>
      <c r="J162" s="11">
        <f>IFERROR(__xludf.DUMMYFUNCTION("""COMPUTED_VALUE"""),0.01)</f>
        <v>0.01</v>
      </c>
      <c r="K162" s="11">
        <f>IFERROR(__xludf.DUMMYFUNCTION("""COMPUTED_VALUE"""),0.0)</f>
        <v>0</v>
      </c>
      <c r="L162" s="11"/>
    </row>
    <row r="163" ht="15.75" customHeight="1">
      <c r="A163" s="10" t="str">
        <f>IFERROR(__xludf.DUMMYFUNCTION("""COMPUTED_VALUE"""),"https://clutch.co/agencies/ppc/google-adwords")</f>
        <v>https://clutch.co/agencies/ppc/google-adwords</v>
      </c>
      <c r="B163" s="11" t="str">
        <f>IFERROR(__xludf.DUMMYFUNCTION("""COMPUTED_VALUE"""),"Top Google Ads PPC Agencies - Jul 2026 Rankings \| Clutch.co")</f>
        <v>Top Google Ads PPC Agencies - Jul 2026 Rankings \| Clutch.co</v>
      </c>
      <c r="C163" s="10" t="str">
        <f>IFERROR(__xludf.DUMMYFUNCTION("""COMPUTED_VALUE"""),"clutch.co")</f>
        <v>clutch.co</v>
      </c>
      <c r="D163" s="11" t="str">
        <f>IFERROR(__xludf.DUMMYFUNCTION("""COMPUTED_VALUE"""),"CATEGORY_PAGE")</f>
        <v>CATEGORY_PAGE</v>
      </c>
      <c r="E163" s="11" t="str">
        <f>IFERROR(__xludf.DUMMYFUNCTION("""COMPUTED_VALUE"""),"COMPETITOR")</f>
        <v>COMPETITOR</v>
      </c>
      <c r="F163" s="11" t="str">
        <f>IFERROR(__xludf.DUMMYFUNCTION("""COMPUTED_VALUE"""),"Category Page")</f>
        <v>Category Page</v>
      </c>
      <c r="G163" s="11" t="b">
        <f>IFERROR(__xludf.DUMMYFUNCTION("""COMPUTED_VALUE"""),FALSE)</f>
        <v>0</v>
      </c>
      <c r="H163" s="11" t="str">
        <f>IFERROR(__xludf.DUMMYFUNCTION("""COMPUTED_VALUE"""),"Clutch, KlientBoost, SmartSites, HawkSEM, Silverback Strategies, Disruptive Advertising, AdVenture Media, Accelerated Digital Media, Intero Digital, Elit-Web, Ignite Visibility, Searchbloom")</f>
        <v>Clutch, KlientBoost, SmartSites, HawkSEM, Silverback Strategies, Disruptive Advertising, AdVenture Media, Accelerated Digital Media, Intero Digital, Elit-Web, Ignite Visibility, Searchbloom</v>
      </c>
      <c r="I163" s="11">
        <f>IFERROR(__xludf.DUMMYFUNCTION("""COMPUTED_VALUE"""),13.0)</f>
        <v>13</v>
      </c>
      <c r="J163" s="11">
        <f>IFERROR(__xludf.DUMMYFUNCTION("""COMPUTED_VALUE"""),0.01)</f>
        <v>0.01</v>
      </c>
      <c r="K163" s="11">
        <f>IFERROR(__xludf.DUMMYFUNCTION("""COMPUTED_VALUE"""),0.23)</f>
        <v>0.23</v>
      </c>
      <c r="L163" s="11"/>
    </row>
    <row r="164" ht="15.75" customHeight="1">
      <c r="A164" s="10" t="str">
        <f>IFERROR(__xludf.DUMMYFUNCTION("""COMPUTED_VALUE"""),"https://clutch.co/us/agencies/ppc/display?page=2")</f>
        <v>https://clutch.co/us/agencies/ppc/display?page=2</v>
      </c>
      <c r="B164" s="11" t="str">
        <f>IFERROR(__xludf.DUMMYFUNCTION("""COMPUTED_VALUE"""),"Page 2 - Top Display Advertising Agencies in the United States - Jul 2026 Rankings | Clutch.co")</f>
        <v>Page 2 - Top Display Advertising Agencies in the United States - Jul 2026 Rankings | Clutch.co</v>
      </c>
      <c r="C164" s="10" t="str">
        <f>IFERROR(__xludf.DUMMYFUNCTION("""COMPUTED_VALUE"""),"clutch.co")</f>
        <v>clutch.co</v>
      </c>
      <c r="D164" s="11" t="str">
        <f>IFERROR(__xludf.DUMMYFUNCTION("""COMPUTED_VALUE"""),"CATEGORY_PAGE")</f>
        <v>CATEGORY_PAGE</v>
      </c>
      <c r="E164" s="11" t="str">
        <f>IFERROR(__xludf.DUMMYFUNCTION("""COMPUTED_VALUE"""),"COMPETITOR")</f>
        <v>COMPETITOR</v>
      </c>
      <c r="F164" s="11" t="str">
        <f>IFERROR(__xludf.DUMMYFUNCTION("""COMPUTED_VALUE"""),"Category Page")</f>
        <v>Category Page</v>
      </c>
      <c r="G164" s="11" t="b">
        <f>IFERROR(__xludf.DUMMYFUNCTION("""COMPUTED_VALUE"""),FALSE)</f>
        <v>0</v>
      </c>
      <c r="H164" s="11" t="str">
        <f>IFERROR(__xludf.DUMMYFUNCTION("""COMPUTED_VALUE"""),"Clutch, Go Fish Digital, NoGood, Tinuiti, Elit-Web, AdVenture Media, Storm Brain")</f>
        <v>Clutch, Go Fish Digital, NoGood, Tinuiti, Elit-Web, AdVenture Media, Storm Brain</v>
      </c>
      <c r="I164" s="11">
        <f>IFERROR(__xludf.DUMMYFUNCTION("""COMPUTED_VALUE"""),13.0)</f>
        <v>13</v>
      </c>
      <c r="J164" s="11">
        <f>IFERROR(__xludf.DUMMYFUNCTION("""COMPUTED_VALUE"""),0.01)</f>
        <v>0.01</v>
      </c>
      <c r="K164" s="11">
        <f>IFERROR(__xludf.DUMMYFUNCTION("""COMPUTED_VALUE"""),0.0)</f>
        <v>0</v>
      </c>
      <c r="L164" s="11"/>
    </row>
    <row r="165" ht="15.75" customHeight="1">
      <c r="A165" s="10" t="str">
        <f>IFERROR(__xludf.DUMMYFUNCTION("""COMPUTED_VALUE"""),"https://clutch.co/us/agencies/ppc/display?page=8")</f>
        <v>https://clutch.co/us/agencies/ppc/display?page=8</v>
      </c>
      <c r="B165" s="11" t="str">
        <f>IFERROR(__xludf.DUMMYFUNCTION("""COMPUTED_VALUE"""),"Page 8 - Top Display Advertising Agencies in the United States - Jul 2026 Rankings | Clutch.co")</f>
        <v>Page 8 - Top Display Advertising Agencies in the United States - Jul 2026 Rankings | Clutch.co</v>
      </c>
      <c r="C165" s="10" t="str">
        <f>IFERROR(__xludf.DUMMYFUNCTION("""COMPUTED_VALUE"""),"clutch.co")</f>
        <v>clutch.co</v>
      </c>
      <c r="D165" s="11" t="str">
        <f>IFERROR(__xludf.DUMMYFUNCTION("""COMPUTED_VALUE"""),"CATEGORY_PAGE")</f>
        <v>CATEGORY_PAGE</v>
      </c>
      <c r="E165" s="11" t="str">
        <f>IFERROR(__xludf.DUMMYFUNCTION("""COMPUTED_VALUE"""),"COMPETITOR")</f>
        <v>COMPETITOR</v>
      </c>
      <c r="F165" s="11" t="str">
        <f>IFERROR(__xludf.DUMMYFUNCTION("""COMPUTED_VALUE"""),"Category Page")</f>
        <v>Category Page</v>
      </c>
      <c r="G165" s="11" t="b">
        <f>IFERROR(__xludf.DUMMYFUNCTION("""COMPUTED_VALUE"""),FALSE)</f>
        <v>0</v>
      </c>
      <c r="H165" s="11" t="str">
        <f>IFERROR(__xludf.DUMMYFUNCTION("""COMPUTED_VALUE"""),"Clutch, Elit-Web, AdVenture Media, Go Fish Digital, Storm Brain, NoGood, Tinuiti")</f>
        <v>Clutch, Elit-Web, AdVenture Media, Go Fish Digital, Storm Brain, NoGood, Tinuiti</v>
      </c>
      <c r="I165" s="11">
        <f>IFERROR(__xludf.DUMMYFUNCTION("""COMPUTED_VALUE"""),13.0)</f>
        <v>13</v>
      </c>
      <c r="J165" s="11">
        <f>IFERROR(__xludf.DUMMYFUNCTION("""COMPUTED_VALUE"""),0.01)</f>
        <v>0.01</v>
      </c>
      <c r="K165" s="11">
        <f>IFERROR(__xludf.DUMMYFUNCTION("""COMPUTED_VALUE"""),1.0)</f>
        <v>1</v>
      </c>
      <c r="L165" s="11"/>
    </row>
    <row r="166" ht="15.75" customHeight="1">
      <c r="A166" s="10" t="str">
        <f>IFERROR(__xludf.DUMMYFUNCTION("""COMPUTED_VALUE"""),"https://www.cometly.com/post/best-top-marketing-attribution-firms-in-usa")</f>
        <v>https://www.cometly.com/post/best-top-marketing-attribution-firms-in-usa</v>
      </c>
      <c r="B166" s="11" t="str">
        <f>IFERROR(__xludf.DUMMYFUNCTION("""COMPUTED_VALUE"""),"Top Marketing Attribution Firms In Usa: 2026 Guide")</f>
        <v>Top Marketing Attribution Firms In Usa: 2026 Guide</v>
      </c>
      <c r="C166" s="10" t="str">
        <f>IFERROR(__xludf.DUMMYFUNCTION("""COMPUTED_VALUE"""),"cometly.com")</f>
        <v>cometly.com</v>
      </c>
      <c r="D166" s="11" t="str">
        <f>IFERROR(__xludf.DUMMYFUNCTION("""COMPUTED_VALUE"""),"LISTICLE")</f>
        <v>LISTICLE</v>
      </c>
      <c r="E166" s="11" t="str">
        <f>IFERROR(__xludf.DUMMYFUNCTION("""COMPUTED_VALUE"""),"COMPETITOR")</f>
        <v>COMPETITOR</v>
      </c>
      <c r="F166" s="11" t="str">
        <f>IFERROR(__xludf.DUMMYFUNCTION("""COMPUTED_VALUE"""),"Listicle")</f>
        <v>Listicle</v>
      </c>
      <c r="G166" s="11" t="b">
        <f>IFERROR(__xludf.DUMMYFUNCTION("""COMPUTED_VALUE"""),FALSE)</f>
        <v>0</v>
      </c>
      <c r="H166" s="11" t="str">
        <f>IFERROR(__xludf.DUMMYFUNCTION("""COMPUTED_VALUE"""),"Cometly, Triple Whale, Northbeam, Rockerbox, Measured")</f>
        <v>Cometly, Triple Whale, Northbeam, Rockerbox, Measured</v>
      </c>
      <c r="I166" s="11">
        <f>IFERROR(__xludf.DUMMYFUNCTION("""COMPUTED_VALUE"""),13.0)</f>
        <v>13</v>
      </c>
      <c r="J166" s="11">
        <f>IFERROR(__xludf.DUMMYFUNCTION("""COMPUTED_VALUE"""),0.01)</f>
        <v>0.01</v>
      </c>
      <c r="K166" s="11">
        <f>IFERROR(__xludf.DUMMYFUNCTION("""COMPUTED_VALUE"""),0.38)</f>
        <v>0.38</v>
      </c>
      <c r="L166" s="11"/>
    </row>
    <row r="167" ht="15.75" customHeight="1">
      <c r="A167" s="10" t="str">
        <f>IFERROR(__xludf.DUMMYFUNCTION("""COMPUTED_VALUE"""),"https://www.cometly.com/post/incrementality-measurement-tool")</f>
        <v>https://www.cometly.com/post/incrementality-measurement-tool</v>
      </c>
      <c r="B167" s="11" t="str">
        <f>IFERROR(__xludf.DUMMYFUNCTION("""COMPUTED_VALUE"""),"9 Best Incrementality Measurement Tools: 2026 Guide")</f>
        <v>9 Best Incrementality Measurement Tools: 2026 Guide</v>
      </c>
      <c r="C167" s="10" t="str">
        <f>IFERROR(__xludf.DUMMYFUNCTION("""COMPUTED_VALUE"""),"cometly.com")</f>
        <v>cometly.com</v>
      </c>
      <c r="D167" s="11" t="str">
        <f>IFERROR(__xludf.DUMMYFUNCTION("""COMPUTED_VALUE"""),"LISTICLE")</f>
        <v>LISTICLE</v>
      </c>
      <c r="E167" s="11" t="str">
        <f>IFERROR(__xludf.DUMMYFUNCTION("""COMPUTED_VALUE"""),"COMPETITOR")</f>
        <v>COMPETITOR</v>
      </c>
      <c r="F167" s="11" t="str">
        <f>IFERROR(__xludf.DUMMYFUNCTION("""COMPUTED_VALUE"""),"Listicle")</f>
        <v>Listicle</v>
      </c>
      <c r="G167" s="11" t="b">
        <f>IFERROR(__xludf.DUMMYFUNCTION("""COMPUTED_VALUE"""),FALSE)</f>
        <v>0</v>
      </c>
      <c r="H167" s="11" t="str">
        <f>IFERROR(__xludf.DUMMYFUNCTION("""COMPUTED_VALUE"""),"Cometly, Measured, Rockerbox, Northbeam, Recast, Haus")</f>
        <v>Cometly, Measured, Rockerbox, Northbeam, Recast, Haus</v>
      </c>
      <c r="I167" s="11">
        <f>IFERROR(__xludf.DUMMYFUNCTION("""COMPUTED_VALUE"""),13.0)</f>
        <v>13</v>
      </c>
      <c r="J167" s="11">
        <f>IFERROR(__xludf.DUMMYFUNCTION("""COMPUTED_VALUE"""),0.01)</f>
        <v>0.01</v>
      </c>
      <c r="K167" s="11">
        <f>IFERROR(__xludf.DUMMYFUNCTION("""COMPUTED_VALUE"""),0.23)</f>
        <v>0.23</v>
      </c>
      <c r="L167" s="11"/>
    </row>
    <row r="168" ht="15.75" customHeight="1">
      <c r="A168" s="10" t="str">
        <f>IFERROR(__xludf.DUMMYFUNCTION("""COMPUTED_VALUE"""),"https://www.creativemilkshake.com/blog/top-us-performance-marketing-agencies")</f>
        <v>https://www.creativemilkshake.com/blog/top-us-performance-marketing-agencies</v>
      </c>
      <c r="B168" s="11" t="str">
        <f>IFERROR(__xludf.DUMMYFUNCTION("""COMPUTED_VALUE"""),"Top 12 US Performance Marketing Agencies Turning Ad Spend into Revenue in 2026 | Creative Milkshake")</f>
        <v>Top 12 US Performance Marketing Agencies Turning Ad Spend into Revenue in 2026 | Creative Milkshake</v>
      </c>
      <c r="C168" s="10" t="str">
        <f>IFERROR(__xludf.DUMMYFUNCTION("""COMPUTED_VALUE"""),"creativemilkshake.com")</f>
        <v>creativemilkshake.com</v>
      </c>
      <c r="D168" s="11" t="str">
        <f>IFERROR(__xludf.DUMMYFUNCTION("""COMPUTED_VALUE"""),"LISTICLE")</f>
        <v>LISTICLE</v>
      </c>
      <c r="E168" s="11" t="str">
        <f>IFERROR(__xludf.DUMMYFUNCTION("""COMPUTED_VALUE"""),"CORPORATE")</f>
        <v>CORPORATE</v>
      </c>
      <c r="F168" s="11" t="str">
        <f>IFERROR(__xludf.DUMMYFUNCTION("""COMPUTED_VALUE"""),"Listicle")</f>
        <v>Listicle</v>
      </c>
      <c r="G168" s="11" t="b">
        <f>IFERROR(__xludf.DUMMYFUNCTION("""COMPUTED_VALUE"""),FALSE)</f>
        <v>0</v>
      </c>
      <c r="H168" s="11" t="str">
        <f>IFERROR(__xludf.DUMMYFUNCTION("""COMPUTED_VALUE"""),"Amsive, MuteSix, Clutch, NP Digital, NoGood, KlientBoost, Wpromote, TransUnion")</f>
        <v>Amsive, MuteSix, Clutch, NP Digital, NoGood, KlientBoost, Wpromote, TransUnion</v>
      </c>
      <c r="I168" s="11">
        <f>IFERROR(__xludf.DUMMYFUNCTION("""COMPUTED_VALUE"""),13.0)</f>
        <v>13</v>
      </c>
      <c r="J168" s="11">
        <f>IFERROR(__xludf.DUMMYFUNCTION("""COMPUTED_VALUE"""),0.01)</f>
        <v>0.01</v>
      </c>
      <c r="K168" s="11">
        <f>IFERROR(__xludf.DUMMYFUNCTION("""COMPUTED_VALUE"""),1.0)</f>
        <v>1</v>
      </c>
      <c r="L168" s="11"/>
    </row>
    <row r="169" ht="15.75" customHeight="1">
      <c r="A169" s="10" t="str">
        <f>IFERROR(__xludf.DUMMYFUNCTION("""COMPUTED_VALUE"""),"https://www.cygnet.one/feeds/blog/compare-ai-consulting-marketing-automation")</f>
        <v>https://www.cygnet.one/feeds/blog/compare-ai-consulting-marketing-automation</v>
      </c>
      <c r="B169" s="11" t="str">
        <f>IFERROR(__xludf.DUMMYFUNCTION("""COMPUTED_VALUE"""),"Top AI Marketing Automation Consulting Services — 2026")</f>
        <v>Top AI Marketing Automation Consulting Services — 2026</v>
      </c>
      <c r="C169" s="11" t="str">
        <f>IFERROR(__xludf.DUMMYFUNCTION("""COMPUTED_VALUE"""),"cygnet.one")</f>
        <v>cygnet.one</v>
      </c>
      <c r="D169" s="11" t="str">
        <f>IFERROR(__xludf.DUMMYFUNCTION("""COMPUTED_VALUE"""),"LISTICLE")</f>
        <v>LISTICLE</v>
      </c>
      <c r="E169" s="11" t="str">
        <f>IFERROR(__xludf.DUMMYFUNCTION("""COMPUTED_VALUE"""),"OTHER")</f>
        <v>OTHER</v>
      </c>
      <c r="F169" s="11" t="str">
        <f>IFERROR(__xludf.DUMMYFUNCTION("""COMPUTED_VALUE"""),"Listicle")</f>
        <v>Listicle</v>
      </c>
      <c r="G169" s="11" t="b">
        <f>IFERROR(__xludf.DUMMYFUNCTION("""COMPUTED_VALUE"""),FALSE)</f>
        <v>0</v>
      </c>
      <c r="H169" s="11" t="str">
        <f>IFERROR(__xludf.DUMMYFUNCTION("""COMPUTED_VALUE"""),"Accenture Song, Deloitte Digital, Merkle, Publicis Sapient, Ogilvy, Dentsu, Publicis Groupe, WPP, McKinsey")</f>
        <v>Accenture Song, Deloitte Digital, Merkle, Publicis Sapient, Ogilvy, Dentsu, Publicis Groupe, WPP, McKinsey</v>
      </c>
      <c r="I169" s="11">
        <f>IFERROR(__xludf.DUMMYFUNCTION("""COMPUTED_VALUE"""),13.0)</f>
        <v>13</v>
      </c>
      <c r="J169" s="11">
        <f>IFERROR(__xludf.DUMMYFUNCTION("""COMPUTED_VALUE"""),0.01)</f>
        <v>0.01</v>
      </c>
      <c r="K169" s="11">
        <f>IFERROR(__xludf.DUMMYFUNCTION("""COMPUTED_VALUE"""),0.23)</f>
        <v>0.23</v>
      </c>
      <c r="L169" s="11"/>
    </row>
    <row r="170" ht="15.75" customHeight="1">
      <c r="A170" s="10" t="str">
        <f>IFERROR(__xludf.DUMMYFUNCTION("""COMPUTED_VALUE"""),"https://funnel.io/blog/top-mta-tools")</f>
        <v>https://funnel.io/blog/top-mta-tools</v>
      </c>
      <c r="B170" s="11" t="str">
        <f>IFERROR(__xludf.DUMMYFUNCTION("""COMPUTED_VALUE"""),"Top multi-touch attribution (MTA) tools for 2026")</f>
        <v>Top multi-touch attribution (MTA) tools for 2026</v>
      </c>
      <c r="C170" s="10" t="str">
        <f>IFERROR(__xludf.DUMMYFUNCTION("""COMPUTED_VALUE"""),"funnel.io")</f>
        <v>funnel.io</v>
      </c>
      <c r="D170" s="11" t="str">
        <f>IFERROR(__xludf.DUMMYFUNCTION("""COMPUTED_VALUE"""),"LISTICLE")</f>
        <v>LISTICLE</v>
      </c>
      <c r="E170" s="11" t="str">
        <f>IFERROR(__xludf.DUMMYFUNCTION("""COMPUTED_VALUE"""),"CORPORATE")</f>
        <v>CORPORATE</v>
      </c>
      <c r="F170" s="11" t="str">
        <f>IFERROR(__xludf.DUMMYFUNCTION("""COMPUTED_VALUE"""),"Listicle")</f>
        <v>Listicle</v>
      </c>
      <c r="G170" s="11" t="b">
        <f>IFERROR(__xludf.DUMMYFUNCTION("""COMPUTED_VALUE"""),FALSE)</f>
        <v>0</v>
      </c>
      <c r="H170" s="11" t="str">
        <f>IFERROR(__xludf.DUMMYFUNCTION("""COMPUTED_VALUE"""),"HockeyStack, SegmentStream, Northbeam")</f>
        <v>HockeyStack, SegmentStream, Northbeam</v>
      </c>
      <c r="I170" s="11">
        <f>IFERROR(__xludf.DUMMYFUNCTION("""COMPUTED_VALUE"""),13.0)</f>
        <v>13</v>
      </c>
      <c r="J170" s="11">
        <f>IFERROR(__xludf.DUMMYFUNCTION("""COMPUTED_VALUE"""),0.01)</f>
        <v>0.01</v>
      </c>
      <c r="K170" s="11">
        <f>IFERROR(__xludf.DUMMYFUNCTION("""COMPUTED_VALUE"""),1.08)</f>
        <v>1.08</v>
      </c>
      <c r="L170" s="11"/>
    </row>
    <row r="171" ht="15.75" customHeight="1">
      <c r="A171" s="10" t="str">
        <f>IFERROR(__xludf.DUMMYFUNCTION("""COMPUTED_VALUE"""),"https://www.growth-hackers.net/best-analytics-marketing-agencies/")</f>
        <v>https://www.growth-hackers.net/best-analytics-marketing-agencies/</v>
      </c>
      <c r="B171" s="11" t="str">
        <f>IFERROR(__xludf.DUMMYFUNCTION("""COMPUTED_VALUE"""),"Top 11 Analytics Marketing Agencies in 2026 | Hire the Best Analytics Marketing Agency | Growth Hackers")</f>
        <v>Top 11 Analytics Marketing Agencies in 2026 | Hire the Best Analytics Marketing Agency | Growth Hackers</v>
      </c>
      <c r="C171" s="10" t="str">
        <f>IFERROR(__xludf.DUMMYFUNCTION("""COMPUTED_VALUE"""),"growth-hackers.net")</f>
        <v>growth-hackers.net</v>
      </c>
      <c r="D171" s="11" t="str">
        <f>IFERROR(__xludf.DUMMYFUNCTION("""COMPUTED_VALUE"""),"LISTICLE")</f>
        <v>LISTICLE</v>
      </c>
      <c r="E171" s="11" t="str">
        <f>IFERROR(__xludf.DUMMYFUNCTION("""COMPUTED_VALUE"""),"CORPORATE")</f>
        <v>CORPORATE</v>
      </c>
      <c r="F171" s="11" t="str">
        <f>IFERROR(__xludf.DUMMYFUNCTION("""COMPUTED_VALUE"""),"Listicle")</f>
        <v>Listicle</v>
      </c>
      <c r="G171" s="11" t="b">
        <f>IFERROR(__xludf.DUMMYFUNCTION("""COMPUTED_VALUE"""),FALSE)</f>
        <v>0</v>
      </c>
      <c r="H171" s="11" t="str">
        <f>IFERROR(__xludf.DUMMYFUNCTION("""COMPUTED_VALUE"""),"Seer Interactive, Evolytics")</f>
        <v>Seer Interactive, Evolytics</v>
      </c>
      <c r="I171" s="11">
        <f>IFERROR(__xludf.DUMMYFUNCTION("""COMPUTED_VALUE"""),13.0)</f>
        <v>13</v>
      </c>
      <c r="J171" s="11">
        <f>IFERROR(__xludf.DUMMYFUNCTION("""COMPUTED_VALUE"""),0.01)</f>
        <v>0.01</v>
      </c>
      <c r="K171" s="11">
        <f>IFERROR(__xludf.DUMMYFUNCTION("""COMPUTED_VALUE"""),0.92)</f>
        <v>0.92</v>
      </c>
      <c r="L171" s="11"/>
    </row>
    <row r="172" ht="15.75" customHeight="1">
      <c r="A172" s="10" t="str">
        <f>IFERROR(__xludf.DUMMYFUNCTION("""COMPUTED_VALUE"""),"https://www.inbeat.co/articles/paid-media-agencies/")</f>
        <v>https://www.inbeat.co/articles/paid-media-agencies/</v>
      </c>
      <c r="B172" s="11" t="str">
        <f>IFERROR(__xludf.DUMMYFUNCTION("""COMPUTED_VALUE"""),"15 Top Paid Media Agencies: Finding the Right Partner for 2026")</f>
        <v>15 Top Paid Media Agencies: Finding the Right Partner for 2026</v>
      </c>
      <c r="C172" s="10" t="str">
        <f>IFERROR(__xludf.DUMMYFUNCTION("""COMPUTED_VALUE"""),"inbeat.co")</f>
        <v>inbeat.co</v>
      </c>
      <c r="D172" s="11" t="str">
        <f>IFERROR(__xludf.DUMMYFUNCTION("""COMPUTED_VALUE"""),"LISTICLE")</f>
        <v>LISTICLE</v>
      </c>
      <c r="E172" s="11" t="str">
        <f>IFERROR(__xludf.DUMMYFUNCTION("""COMPUTED_VALUE"""),"CORPORATE")</f>
        <v>CORPORATE</v>
      </c>
      <c r="F172" s="11" t="str">
        <f>IFERROR(__xludf.DUMMYFUNCTION("""COMPUTED_VALUE"""),"Listicle")</f>
        <v>Listicle</v>
      </c>
      <c r="G172" s="11" t="b">
        <f>IFERROR(__xludf.DUMMYFUNCTION("""COMPUTED_VALUE"""),FALSE)</f>
        <v>0</v>
      </c>
      <c r="H172" s="11" t="str">
        <f>IFERROR(__xludf.DUMMYFUNCTION("""COMPUTED_VALUE"""),"inBeat, Web Tonic, NoGood, Power Digital, Clutch, Disruptive Advertising, The Social Shepherd, Single Grain, Marcel Digital")</f>
        <v>inBeat, Web Tonic, NoGood, Power Digital, Clutch, Disruptive Advertising, The Social Shepherd, Single Grain, Marcel Digital</v>
      </c>
      <c r="I172" s="11">
        <f>IFERROR(__xludf.DUMMYFUNCTION("""COMPUTED_VALUE"""),13.0)</f>
        <v>13</v>
      </c>
      <c r="J172" s="11">
        <f>IFERROR(__xludf.DUMMYFUNCTION("""COMPUTED_VALUE"""),0.01)</f>
        <v>0.01</v>
      </c>
      <c r="K172" s="11">
        <f>IFERROR(__xludf.DUMMYFUNCTION("""COMPUTED_VALUE"""),0.0)</f>
        <v>0</v>
      </c>
      <c r="L172" s="11"/>
    </row>
    <row r="173" ht="15.75" customHeight="1">
      <c r="A173" s="10" t="str">
        <f>IFERROR(__xludf.DUMMYFUNCTION("""COMPUTED_VALUE"""),"https://influencermarketinghub.com/ai-marketing-agencies/")</f>
        <v>https://influencermarketinghub.com/ai-marketing-agencies/</v>
      </c>
      <c r="B173" s="11" t="str">
        <f>IFERROR(__xludf.DUMMYFUNCTION("""COMPUTED_VALUE"""),"Best AI Marketing Agencies For 2026")</f>
        <v>Best AI Marketing Agencies For 2026</v>
      </c>
      <c r="C173" s="10" t="str">
        <f>IFERROR(__xludf.DUMMYFUNCTION("""COMPUTED_VALUE"""),"influencermarketinghub.com")</f>
        <v>influencermarketinghub.com</v>
      </c>
      <c r="D173" s="11" t="str">
        <f>IFERROR(__xludf.DUMMYFUNCTION("""COMPUTED_VALUE"""),"LISTICLE")</f>
        <v>LISTICLE</v>
      </c>
      <c r="E173" s="11" t="str">
        <f>IFERROR(__xludf.DUMMYFUNCTION("""COMPUTED_VALUE"""),"REFERENCE")</f>
        <v>REFERENCE</v>
      </c>
      <c r="F173" s="11" t="str">
        <f>IFERROR(__xludf.DUMMYFUNCTION("""COMPUTED_VALUE"""),"Listicle")</f>
        <v>Listicle</v>
      </c>
      <c r="G173" s="11" t="b">
        <f>IFERROR(__xludf.DUMMYFUNCTION("""COMPUTED_VALUE"""),FALSE)</f>
        <v>0</v>
      </c>
      <c r="H173" s="11" t="str">
        <f>IFERROR(__xludf.DUMMYFUNCTION("""COMPUTED_VALUE"""),"Viral Nation, SmartSites, McKinsey, Momentum, Clutch, Wpromote, Dentsu, Sociallyin")</f>
        <v>Viral Nation, SmartSites, McKinsey, Momentum, Clutch, Wpromote, Dentsu, Sociallyin</v>
      </c>
      <c r="I173" s="11">
        <f>IFERROR(__xludf.DUMMYFUNCTION("""COMPUTED_VALUE"""),13.0)</f>
        <v>13</v>
      </c>
      <c r="J173" s="11">
        <f>IFERROR(__xludf.DUMMYFUNCTION("""COMPUTED_VALUE"""),0.01)</f>
        <v>0.01</v>
      </c>
      <c r="K173" s="11">
        <f>IFERROR(__xludf.DUMMYFUNCTION("""COMPUTED_VALUE"""),0.15)</f>
        <v>0.15</v>
      </c>
      <c r="L173" s="11"/>
    </row>
    <row r="174" ht="15.75" customHeight="1">
      <c r="A174" s="10" t="str">
        <f>IFERROR(__xludf.DUMMYFUNCTION("""COMPUTED_VALUE"""),"https://influencermarketinghub.com/google-ads-agencies/")</f>
        <v>https://influencermarketinghub.com/google-ads-agencies/</v>
      </c>
      <c r="B174" s="11" t="str">
        <f>IFERROR(__xludf.DUMMYFUNCTION("""COMPUTED_VALUE"""),"22 of the Best Google Ads Agencies for 2025")</f>
        <v>22 of the Best Google Ads Agencies for 2025</v>
      </c>
      <c r="C174" s="10" t="str">
        <f>IFERROR(__xludf.DUMMYFUNCTION("""COMPUTED_VALUE"""),"influencermarketinghub.com")</f>
        <v>influencermarketinghub.com</v>
      </c>
      <c r="D174" s="11" t="str">
        <f>IFERROR(__xludf.DUMMYFUNCTION("""COMPUTED_VALUE"""),"LISTICLE")</f>
        <v>LISTICLE</v>
      </c>
      <c r="E174" s="11" t="str">
        <f>IFERROR(__xludf.DUMMYFUNCTION("""COMPUTED_VALUE"""),"REFERENCE")</f>
        <v>REFERENCE</v>
      </c>
      <c r="F174" s="11" t="str">
        <f>IFERROR(__xludf.DUMMYFUNCTION("""COMPUTED_VALUE"""),"Listicle")</f>
        <v>Listicle</v>
      </c>
      <c r="G174" s="11" t="b">
        <f>IFERROR(__xludf.DUMMYFUNCTION("""COMPUTED_VALUE"""),FALSE)</f>
        <v>0</v>
      </c>
      <c r="H174" s="11" t="str">
        <f>IFERROR(__xludf.DUMMYFUNCTION("""COMPUTED_VALUE"""),"Viral Nation, SmartSites, NinjaPromo, McKinsey, LYFE Marketing, Measured, WebFX, Intero Digital, KlientBoost, Ignite Visibility, Single Grain, Disruptive Advertising, Thrive Internet Marketing Agency, Directive")</f>
        <v>Viral Nation, SmartSites, NinjaPromo, McKinsey, LYFE Marketing, Measured, WebFX, Intero Digital, KlientBoost, Ignite Visibility, Single Grain, Disruptive Advertising, Thrive Internet Marketing Agency, Directive</v>
      </c>
      <c r="I174" s="11">
        <f>IFERROR(__xludf.DUMMYFUNCTION("""COMPUTED_VALUE"""),13.0)</f>
        <v>13</v>
      </c>
      <c r="J174" s="11">
        <f>IFERROR(__xludf.DUMMYFUNCTION("""COMPUTED_VALUE"""),0.01)</f>
        <v>0.01</v>
      </c>
      <c r="K174" s="11">
        <f>IFERROR(__xludf.DUMMYFUNCTION("""COMPUTED_VALUE"""),0.0)</f>
        <v>0</v>
      </c>
      <c r="L174" s="11"/>
    </row>
    <row r="175" ht="15.75" customHeight="1">
      <c r="A175" s="10" t="str">
        <f>IFERROR(__xludf.DUMMYFUNCTION("""COMPUTED_VALUE"""),"https://influencermarketinghub.com/marketing-analytics-agency/")</f>
        <v>https://influencermarketinghub.com/marketing-analytics-agency/</v>
      </c>
      <c r="B175" s="11" t="str">
        <f>IFERROR(__xludf.DUMMYFUNCTION("""COMPUTED_VALUE"""),"Top 12 Marketing Analytics Agency Selections for Data-Driven Success")</f>
        <v>Top 12 Marketing Analytics Agency Selections for Data-Driven Success</v>
      </c>
      <c r="C175" s="10" t="str">
        <f>IFERROR(__xludf.DUMMYFUNCTION("""COMPUTED_VALUE"""),"influencermarketinghub.com")</f>
        <v>influencermarketinghub.com</v>
      </c>
      <c r="D175" s="11" t="str">
        <f>IFERROR(__xludf.DUMMYFUNCTION("""COMPUTED_VALUE"""),"LISTICLE")</f>
        <v>LISTICLE</v>
      </c>
      <c r="E175" s="11" t="str">
        <f>IFERROR(__xludf.DUMMYFUNCTION("""COMPUTED_VALUE"""),"REFERENCE")</f>
        <v>REFERENCE</v>
      </c>
      <c r="F175" s="11" t="str">
        <f>IFERROR(__xludf.DUMMYFUNCTION("""COMPUTED_VALUE"""),"Listicle")</f>
        <v>Listicle</v>
      </c>
      <c r="G175" s="11" t="b">
        <f>IFERROR(__xludf.DUMMYFUNCTION("""COMPUTED_VALUE"""),FALSE)</f>
        <v>0</v>
      </c>
      <c r="H175" s="11" t="str">
        <f>IFERROR(__xludf.DUMMYFUNCTION("""COMPUTED_VALUE"""),"Viral Nation, SmartSites, McKinsey, Noble Studios, Forthea, GroupM, WPP, Disruptive Advertising")</f>
        <v>Viral Nation, SmartSites, McKinsey, Noble Studios, Forthea, GroupM, WPP, Disruptive Advertising</v>
      </c>
      <c r="I175" s="11">
        <f>IFERROR(__xludf.DUMMYFUNCTION("""COMPUTED_VALUE"""),13.0)</f>
        <v>13</v>
      </c>
      <c r="J175" s="11">
        <f>IFERROR(__xludf.DUMMYFUNCTION("""COMPUTED_VALUE"""),0.01)</f>
        <v>0.01</v>
      </c>
      <c r="K175" s="11">
        <f>IFERROR(__xludf.DUMMYFUNCTION("""COMPUTED_VALUE"""),0.46)</f>
        <v>0.46</v>
      </c>
      <c r="L175" s="11"/>
    </row>
    <row r="176" ht="15.75" customHeight="1">
      <c r="A176" s="10" t="str">
        <f>IFERROR(__xludf.DUMMYFUNCTION("""COMPUTED_VALUE"""),"https://www.maxiomtech.com/top-10-ai-marketing-automation-agencies/")</f>
        <v>https://www.maxiomtech.com/top-10-ai-marketing-automation-agencies/</v>
      </c>
      <c r="B176" s="11" t="str">
        <f>IFERROR(__xludf.DUMMYFUNCTION("""COMPUTED_VALUE"""),"Top 10 AI Marketing Automation Agencies in 2026")</f>
        <v>Top 10 AI Marketing Automation Agencies in 2026</v>
      </c>
      <c r="C176" s="10" t="str">
        <f>IFERROR(__xludf.DUMMYFUNCTION("""COMPUTED_VALUE"""),"maxiomtech.com")</f>
        <v>maxiomtech.com</v>
      </c>
      <c r="D176" s="11" t="str">
        <f>IFERROR(__xludf.DUMMYFUNCTION("""COMPUTED_VALUE"""),"LISTICLE")</f>
        <v>LISTICLE</v>
      </c>
      <c r="E176" s="11" t="str">
        <f>IFERROR(__xludf.DUMMYFUNCTION("""COMPUTED_VALUE"""),"CORPORATE")</f>
        <v>CORPORATE</v>
      </c>
      <c r="F176" s="11" t="str">
        <f>IFERROR(__xludf.DUMMYFUNCTION("""COMPUTED_VALUE"""),"Listicle")</f>
        <v>Listicle</v>
      </c>
      <c r="G176" s="11" t="b">
        <f>IFERROR(__xludf.DUMMYFUNCTION("""COMPUTED_VALUE"""),FALSE)</f>
        <v>0</v>
      </c>
      <c r="H176" s="11" t="str">
        <f>IFERROR(__xludf.DUMMYFUNCTION("""COMPUTED_VALUE"""),"Accenture Song, Droga5, Deloitte Digital, PwC, VML, WPP, Single Grain, Merkle, Dentsu, Publicis Sapient, Publicis Groupe, Ogilvy")</f>
        <v>Accenture Song, Droga5, Deloitte Digital, PwC, VML, WPP, Single Grain, Merkle, Dentsu, Publicis Sapient, Publicis Groupe, Ogilvy</v>
      </c>
      <c r="I176" s="11">
        <f>IFERROR(__xludf.DUMMYFUNCTION("""COMPUTED_VALUE"""),13.0)</f>
        <v>13</v>
      </c>
      <c r="J176" s="11">
        <f>IFERROR(__xludf.DUMMYFUNCTION("""COMPUTED_VALUE"""),0.01)</f>
        <v>0.01</v>
      </c>
      <c r="K176" s="11">
        <f>IFERROR(__xludf.DUMMYFUNCTION("""COMPUTED_VALUE"""),1.46)</f>
        <v>1.46</v>
      </c>
      <c r="L176" s="11"/>
    </row>
    <row r="177" ht="15.75" customHeight="1">
      <c r="A177" s="10" t="str">
        <f>IFERROR(__xludf.DUMMYFUNCTION("""COMPUTED_VALUE"""),"https://nationalmarketingawards.com/awards/categories/ppc/")</f>
        <v>https://nationalmarketingawards.com/awards/categories/ppc/</v>
      </c>
      <c r="B177" s="11" t="str">
        <f>IFERROR(__xludf.DUMMYFUNCTION("""COMPUTED_VALUE"""),"Best PPC &amp;amp; Paid Media Agencies in the US (2026) | National Marketing Awards")</f>
        <v>Best PPC &amp;amp; Paid Media Agencies in the US (2026) | National Marketing Awards</v>
      </c>
      <c r="C177" s="10" t="str">
        <f>IFERROR(__xludf.DUMMYFUNCTION("""COMPUTED_VALUE"""),"nationalmarketingawards.com")</f>
        <v>nationalmarketingawards.com</v>
      </c>
      <c r="D177" s="11" t="str">
        <f>IFERROR(__xludf.DUMMYFUNCTION("""COMPUTED_VALUE"""),"LISTICLE")</f>
        <v>LISTICLE</v>
      </c>
      <c r="E177" s="11" t="str">
        <f>IFERROR(__xludf.DUMMYFUNCTION("""COMPUTED_VALUE"""),"REFERENCE")</f>
        <v>REFERENCE</v>
      </c>
      <c r="F177" s="11" t="str">
        <f>IFERROR(__xludf.DUMMYFUNCTION("""COMPUTED_VALUE"""),"Listicle")</f>
        <v>Listicle</v>
      </c>
      <c r="G177" s="11" t="b">
        <f>IFERROR(__xludf.DUMMYFUNCTION("""COMPUTED_VALUE"""),FALSE)</f>
        <v>0</v>
      </c>
      <c r="H177" s="11" t="str">
        <f>IFERROR(__xludf.DUMMYFUNCTION("""COMPUTED_VALUE"""),"WebFX, Ignite Visibility, SmartSites, Clutch, HawkSEM, Measured, Disruptive Advertising, LYFE Marketing, Intero Digital, Noble Studios, NP Digital, Marcel Digital, Directive, Seer Interactive, Silverback Strategies, Power Digital, Searchbloom, Wpromote, K"&amp;"lientBoost, Single Grain, PMG, Sociallyin, First Page Sage, Clay, Tinuiti, Hawke Media")</f>
        <v>WebFX, Ignite Visibility, SmartSites, Clutch, HawkSEM, Measured, Disruptive Advertising, LYFE Marketing, Intero Digital, Noble Studios, NP Digital, Marcel Digital, Directive, Seer Interactive, Silverback Strategies, Power Digital, Searchbloom, Wpromote, KlientBoost, Single Grain, PMG, Sociallyin, First Page Sage, Clay, Tinuiti, Hawke Media</v>
      </c>
      <c r="I177" s="11">
        <f>IFERROR(__xludf.DUMMYFUNCTION("""COMPUTED_VALUE"""),13.0)</f>
        <v>13</v>
      </c>
      <c r="J177" s="11">
        <f>IFERROR(__xludf.DUMMYFUNCTION("""COMPUTED_VALUE"""),0.01)</f>
        <v>0.01</v>
      </c>
      <c r="K177" s="11">
        <f>IFERROR(__xludf.DUMMYFUNCTION("""COMPUTED_VALUE"""),0.31)</f>
        <v>0.31</v>
      </c>
      <c r="L177" s="11"/>
    </row>
    <row r="178" ht="15.75" customHeight="1">
      <c r="A178" s="10" t="str">
        <f>IFERROR(__xludf.DUMMYFUNCTION("""COMPUTED_VALUE"""),"https://www.revvgrowth.com/geo/geo-agency-usa")</f>
        <v>https://www.revvgrowth.com/geo/geo-agency-usa</v>
      </c>
      <c r="B178" s="11" t="str">
        <f>IFERROR(__xludf.DUMMYFUNCTION("""COMPUTED_VALUE"""),"Best GEO Agency in the USA for B2B SaaS (2026)")</f>
        <v>Best GEO Agency in the USA for B2B SaaS (2026)</v>
      </c>
      <c r="C178" s="10" t="str">
        <f>IFERROR(__xludf.DUMMYFUNCTION("""COMPUTED_VALUE"""),"revvgrowth.com")</f>
        <v>revvgrowth.com</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IFERROR(__xludf.DUMMYFUNCTION("""COMPUTED_VALUE"""),"iPullRank, First Page Sage, Omniscient Digital, Siege Media, NoGood, Directive, Go Fish Digital, Animalz, Clutch, Measured")</f>
        <v>iPullRank, First Page Sage, Omniscient Digital, Siege Media, NoGood, Directive, Go Fish Digital, Animalz, Clutch, Measured</v>
      </c>
      <c r="I178" s="11">
        <f>IFERROR(__xludf.DUMMYFUNCTION("""COMPUTED_VALUE"""),13.0)</f>
        <v>13</v>
      </c>
      <c r="J178" s="11">
        <f>IFERROR(__xludf.DUMMYFUNCTION("""COMPUTED_VALUE"""),0.01)</f>
        <v>0.01</v>
      </c>
      <c r="K178" s="11">
        <f>IFERROR(__xludf.DUMMYFUNCTION("""COMPUTED_VALUE"""),1.0)</f>
        <v>1</v>
      </c>
      <c r="L178" s="11"/>
    </row>
    <row r="179" ht="15.75" customHeight="1">
      <c r="A179" s="10" t="str">
        <f>IFERROR(__xludf.DUMMYFUNCTION("""COMPUTED_VALUE"""),"https://sage.agency/blog/best-google-ads-agency-partners-for-2026/")</f>
        <v>https://sage.agency/blog/best-google-ads-agency-partners-for-2026/</v>
      </c>
      <c r="B179" s="11" t="str">
        <f>IFERROR(__xludf.DUMMYFUNCTION("""COMPUTED_VALUE"""),"Best Google Ads Agency Partners for 2026 - Sage Digital Agency")</f>
        <v>Best Google Ads Agency Partners for 2026 - Sage Digital Agency</v>
      </c>
      <c r="C179" s="11" t="str">
        <f>IFERROR(__xludf.DUMMYFUNCTION("""COMPUTED_VALUE"""),"sage.agency")</f>
        <v>sage.agency</v>
      </c>
      <c r="D179" s="11" t="str">
        <f>IFERROR(__xludf.DUMMYFUNCTION("""COMPUTED_VALUE"""),"LISTICLE")</f>
        <v>LISTICLE</v>
      </c>
      <c r="E179" s="11" t="str">
        <f>IFERROR(__xludf.DUMMYFUNCTION("""COMPUTED_VALUE"""),"CORPORATE")</f>
        <v>CORPORATE</v>
      </c>
      <c r="F179" s="11" t="str">
        <f>IFERROR(__xludf.DUMMYFUNCTION("""COMPUTED_VALUE"""),"Listicle")</f>
        <v>Listicle</v>
      </c>
      <c r="G179" s="11" t="b">
        <f>IFERROR(__xludf.DUMMYFUNCTION("""COMPUTED_VALUE"""),FALSE)</f>
        <v>0</v>
      </c>
      <c r="H179" s="11" t="str">
        <f>IFERROR(__xludf.DUMMYFUNCTION("""COMPUTED_VALUE"""),"KlientBoost, SmartSites, Disruptive Advertising, Clutch, WebFX, Thrive Internet Marketing Agency")</f>
        <v>KlientBoost, SmartSites, Disruptive Advertising, Clutch, WebFX, Thrive Internet Marketing Agency</v>
      </c>
      <c r="I179" s="11">
        <f>IFERROR(__xludf.DUMMYFUNCTION("""COMPUTED_VALUE"""),13.0)</f>
        <v>13</v>
      </c>
      <c r="J179" s="11">
        <f>IFERROR(__xludf.DUMMYFUNCTION("""COMPUTED_VALUE"""),0.01)</f>
        <v>0.01</v>
      </c>
      <c r="K179" s="11">
        <f>IFERROR(__xludf.DUMMYFUNCTION("""COMPUTED_VALUE"""),1.08)</f>
        <v>1.08</v>
      </c>
      <c r="L179" s="11"/>
    </row>
    <row r="180" ht="15.75" customHeight="1">
      <c r="A180" s="10" t="str">
        <f>IFERROR(__xludf.DUMMYFUNCTION("""COMPUTED_VALUE"""),"https://scalixai.com/blog/top-google-ad-agencies-in-us")</f>
        <v>https://scalixai.com/blog/top-google-ad-agencies-in-us</v>
      </c>
      <c r="B180" s="11" t="str">
        <f>IFERROR(__xludf.DUMMYFUNCTION("""COMPUTED_VALUE"""),"Top 10 Google Ads Agencies in the US (2026) — Ranked &amp;amp; Reviewed")</f>
        <v>Top 10 Google Ads Agencies in the US (2026) — Ranked &amp;amp; Reviewed</v>
      </c>
      <c r="C180" s="10" t="str">
        <f>IFERROR(__xludf.DUMMYFUNCTION("""COMPUTED_VALUE"""),"scalixai.com")</f>
        <v>scalixai.com</v>
      </c>
      <c r="D180" s="11" t="str">
        <f>IFERROR(__xludf.DUMMYFUNCTION("""COMPUTED_VALUE"""),"LISTICLE")</f>
        <v>LISTICLE</v>
      </c>
      <c r="E180" s="11" t="str">
        <f>IFERROR(__xludf.DUMMYFUNCTION("""COMPUTED_VALUE"""),"CORPORATE")</f>
        <v>CORPORATE</v>
      </c>
      <c r="F180" s="11" t="str">
        <f>IFERROR(__xludf.DUMMYFUNCTION("""COMPUTED_VALUE"""),"Listicle")</f>
        <v>Listicle</v>
      </c>
      <c r="G180" s="11" t="b">
        <f>IFERROR(__xludf.DUMMYFUNCTION("""COMPUTED_VALUE"""),FALSE)</f>
        <v>0</v>
      </c>
      <c r="H180" s="11" t="str">
        <f>IFERROR(__xludf.DUMMYFUNCTION("""COMPUTED_VALUE"""),"Disruptive Advertising, Directive, KlientBoost, WebFX, Intero Digital, Power Digital")</f>
        <v>Disruptive Advertising, Directive, KlientBoost, WebFX, Intero Digital, Power Digital</v>
      </c>
      <c r="I180" s="11">
        <f>IFERROR(__xludf.DUMMYFUNCTION("""COMPUTED_VALUE"""),13.0)</f>
        <v>13</v>
      </c>
      <c r="J180" s="11">
        <f>IFERROR(__xludf.DUMMYFUNCTION("""COMPUTED_VALUE"""),0.01)</f>
        <v>0.01</v>
      </c>
      <c r="K180" s="11">
        <f>IFERROR(__xludf.DUMMYFUNCTION("""COMPUTED_VALUE"""),0.46)</f>
        <v>0.46</v>
      </c>
      <c r="L180" s="11"/>
    </row>
    <row r="181" ht="15.75" customHeight="1">
      <c r="A181" s="10" t="str">
        <f>IFERROR(__xludf.DUMMYFUNCTION("""COMPUTED_VALUE"""),"https://seoprofy.com/blog/best-ai-seo-agencies/")</f>
        <v>https://seoprofy.com/blog/best-ai-seo-agencies/</v>
      </c>
      <c r="B181" s="11" t="str">
        <f>IFERROR(__xludf.DUMMYFUNCTION("""COMPUTED_VALUE"""),"The 10 Best AI SEO Agencies &amp;amp; Services for 2026")</f>
        <v>The 10 Best AI SEO Agencies &amp;amp; Services for 2026</v>
      </c>
      <c r="C181" s="10" t="str">
        <f>IFERROR(__xludf.DUMMYFUNCTION("""COMPUTED_VALUE"""),"seoprofy.com")</f>
        <v>seoprofy.com</v>
      </c>
      <c r="D181" s="11" t="str">
        <f>IFERROR(__xludf.DUMMYFUNCTION("""COMPUTED_VALUE"""),"LISTICLE")</f>
        <v>LISTICLE</v>
      </c>
      <c r="E181" s="11" t="str">
        <f>IFERROR(__xludf.DUMMYFUNCTION("""COMPUTED_VALUE"""),"CORPORATE")</f>
        <v>CORPORATE</v>
      </c>
      <c r="F181" s="11" t="str">
        <f>IFERROR(__xludf.DUMMYFUNCTION("""COMPUTED_VALUE"""),"Listicle")</f>
        <v>Listicle</v>
      </c>
      <c r="G181" s="11" t="b">
        <f>IFERROR(__xludf.DUMMYFUNCTION("""COMPUTED_VALUE"""),FALSE)</f>
        <v>0</v>
      </c>
      <c r="H181" s="11" t="str">
        <f>IFERROR(__xludf.DUMMYFUNCTION("""COMPUTED_VALUE"""),"iPullRank, NP Digital, Omniscient Digital, NoGood, Siege Media, WebFX, Victorious, Clutch, McKinsey")</f>
        <v>iPullRank, NP Digital, Omniscient Digital, NoGood, Siege Media, WebFX, Victorious, Clutch, McKinsey</v>
      </c>
      <c r="I181" s="11">
        <f>IFERROR(__xludf.DUMMYFUNCTION("""COMPUTED_VALUE"""),13.0)</f>
        <v>13</v>
      </c>
      <c r="J181" s="11">
        <f>IFERROR(__xludf.DUMMYFUNCTION("""COMPUTED_VALUE"""),0.01)</f>
        <v>0.01</v>
      </c>
      <c r="K181" s="11">
        <f>IFERROR(__xludf.DUMMYFUNCTION("""COMPUTED_VALUE"""),0.46)</f>
        <v>0.46</v>
      </c>
      <c r="L181" s="11"/>
    </row>
    <row r="182" ht="15.75" customHeight="1">
      <c r="A182" s="10" t="str">
        <f>IFERROR(__xludf.DUMMYFUNCTION("""COMPUTED_VALUE"""),"https://techbehemoths.com/companies/google-marketing-platform/united-states")</f>
        <v>https://techbehemoths.com/companies/google-marketing-platform/united-states</v>
      </c>
      <c r="B182" s="11" t="str">
        <f>IFERROR(__xludf.DUMMYFUNCTION("""COMPUTED_VALUE"""),"Top 20+ Google Marketing Platform Companies in United States (2026) - TechBehemoths")</f>
        <v>Top 20+ Google Marketing Platform Companies in United States (2026) - TechBehemoths</v>
      </c>
      <c r="C182" s="10" t="str">
        <f>IFERROR(__xludf.DUMMYFUNCTION("""COMPUTED_VALUE"""),"techbehemoths.com")</f>
        <v>techbehemoths.com</v>
      </c>
      <c r="D182" s="11" t="str">
        <f>IFERROR(__xludf.DUMMYFUNCTION("""COMPUTED_VALUE"""),"PROFILE")</f>
        <v>PROFILE</v>
      </c>
      <c r="E182" s="11" t="str">
        <f>IFERROR(__xludf.DUMMYFUNCTION("""COMPUTED_VALUE"""),"REFERENCE")</f>
        <v>REFERENCE</v>
      </c>
      <c r="F182" s="11" t="str">
        <f>IFERROR(__xludf.DUMMYFUNCTION("""COMPUTED_VALUE"""),"Profile")</f>
        <v>Profile</v>
      </c>
      <c r="G182" s="11" t="b">
        <f>IFERROR(__xludf.DUMMYFUNCTION("""COMPUTED_VALUE"""),FALSE)</f>
        <v>0</v>
      </c>
      <c r="H182" s="11" t="str">
        <f>IFERROR(__xludf.DUMMYFUNCTION("""COMPUTED_VALUE"""),"Storm Brain")</f>
        <v>Storm Brain</v>
      </c>
      <c r="I182" s="11">
        <f>IFERROR(__xludf.DUMMYFUNCTION("""COMPUTED_VALUE"""),13.0)</f>
        <v>13</v>
      </c>
      <c r="J182" s="11">
        <f>IFERROR(__xludf.DUMMYFUNCTION("""COMPUTED_VALUE"""),0.01)</f>
        <v>0.01</v>
      </c>
      <c r="K182" s="11">
        <f>IFERROR(__xludf.DUMMYFUNCTION("""COMPUTED_VALUE"""),0.08)</f>
        <v>0.08</v>
      </c>
      <c r="L182" s="11"/>
    </row>
    <row r="183" ht="15.75" customHeight="1">
      <c r="A183" s="10" t="str">
        <f>IFERROR(__xludf.DUMMYFUNCTION("""COMPUTED_VALUE"""),"https://thebrandsbureau.com/top-creative-agencies-2026/")</f>
        <v>https://thebrandsbureau.com/top-creative-agencies-2026/</v>
      </c>
      <c r="B183" s="11" t="str">
        <f>IFERROR(__xludf.DUMMYFUNCTION("""COMPUTED_VALUE"""),"14 Best Creative Agencies in the World for Your Brand 2026")</f>
        <v>14 Best Creative Agencies in the World for Your Brand 2026</v>
      </c>
      <c r="C183" s="10" t="str">
        <f>IFERROR(__xludf.DUMMYFUNCTION("""COMPUTED_VALUE"""),"thebrandsbureau.com")</f>
        <v>thebrandsbureau.com</v>
      </c>
      <c r="D183" s="11" t="str">
        <f>IFERROR(__xludf.DUMMYFUNCTION("""COMPUTED_VALUE"""),"LISTICLE")</f>
        <v>LISTICLE</v>
      </c>
      <c r="E183" s="11" t="str">
        <f>IFERROR(__xludf.DUMMYFUNCTION("""COMPUTED_VALUE"""),"CORPORATE")</f>
        <v>CORPORATE</v>
      </c>
      <c r="F183" s="11" t="str">
        <f>IFERROR(__xludf.DUMMYFUNCTION("""COMPUTED_VALUE"""),"Listicle")</f>
        <v>Listicle</v>
      </c>
      <c r="G183" s="11" t="b">
        <f>IFERROR(__xludf.DUMMYFUNCTION("""COMPUTED_VALUE"""),FALSE)</f>
        <v>0</v>
      </c>
      <c r="H183" s="11" t="str">
        <f>IFERROR(__xludf.DUMMYFUNCTION("""COMPUTED_VALUE"""),"Pentagram, R/GA, Wieden+Kennedy, Ogilvy, IBM, Huge, Droga5, AKQA, Superside, BBDO, VML")</f>
        <v>Pentagram, R/GA, Wieden+Kennedy, Ogilvy, IBM, Huge, Droga5, AKQA, Superside, BBDO, VML</v>
      </c>
      <c r="I183" s="11">
        <f>IFERROR(__xludf.DUMMYFUNCTION("""COMPUTED_VALUE"""),13.0)</f>
        <v>13</v>
      </c>
      <c r="J183" s="11">
        <f>IFERROR(__xludf.DUMMYFUNCTION("""COMPUTED_VALUE"""),0.01)</f>
        <v>0.01</v>
      </c>
      <c r="K183" s="11">
        <f>IFERROR(__xludf.DUMMYFUNCTION("""COMPUTED_VALUE"""),1.15)</f>
        <v>1.15</v>
      </c>
      <c r="L183" s="11"/>
    </row>
    <row r="184" ht="15.75" customHeight="1">
      <c r="A184" s="10" t="str">
        <f>IFERROR(__xludf.DUMMYFUNCTION("""COMPUTED_VALUE"""),"https://www.topseobrands.com/best-display-advertising-firms-in-usa")</f>
        <v>https://www.topseobrands.com/best-display-advertising-firms-in-usa</v>
      </c>
      <c r="B184" s="11" t="str">
        <f>IFERROR(__xludf.DUMMYFUNCTION("""COMPUTED_VALUE"""),"Best Display Advertising Firms in United States | Top SEO Brands")</f>
        <v>Best Display Advertising Firms in United States | Top SEO Brands</v>
      </c>
      <c r="C184" s="10" t="str">
        <f>IFERROR(__xludf.DUMMYFUNCTION("""COMPUTED_VALUE"""),"topseobrands.com")</f>
        <v>topseobrands.com</v>
      </c>
      <c r="D184" s="11" t="str">
        <f>IFERROR(__xludf.DUMMYFUNCTION("""COMPUTED_VALUE"""),"LISTICLE")</f>
        <v>LISTICLE</v>
      </c>
      <c r="E184" s="11" t="str">
        <f>IFERROR(__xludf.DUMMYFUNCTION("""COMPUTED_VALUE"""),"REFERENCE")</f>
        <v>REFERENCE</v>
      </c>
      <c r="F184" s="11" t="str">
        <f>IFERROR(__xludf.DUMMYFUNCTION("""COMPUTED_VALUE"""),"Listicle")</f>
        <v>Listicle</v>
      </c>
      <c r="G184" s="11" t="b">
        <f>IFERROR(__xludf.DUMMYFUNCTION("""COMPUTED_VALUE"""),FALSE)</f>
        <v>0</v>
      </c>
      <c r="H184" s="11" t="str">
        <f>IFERROR(__xludf.DUMMYFUNCTION("""COMPUTED_VALUE"""),"Disruptive Advertising")</f>
        <v>Disruptive Advertising</v>
      </c>
      <c r="I184" s="11">
        <f>IFERROR(__xludf.DUMMYFUNCTION("""COMPUTED_VALUE"""),13.0)</f>
        <v>13</v>
      </c>
      <c r="J184" s="11">
        <f>IFERROR(__xludf.DUMMYFUNCTION("""COMPUTED_VALUE"""),0.01)</f>
        <v>0.01</v>
      </c>
      <c r="K184" s="11">
        <f>IFERROR(__xludf.DUMMYFUNCTION("""COMPUTED_VALUE"""),0.0)</f>
        <v>0</v>
      </c>
      <c r="L184" s="11"/>
    </row>
    <row r="185" ht="15.75" customHeight="1">
      <c r="A185" s="10" t="str">
        <f>IFERROR(__xludf.DUMMYFUNCTION("""COMPUTED_VALUE"""),"https://aeoagency.org/best-aeo-agencies/")</f>
        <v>https://aeoagency.org/best-aeo-agencies/</v>
      </c>
      <c r="B185" s="11" t="str">
        <f>IFERROR(__xludf.DUMMYFUNCTION("""COMPUTED_VALUE"""),"Best AEO Agencies 2025-2026")</f>
        <v>Best AEO Agencies 2025-2026</v>
      </c>
      <c r="C185" s="10" t="str">
        <f>IFERROR(__xludf.DUMMYFUNCTION("""COMPUTED_VALUE"""),"aeoagency.org")</f>
        <v>aeoagency.org</v>
      </c>
      <c r="D185" s="11" t="str">
        <f>IFERROR(__xludf.DUMMYFUNCTION("""COMPUTED_VALUE"""),"LISTICLE")</f>
        <v>LISTICLE</v>
      </c>
      <c r="E185" s="11" t="str">
        <f>IFERROR(__xludf.DUMMYFUNCTION("""COMPUTED_VALUE"""),"CORPORATE")</f>
        <v>CORPORATE</v>
      </c>
      <c r="F185" s="11" t="str">
        <f>IFERROR(__xludf.DUMMYFUNCTION("""COMPUTED_VALUE"""),"Listicle")</f>
        <v>Listicle</v>
      </c>
      <c r="G185" s="11" t="b">
        <f>IFERROR(__xludf.DUMMYFUNCTION("""COMPUTED_VALUE"""),FALSE)</f>
        <v>0</v>
      </c>
      <c r="H185" s="11" t="str">
        <f>IFERROR(__xludf.DUMMYFUNCTION("""COMPUTED_VALUE"""),"Marcel Digital, Graphite, Amsive")</f>
        <v>Marcel Digital, Graphite, Amsive</v>
      </c>
      <c r="I185" s="11">
        <f>IFERROR(__xludf.DUMMYFUNCTION("""COMPUTED_VALUE"""),12.0)</f>
        <v>12</v>
      </c>
      <c r="J185" s="11">
        <f>IFERROR(__xludf.DUMMYFUNCTION("""COMPUTED_VALUE"""),0.01)</f>
        <v>0.01</v>
      </c>
      <c r="K185" s="11">
        <f>IFERROR(__xludf.DUMMYFUNCTION("""COMPUTED_VALUE"""),0.83)</f>
        <v>0.83</v>
      </c>
      <c r="L185" s="11"/>
    </row>
    <row r="186" ht="15.75" customHeight="1">
      <c r="A186" s="10" t="str">
        <f>IFERROR(__xludf.DUMMYFUNCTION("""COMPUTED_VALUE"""),"https://agencies.semrush.com/list/display-advertising/united-states/mid-business/")</f>
        <v>https://agencies.semrush.com/list/display-advertising/united-states/mid-business/</v>
      </c>
      <c r="B186" s="11" t="str">
        <f>IFERROR(__xludf.DUMMYFUNCTION("""COMPUTED_VALUE"""),"Best Display Ads Agencies for Mid Business in United States 2026 | Semrush")</f>
        <v>Best Display Ads Agencies for Mid Business in United States 2026 | Semrush</v>
      </c>
      <c r="C186" s="10" t="str">
        <f>IFERROR(__xludf.DUMMYFUNCTION("""COMPUTED_VALUE"""),"semrush.com")</f>
        <v>semrush.com</v>
      </c>
      <c r="D186" s="11" t="str">
        <f>IFERROR(__xludf.DUMMYFUNCTION("""COMPUTED_VALUE"""),"CATEGORY_PAGE")</f>
        <v>CATEGORY_PAGE</v>
      </c>
      <c r="E186" s="11" t="str">
        <f>IFERROR(__xludf.DUMMYFUNCTION("""COMPUTED_VALUE"""),"CORPORATE")</f>
        <v>CORPORATE</v>
      </c>
      <c r="F186" s="11" t="str">
        <f>IFERROR(__xludf.DUMMYFUNCTION("""COMPUTED_VALUE"""),"Category Page")</f>
        <v>Category Page</v>
      </c>
      <c r="G186" s="11" t="b">
        <f>IFERROR(__xludf.DUMMYFUNCTION("""COMPUTED_VALUE"""),FALSE)</f>
        <v>0</v>
      </c>
      <c r="H186" s="11" t="str">
        <f>IFERROR(__xludf.DUMMYFUNCTION("""COMPUTED_VALUE"""),"SmartSites, Elit-Web, Brighter Click")</f>
        <v>SmartSites, Elit-Web, Brighter Click</v>
      </c>
      <c r="I186" s="11">
        <f>IFERROR(__xludf.DUMMYFUNCTION("""COMPUTED_VALUE"""),12.0)</f>
        <v>12</v>
      </c>
      <c r="J186" s="11">
        <f>IFERROR(__xludf.DUMMYFUNCTION("""COMPUTED_VALUE"""),0.01)</f>
        <v>0.01</v>
      </c>
      <c r="K186" s="11">
        <f>IFERROR(__xludf.DUMMYFUNCTION("""COMPUTED_VALUE"""),0.08)</f>
        <v>0.08</v>
      </c>
      <c r="L186" s="11"/>
    </row>
    <row r="187" ht="15.75" customHeight="1">
      <c r="A187" s="10" t="str">
        <f>IFERROR(__xludf.DUMMYFUNCTION("""COMPUTED_VALUE"""),"https://www.agencycluster.com/top-10/ppc-performance-marketing-agencies")</f>
        <v>https://www.agencycluster.com/top-10/ppc-performance-marketing-agencies</v>
      </c>
      <c r="B187" s="11" t="str">
        <f>IFERROR(__xludf.DUMMYFUNCTION("""COMPUTED_VALUE"""),"Top 10 PPC &amp;amp; Performance Marketing Agencies in the USA (2026) | AgencyCluster")</f>
        <v>Top 10 PPC &amp;amp; Performance Marketing Agencies in the USA (2026) | AgencyCluster</v>
      </c>
      <c r="C187" s="10" t="str">
        <f>IFERROR(__xludf.DUMMYFUNCTION("""COMPUTED_VALUE"""),"agencycluster.com")</f>
        <v>agencycluster.com</v>
      </c>
      <c r="D187" s="11" t="str">
        <f>IFERROR(__xludf.DUMMYFUNCTION("""COMPUTED_VALUE"""),"LISTICLE")</f>
        <v>LISTICLE</v>
      </c>
      <c r="E187" s="11" t="str">
        <f>IFERROR(__xludf.DUMMYFUNCTION("""COMPUTED_VALUE"""),"REFERENCE")</f>
        <v>REFERENCE</v>
      </c>
      <c r="F187" s="11" t="str">
        <f>IFERROR(__xludf.DUMMYFUNCTION("""COMPUTED_VALUE"""),"Listicle")</f>
        <v>Listicle</v>
      </c>
      <c r="G187" s="11" t="b">
        <f>IFERROR(__xludf.DUMMYFUNCTION("""COMPUTED_VALUE"""),FALSE)</f>
        <v>0</v>
      </c>
      <c r="H187" s="11" t="str">
        <f>IFERROR(__xludf.DUMMYFUNCTION("""COMPUTED_VALUE"""),"Disruptive Advertising, Ignite Visibility, KlientBoost, NP Digital, Power Digital, SmartSites, Tinuiti, WebFX, Wpromote")</f>
        <v>Disruptive Advertising, Ignite Visibility, KlientBoost, NP Digital, Power Digital, SmartSites, Tinuiti, WebFX, Wpromote</v>
      </c>
      <c r="I187" s="11">
        <f>IFERROR(__xludf.DUMMYFUNCTION("""COMPUTED_VALUE"""),12.0)</f>
        <v>12</v>
      </c>
      <c r="J187" s="11">
        <f>IFERROR(__xludf.DUMMYFUNCTION("""COMPUTED_VALUE"""),0.01)</f>
        <v>0.01</v>
      </c>
      <c r="K187" s="11">
        <f>IFERROR(__xludf.DUMMYFUNCTION("""COMPUTED_VALUE"""),0.0)</f>
        <v>0</v>
      </c>
      <c r="L187" s="11"/>
    </row>
    <row r="188" ht="15.75" customHeight="1">
      <c r="A188" s="10" t="str">
        <f>IFERROR(__xludf.DUMMYFUNCTION("""COMPUTED_VALUE"""),"https://www.agencycluster.com/top-25/ppc-performance-marketing-agencies")</f>
        <v>https://www.agencycluster.com/top-25/ppc-performance-marketing-agencies</v>
      </c>
      <c r="B188" s="11" t="str">
        <f>IFERROR(__xludf.DUMMYFUNCTION("""COMPUTED_VALUE"""),"Top 25 PPC &amp;amp; Performance Marketing Agencies in the USA (2026) | AgencyCluster")</f>
        <v>Top 25 PPC &amp;amp; Performance Marketing Agencies in the USA (2026) | AgencyCluster</v>
      </c>
      <c r="C188" s="10" t="str">
        <f>IFERROR(__xludf.DUMMYFUNCTION("""COMPUTED_VALUE"""),"agencycluster.com")</f>
        <v>agencycluster.com</v>
      </c>
      <c r="D188" s="11" t="str">
        <f>IFERROR(__xludf.DUMMYFUNCTION("""COMPUTED_VALUE"""),"LISTICLE")</f>
        <v>LISTICLE</v>
      </c>
      <c r="E188" s="11" t="str">
        <f>IFERROR(__xludf.DUMMYFUNCTION("""COMPUTED_VALUE"""),"REFERENCE")</f>
        <v>REFERENCE</v>
      </c>
      <c r="F188" s="11" t="str">
        <f>IFERROR(__xludf.DUMMYFUNCTION("""COMPUTED_VALUE"""),"Listicle")</f>
        <v>Listicle</v>
      </c>
      <c r="G188" s="11" t="b">
        <f>IFERROR(__xludf.DUMMYFUNCTION("""COMPUTED_VALUE"""),FALSE)</f>
        <v>0</v>
      </c>
      <c r="H188" s="11" t="str">
        <f>IFERROR(__xludf.DUMMYFUNCTION("""COMPUTED_VALUE"""),"Disruptive Advertising, Ignite Visibility, KlientBoost, NP Digital, Power Digital, SmartSites, Tinuiti, WebFX, Wpromote, Amsive, HawkSEM, Intero Digital, Kobe Digital, New Engen, NoGood, Seer Interactive, Thrive Internet Marketing Agency")</f>
        <v>Disruptive Advertising, Ignite Visibility, KlientBoost, NP Digital, Power Digital, SmartSites, Tinuiti, WebFX, Wpromote, Amsive, HawkSEM, Intero Digital, Kobe Digital, New Engen, NoGood, Seer Interactive, Thrive Internet Marketing Agency</v>
      </c>
      <c r="I188" s="11">
        <f>IFERROR(__xludf.DUMMYFUNCTION("""COMPUTED_VALUE"""),12.0)</f>
        <v>12</v>
      </c>
      <c r="J188" s="11">
        <f>IFERROR(__xludf.DUMMYFUNCTION("""COMPUTED_VALUE"""),0.01)</f>
        <v>0.01</v>
      </c>
      <c r="K188" s="11">
        <f>IFERROR(__xludf.DUMMYFUNCTION("""COMPUTED_VALUE"""),0.25)</f>
        <v>0.25</v>
      </c>
      <c r="L188" s="11"/>
    </row>
    <row r="189" ht="15.75" customHeight="1">
      <c r="A189" s="10" t="str">
        <f>IFERROR(__xludf.DUMMYFUNCTION("""COMPUTED_VALUE"""),"https://beomniscient.com/blog/growth-marketing-agency/#:~:text=Growth%20Marketing%20Pro.%20Olivine%20Marketing.%201.%20%2D,Disruptive%20Advertising.%20%2D%20Skale.%20%2D%20Directive%20Consulting.")</f>
        <v>https://beomniscient.com/blog/growth-marketing-agency/#:~:text=Growth%20Marketing%20Pro.%20Olivine%20Marketing.%201.%20%2D,Disruptive%20Advertising.%20%2D%20Skale.%20%2D%20Directive%20Consulting.</v>
      </c>
      <c r="B189" s="11" t="str">
        <f>IFERROR(__xludf.DUMMYFUNCTION("""COMPUTED_VALUE"""),"The 16 Best Growth Marketing Agencies in 2026 - Omniscient Digital")</f>
        <v>The 16 Best Growth Marketing Agencies in 2026 - Omniscient Digital</v>
      </c>
      <c r="C189" s="10" t="str">
        <f>IFERROR(__xludf.DUMMYFUNCTION("""COMPUTED_VALUE"""),"beomniscient.com")</f>
        <v>beomniscient.com</v>
      </c>
      <c r="D189" s="11" t="str">
        <f>IFERROR(__xludf.DUMMYFUNCTION("""COMPUTED_VALUE"""),"LISTICLE")</f>
        <v>LISTICLE</v>
      </c>
      <c r="E189" s="11" t="str">
        <f>IFERROR(__xludf.DUMMYFUNCTION("""COMPUTED_VALUE"""),"COMPETITOR")</f>
        <v>COMPETITOR</v>
      </c>
      <c r="F189" s="11" t="str">
        <f>IFERROR(__xludf.DUMMYFUNCTION("""COMPUTED_VALUE"""),"Listicle")</f>
        <v>Listicle</v>
      </c>
      <c r="G189" s="11" t="b">
        <f>IFERROR(__xludf.DUMMYFUNCTION("""COMPUTED_VALUE"""),FALSE)</f>
        <v>0</v>
      </c>
      <c r="H189" s="11" t="str">
        <f>IFERROR(__xludf.DUMMYFUNCTION("""COMPUTED_VALUE"""),"Omniscient Digital, Ignite Visibility, Single Grain, Disruptive Advertising, NoGood, Directive, Graphite, NP Digital, Superside, Momentum")</f>
        <v>Omniscient Digital, Ignite Visibility, Single Grain, Disruptive Advertising, NoGood, Directive, Graphite, NP Digital, Superside, Momentum</v>
      </c>
      <c r="I189" s="11">
        <f>IFERROR(__xludf.DUMMYFUNCTION("""COMPUTED_VALUE"""),12.0)</f>
        <v>12</v>
      </c>
      <c r="J189" s="11">
        <f>IFERROR(__xludf.DUMMYFUNCTION("""COMPUTED_VALUE"""),0.01)</f>
        <v>0.01</v>
      </c>
      <c r="K189" s="11">
        <f>IFERROR(__xludf.DUMMYFUNCTION("""COMPUTED_VALUE"""),1.0)</f>
        <v>1</v>
      </c>
      <c r="L189" s="11"/>
    </row>
    <row r="190" ht="15.75" customHeight="1">
      <c r="A190" s="10" t="str">
        <f>IFERROR(__xludf.DUMMYFUNCTION("""COMPUTED_VALUE"""),"https://clutch.co/us/agencies/programmatic#:~:text=List%20of%20the%20Top%20United%20States%20Programmatic,108%20reviews.%20%2D%20Onya.%205.0%2030%20reviews.")</f>
        <v>https://clutch.co/us/agencies/programmatic#:~:text=List%20of%20the%20Top%20United%20States%20Programmatic,108%20reviews.%20%2D%20Onya.%205.0%2030%20reviews.</v>
      </c>
      <c r="B190" s="11" t="str">
        <f>IFERROR(__xludf.DUMMYFUNCTION("""COMPUTED_VALUE"""),"Top Programmatic Advertising Agencies in the United States - Jul 2026 Rankings \| Clutch.co")</f>
        <v>Top Programmatic Advertising Agencies in the United States - Jul 2026 Rankings \| Clutch.co</v>
      </c>
      <c r="C190" s="10" t="str">
        <f>IFERROR(__xludf.DUMMYFUNCTION("""COMPUTED_VALUE"""),"clutch.co")</f>
        <v>clutch.co</v>
      </c>
      <c r="D190" s="11" t="str">
        <f>IFERROR(__xludf.DUMMYFUNCTION("""COMPUTED_VALUE"""),"OTHER")</f>
        <v>OTHER</v>
      </c>
      <c r="E190" s="11" t="str">
        <f>IFERROR(__xludf.DUMMYFUNCTION("""COMPUTED_VALUE"""),"COMPETITOR")</f>
        <v>COMPETITOR</v>
      </c>
      <c r="F190" s="11" t="str">
        <f>IFERROR(__xludf.DUMMYFUNCTION("""COMPUTED_VALUE"""),"Other")</f>
        <v>Other</v>
      </c>
      <c r="G190" s="11" t="b">
        <f>IFERROR(__xludf.DUMMYFUNCTION("""COMPUTED_VALUE"""),FALSE)</f>
        <v>0</v>
      </c>
      <c r="H190" s="11" t="str">
        <f>IFERROR(__xludf.DUMMYFUNCTION("""COMPUTED_VALUE"""),"Clutch, SmartSites, Funnel Boost Media, LYFE Marketing, AdVenture Media, Accelerated Digital Media, Storm Brain, Huge")</f>
        <v>Clutch, SmartSites, Funnel Boost Media, LYFE Marketing, AdVenture Media, Accelerated Digital Media, Storm Brain, Huge</v>
      </c>
      <c r="I190" s="11">
        <f>IFERROR(__xludf.DUMMYFUNCTION("""COMPUTED_VALUE"""),12.0)</f>
        <v>12</v>
      </c>
      <c r="J190" s="11">
        <f>IFERROR(__xludf.DUMMYFUNCTION("""COMPUTED_VALUE"""),0.01)</f>
        <v>0.01</v>
      </c>
      <c r="K190" s="11">
        <f>IFERROR(__xludf.DUMMYFUNCTION("""COMPUTED_VALUE"""),1.5)</f>
        <v>1.5</v>
      </c>
      <c r="L190" s="11"/>
    </row>
    <row r="191" ht="15.75" customHeight="1">
      <c r="A191" s="10" t="str">
        <f>IFERROR(__xludf.DUMMYFUNCTION("""COMPUTED_VALUE"""),"https://www.dataally.ai/blog/best-paid-ads-agency")</f>
        <v>https://www.dataally.ai/blog/best-paid-ads-agency</v>
      </c>
      <c r="B191" s="11" t="str">
        <f>IFERROR(__xludf.DUMMYFUNCTION("""COMPUTED_VALUE"""),"8 Best Paid Ads Agency in 2026: Top Paid Social Ad Agencies Ranked")</f>
        <v>8 Best Paid Ads Agency in 2026: Top Paid Social Ad Agencies Ranked</v>
      </c>
      <c r="C191" s="10" t="str">
        <f>IFERROR(__xludf.DUMMYFUNCTION("""COMPUTED_VALUE"""),"dataally.ai")</f>
        <v>dataally.ai</v>
      </c>
      <c r="D191" s="11" t="str">
        <f>IFERROR(__xludf.DUMMYFUNCTION("""COMPUTED_VALUE"""),"LISTICLE")</f>
        <v>LISTICLE</v>
      </c>
      <c r="E191" s="11" t="str">
        <f>IFERROR(__xludf.DUMMYFUNCTION("""COMPUTED_VALUE"""),"CORPORATE")</f>
        <v>CORPORATE</v>
      </c>
      <c r="F191" s="11" t="str">
        <f>IFERROR(__xludf.DUMMYFUNCTION("""COMPUTED_VALUE"""),"Listicle")</f>
        <v>Listicle</v>
      </c>
      <c r="G191" s="11" t="b">
        <f>IFERROR(__xludf.DUMMYFUNCTION("""COMPUTED_VALUE"""),FALSE)</f>
        <v>0</v>
      </c>
      <c r="H191" s="11" t="str">
        <f>IFERROR(__xludf.DUMMYFUNCTION("""COMPUTED_VALUE"""),"Brighter Click, Darkroom, NP Digital, The Social Shepherd, KlientBoost, Disruptive Advertising, Directive, Viral Nation, Northbeam, Triple Whale, Momentum")</f>
        <v>Brighter Click, Darkroom, NP Digital, The Social Shepherd, KlientBoost, Disruptive Advertising, Directive, Viral Nation, Northbeam, Triple Whale, Momentum</v>
      </c>
      <c r="I191" s="11">
        <f>IFERROR(__xludf.DUMMYFUNCTION("""COMPUTED_VALUE"""),12.0)</f>
        <v>12</v>
      </c>
      <c r="J191" s="11">
        <f>IFERROR(__xludf.DUMMYFUNCTION("""COMPUTED_VALUE"""),0.01)</f>
        <v>0.01</v>
      </c>
      <c r="K191" s="11">
        <f>IFERROR(__xludf.DUMMYFUNCTION("""COMPUTED_VALUE"""),1.5)</f>
        <v>1.5</v>
      </c>
      <c r="L191" s="11"/>
    </row>
    <row r="192" ht="15.75" customHeight="1">
      <c r="A192" s="10" t="str">
        <f>IFERROR(__xludf.DUMMYFUNCTION("""COMPUTED_VALUE"""),"https://www.enzuzo.com/blog/best-google-ads-agencies")</f>
        <v>https://www.enzuzo.com/blog/best-google-ads-agencies</v>
      </c>
      <c r="B192" s="11" t="str">
        <f>IFERROR(__xludf.DUMMYFUNCTION("""COMPUTED_VALUE"""),"The 13 Top Google Ads Agencies [Reviewed &amp;amp; Rated]")</f>
        <v>The 13 Top Google Ads Agencies [Reviewed &amp;amp; Rated]</v>
      </c>
      <c r="C192" s="10" t="str">
        <f>IFERROR(__xludf.DUMMYFUNCTION("""COMPUTED_VALUE"""),"enzuzo.com")</f>
        <v>enzuzo.com</v>
      </c>
      <c r="D192" s="11" t="str">
        <f>IFERROR(__xludf.DUMMYFUNCTION("""COMPUTED_VALUE"""),"LISTICLE")</f>
        <v>LISTICLE</v>
      </c>
      <c r="E192" s="11" t="str">
        <f>IFERROR(__xludf.DUMMYFUNCTION("""COMPUTED_VALUE"""),"CORPORATE")</f>
        <v>CORPORATE</v>
      </c>
      <c r="F192" s="11" t="str">
        <f>IFERROR(__xludf.DUMMYFUNCTION("""COMPUTED_VALUE"""),"Listicle")</f>
        <v>Listicle</v>
      </c>
      <c r="G192" s="11" t="b">
        <f>IFERROR(__xludf.DUMMYFUNCTION("""COMPUTED_VALUE"""),FALSE)</f>
        <v>0</v>
      </c>
      <c r="H192" s="11" t="str">
        <f>IFERROR(__xludf.DUMMYFUNCTION("""COMPUTED_VALUE"""),"SmartSites, NinjaPromo, Clutch")</f>
        <v>SmartSites, NinjaPromo, Clutch</v>
      </c>
      <c r="I192" s="11">
        <f>IFERROR(__xludf.DUMMYFUNCTION("""COMPUTED_VALUE"""),12.0)</f>
        <v>12</v>
      </c>
      <c r="J192" s="11">
        <f>IFERROR(__xludf.DUMMYFUNCTION("""COMPUTED_VALUE"""),0.01)</f>
        <v>0.01</v>
      </c>
      <c r="K192" s="11">
        <f>IFERROR(__xludf.DUMMYFUNCTION("""COMPUTED_VALUE"""),0.0)</f>
        <v>0</v>
      </c>
      <c r="L192" s="11"/>
    </row>
    <row r="193" ht="15.75" customHeight="1">
      <c r="A193" s="10" t="str">
        <f>IFERROR(__xludf.DUMMYFUNCTION("""COMPUTED_VALUE"""),"https://firstpagesage.com/seo-blog/the-top-growth-marketing-agencies/#:~:text=Power%20Digital%20is%20a%20tech%2Denabled%20growth%20marketing,forecasts%2C%20and%20tracks%20attribution%20across%20every%20channel.")</f>
        <v>https://firstpagesage.com/seo-blog/the-top-growth-marketing-agencies/#:~:text=Power%20Digital%20is%20a%20tech%2Denabled%20growth%20marketing,forecasts%2C%20and%20tracks%20attribution%20across%20every%20channel.</v>
      </c>
      <c r="B193" s="11" t="str">
        <f>IFERROR(__xludf.DUMMYFUNCTION("""COMPUTED_VALUE"""),"The Top Growth Marketing Agencies in 2026 – First Page Sage")</f>
        <v>The Top Growth Marketing Agencies in 2026 – First Page Sage</v>
      </c>
      <c r="C193" s="10" t="str">
        <f>IFERROR(__xludf.DUMMYFUNCTION("""COMPUTED_VALUE"""),"firstpagesage.com")</f>
        <v>firstpagesage.com</v>
      </c>
      <c r="D193" s="11" t="str">
        <f>IFERROR(__xludf.DUMMYFUNCTION("""COMPUTED_VALUE"""),"LISTICLE")</f>
        <v>LISTICLE</v>
      </c>
      <c r="E193" s="11" t="str">
        <f>IFERROR(__xludf.DUMMYFUNCTION("""COMPUTED_VALUE"""),"COMPETITOR")</f>
        <v>COMPETITOR</v>
      </c>
      <c r="F193" s="11" t="str">
        <f>IFERROR(__xludf.DUMMYFUNCTION("""COMPUTED_VALUE"""),"Listicle")</f>
        <v>Listicle</v>
      </c>
      <c r="G193" s="11" t="b">
        <f>IFERROR(__xludf.DUMMYFUNCTION("""COMPUTED_VALUE"""),FALSE)</f>
        <v>0</v>
      </c>
      <c r="H193" s="11" t="str">
        <f>IFERROR(__xludf.DUMMYFUNCTION("""COMPUTED_VALUE"""),"First Page Sage, Power Digital, Disruptive Advertising")</f>
        <v>First Page Sage, Power Digital, Disruptive Advertising</v>
      </c>
      <c r="I193" s="11">
        <f>IFERROR(__xludf.DUMMYFUNCTION("""COMPUTED_VALUE"""),12.0)</f>
        <v>12</v>
      </c>
      <c r="J193" s="11">
        <f>IFERROR(__xludf.DUMMYFUNCTION("""COMPUTED_VALUE"""),0.01)</f>
        <v>0.01</v>
      </c>
      <c r="K193" s="11">
        <f>IFERROR(__xludf.DUMMYFUNCTION("""COMPUTED_VALUE"""),1.42)</f>
        <v>1.42</v>
      </c>
      <c r="L193" s="11"/>
    </row>
    <row r="194" ht="15.75" customHeight="1">
      <c r="A194" s="10" t="str">
        <f>IFERROR(__xludf.DUMMYFUNCTION("""COMPUTED_VALUE"""),"https://www.gartner.com/reviews/market/incrementality-measurement-platforms")</f>
        <v>https://www.gartner.com/reviews/market/incrementality-measurement-platforms</v>
      </c>
      <c r="B194" s="11" t="str">
        <f>IFERROR(__xludf.DUMMYFUNCTION("""COMPUTED_VALUE"""),"Best Incrementality Measurement Platforms Reviews 2026 \| Gartner Peer Insights")</f>
        <v>Best Incrementality Measurement Platforms Reviews 2026 \| Gartner Peer Insights</v>
      </c>
      <c r="C194" s="10" t="str">
        <f>IFERROR(__xludf.DUMMYFUNCTION("""COMPUTED_VALUE"""),"gartner.com")</f>
        <v>gartner.com</v>
      </c>
      <c r="D194" s="11" t="str">
        <f>IFERROR(__xludf.DUMMYFUNCTION("""COMPUTED_VALUE"""),"CATEGORY_PAGE")</f>
        <v>CATEGORY_PAGE</v>
      </c>
      <c r="E194" s="11" t="str">
        <f>IFERROR(__xludf.DUMMYFUNCTION("""COMPUTED_VALUE"""),"CORPORATE")</f>
        <v>CORPORATE</v>
      </c>
      <c r="F194" s="11" t="str">
        <f>IFERROR(__xludf.DUMMYFUNCTION("""COMPUTED_VALUE"""),"Category Page")</f>
        <v>Category Page</v>
      </c>
      <c r="G194" s="11" t="b">
        <f>IFERROR(__xludf.DUMMYFUNCTION("""COMPUTED_VALUE"""),FALSE)</f>
        <v>0</v>
      </c>
      <c r="H194" s="11" t="str">
        <f>IFERROR(__xludf.DUMMYFUNCTION("""COMPUTED_VALUE"""),"Haus, SegmentStream, Measured, INCRMNTAL, LifeSight, Recast")</f>
        <v>Haus, SegmentStream, Measured, INCRMNTAL, LifeSight, Recast</v>
      </c>
      <c r="I194" s="11">
        <f>IFERROR(__xludf.DUMMYFUNCTION("""COMPUTED_VALUE"""),12.0)</f>
        <v>12</v>
      </c>
      <c r="J194" s="11">
        <f>IFERROR(__xludf.DUMMYFUNCTION("""COMPUTED_VALUE"""),0.01)</f>
        <v>0.01</v>
      </c>
      <c r="K194" s="11">
        <f>IFERROR(__xludf.DUMMYFUNCTION("""COMPUTED_VALUE"""),1.25)</f>
        <v>1.25</v>
      </c>
      <c r="L194" s="11"/>
    </row>
    <row r="195" ht="15.75" customHeight="1">
      <c r="A195" s="10" t="str">
        <f>IFERROR(__xludf.DUMMYFUNCTION("""COMPUTED_VALUE"""),"https://growthmanager.ai/best-geo-agency")</f>
        <v>https://growthmanager.ai/best-geo-agency</v>
      </c>
      <c r="B195" s="11" t="str">
        <f>IFERROR(__xludf.DUMMYFUNCTION("""COMPUTED_VALUE"""),"Best GEO agencies in 2026, reviewed and ranked")</f>
        <v>Best GEO agencies in 2026, reviewed and ranked</v>
      </c>
      <c r="C195" s="10" t="str">
        <f>IFERROR(__xludf.DUMMYFUNCTION("""COMPUTED_VALUE"""),"growthmanager.ai")</f>
        <v>growthmanager.ai</v>
      </c>
      <c r="D195" s="11" t="str">
        <f>IFERROR(__xludf.DUMMYFUNCTION("""COMPUTED_VALUE"""),"LISTICLE")</f>
        <v>LISTICLE</v>
      </c>
      <c r="E195" s="11" t="str">
        <f>IFERROR(__xludf.DUMMYFUNCTION("""COMPUTED_VALUE"""),"CORPORATE")</f>
        <v>CORPORATE</v>
      </c>
      <c r="F195" s="11" t="str">
        <f>IFERROR(__xludf.DUMMYFUNCTION("""COMPUTED_VALUE"""),"Listicle")</f>
        <v>Listicle</v>
      </c>
      <c r="G195" s="11" t="b">
        <f>IFERROR(__xludf.DUMMYFUNCTION("""COMPUTED_VALUE"""),FALSE)</f>
        <v>0</v>
      </c>
      <c r="H195" s="11" t="str">
        <f>IFERROR(__xludf.DUMMYFUNCTION("""COMPUTED_VALUE"""),"Momentum")</f>
        <v>Momentum</v>
      </c>
      <c r="I195" s="11">
        <f>IFERROR(__xludf.DUMMYFUNCTION("""COMPUTED_VALUE"""),12.0)</f>
        <v>12</v>
      </c>
      <c r="J195" s="11">
        <f>IFERROR(__xludf.DUMMYFUNCTION("""COMPUTED_VALUE"""),0.01)</f>
        <v>0.01</v>
      </c>
      <c r="K195" s="11">
        <f>IFERROR(__xludf.DUMMYFUNCTION("""COMPUTED_VALUE"""),0.17)</f>
        <v>0.17</v>
      </c>
      <c r="L195" s="11"/>
    </row>
    <row r="196" ht="15.75" customHeight="1">
      <c r="A196" s="10" t="str">
        <f>IFERROR(__xludf.DUMMYFUNCTION("""COMPUTED_VALUE"""),"https://www.gtm8020.com/blog/best-aeo-agencies")</f>
        <v>https://www.gtm8020.com/blog/best-aeo-agencies</v>
      </c>
      <c r="B196" s="11" t="str">
        <f>IFERROR(__xludf.DUMMYFUNCTION("""COMPUTED_VALUE"""),"Best AEO Agencies - 2026 — GTM 8020")</f>
        <v>Best AEO Agencies - 2026 — GTM 8020</v>
      </c>
      <c r="C196" s="10" t="str">
        <f>IFERROR(__xludf.DUMMYFUNCTION("""COMPUTED_VALUE"""),"gtm8020.com")</f>
        <v>gtm8020.com</v>
      </c>
      <c r="D196" s="11" t="str">
        <f>IFERROR(__xludf.DUMMYFUNCTION("""COMPUTED_VALUE"""),"LISTICLE")</f>
        <v>LISTICLE</v>
      </c>
      <c r="E196" s="11" t="str">
        <f>IFERROR(__xludf.DUMMYFUNCTION("""COMPUTED_VALUE"""),"OTHER")</f>
        <v>OTHER</v>
      </c>
      <c r="F196" s="11" t="str">
        <f>IFERROR(__xludf.DUMMYFUNCTION("""COMPUTED_VALUE"""),"Listicle")</f>
        <v>Listicle</v>
      </c>
      <c r="G196" s="11" t="b">
        <f>IFERROR(__xludf.DUMMYFUNCTION("""COMPUTED_VALUE"""),FALSE)</f>
        <v>0</v>
      </c>
      <c r="H196" s="11" t="str">
        <f>IFERROR(__xludf.DUMMYFUNCTION("""COMPUTED_VALUE"""),"Siege Media, Omniscient Digital, Graphite, Amsive, NP Digital, Momentum")</f>
        <v>Siege Media, Omniscient Digital, Graphite, Amsive, NP Digital, Momentum</v>
      </c>
      <c r="I196" s="11">
        <f>IFERROR(__xludf.DUMMYFUNCTION("""COMPUTED_VALUE"""),12.0)</f>
        <v>12</v>
      </c>
      <c r="J196" s="11">
        <f>IFERROR(__xludf.DUMMYFUNCTION("""COMPUTED_VALUE"""),0.01)</f>
        <v>0.01</v>
      </c>
      <c r="K196" s="11">
        <f>IFERROR(__xludf.DUMMYFUNCTION("""COMPUTED_VALUE"""),0.0)</f>
        <v>0</v>
      </c>
      <c r="L196" s="11"/>
    </row>
    <row r="197" ht="15.75" customHeight="1">
      <c r="A197" s="10" t="str">
        <f>IFERROR(__xludf.DUMMYFUNCTION("""COMPUTED_VALUE"""),"https://joseangelostudios.com/paid-social-agency/")</f>
        <v>https://joseangelostudios.com/paid-social-agency/</v>
      </c>
      <c r="B197" s="11" t="str">
        <f>IFERROR(__xludf.DUMMYFUNCTION("""COMPUTED_VALUE"""),"21 Best Paid Social Media Agencies of 2025")</f>
        <v>21 Best Paid Social Media Agencies of 2025</v>
      </c>
      <c r="C197" s="10" t="str">
        <f>IFERROR(__xludf.DUMMYFUNCTION("""COMPUTED_VALUE"""),"joseangelostudios.com")</f>
        <v>joseangelostudios.com</v>
      </c>
      <c r="D197" s="11" t="str">
        <f>IFERROR(__xludf.DUMMYFUNCTION("""COMPUTED_VALUE"""),"LISTICLE")</f>
        <v>LISTICLE</v>
      </c>
      <c r="E197" s="11" t="str">
        <f>IFERROR(__xludf.DUMMYFUNCTION("""COMPUTED_VALUE"""),"CORPORATE")</f>
        <v>CORPORATE</v>
      </c>
      <c r="F197" s="11" t="str">
        <f>IFERROR(__xludf.DUMMYFUNCTION("""COMPUTED_VALUE"""),"Listicle")</f>
        <v>Listicle</v>
      </c>
      <c r="G197" s="11" t="b">
        <f>IFERROR(__xludf.DUMMYFUNCTION("""COMPUTED_VALUE"""),FALSE)</f>
        <v>0</v>
      </c>
      <c r="H197" s="11" t="str">
        <f>IFERROR(__xludf.DUMMYFUNCTION("""COMPUTED_VALUE"""),"SmartSites, Clutch, AdVenture Media, KlientBoost, Acadia, Huge")</f>
        <v>SmartSites, Clutch, AdVenture Media, KlientBoost, Acadia, Huge</v>
      </c>
      <c r="I197" s="11">
        <f>IFERROR(__xludf.DUMMYFUNCTION("""COMPUTED_VALUE"""),12.0)</f>
        <v>12</v>
      </c>
      <c r="J197" s="11">
        <f>IFERROR(__xludf.DUMMYFUNCTION("""COMPUTED_VALUE"""),0.01)</f>
        <v>0.01</v>
      </c>
      <c r="K197" s="11">
        <f>IFERROR(__xludf.DUMMYFUNCTION("""COMPUTED_VALUE"""),0.0)</f>
        <v>0</v>
      </c>
      <c r="L197" s="11"/>
    </row>
    <row r="198" ht="15.75" customHeight="1">
      <c r="A198" s="10" t="str">
        <f>IFERROR(__xludf.DUMMYFUNCTION("""COMPUTED_VALUE"""),"https://www.measured.com/faq/top-10-best-media-mix-modeling-companies-software-for-2026/")</f>
        <v>https://www.measured.com/faq/top-10-best-media-mix-modeling-companies-software-for-2026/</v>
      </c>
      <c r="B198" s="11" t="str">
        <f>IFERROR(__xludf.DUMMYFUNCTION("""COMPUTED_VALUE"""),"Top 11 Best Media Mix Modeling Companies &amp; Software for 2026 \| Measured®")</f>
        <v>Top 11 Best Media Mix Modeling Companies &amp; Software for 2026 \| Measured®</v>
      </c>
      <c r="C198" s="10" t="str">
        <f>IFERROR(__xludf.DUMMYFUNCTION("""COMPUTED_VALUE"""),"measured.com")</f>
        <v>measured.com</v>
      </c>
      <c r="D198" s="11" t="str">
        <f>IFERROR(__xludf.DUMMYFUNCTION("""COMPUTED_VALUE"""),"LISTICLE")</f>
        <v>LISTICLE</v>
      </c>
      <c r="E198" s="11" t="str">
        <f>IFERROR(__xludf.DUMMYFUNCTION("""COMPUTED_VALUE"""),"COMPETITOR")</f>
        <v>COMPETITOR</v>
      </c>
      <c r="F198" s="11" t="str">
        <f>IFERROR(__xludf.DUMMYFUNCTION("""COMPUTED_VALUE"""),"Listicle")</f>
        <v>Listicle</v>
      </c>
      <c r="G198" s="11" t="b">
        <f>IFERROR(__xludf.DUMMYFUNCTION("""COMPUTED_VALUE"""),FALSE)</f>
        <v>0</v>
      </c>
      <c r="H198" s="11" t="str">
        <f>IFERROR(__xludf.DUMMYFUNCTION("""COMPUTED_VALUE"""),"Measured, Clay, Nielsen, Analytic Partners, Kantar, Neustar, TransUnion, Gain Theory, WPP, Recast, Anomaly, Haus, Rockerbox")</f>
        <v>Measured, Clay, Nielsen, Analytic Partners, Kantar, Neustar, TransUnion, Gain Theory, WPP, Recast, Anomaly, Haus, Rockerbox</v>
      </c>
      <c r="I198" s="11">
        <f>IFERROR(__xludf.DUMMYFUNCTION("""COMPUTED_VALUE"""),12.0)</f>
        <v>12</v>
      </c>
      <c r="J198" s="11">
        <f>IFERROR(__xludf.DUMMYFUNCTION("""COMPUTED_VALUE"""),0.01)</f>
        <v>0.01</v>
      </c>
      <c r="K198" s="11">
        <f>IFERROR(__xludf.DUMMYFUNCTION("""COMPUTED_VALUE"""),0.58)</f>
        <v>0.58</v>
      </c>
      <c r="L198" s="11"/>
    </row>
    <row r="199" ht="15.75" customHeight="1">
      <c r="A199" s="10" t="str">
        <f>IFERROR(__xludf.DUMMYFUNCTION("""COMPUTED_VALUE"""),"https://nealschaffer.com/ai-marketing-agency/")</f>
        <v>https://nealschaffer.com/ai-marketing-agency/</v>
      </c>
      <c r="B199" s="11" t="str">
        <f>IFERROR(__xludf.DUMMYFUNCTION("""COMPUTED_VALUE"""),"15 Best AI Marketing Agencies Helping Brands Grow in 2026")</f>
        <v>15 Best AI Marketing Agencies Helping Brands Grow in 2026</v>
      </c>
      <c r="C199" s="10" t="str">
        <f>IFERROR(__xludf.DUMMYFUNCTION("""COMPUTED_VALUE"""),"nealschaffer.com")</f>
        <v>nealschaffer.com</v>
      </c>
      <c r="D199" s="11" t="str">
        <f>IFERROR(__xludf.DUMMYFUNCTION("""COMPUTED_VALUE"""),"LISTICLE")</f>
        <v>LISTICLE</v>
      </c>
      <c r="E199" s="11" t="str">
        <f>IFERROR(__xludf.DUMMYFUNCTION("""COMPUTED_VALUE"""),"CORPORATE")</f>
        <v>CORPORATE</v>
      </c>
      <c r="F199" s="11" t="str">
        <f>IFERROR(__xludf.DUMMYFUNCTION("""COMPUTED_VALUE"""),"Listicle")</f>
        <v>Listicle</v>
      </c>
      <c r="G199" s="11" t="b">
        <f>IFERROR(__xludf.DUMMYFUNCTION("""COMPUTED_VALUE"""),FALSE)</f>
        <v>0</v>
      </c>
      <c r="H199" s="11" t="str">
        <f>IFERROR(__xludf.DUMMYFUNCTION("""COMPUTED_VALUE"""),"Clutch, McKinsey, QuantumBlack, Measured")</f>
        <v>Clutch, McKinsey, QuantumBlack, Measured</v>
      </c>
      <c r="I199" s="11">
        <f>IFERROR(__xludf.DUMMYFUNCTION("""COMPUTED_VALUE"""),12.0)</f>
        <v>12</v>
      </c>
      <c r="J199" s="11">
        <f>IFERROR(__xludf.DUMMYFUNCTION("""COMPUTED_VALUE"""),0.01)</f>
        <v>0.01</v>
      </c>
      <c r="K199" s="11">
        <f>IFERROR(__xludf.DUMMYFUNCTION("""COMPUTED_VALUE"""),0.67)</f>
        <v>0.67</v>
      </c>
      <c r="L199" s="11"/>
    </row>
    <row r="200" ht="15.75" customHeight="1">
      <c r="A200" s="10" t="str">
        <f>IFERROR(__xludf.DUMMYFUNCTION("""COMPUTED_VALUE"""),"https://ninjapromo.io/best-ai-marketing-agencies")</f>
        <v>https://ninjapromo.io/best-ai-marketing-agencies</v>
      </c>
      <c r="B200" s="11" t="str">
        <f>IFERROR(__xludf.DUMMYFUNCTION("""COMPUTED_VALUE"""),"Top 8 AI Marketing Agencies for AI-Driven Digital Campaigns in 2026")</f>
        <v>Top 8 AI Marketing Agencies for AI-Driven Digital Campaigns in 2026</v>
      </c>
      <c r="C200" s="10" t="str">
        <f>IFERROR(__xludf.DUMMYFUNCTION("""COMPUTED_VALUE"""),"ninjapromo.io")</f>
        <v>ninjapromo.io</v>
      </c>
      <c r="D200" s="11" t="str">
        <f>IFERROR(__xludf.DUMMYFUNCTION("""COMPUTED_VALUE"""),"LISTICLE")</f>
        <v>LISTICLE</v>
      </c>
      <c r="E200" s="11" t="str">
        <f>IFERROR(__xludf.DUMMYFUNCTION("""COMPUTED_VALUE"""),"COMPETITOR")</f>
        <v>COMPETITOR</v>
      </c>
      <c r="F200" s="11" t="str">
        <f>IFERROR(__xludf.DUMMYFUNCTION("""COMPUTED_VALUE"""),"Listicle")</f>
        <v>Listicle</v>
      </c>
      <c r="G200" s="11" t="b">
        <f>IFERROR(__xludf.DUMMYFUNCTION("""COMPUTED_VALUE"""),FALSE)</f>
        <v>0</v>
      </c>
      <c r="H200" s="11" t="str">
        <f>IFERROR(__xludf.DUMMYFUNCTION("""COMPUTED_VALUE"""),"NinjaPromo, Keenfolks, Clutch, IBM, McKinsey")</f>
        <v>NinjaPromo, Keenfolks, Clutch, IBM, McKinsey</v>
      </c>
      <c r="I200" s="11">
        <f>IFERROR(__xludf.DUMMYFUNCTION("""COMPUTED_VALUE"""),12.0)</f>
        <v>12</v>
      </c>
      <c r="J200" s="11">
        <f>IFERROR(__xludf.DUMMYFUNCTION("""COMPUTED_VALUE"""),0.01)</f>
        <v>0.01</v>
      </c>
      <c r="K200" s="11">
        <f>IFERROR(__xludf.DUMMYFUNCTION("""COMPUTED_VALUE"""),0.0)</f>
        <v>0</v>
      </c>
      <c r="L200" s="11"/>
    </row>
    <row r="201" ht="15.75" customHeight="1">
      <c r="A201" s="10" t="str">
        <f>IFERROR(__xludf.DUMMYFUNCTION("""COMPUTED_VALUE"""),"https://onelittleweb.com/top-agencies/top-google-ads-agencies/")</f>
        <v>https://onelittleweb.com/top-agencies/top-google-ads-agencies/</v>
      </c>
      <c r="B201" s="11" t="str">
        <f>IFERROR(__xludf.DUMMYFUNCTION("""COMPUTED_VALUE"""),"Top 50 Google Ads Agencies in 2026 – Ranked &amp;amp; Reviewed")</f>
        <v>Top 50 Google Ads Agencies in 2026 – Ranked &amp;amp; Reviewed</v>
      </c>
      <c r="C201" s="10" t="str">
        <f>IFERROR(__xludf.DUMMYFUNCTION("""COMPUTED_VALUE"""),"onelittleweb.com")</f>
        <v>onelittleweb.com</v>
      </c>
      <c r="D201" s="11" t="str">
        <f>IFERROR(__xludf.DUMMYFUNCTION("""COMPUTED_VALUE"""),"LISTICLE")</f>
        <v>LISTICLE</v>
      </c>
      <c r="E201" s="11" t="str">
        <f>IFERROR(__xludf.DUMMYFUNCTION("""COMPUTED_VALUE"""),"CORPORATE")</f>
        <v>CORPORATE</v>
      </c>
      <c r="F201" s="11" t="str">
        <f>IFERROR(__xludf.DUMMYFUNCTION("""COMPUTED_VALUE"""),"Listicle")</f>
        <v>Listicle</v>
      </c>
      <c r="G201" s="11" t="b">
        <f>IFERROR(__xludf.DUMMYFUNCTION("""COMPUTED_VALUE"""),FALSE)</f>
        <v>0</v>
      </c>
      <c r="H201" s="11" t="str">
        <f>IFERROR(__xludf.DUMMYFUNCTION("""COMPUTED_VALUE"""),"KlientBoost, SmartSites, Disruptive Advertising, Power Digital, Intero Digital, Clutch, Funnel Boost Media, Elit-Web, Searchbloom, NinjaPromo, HawkSEM, Ignite Visibility, Silverback Strategies, Huge")</f>
        <v>KlientBoost, SmartSites, Disruptive Advertising, Power Digital, Intero Digital, Clutch, Funnel Boost Media, Elit-Web, Searchbloom, NinjaPromo, HawkSEM, Ignite Visibility, Silverback Strategies, Huge</v>
      </c>
      <c r="I201" s="11">
        <f>IFERROR(__xludf.DUMMYFUNCTION("""COMPUTED_VALUE"""),12.0)</f>
        <v>12</v>
      </c>
      <c r="J201" s="11">
        <f>IFERROR(__xludf.DUMMYFUNCTION("""COMPUTED_VALUE"""),0.01)</f>
        <v>0.01</v>
      </c>
      <c r="K201" s="11">
        <f>IFERROR(__xludf.DUMMYFUNCTION("""COMPUTED_VALUE"""),1.08)</f>
        <v>1.08</v>
      </c>
      <c r="L201" s="11"/>
    </row>
    <row r="202" ht="15.75" customHeight="1">
      <c r="A202" s="10" t="str">
        <f>IFERROR(__xludf.DUMMYFUNCTION("""COMPUTED_VALUE"""),"https://www.perceptive-analytics.com/top-10-best-ai-consulting-firms-for-mid-market-companies-in-the-us-2026-guide/")</f>
        <v>https://www.perceptive-analytics.com/top-10-best-ai-consulting-firms-for-mid-market-companies-in-the-us-2026-guide/</v>
      </c>
      <c r="B202" s="11" t="str">
        <f>IFERROR(__xludf.DUMMYFUNCTION("""COMPUTED_VALUE"""),"Top 10 Best AI Consulting Firms for Mid-Market Companies in the US (2026 Guide) - Perceptive Analytics")</f>
        <v>Top 10 Best AI Consulting Firms for Mid-Market Companies in the US (2026 Guide) - Perceptive Analytics</v>
      </c>
      <c r="C202" s="10" t="str">
        <f>IFERROR(__xludf.DUMMYFUNCTION("""COMPUTED_VALUE"""),"perceptive-analytics.com")</f>
        <v>perceptive-analytics.com</v>
      </c>
      <c r="D202" s="11" t="str">
        <f>IFERROR(__xludf.DUMMYFUNCTION("""COMPUTED_VALUE"""),"LISTICLE")</f>
        <v>LISTICLE</v>
      </c>
      <c r="E202" s="11" t="str">
        <f>IFERROR(__xludf.DUMMYFUNCTION("""COMPUTED_VALUE"""),"OTHER")</f>
        <v>OTHER</v>
      </c>
      <c r="F202" s="11" t="str">
        <f>IFERROR(__xludf.DUMMYFUNCTION("""COMPUTED_VALUE"""),"Listicle")</f>
        <v>Listicle</v>
      </c>
      <c r="G202" s="11" t="b">
        <f>IFERROR(__xludf.DUMMYFUNCTION("""COMPUTED_VALUE"""),FALSE)</f>
        <v>0</v>
      </c>
      <c r="H202" s="11" t="str">
        <f>IFERROR(__xludf.DUMMYFUNCTION("""COMPUTED_VALUE"""),"Slalom, IBM, BCG, PwC")</f>
        <v>Slalom, IBM, BCG, PwC</v>
      </c>
      <c r="I202" s="11">
        <f>IFERROR(__xludf.DUMMYFUNCTION("""COMPUTED_VALUE"""),12.0)</f>
        <v>12</v>
      </c>
      <c r="J202" s="11">
        <f>IFERROR(__xludf.DUMMYFUNCTION("""COMPUTED_VALUE"""),0.01)</f>
        <v>0.01</v>
      </c>
      <c r="K202" s="11">
        <f>IFERROR(__xludf.DUMMYFUNCTION("""COMPUTED_VALUE"""),1.17)</f>
        <v>1.17</v>
      </c>
      <c r="L202" s="11"/>
    </row>
    <row r="203" ht="15.75" customHeight="1">
      <c r="A203" s="10" t="str">
        <f>IFERROR(__xludf.DUMMYFUNCTION("""COMPUTED_VALUE"""),"https://www.quoleady.com/ai-marketing-agencies/")</f>
        <v>https://www.quoleady.com/ai-marketing-agencies/</v>
      </c>
      <c r="B203" s="11" t="str">
        <f>IFERROR(__xludf.DUMMYFUNCTION("""COMPUTED_VALUE"""),"Top 11 AI Marketing Agencies in 2025")</f>
        <v>Top 11 AI Marketing Agencies in 2025</v>
      </c>
      <c r="C203" s="10" t="str">
        <f>IFERROR(__xludf.DUMMYFUNCTION("""COMPUTED_VALUE"""),"quoleady.com")</f>
        <v>quoleady.com</v>
      </c>
      <c r="D203" s="11" t="str">
        <f>IFERROR(__xludf.DUMMYFUNCTION("""COMPUTED_VALUE"""),"LISTICLE")</f>
        <v>LISTICLE</v>
      </c>
      <c r="E203" s="11" t="str">
        <f>IFERROR(__xludf.DUMMYFUNCTION("""COMPUTED_VALUE"""),"CORPORATE")</f>
        <v>CORPORATE</v>
      </c>
      <c r="F203" s="11" t="str">
        <f>IFERROR(__xludf.DUMMYFUNCTION("""COMPUTED_VALUE"""),"Listicle")</f>
        <v>Listicle</v>
      </c>
      <c r="G203" s="11" t="b">
        <f>IFERROR(__xludf.DUMMYFUNCTION("""COMPUTED_VALUE"""),FALSE)</f>
        <v>0</v>
      </c>
      <c r="H203" s="11" t="str">
        <f>IFERROR(__xludf.DUMMYFUNCTION("""COMPUTED_VALUE"""),"Avenue Z, Huge")</f>
        <v>Avenue Z, Huge</v>
      </c>
      <c r="I203" s="11">
        <f>IFERROR(__xludf.DUMMYFUNCTION("""COMPUTED_VALUE"""),12.0)</f>
        <v>12</v>
      </c>
      <c r="J203" s="11">
        <f>IFERROR(__xludf.DUMMYFUNCTION("""COMPUTED_VALUE"""),0.01)</f>
        <v>0.01</v>
      </c>
      <c r="K203" s="11">
        <f>IFERROR(__xludf.DUMMYFUNCTION("""COMPUTED_VALUE"""),0.83)</f>
        <v>0.83</v>
      </c>
      <c r="L203" s="11"/>
    </row>
    <row r="204" ht="15.75" customHeight="1">
      <c r="A204" s="10" t="str">
        <f>IFERROR(__xludf.DUMMYFUNCTION("""COMPUTED_VALUE"""),"https://rightleftagency.com/blog/best-paid-search-marketing-agencies-in-usa/")</f>
        <v>https://rightleftagency.com/blog/best-paid-search-marketing-agencies-in-usa/</v>
      </c>
      <c r="B204" s="11" t="str">
        <f>IFERROR(__xludf.DUMMYFUNCTION("""COMPUTED_VALUE"""),"Best 15 Paid Search Marketing Agencies in USA 2026")</f>
        <v>Best 15 Paid Search Marketing Agencies in USA 2026</v>
      </c>
      <c r="C204" s="10" t="str">
        <f>IFERROR(__xludf.DUMMYFUNCTION("""COMPUTED_VALUE"""),"rightleftagency.com")</f>
        <v>rightleftagency.com</v>
      </c>
      <c r="D204" s="11" t="str">
        <f>IFERROR(__xludf.DUMMYFUNCTION("""COMPUTED_VALUE"""),"LISTICLE")</f>
        <v>LISTICLE</v>
      </c>
      <c r="E204" s="11" t="str">
        <f>IFERROR(__xludf.DUMMYFUNCTION("""COMPUTED_VALUE"""),"CORPORATE")</f>
        <v>CORPORATE</v>
      </c>
      <c r="F204" s="11" t="str">
        <f>IFERROR(__xludf.DUMMYFUNCTION("""COMPUTED_VALUE"""),"Listicle")</f>
        <v>Listicle</v>
      </c>
      <c r="G204" s="11" t="b">
        <f>IFERROR(__xludf.DUMMYFUNCTION("""COMPUTED_VALUE"""),FALSE)</f>
        <v>0</v>
      </c>
      <c r="H204" s="11" t="str">
        <f>IFERROR(__xludf.DUMMYFUNCTION("""COMPUTED_VALUE"""),"Disruptive Advertising, WebFX, IBM, Tinuiti, KlientBoost, Single Grain, Ignite Visibility, Thrive Internet Marketing Agency, NP Digital, Wpromote, Power Digital")</f>
        <v>Disruptive Advertising, WebFX, IBM, Tinuiti, KlientBoost, Single Grain, Ignite Visibility, Thrive Internet Marketing Agency, NP Digital, Wpromote, Power Digital</v>
      </c>
      <c r="I204" s="11">
        <f>IFERROR(__xludf.DUMMYFUNCTION("""COMPUTED_VALUE"""),12.0)</f>
        <v>12</v>
      </c>
      <c r="J204" s="11">
        <f>IFERROR(__xludf.DUMMYFUNCTION("""COMPUTED_VALUE"""),0.01)</f>
        <v>0.01</v>
      </c>
      <c r="K204" s="11">
        <f>IFERROR(__xludf.DUMMYFUNCTION("""COMPUTED_VALUE"""),1.58)</f>
        <v>1.58</v>
      </c>
      <c r="L204" s="11"/>
    </row>
    <row r="205" ht="15.75" customHeight="1">
      <c r="A205" s="10" t="str">
        <f>IFERROR(__xludf.DUMMYFUNCTION("""COMPUTED_VALUE"""),"https://scopicstudios.com/blog/best-incrementality-testing-tools-2026/")</f>
        <v>https://scopicstudios.com/blog/best-incrementality-testing-tools-2026/</v>
      </c>
      <c r="B205" s="11" t="str">
        <f>IFERROR(__xludf.DUMMYFUNCTION("""COMPUTED_VALUE"""),"8 Best Incrementality Testing Tools for Measurement")</f>
        <v>8 Best Incrementality Testing Tools for Measurement</v>
      </c>
      <c r="C205" s="10" t="str">
        <f>IFERROR(__xludf.DUMMYFUNCTION("""COMPUTED_VALUE"""),"scopicstudios.com")</f>
        <v>scopicstudios.com</v>
      </c>
      <c r="D205" s="11" t="str">
        <f>IFERROR(__xludf.DUMMYFUNCTION("""COMPUTED_VALUE"""),"CATEGORY_PAGE")</f>
        <v>CATEGORY_PAGE</v>
      </c>
      <c r="E205" s="11" t="str">
        <f>IFERROR(__xludf.DUMMYFUNCTION("""COMPUTED_VALUE"""),"CORPORATE")</f>
        <v>CORPORATE</v>
      </c>
      <c r="F205" s="11" t="str">
        <f>IFERROR(__xludf.DUMMYFUNCTION("""COMPUTED_VALUE"""),"Category Page")</f>
        <v>Category Page</v>
      </c>
      <c r="G205" s="11" t="b">
        <f>IFERROR(__xludf.DUMMYFUNCTION("""COMPUTED_VALUE"""),FALSE)</f>
        <v>0</v>
      </c>
      <c r="H205" s="11"/>
      <c r="I205" s="11">
        <f>IFERROR(__xludf.DUMMYFUNCTION("""COMPUTED_VALUE"""),12.0)</f>
        <v>12</v>
      </c>
      <c r="J205" s="11">
        <f>IFERROR(__xludf.DUMMYFUNCTION("""COMPUTED_VALUE"""),0.01)</f>
        <v>0.01</v>
      </c>
      <c r="K205" s="11">
        <f>IFERROR(__xludf.DUMMYFUNCTION("""COMPUTED_VALUE"""),0.0)</f>
        <v>0</v>
      </c>
      <c r="L205" s="11"/>
    </row>
    <row r="206" ht="15.75" customHeight="1">
      <c r="A206" s="10" t="str">
        <f>IFERROR(__xludf.DUMMYFUNCTION("""COMPUTED_VALUE"""),"https://www.silverbackstrategies.com/lists/best-google-ads-agencies-in-the-us-ranked-reviewed/")</f>
        <v>https://www.silverbackstrategies.com/lists/best-google-ads-agencies-in-the-us-ranked-reviewed/</v>
      </c>
      <c r="B206" s="11" t="str">
        <f>IFERROR(__xludf.DUMMYFUNCTION("""COMPUTED_VALUE"""),"Best Google Ads Agencies in the U.S. in 2026 (Ranked &amp;amp; Reviewed) | Silverback Strategies")</f>
        <v>Best Google Ads Agencies in the U.S. in 2026 (Ranked &amp;amp; Reviewed) | Silverback Strategies</v>
      </c>
      <c r="C206" s="10" t="str">
        <f>IFERROR(__xludf.DUMMYFUNCTION("""COMPUTED_VALUE"""),"silverbackstrategies.com")</f>
        <v>silverbackstrategies.com</v>
      </c>
      <c r="D206" s="11" t="str">
        <f>IFERROR(__xludf.DUMMYFUNCTION("""COMPUTED_VALUE"""),"LISTICLE")</f>
        <v>LISTICLE</v>
      </c>
      <c r="E206" s="11" t="str">
        <f>IFERROR(__xludf.DUMMYFUNCTION("""COMPUTED_VALUE"""),"COMPETITOR")</f>
        <v>COMPETITOR</v>
      </c>
      <c r="F206" s="11" t="str">
        <f>IFERROR(__xludf.DUMMYFUNCTION("""COMPUTED_VALUE"""),"Listicle")</f>
        <v>Listicle</v>
      </c>
      <c r="G206" s="11" t="b">
        <f>IFERROR(__xludf.DUMMYFUNCTION("""COMPUTED_VALUE"""),FALSE)</f>
        <v>0</v>
      </c>
      <c r="H206" s="11" t="str">
        <f>IFERROR(__xludf.DUMMYFUNCTION("""COMPUTED_VALUE"""),"Silverback Strategies, Measured, Clutch, Intero Digital, Elit-Web")</f>
        <v>Silverback Strategies, Measured, Clutch, Intero Digital, Elit-Web</v>
      </c>
      <c r="I206" s="11">
        <f>IFERROR(__xludf.DUMMYFUNCTION("""COMPUTED_VALUE"""),12.0)</f>
        <v>12</v>
      </c>
      <c r="J206" s="11">
        <f>IFERROR(__xludf.DUMMYFUNCTION("""COMPUTED_VALUE"""),0.01)</f>
        <v>0.01</v>
      </c>
      <c r="K206" s="11">
        <f>IFERROR(__xludf.DUMMYFUNCTION("""COMPUTED_VALUE"""),1.5)</f>
        <v>1.5</v>
      </c>
      <c r="L206" s="11"/>
    </row>
    <row r="207" ht="15.75" customHeight="1">
      <c r="A207" s="10" t="str">
        <f>IFERROR(__xludf.DUMMYFUNCTION("""COMPUTED_VALUE"""),"https://www.techstepsolutions.com/digital-marketing-agencies-usa-2026/")</f>
        <v>https://www.techstepsolutions.com/digital-marketing-agencies-usa-2026/</v>
      </c>
      <c r="B207" s="11" t="str">
        <f>IFERROR(__xludf.DUMMYFUNCTION("""COMPUTED_VALUE"""),"Top 20 Digital Marketing Agencies in USA 2026 for Growth")</f>
        <v>Top 20 Digital Marketing Agencies in USA 2026 for Growth</v>
      </c>
      <c r="C207" s="10" t="str">
        <f>IFERROR(__xludf.DUMMYFUNCTION("""COMPUTED_VALUE"""),"techstepsolutions.com")</f>
        <v>techstepsolutions.com</v>
      </c>
      <c r="D207" s="11" t="str">
        <f>IFERROR(__xludf.DUMMYFUNCTION("""COMPUTED_VALUE"""),"LISTICLE")</f>
        <v>LISTICLE</v>
      </c>
      <c r="E207" s="11" t="str">
        <f>IFERROR(__xludf.DUMMYFUNCTION("""COMPUTED_VALUE"""),"CORPORATE")</f>
        <v>CORPORATE</v>
      </c>
      <c r="F207" s="11" t="str">
        <f>IFERROR(__xludf.DUMMYFUNCTION("""COMPUTED_VALUE"""),"Listicle")</f>
        <v>Listicle</v>
      </c>
      <c r="G207" s="11" t="b">
        <f>IFERROR(__xludf.DUMMYFUNCTION("""COMPUTED_VALUE"""),FALSE)</f>
        <v>0</v>
      </c>
      <c r="H207" s="11" t="str">
        <f>IFERROR(__xludf.DUMMYFUNCTION("""COMPUTED_VALUE"""),"Disruptive Advertising, Power Digital, Directive, NP Digital, KlientBoost, Victorious, VaynerMedia, Ogilvy, Tinuiti, Major Tom, Refine Labs, Intero Digital, Single Grain")</f>
        <v>Disruptive Advertising, Power Digital, Directive, NP Digital, KlientBoost, Victorious, VaynerMedia, Ogilvy, Tinuiti, Major Tom, Refine Labs, Intero Digital, Single Grain</v>
      </c>
      <c r="I207" s="11">
        <f>IFERROR(__xludf.DUMMYFUNCTION("""COMPUTED_VALUE"""),12.0)</f>
        <v>12</v>
      </c>
      <c r="J207" s="11">
        <f>IFERROR(__xludf.DUMMYFUNCTION("""COMPUTED_VALUE"""),0.01)</f>
        <v>0.01</v>
      </c>
      <c r="K207" s="11">
        <f>IFERROR(__xludf.DUMMYFUNCTION("""COMPUTED_VALUE"""),0.42)</f>
        <v>0.42</v>
      </c>
      <c r="L207" s="11"/>
    </row>
    <row r="208" ht="15.75" customHeight="1">
      <c r="A208" s="10" t="str">
        <f>IFERROR(__xludf.DUMMYFUNCTION("""COMPUTED_VALUE"""),"https://themanifest.com/us/media-buying/agencies")</f>
        <v>https://themanifest.com/us/media-buying/agencies</v>
      </c>
      <c r="B208" s="11" t="str">
        <f>IFERROR(__xludf.DUMMYFUNCTION("""COMPUTED_VALUE"""),"The Best Media Planning and Buying Companies in United States - Jun 2026 | The Manifest")</f>
        <v>The Best Media Planning and Buying Companies in United States - Jun 2026 | The Manifest</v>
      </c>
      <c r="C208" s="10" t="str">
        <f>IFERROR(__xludf.DUMMYFUNCTION("""COMPUTED_VALUE"""),"themanifest.com")</f>
        <v>themanifest.com</v>
      </c>
      <c r="D208" s="11" t="str">
        <f>IFERROR(__xludf.DUMMYFUNCTION("""COMPUTED_VALUE"""),"PROFILE")</f>
        <v>PROFILE</v>
      </c>
      <c r="E208" s="11" t="str">
        <f>IFERROR(__xludf.DUMMYFUNCTION("""COMPUTED_VALUE"""),"REFERENCE")</f>
        <v>REFERENCE</v>
      </c>
      <c r="F208" s="11" t="str">
        <f>IFERROR(__xludf.DUMMYFUNCTION("""COMPUTED_VALUE"""),"Profile")</f>
        <v>Profile</v>
      </c>
      <c r="G208" s="11" t="b">
        <f>IFERROR(__xludf.DUMMYFUNCTION("""COMPUTED_VALUE"""),FALSE)</f>
        <v>0</v>
      </c>
      <c r="H208" s="11" t="str">
        <f>IFERROR(__xludf.DUMMYFUNCTION("""COMPUTED_VALUE"""),"Clutch, Accelerated Digital Media, Tinuiti, NP Digital, MuteSix")</f>
        <v>Clutch, Accelerated Digital Media, Tinuiti, NP Digital, MuteSix</v>
      </c>
      <c r="I208" s="11">
        <f>IFERROR(__xludf.DUMMYFUNCTION("""COMPUTED_VALUE"""),12.0)</f>
        <v>12</v>
      </c>
      <c r="J208" s="11">
        <f>IFERROR(__xludf.DUMMYFUNCTION("""COMPUTED_VALUE"""),0.01)</f>
        <v>0.01</v>
      </c>
      <c r="K208" s="11">
        <f>IFERROR(__xludf.DUMMYFUNCTION("""COMPUTED_VALUE"""),0.0)</f>
        <v>0</v>
      </c>
      <c r="L208" s="11"/>
    </row>
    <row r="209" ht="15.75" customHeight="1">
      <c r="A209" s="10" t="str">
        <f>IFERROR(__xludf.DUMMYFUNCTION("""COMPUTED_VALUE"""),"https://www.wearetenet.com/blog/best-ai-seo-agencies")</f>
        <v>https://www.wearetenet.com/blog/best-ai-seo-agencies</v>
      </c>
      <c r="B209" s="11" t="str">
        <f>IFERROR(__xludf.DUMMYFUNCTION("""COMPUTED_VALUE"""),"10 Best AI SEO Agencies to Win in AI Overviews and LLMs")</f>
        <v>10 Best AI SEO Agencies to Win in AI Overviews and LLMs</v>
      </c>
      <c r="C209" s="10" t="str">
        <f>IFERROR(__xludf.DUMMYFUNCTION("""COMPUTED_VALUE"""),"wearetenet.com")</f>
        <v>wearetenet.com</v>
      </c>
      <c r="D209" s="11" t="str">
        <f>IFERROR(__xludf.DUMMYFUNCTION("""COMPUTED_VALUE"""),"LISTICLE")</f>
        <v>LISTICLE</v>
      </c>
      <c r="E209" s="11" t="str">
        <f>IFERROR(__xludf.DUMMYFUNCTION("""COMPUTED_VALUE"""),"CORPORATE")</f>
        <v>CORPORATE</v>
      </c>
      <c r="F209" s="11" t="str">
        <f>IFERROR(__xludf.DUMMYFUNCTION("""COMPUTED_VALUE"""),"Listicle")</f>
        <v>Listicle</v>
      </c>
      <c r="G209" s="11" t="b">
        <f>IFERROR(__xludf.DUMMYFUNCTION("""COMPUTED_VALUE"""),FALSE)</f>
        <v>0</v>
      </c>
      <c r="H209" s="11" t="str">
        <f>IFERROR(__xludf.DUMMYFUNCTION("""COMPUTED_VALUE"""),"Thrive Internet Marketing Agency, Avenue Z")</f>
        <v>Thrive Internet Marketing Agency, Avenue Z</v>
      </c>
      <c r="I209" s="11">
        <f>IFERROR(__xludf.DUMMYFUNCTION("""COMPUTED_VALUE"""),12.0)</f>
        <v>12</v>
      </c>
      <c r="J209" s="11">
        <f>IFERROR(__xludf.DUMMYFUNCTION("""COMPUTED_VALUE"""),0.01)</f>
        <v>0.01</v>
      </c>
      <c r="K209" s="11">
        <f>IFERROR(__xludf.DUMMYFUNCTION("""COMPUTED_VALUE"""),1.0)</f>
        <v>1</v>
      </c>
      <c r="L209" s="11"/>
    </row>
    <row r="210" ht="15.75" customHeight="1">
      <c r="A210" s="10" t="str">
        <f>IFERROR(__xludf.DUMMYFUNCTION("""COMPUTED_VALUE"""),"https://www.webtonic.io/blog/best-performance-marketing-agencies-2026#:~:text=Great%20For%3A%20Mid%2Dmarket%20to%20enterprise%2Dlevel%20businesses%20requiring,and%20advanced%20analytics%20to%20drive%20measurable%20results.")</f>
        <v>https://www.webtonic.io/blog/best-performance-marketing-agencies-2026#:~:text=Great%20For%3A%20Mid%2Dmarket%20to%20enterprise%2Dlevel%20businesses%20requiring,and%20advanced%20analytics%20to%20drive%20measurable%20results.</v>
      </c>
      <c r="B210" s="11" t="str">
        <f>IFERROR(__xludf.DUMMYFUNCTION("""COMPUTED_VALUE"""),"28 Best Performance Marketing Agencies for 2026")</f>
        <v>28 Best Performance Marketing Agencies for 2026</v>
      </c>
      <c r="C210" s="10" t="str">
        <f>IFERROR(__xludf.DUMMYFUNCTION("""COMPUTED_VALUE"""),"webtonic.io")</f>
        <v>webtonic.io</v>
      </c>
      <c r="D210" s="11" t="str">
        <f>IFERROR(__xludf.DUMMYFUNCTION("""COMPUTED_VALUE"""),"LISTICLE")</f>
        <v>LISTICLE</v>
      </c>
      <c r="E210" s="11" t="str">
        <f>IFERROR(__xludf.DUMMYFUNCTION("""COMPUTED_VALUE"""),"COMPETITOR")</f>
        <v>COMPETITOR</v>
      </c>
      <c r="F210" s="11" t="str">
        <f>IFERROR(__xludf.DUMMYFUNCTION("""COMPUTED_VALUE"""),"Listicle")</f>
        <v>Listicle</v>
      </c>
      <c r="G210" s="11" t="b">
        <f>IFERROR(__xludf.DUMMYFUNCTION("""COMPUTED_VALUE"""),FALSE)</f>
        <v>0</v>
      </c>
      <c r="H210" s="11" t="str">
        <f>IFERROR(__xludf.DUMMYFUNCTION("""COMPUTED_VALUE"""),"Web Tonic, Tinuiti, Wpromote, TransUnion, Metric Theory, Brainlabs, Jellyfish, Croud, Amsive, MuteSix, KlientBoost, Disruptive Advertising, NoGood, Power Digital, Directive, Hawke Media, Ignite Visibility, Single Grain, AdVenture Media")</f>
        <v>Web Tonic, Tinuiti, Wpromote, TransUnion, Metric Theory, Brainlabs, Jellyfish, Croud, Amsive, MuteSix, KlientBoost, Disruptive Advertising, NoGood, Power Digital, Directive, Hawke Media, Ignite Visibility, Single Grain, AdVenture Media</v>
      </c>
      <c r="I210" s="11">
        <f>IFERROR(__xludf.DUMMYFUNCTION("""COMPUTED_VALUE"""),12.0)</f>
        <v>12</v>
      </c>
      <c r="J210" s="11">
        <f>IFERROR(__xludf.DUMMYFUNCTION("""COMPUTED_VALUE"""),0.01)</f>
        <v>0.01</v>
      </c>
      <c r="K210" s="11">
        <f>IFERROR(__xludf.DUMMYFUNCTION("""COMPUTED_VALUE"""),1.83)</f>
        <v>1.83</v>
      </c>
      <c r="L210" s="11"/>
    </row>
    <row r="211" ht="15.75" customHeight="1">
      <c r="A211" s="10" t="str">
        <f>IFERROR(__xludf.DUMMYFUNCTION("""COMPUTED_VALUE"""),"https://wildnetmarketing.agency/blog/best-ai-marketing-agencies-in-usa/")</f>
        <v>https://wildnetmarketing.agency/blog/best-ai-marketing-agencies-in-usa/</v>
      </c>
      <c r="B211" s="11" t="str">
        <f>IFERROR(__xludf.DUMMYFUNCTION("""COMPUTED_VALUE"""),"Best AI Marketing Agencies in USA 2026")</f>
        <v>Best AI Marketing Agencies in USA 2026</v>
      </c>
      <c r="C211" s="11" t="str">
        <f>IFERROR(__xludf.DUMMYFUNCTION("""COMPUTED_VALUE"""),"wildnetmarketing.agency")</f>
        <v>wildnetmarketing.agency</v>
      </c>
      <c r="D211" s="11" t="str">
        <f>IFERROR(__xludf.DUMMYFUNCTION("""COMPUTED_VALUE"""),"LISTICLE")</f>
        <v>LISTICLE</v>
      </c>
      <c r="E211" s="11" t="str">
        <f>IFERROR(__xludf.DUMMYFUNCTION("""COMPUTED_VALUE"""),"CORPORATE")</f>
        <v>CORPORATE</v>
      </c>
      <c r="F211" s="11" t="str">
        <f>IFERROR(__xludf.DUMMYFUNCTION("""COMPUTED_VALUE"""),"Listicle")</f>
        <v>Listicle</v>
      </c>
      <c r="G211" s="11" t="b">
        <f>IFERROR(__xludf.DUMMYFUNCTION("""COMPUTED_VALUE"""),FALSE)</f>
        <v>0</v>
      </c>
      <c r="H211" s="11" t="str">
        <f>IFERROR(__xludf.DUMMYFUNCTION("""COMPUTED_VALUE"""),"Ogilvy, Merkle, VML, Digitas, Accenture Song, Deloitte Digital, Publicis Groupe, Epsilon")</f>
        <v>Ogilvy, Merkle, VML, Digitas, Accenture Song, Deloitte Digital, Publicis Groupe, Epsilon</v>
      </c>
      <c r="I211" s="11">
        <f>IFERROR(__xludf.DUMMYFUNCTION("""COMPUTED_VALUE"""),12.0)</f>
        <v>12</v>
      </c>
      <c r="J211" s="11">
        <f>IFERROR(__xludf.DUMMYFUNCTION("""COMPUTED_VALUE"""),0.01)</f>
        <v>0.01</v>
      </c>
      <c r="K211" s="11">
        <f>IFERROR(__xludf.DUMMYFUNCTION("""COMPUTED_VALUE"""),0.0)</f>
        <v>0</v>
      </c>
      <c r="L211" s="11"/>
    </row>
    <row r="212" ht="15.75" customHeight="1">
      <c r="A212" s="10" t="str">
        <f>IFERROR(__xludf.DUMMYFUNCTION("""COMPUTED_VALUE"""),"https://www.50pros.com/hire/advertising/attribution-and-measurement")</f>
        <v>https://www.50pros.com/hire/advertising/attribution-and-measurement</v>
      </c>
      <c r="B212" s="11" t="str">
        <f>IFERROR(__xludf.DUMMYFUNCTION("""COMPUTED_VALUE"""),"Top Attribution &amp; Measurement Agencies to Hire in June 2026")</f>
        <v>Top Attribution &amp; Measurement Agencies to Hire in June 2026</v>
      </c>
      <c r="C212" s="10" t="str">
        <f>IFERROR(__xludf.DUMMYFUNCTION("""COMPUTED_VALUE"""),"50pros.com")</f>
        <v>50pros.com</v>
      </c>
      <c r="D212" s="11" t="str">
        <f>IFERROR(__xludf.DUMMYFUNCTION("""COMPUTED_VALUE"""),"CATEGORY_PAGE")</f>
        <v>CATEGORY_PAGE</v>
      </c>
      <c r="E212" s="11" t="str">
        <f>IFERROR(__xludf.DUMMYFUNCTION("""COMPUTED_VALUE"""),"REFERENCE")</f>
        <v>REFERENCE</v>
      </c>
      <c r="F212" s="11" t="str">
        <f>IFERROR(__xludf.DUMMYFUNCTION("""COMPUTED_VALUE"""),"Category Page")</f>
        <v>Category Page</v>
      </c>
      <c r="G212" s="11" t="b">
        <f>IFERROR(__xludf.DUMMYFUNCTION("""COMPUTED_VALUE"""),FALSE)</f>
        <v>0</v>
      </c>
      <c r="H212" s="11" t="str">
        <f>IFERROR(__xludf.DUMMYFUNCTION("""COMPUTED_VALUE"""),"The SEO Works, Huge, Clutch")</f>
        <v>The SEO Works, Huge, Clutch</v>
      </c>
      <c r="I212" s="11">
        <f>IFERROR(__xludf.DUMMYFUNCTION("""COMPUTED_VALUE"""),11.0)</f>
        <v>11</v>
      </c>
      <c r="J212" s="11">
        <f>IFERROR(__xludf.DUMMYFUNCTION("""COMPUTED_VALUE"""),0.01)</f>
        <v>0.01</v>
      </c>
      <c r="K212" s="11">
        <f>IFERROR(__xludf.DUMMYFUNCTION("""COMPUTED_VALUE"""),0.0)</f>
        <v>0</v>
      </c>
      <c r="L212" s="11"/>
    </row>
    <row r="213" ht="15.75" customHeight="1">
      <c r="A213" s="10" t="str">
        <f>IFERROR(__xludf.DUMMYFUNCTION("""COMPUTED_VALUE"""),"https://www.50pros.com/hire/digital-marketing/marketing-attribution")</f>
        <v>https://www.50pros.com/hire/digital-marketing/marketing-attribution</v>
      </c>
      <c r="B213" s="11" t="str">
        <f>IFERROR(__xludf.DUMMYFUNCTION("""COMPUTED_VALUE"""),"Top Marketing Attribution Agencies to Hire in June 2026")</f>
        <v>Top Marketing Attribution Agencies to Hire in June 2026</v>
      </c>
      <c r="C213" s="10" t="str">
        <f>IFERROR(__xludf.DUMMYFUNCTION("""COMPUTED_VALUE"""),"50pros.com")</f>
        <v>50pros.com</v>
      </c>
      <c r="D213" s="11" t="str">
        <f>IFERROR(__xludf.DUMMYFUNCTION("""COMPUTED_VALUE"""),"CATEGORY_PAGE")</f>
        <v>CATEGORY_PAGE</v>
      </c>
      <c r="E213" s="11" t="str">
        <f>IFERROR(__xludf.DUMMYFUNCTION("""COMPUTED_VALUE"""),"REFERENCE")</f>
        <v>REFERENCE</v>
      </c>
      <c r="F213" s="11" t="str">
        <f>IFERROR(__xludf.DUMMYFUNCTION("""COMPUTED_VALUE"""),"Category Page")</f>
        <v>Category Page</v>
      </c>
      <c r="G213" s="11" t="b">
        <f>IFERROR(__xludf.DUMMYFUNCTION("""COMPUTED_VALUE"""),FALSE)</f>
        <v>0</v>
      </c>
      <c r="H213" s="11" t="str">
        <f>IFERROR(__xludf.DUMMYFUNCTION("""COMPUTED_VALUE"""),"The SEO Works, Huge")</f>
        <v>The SEO Works, Huge</v>
      </c>
      <c r="I213" s="11">
        <f>IFERROR(__xludf.DUMMYFUNCTION("""COMPUTED_VALUE"""),11.0)</f>
        <v>11</v>
      </c>
      <c r="J213" s="11">
        <f>IFERROR(__xludf.DUMMYFUNCTION("""COMPUTED_VALUE"""),0.01)</f>
        <v>0.01</v>
      </c>
      <c r="K213" s="11">
        <f>IFERROR(__xludf.DUMMYFUNCTION("""COMPUTED_VALUE"""),0.0)</f>
        <v>0</v>
      </c>
      <c r="L213" s="11"/>
    </row>
    <row r="214" ht="15.75" customHeight="1">
      <c r="A214" s="10" t="str">
        <f>IFERROR(__xludf.DUMMYFUNCTION("""COMPUTED_VALUE"""),"https://amworldgroup.com/best/digital-marketing-agency-usa")</f>
        <v>https://amworldgroup.com/best/digital-marketing-agency-usa</v>
      </c>
      <c r="B214" s="11" t="str">
        <f>IFERROR(__xludf.DUMMYFUNCTION("""COMPUTED_VALUE"""),"Best Digital Marketing Agencies in USA (2026) | AMW®")</f>
        <v>Best Digital Marketing Agencies in USA (2026) | AMW®</v>
      </c>
      <c r="C214" s="10" t="str">
        <f>IFERROR(__xludf.DUMMYFUNCTION("""COMPUTED_VALUE"""),"amworldgroup.com")</f>
        <v>amworldgroup.com</v>
      </c>
      <c r="D214" s="11" t="str">
        <f>IFERROR(__xludf.DUMMYFUNCTION("""COMPUTED_VALUE"""),"LISTICLE")</f>
        <v>LISTICLE</v>
      </c>
      <c r="E214" s="11" t="str">
        <f>IFERROR(__xludf.DUMMYFUNCTION("""COMPUTED_VALUE"""),"CORPORATE")</f>
        <v>CORPORATE</v>
      </c>
      <c r="F214" s="11" t="str">
        <f>IFERROR(__xludf.DUMMYFUNCTION("""COMPUTED_VALUE"""),"Listicle")</f>
        <v>Listicle</v>
      </c>
      <c r="G214" s="11" t="b">
        <f>IFERROR(__xludf.DUMMYFUNCTION("""COMPUTED_VALUE"""),FALSE)</f>
        <v>0</v>
      </c>
      <c r="H214" s="11" t="str">
        <f>IFERROR(__xludf.DUMMYFUNCTION("""COMPUTED_VALUE"""),"Thrive Internet Marketing Agency, Ignite Visibility, Siege Media, R/GA, Directive")</f>
        <v>Thrive Internet Marketing Agency, Ignite Visibility, Siege Media, R/GA, Directive</v>
      </c>
      <c r="I214" s="11">
        <f>IFERROR(__xludf.DUMMYFUNCTION("""COMPUTED_VALUE"""),11.0)</f>
        <v>11</v>
      </c>
      <c r="J214" s="11">
        <f>IFERROR(__xludf.DUMMYFUNCTION("""COMPUTED_VALUE"""),0.01)</f>
        <v>0.01</v>
      </c>
      <c r="K214" s="11">
        <f>IFERROR(__xludf.DUMMYFUNCTION("""COMPUTED_VALUE"""),0.0)</f>
        <v>0</v>
      </c>
      <c r="L214" s="11"/>
    </row>
    <row r="215" ht="15.75" customHeight="1">
      <c r="A215" s="10" t="str">
        <f>IFERROR(__xludf.DUMMYFUNCTION("""COMPUTED_VALUE"""),"https://www.askattest.com/blog/articles/market-research-companies-in-the-us")</f>
        <v>https://www.askattest.com/blog/articles/market-research-companies-in-the-us</v>
      </c>
      <c r="B215" s="11" t="str">
        <f>IFERROR(__xludf.DUMMYFUNCTION("""COMPUTED_VALUE"""),"Top 17 Market Research Companies in the US (2026)")</f>
        <v>Top 17 Market Research Companies in the US (2026)</v>
      </c>
      <c r="C215" s="10" t="str">
        <f>IFERROR(__xludf.DUMMYFUNCTION("""COMPUTED_VALUE"""),"askattest.com")</f>
        <v>askattest.com</v>
      </c>
      <c r="D215" s="11" t="str">
        <f>IFERROR(__xludf.DUMMYFUNCTION("""COMPUTED_VALUE"""),"LISTICLE")</f>
        <v>LISTICLE</v>
      </c>
      <c r="E215" s="11" t="str">
        <f>IFERROR(__xludf.DUMMYFUNCTION("""COMPUTED_VALUE"""),"CORPORATE")</f>
        <v>CORPORATE</v>
      </c>
      <c r="F215" s="11" t="str">
        <f>IFERROR(__xludf.DUMMYFUNCTION("""COMPUTED_VALUE"""),"Listicle")</f>
        <v>Listicle</v>
      </c>
      <c r="G215" s="11" t="b">
        <f>IFERROR(__xludf.DUMMYFUNCTION("""COMPUTED_VALUE"""),FALSE)</f>
        <v>0</v>
      </c>
      <c r="H215" s="11" t="str">
        <f>IFERROR(__xludf.DUMMYFUNCTION("""COMPUTED_VALUE"""),"Nielsen, Merkle")</f>
        <v>Nielsen, Merkle</v>
      </c>
      <c r="I215" s="11">
        <f>IFERROR(__xludf.DUMMYFUNCTION("""COMPUTED_VALUE"""),11.0)</f>
        <v>11</v>
      </c>
      <c r="J215" s="11">
        <f>IFERROR(__xludf.DUMMYFUNCTION("""COMPUTED_VALUE"""),0.01)</f>
        <v>0.01</v>
      </c>
      <c r="K215" s="11">
        <f>IFERROR(__xludf.DUMMYFUNCTION("""COMPUTED_VALUE"""),0.18)</f>
        <v>0.18</v>
      </c>
      <c r="L215" s="11"/>
    </row>
    <row r="216" ht="15.75" customHeight="1">
      <c r="A216" s="10" t="str">
        <f>IFERROR(__xludf.DUMMYFUNCTION("""COMPUTED_VALUE"""),"https://blueprintdemand.com/top-10-display-advertising-agency-partners-for-2026/")</f>
        <v>https://blueprintdemand.com/top-10-display-advertising-agency-partners-for-2026/</v>
      </c>
      <c r="B216" s="11" t="str">
        <f>IFERROR(__xludf.DUMMYFUNCTION("""COMPUTED_VALUE"""),"10 Best B2B Display Advertising Agency Partners (2026) – Blueprint Demand: Demand Generation Experts")</f>
        <v>10 Best B2B Display Advertising Agency Partners (2026) – Blueprint Demand: Demand Generation Experts</v>
      </c>
      <c r="C216" s="10" t="str">
        <f>IFERROR(__xludf.DUMMYFUNCTION("""COMPUTED_VALUE"""),"blueprintdemand.com")</f>
        <v>blueprintdemand.com</v>
      </c>
      <c r="D216" s="11" t="str">
        <f>IFERROR(__xludf.DUMMYFUNCTION("""COMPUTED_VALUE"""),"LISTICLE")</f>
        <v>LISTICLE</v>
      </c>
      <c r="E216" s="11" t="str">
        <f>IFERROR(__xludf.DUMMYFUNCTION("""COMPUTED_VALUE"""),"CORPORATE")</f>
        <v>CORPORATE</v>
      </c>
      <c r="F216" s="11" t="str">
        <f>IFERROR(__xludf.DUMMYFUNCTION("""COMPUTED_VALUE"""),"Listicle")</f>
        <v>Listicle</v>
      </c>
      <c r="G216" s="11" t="b">
        <f>IFERROR(__xludf.DUMMYFUNCTION("""COMPUTED_VALUE"""),FALSE)</f>
        <v>0</v>
      </c>
      <c r="H216" s="11" t="str">
        <f>IFERROR(__xludf.DUMMYFUNCTION("""COMPUTED_VALUE"""),"Measured, Momentum, MuteSix, Single Grain")</f>
        <v>Measured, Momentum, MuteSix, Single Grain</v>
      </c>
      <c r="I216" s="11">
        <f>IFERROR(__xludf.DUMMYFUNCTION("""COMPUTED_VALUE"""),11.0)</f>
        <v>11</v>
      </c>
      <c r="J216" s="11">
        <f>IFERROR(__xludf.DUMMYFUNCTION("""COMPUTED_VALUE"""),0.01)</f>
        <v>0.01</v>
      </c>
      <c r="K216" s="11">
        <f>IFERROR(__xludf.DUMMYFUNCTION("""COMPUTED_VALUE"""),0.0)</f>
        <v>0</v>
      </c>
      <c r="L216" s="11"/>
    </row>
    <row r="217" ht="15.75" customHeight="1">
      <c r="A217" s="10" t="str">
        <f>IFERROR(__xludf.DUMMYFUNCTION("""COMPUTED_VALUE"""),"https://coolnerdsmarketing.com/top-creative-agencies-us/")</f>
        <v>https://coolnerdsmarketing.com/top-creative-agencies-us/</v>
      </c>
      <c r="B217" s="11" t="str">
        <f>IFERROR(__xludf.DUMMYFUNCTION("""COMPUTED_VALUE"""),"Top 15 Creative Agencies in the U.S. (2026)")</f>
        <v>Top 15 Creative Agencies in the U.S. (2026)</v>
      </c>
      <c r="C217" s="10" t="str">
        <f>IFERROR(__xludf.DUMMYFUNCTION("""COMPUTED_VALUE"""),"coolnerdsmarketing.com")</f>
        <v>coolnerdsmarketing.com</v>
      </c>
      <c r="D217" s="11" t="str">
        <f>IFERROR(__xludf.DUMMYFUNCTION("""COMPUTED_VALUE"""),"LISTICLE")</f>
        <v>LISTICLE</v>
      </c>
      <c r="E217" s="11" t="str">
        <f>IFERROR(__xludf.DUMMYFUNCTION("""COMPUTED_VALUE"""),"CORPORATE")</f>
        <v>CORPORATE</v>
      </c>
      <c r="F217" s="11" t="str">
        <f>IFERROR(__xludf.DUMMYFUNCTION("""COMPUTED_VALUE"""),"Listicle")</f>
        <v>Listicle</v>
      </c>
      <c r="G217" s="11" t="b">
        <f>IFERROR(__xludf.DUMMYFUNCTION("""COMPUTED_VALUE"""),FALSE)</f>
        <v>0</v>
      </c>
      <c r="H217" s="11" t="str">
        <f>IFERROR(__xludf.DUMMYFUNCTION("""COMPUTED_VALUE"""),"Dentsu, Momentum")</f>
        <v>Dentsu, Momentum</v>
      </c>
      <c r="I217" s="11">
        <f>IFERROR(__xludf.DUMMYFUNCTION("""COMPUTED_VALUE"""),11.0)</f>
        <v>11</v>
      </c>
      <c r="J217" s="11">
        <f>IFERROR(__xludf.DUMMYFUNCTION("""COMPUTED_VALUE"""),0.01)</f>
        <v>0.01</v>
      </c>
      <c r="K217" s="11">
        <f>IFERROR(__xludf.DUMMYFUNCTION("""COMPUTED_VALUE"""),0.0)</f>
        <v>0</v>
      </c>
      <c r="L217" s="11"/>
    </row>
    <row r="218" ht="15.75" customHeight="1">
      <c r="A218" s="10" t="str">
        <f>IFERROR(__xludf.DUMMYFUNCTION("""COMPUTED_VALUE"""),"https://copilot-experts.com/top-ai-consulting-firm/")</f>
        <v>https://copilot-experts.com/top-ai-consulting-firm/</v>
      </c>
      <c r="B218" s="11" t="str">
        <f>IFERROR(__xludf.DUMMYFUNCTION("""COMPUTED_VALUE"""),"Top 10 AI Consulting Firms in 2026 - Copilot Experts")</f>
        <v>Top 10 AI Consulting Firms in 2026 - Copilot Experts</v>
      </c>
      <c r="C218" s="10" t="str">
        <f>IFERROR(__xludf.DUMMYFUNCTION("""COMPUTED_VALUE"""),"copilot-experts.com")</f>
        <v>copilot-experts.com</v>
      </c>
      <c r="D218" s="11" t="str">
        <f>IFERROR(__xludf.DUMMYFUNCTION("""COMPUTED_VALUE"""),"LISTICLE")</f>
        <v>LISTICLE</v>
      </c>
      <c r="E218" s="11" t="str">
        <f>IFERROR(__xludf.DUMMYFUNCTION("""COMPUTED_VALUE"""),"CORPORATE")</f>
        <v>CORPORATE</v>
      </c>
      <c r="F218" s="11" t="str">
        <f>IFERROR(__xludf.DUMMYFUNCTION("""COMPUTED_VALUE"""),"Listicle")</f>
        <v>Listicle</v>
      </c>
      <c r="G218" s="11" t="b">
        <f>IFERROR(__xludf.DUMMYFUNCTION("""COMPUTED_VALUE"""),FALSE)</f>
        <v>0</v>
      </c>
      <c r="H218" s="11" t="str">
        <f>IFERROR(__xludf.DUMMYFUNCTION("""COMPUTED_VALUE"""),"BCG, McKinsey, QuantumBlack, IBM, PwC, Measured")</f>
        <v>BCG, McKinsey, QuantumBlack, IBM, PwC, Measured</v>
      </c>
      <c r="I218" s="11">
        <f>IFERROR(__xludf.DUMMYFUNCTION("""COMPUTED_VALUE"""),11.0)</f>
        <v>11</v>
      </c>
      <c r="J218" s="11">
        <f>IFERROR(__xludf.DUMMYFUNCTION("""COMPUTED_VALUE"""),0.01)</f>
        <v>0.01</v>
      </c>
      <c r="K218" s="11">
        <f>IFERROR(__xludf.DUMMYFUNCTION("""COMPUTED_VALUE"""),1.09)</f>
        <v>1.09</v>
      </c>
      <c r="L218" s="11"/>
    </row>
    <row r="219" ht="15.75" customHeight="1">
      <c r="A219" s="10" t="str">
        <f>IFERROR(__xludf.DUMMYFUNCTION("""COMPUTED_VALUE"""),"https://www.csp.agency/blog/top-8-geo-agencies-for-2026-ranked-by-data/")</f>
        <v>https://www.csp.agency/blog/top-8-geo-agencies-for-2026-ranked-by-data/</v>
      </c>
      <c r="B219" s="11" t="str">
        <f>IFERROR(__xludf.DUMMYFUNCTION("""COMPUTED_VALUE"""),"Top 8 GEO Agencies for 2026 Ranked by Data | CSP")</f>
        <v>Top 8 GEO Agencies for 2026 Ranked by Data | CSP</v>
      </c>
      <c r="C219" s="11" t="str">
        <f>IFERROR(__xludf.DUMMYFUNCTION("""COMPUTED_VALUE"""),"csp.agency")</f>
        <v>csp.agency</v>
      </c>
      <c r="D219" s="11" t="str">
        <f>IFERROR(__xludf.DUMMYFUNCTION("""COMPUTED_VALUE"""),"LISTICLE")</f>
        <v>LISTICLE</v>
      </c>
      <c r="E219" s="11" t="str">
        <f>IFERROR(__xludf.DUMMYFUNCTION("""COMPUTED_VALUE"""),"CORPORATE")</f>
        <v>CORPORATE</v>
      </c>
      <c r="F219" s="11" t="str">
        <f>IFERROR(__xludf.DUMMYFUNCTION("""COMPUTED_VALUE"""),"Listicle")</f>
        <v>Listicle</v>
      </c>
      <c r="G219" s="11" t="b">
        <f>IFERROR(__xludf.DUMMYFUNCTION("""COMPUTED_VALUE"""),FALSE)</f>
        <v>0</v>
      </c>
      <c r="H219" s="11" t="str">
        <f>IFERROR(__xludf.DUMMYFUNCTION("""COMPUTED_VALUE"""),"Intero Digital, Momentum")</f>
        <v>Intero Digital, Momentum</v>
      </c>
      <c r="I219" s="11">
        <f>IFERROR(__xludf.DUMMYFUNCTION("""COMPUTED_VALUE"""),11.0)</f>
        <v>11</v>
      </c>
      <c r="J219" s="11">
        <f>IFERROR(__xludf.DUMMYFUNCTION("""COMPUTED_VALUE"""),0.01)</f>
        <v>0.01</v>
      </c>
      <c r="K219" s="11">
        <f>IFERROR(__xludf.DUMMYFUNCTION("""COMPUTED_VALUE"""),0.0)</f>
        <v>0</v>
      </c>
      <c r="L219" s="11"/>
    </row>
    <row r="220" ht="15.75" customHeight="1">
      <c r="A220" s="10" t="str">
        <f>IFERROR(__xludf.DUMMYFUNCTION("""COMPUTED_VALUE"""),"https://www.designrush.com/agency/digital-marketing/analytics/us?page=23")</f>
        <v>https://www.designrush.com/agency/digital-marketing/analytics/us?page=23</v>
      </c>
      <c r="B220" s="11" t="str">
        <f>IFERROR(__xludf.DUMMYFUNCTION("""COMPUTED_VALUE"""),"Top United States Marketing Analytics Companies - Page 23")</f>
        <v>Top United States Marketing Analytics Companies - Page 23</v>
      </c>
      <c r="C220" s="10" t="str">
        <f>IFERROR(__xludf.DUMMYFUNCTION("""COMPUTED_VALUE"""),"designrush.com")</f>
        <v>designrush.com</v>
      </c>
      <c r="D220" s="11" t="str">
        <f>IFERROR(__xludf.DUMMYFUNCTION("""COMPUTED_VALUE"""),"LISTICLE")</f>
        <v>LISTICLE</v>
      </c>
      <c r="E220" s="11" t="str">
        <f>IFERROR(__xludf.DUMMYFUNCTION("""COMPUTED_VALUE"""),"CORPORATE")</f>
        <v>CORPORATE</v>
      </c>
      <c r="F220" s="11" t="str">
        <f>IFERROR(__xludf.DUMMYFUNCTION("""COMPUTED_VALUE"""),"Listicle")</f>
        <v>Listicle</v>
      </c>
      <c r="G220" s="11" t="b">
        <f>IFERROR(__xludf.DUMMYFUNCTION("""COMPUTED_VALUE"""),FALSE)</f>
        <v>0</v>
      </c>
      <c r="H220" s="11" t="str">
        <f>IFERROR(__xludf.DUMMYFUNCTION("""COMPUTED_VALUE"""),"IBM, Measured")</f>
        <v>IBM, Measured</v>
      </c>
      <c r="I220" s="11">
        <f>IFERROR(__xludf.DUMMYFUNCTION("""COMPUTED_VALUE"""),11.0)</f>
        <v>11</v>
      </c>
      <c r="J220" s="11">
        <f>IFERROR(__xludf.DUMMYFUNCTION("""COMPUTED_VALUE"""),0.01)</f>
        <v>0.01</v>
      </c>
      <c r="K220" s="11">
        <f>IFERROR(__xludf.DUMMYFUNCTION("""COMPUTED_VALUE"""),0.09)</f>
        <v>0.09</v>
      </c>
      <c r="L220" s="11"/>
    </row>
    <row r="221" ht="15.75" customHeight="1">
      <c r="A221" s="10" t="str">
        <f>IFERROR(__xludf.DUMMYFUNCTION("""COMPUTED_VALUE"""),"https://www.designrush.com/agency/digital-marketing/analytics/us?page=24")</f>
        <v>https://www.designrush.com/agency/digital-marketing/analytics/us?page=24</v>
      </c>
      <c r="B221" s="11" t="str">
        <f>IFERROR(__xludf.DUMMYFUNCTION("""COMPUTED_VALUE"""),"Top United States Marketing Analytics Companies - Page 24")</f>
        <v>Top United States Marketing Analytics Companies - Page 24</v>
      </c>
      <c r="C221" s="10" t="str">
        <f>IFERROR(__xludf.DUMMYFUNCTION("""COMPUTED_VALUE"""),"designrush.com")</f>
        <v>designrush.com</v>
      </c>
      <c r="D221" s="11" t="str">
        <f>IFERROR(__xludf.DUMMYFUNCTION("""COMPUTED_VALUE"""),"OTHER")</f>
        <v>OTHER</v>
      </c>
      <c r="E221" s="11" t="str">
        <f>IFERROR(__xludf.DUMMYFUNCTION("""COMPUTED_VALUE"""),"CORPORATE")</f>
        <v>CORPORATE</v>
      </c>
      <c r="F221" s="11" t="str">
        <f>IFERROR(__xludf.DUMMYFUNCTION("""COMPUTED_VALUE"""),"Other")</f>
        <v>Other</v>
      </c>
      <c r="G221" s="11" t="b">
        <f>IFERROR(__xludf.DUMMYFUNCTION("""COMPUTED_VALUE"""),FALSE)</f>
        <v>0</v>
      </c>
      <c r="H221" s="11" t="str">
        <f>IFERROR(__xludf.DUMMYFUNCTION("""COMPUTED_VALUE"""),"IBM, Measured")</f>
        <v>IBM, Measured</v>
      </c>
      <c r="I221" s="11">
        <f>IFERROR(__xludf.DUMMYFUNCTION("""COMPUTED_VALUE"""),11.0)</f>
        <v>11</v>
      </c>
      <c r="J221" s="11">
        <f>IFERROR(__xludf.DUMMYFUNCTION("""COMPUTED_VALUE"""),0.01)</f>
        <v>0.01</v>
      </c>
      <c r="K221" s="11">
        <f>IFERROR(__xludf.DUMMYFUNCTION("""COMPUTED_VALUE"""),0.0)</f>
        <v>0</v>
      </c>
      <c r="L221" s="11"/>
    </row>
    <row r="222" ht="15.75" customHeight="1">
      <c r="A222" s="10" t="str">
        <f>IFERROR(__xludf.DUMMYFUNCTION("""COMPUTED_VALUE"""),"https://entermind.com/media/blog/top-ai-consulting-firms-us")</f>
        <v>https://entermind.com/media/blog/top-ai-consulting-firms-us</v>
      </c>
      <c r="B222" s="11" t="str">
        <f>IFERROR(__xludf.DUMMYFUNCTION("""COMPUTED_VALUE"""),"Top 8 AI Consulting Firms in the US | Expert Rankings (2026)")</f>
        <v>Top 8 AI Consulting Firms in the US | Expert Rankings (2026)</v>
      </c>
      <c r="C222" s="10" t="str">
        <f>IFERROR(__xludf.DUMMYFUNCTION("""COMPUTED_VALUE"""),"entermind.com")</f>
        <v>entermind.com</v>
      </c>
      <c r="D222" s="11" t="str">
        <f>IFERROR(__xludf.DUMMYFUNCTION("""COMPUTED_VALUE"""),"LISTICLE")</f>
        <v>LISTICLE</v>
      </c>
      <c r="E222" s="11" t="str">
        <f>IFERROR(__xludf.DUMMYFUNCTION("""COMPUTED_VALUE"""),"CORPORATE")</f>
        <v>CORPORATE</v>
      </c>
      <c r="F222" s="11" t="str">
        <f>IFERROR(__xludf.DUMMYFUNCTION("""COMPUTED_VALUE"""),"Listicle")</f>
        <v>Listicle</v>
      </c>
      <c r="G222" s="11" t="b">
        <f>IFERROR(__xludf.DUMMYFUNCTION("""COMPUTED_VALUE"""),FALSE)</f>
        <v>0</v>
      </c>
      <c r="H222" s="11" t="str">
        <f>IFERROR(__xludf.DUMMYFUNCTION("""COMPUTED_VALUE"""),"IBM")</f>
        <v>IBM</v>
      </c>
      <c r="I222" s="11">
        <f>IFERROR(__xludf.DUMMYFUNCTION("""COMPUTED_VALUE"""),11.0)</f>
        <v>11</v>
      </c>
      <c r="J222" s="11">
        <f>IFERROR(__xludf.DUMMYFUNCTION("""COMPUTED_VALUE"""),0.01)</f>
        <v>0.01</v>
      </c>
      <c r="K222" s="11">
        <f>IFERROR(__xludf.DUMMYFUNCTION("""COMPUTED_VALUE"""),0.09)</f>
        <v>0.09</v>
      </c>
      <c r="L222" s="11"/>
    </row>
    <row r="223" ht="15.75" customHeight="1">
      <c r="A223" s="10" t="str">
        <f>IFERROR(__xludf.DUMMYFUNCTION("""COMPUTED_VALUE"""),"https://www.hashmeta.ai/en/generative-ai/best-ai-marketing-agencies")</f>
        <v>https://www.hashmeta.ai/en/generative-ai/best-ai-marketing-agencies</v>
      </c>
      <c r="B223" s="11" t="str">
        <f>IFERROR(__xludf.DUMMYFUNCTION("""COMPUTED_VALUE"""),"Best AI Marketing Agencies: Top 25 Agencies Ranked &amp;amp; Reviewed 2025")</f>
        <v>Best AI Marketing Agencies: Top 25 Agencies Ranked &amp;amp; Reviewed 2025</v>
      </c>
      <c r="C223" s="10" t="str">
        <f>IFERROR(__xludf.DUMMYFUNCTION("""COMPUTED_VALUE"""),"hashmeta.ai")</f>
        <v>hashmeta.ai</v>
      </c>
      <c r="D223" s="11" t="str">
        <f>IFERROR(__xludf.DUMMYFUNCTION("""COMPUTED_VALUE"""),"LISTICLE")</f>
        <v>LISTICLE</v>
      </c>
      <c r="E223" s="11" t="str">
        <f>IFERROR(__xludf.DUMMYFUNCTION("""COMPUTED_VALUE"""),"CORPORATE")</f>
        <v>CORPORATE</v>
      </c>
      <c r="F223" s="11" t="str">
        <f>IFERROR(__xludf.DUMMYFUNCTION("""COMPUTED_VALUE"""),"Listicle")</f>
        <v>Listicle</v>
      </c>
      <c r="G223" s="11" t="b">
        <f>IFERROR(__xludf.DUMMYFUNCTION("""COMPUTED_VALUE"""),FALSE)</f>
        <v>0</v>
      </c>
      <c r="H223" s="11" t="str">
        <f>IFERROR(__xludf.DUMMYFUNCTION("""COMPUTED_VALUE"""),"SmartSites, Disruptive Advertising, Clutch, WebFX, Victorious, Tinuiti, Directive, KlientBoost")</f>
        <v>SmartSites, Disruptive Advertising, Clutch, WebFX, Victorious, Tinuiti, Directive, KlientBoost</v>
      </c>
      <c r="I223" s="11">
        <f>IFERROR(__xludf.DUMMYFUNCTION("""COMPUTED_VALUE"""),11.0)</f>
        <v>11</v>
      </c>
      <c r="J223" s="11">
        <f>IFERROR(__xludf.DUMMYFUNCTION("""COMPUTED_VALUE"""),0.01)</f>
        <v>0.01</v>
      </c>
      <c r="K223" s="11">
        <f>IFERROR(__xludf.DUMMYFUNCTION("""COMPUTED_VALUE"""),2.0)</f>
        <v>2</v>
      </c>
      <c r="L223" s="11"/>
    </row>
    <row r="224" ht="15.75" customHeight="1">
      <c r="A224" s="10" t="str">
        <f>IFERROR(__xludf.DUMMYFUNCTION("""COMPUTED_VALUE"""),"https://influencermarketinghub.com/digital-marketing-agency-usa/")</f>
        <v>https://influencermarketinghub.com/digital-marketing-agency-usa/</v>
      </c>
      <c r="B224" s="11" t="str">
        <f>IFERROR(__xludf.DUMMYFUNCTION("""COMPUTED_VALUE"""),"Top Digital Marketing Agencies in the United States 2026")</f>
        <v>Top Digital Marketing Agencies in the United States 2026</v>
      </c>
      <c r="C224" s="10" t="str">
        <f>IFERROR(__xludf.DUMMYFUNCTION("""COMPUTED_VALUE"""),"influencermarketinghub.com")</f>
        <v>influencermarketinghub.com</v>
      </c>
      <c r="D224" s="11" t="str">
        <f>IFERROR(__xludf.DUMMYFUNCTION("""COMPUTED_VALUE"""),"LISTICLE")</f>
        <v>LISTICLE</v>
      </c>
      <c r="E224" s="11" t="str">
        <f>IFERROR(__xludf.DUMMYFUNCTION("""COMPUTED_VALUE"""),"REFERENCE")</f>
        <v>REFERENCE</v>
      </c>
      <c r="F224" s="11" t="str">
        <f>IFERROR(__xludf.DUMMYFUNCTION("""COMPUTED_VALUE"""),"Listicle")</f>
        <v>Listicle</v>
      </c>
      <c r="G224" s="11" t="b">
        <f>IFERROR(__xludf.DUMMYFUNCTION("""COMPUTED_VALUE"""),FALSE)</f>
        <v>0</v>
      </c>
      <c r="H224" s="11" t="str">
        <f>IFERROR(__xludf.DUMMYFUNCTION("""COMPUTED_VALUE"""),"Viral Nation, SmartSites, McKinsey, Measured, NinjaPromo, Power Digital, Clutch, Ignite Visibility, WebFX, Storm Brain, Major Tom, Funnel Boost Media, Thrive Internet Marketing Agency, Directive, Sociallyin, Disruptive Advertising, LYFE Marketing")</f>
        <v>Viral Nation, SmartSites, McKinsey, Measured, NinjaPromo, Power Digital, Clutch, Ignite Visibility, WebFX, Storm Brain, Major Tom, Funnel Boost Media, Thrive Internet Marketing Agency, Directive, Sociallyin, Disruptive Advertising, LYFE Marketing</v>
      </c>
      <c r="I224" s="11">
        <f>IFERROR(__xludf.DUMMYFUNCTION("""COMPUTED_VALUE"""),11.0)</f>
        <v>11</v>
      </c>
      <c r="J224" s="11">
        <f>IFERROR(__xludf.DUMMYFUNCTION("""COMPUTED_VALUE"""),0.01)</f>
        <v>0.01</v>
      </c>
      <c r="K224" s="11">
        <f>IFERROR(__xludf.DUMMYFUNCTION("""COMPUTED_VALUE"""),0.09)</f>
        <v>0.09</v>
      </c>
      <c r="L224" s="11"/>
    </row>
    <row r="225" ht="15.75" customHeight="1">
      <c r="A225" s="10" t="str">
        <f>IFERROR(__xludf.DUMMYFUNCTION("""COMPUTED_VALUE"""),"https://www.lyfemarketing.com/blog/top-creative-agencies-us/")</f>
        <v>https://www.lyfemarketing.com/blog/top-creative-agencies-us/</v>
      </c>
      <c r="B225" s="11" t="str">
        <f>IFERROR(__xludf.DUMMYFUNCTION("""COMPUTED_VALUE"""),"Top 20 Creative Agencies In The U.S. 2026")</f>
        <v>Top 20 Creative Agencies In The U.S. 2026</v>
      </c>
      <c r="C225" s="10" t="str">
        <f>IFERROR(__xludf.DUMMYFUNCTION("""COMPUTED_VALUE"""),"lyfemarketing.com")</f>
        <v>lyfemarketing.com</v>
      </c>
      <c r="D225" s="11" t="str">
        <f>IFERROR(__xludf.DUMMYFUNCTION("""COMPUTED_VALUE"""),"LISTICLE")</f>
        <v>LISTICLE</v>
      </c>
      <c r="E225" s="11" t="str">
        <f>IFERROR(__xludf.DUMMYFUNCTION("""COMPUTED_VALUE"""),"CORPORATE")</f>
        <v>CORPORATE</v>
      </c>
      <c r="F225" s="11" t="str">
        <f>IFERROR(__xludf.DUMMYFUNCTION("""COMPUTED_VALUE"""),"Listicle")</f>
        <v>Listicle</v>
      </c>
      <c r="G225" s="11" t="b">
        <f>IFERROR(__xludf.DUMMYFUNCTION("""COMPUTED_VALUE"""),FALSE)</f>
        <v>0</v>
      </c>
      <c r="H225" s="11" t="str">
        <f>IFERROR(__xludf.DUMMYFUNCTION("""COMPUTED_VALUE"""),"LYFE Marketing, Wieden+Kennedy, Ogilvy, Dentsu")</f>
        <v>LYFE Marketing, Wieden+Kennedy, Ogilvy, Dentsu</v>
      </c>
      <c r="I225" s="11">
        <f>IFERROR(__xludf.DUMMYFUNCTION("""COMPUTED_VALUE"""),11.0)</f>
        <v>11</v>
      </c>
      <c r="J225" s="11">
        <f>IFERROR(__xludf.DUMMYFUNCTION("""COMPUTED_VALUE"""),0.01)</f>
        <v>0.01</v>
      </c>
      <c r="K225" s="11">
        <f>IFERROR(__xludf.DUMMYFUNCTION("""COMPUTED_VALUE"""),0.55)</f>
        <v>0.55</v>
      </c>
      <c r="L225" s="11"/>
    </row>
    <row r="226" ht="15.75" customHeight="1">
      <c r="A226" s="10" t="str">
        <f>IFERROR(__xludf.DUMMYFUNCTION("""COMPUTED_VALUE"""),"https://percepture.com/geo-insights/best-generative-ai-seo-agencies/")</f>
        <v>https://percepture.com/geo-insights/best-generative-ai-seo-agencies/</v>
      </c>
      <c r="B226" s="11" t="str">
        <f>IFERROR(__xludf.DUMMYFUNCTION("""COMPUTED_VALUE"""),"Best Generative AI SEO Agencies in 2026 | Percepture")</f>
        <v>Best Generative AI SEO Agencies in 2026 | Percepture</v>
      </c>
      <c r="C226" s="10" t="str">
        <f>IFERROR(__xludf.DUMMYFUNCTION("""COMPUTED_VALUE"""),"percepture.com")</f>
        <v>percepture.com</v>
      </c>
      <c r="D226" s="11" t="str">
        <f>IFERROR(__xludf.DUMMYFUNCTION("""COMPUTED_VALUE"""),"LISTICLE")</f>
        <v>LISTICLE</v>
      </c>
      <c r="E226" s="11" t="str">
        <f>IFERROR(__xludf.DUMMYFUNCTION("""COMPUTED_VALUE"""),"COMPETITOR")</f>
        <v>COMPETITOR</v>
      </c>
      <c r="F226" s="11" t="str">
        <f>IFERROR(__xludf.DUMMYFUNCTION("""COMPUTED_VALUE"""),"Listicle")</f>
        <v>Listicle</v>
      </c>
      <c r="G226" s="11" t="b">
        <f>IFERROR(__xludf.DUMMYFUNCTION("""COMPUTED_VALUE"""),FALSE)</f>
        <v>0</v>
      </c>
      <c r="H226" s="11" t="str">
        <f>IFERROR(__xludf.DUMMYFUNCTION("""COMPUTED_VALUE"""),"Percepture, iPullRank, Siege Media, First Page Sage, Intero Digital, WebFX, Go Fish Digital, Searchbloom")</f>
        <v>Percepture, iPullRank, Siege Media, First Page Sage, Intero Digital, WebFX, Go Fish Digital, Searchbloom</v>
      </c>
      <c r="I226" s="11">
        <f>IFERROR(__xludf.DUMMYFUNCTION("""COMPUTED_VALUE"""),11.0)</f>
        <v>11</v>
      </c>
      <c r="J226" s="11">
        <f>IFERROR(__xludf.DUMMYFUNCTION("""COMPUTED_VALUE"""),0.01)</f>
        <v>0.01</v>
      </c>
      <c r="K226" s="11">
        <f>IFERROR(__xludf.DUMMYFUNCTION("""COMPUTED_VALUE"""),0.0)</f>
        <v>0</v>
      </c>
      <c r="L226" s="11"/>
    </row>
    <row r="227" ht="15.75" customHeight="1">
      <c r="A227" s="10" t="str">
        <f>IFERROR(__xludf.DUMMYFUNCTION("""COMPUTED_VALUE"""),"https://www.reddit.com/r/TheTopAgencies/comments/1mjdxiv/the_best_generative_engine_optimization_agencies/")</f>
        <v>https://www.reddit.com/r/TheTopAgencies/comments/1mjdxiv/the_best_generative_engine_optimization_agencies/</v>
      </c>
      <c r="B227" s="11" t="str">
        <f>IFERROR(__xludf.DUMMYFUNCTION("""COMPUTED_VALUE"""),"The Best Generative Engine Optimization Agencies In The United States")</f>
        <v>The Best Generative Engine Optimization Agencies In The United States</v>
      </c>
      <c r="C227" s="10" t="str">
        <f>IFERROR(__xludf.DUMMYFUNCTION("""COMPUTED_VALUE"""),"reddit.com")</f>
        <v>reddit.com</v>
      </c>
      <c r="D227" s="11" t="str">
        <f>IFERROR(__xludf.DUMMYFUNCTION("""COMPUTED_VALUE"""),"DISCUSSION")</f>
        <v>DISCUSSION</v>
      </c>
      <c r="E227" s="11" t="str">
        <f>IFERROR(__xludf.DUMMYFUNCTION("""COMPUTED_VALUE"""),"UGC")</f>
        <v>UGC</v>
      </c>
      <c r="F227" s="11" t="str">
        <f>IFERROR(__xludf.DUMMYFUNCTION("""COMPUTED_VALUE"""),"Discussion")</f>
        <v>Discussion</v>
      </c>
      <c r="G227" s="11" t="b">
        <f>IFERROR(__xludf.DUMMYFUNCTION("""COMPUTED_VALUE"""),FALSE)</f>
        <v>0</v>
      </c>
      <c r="H227" s="11" t="str">
        <f>IFERROR(__xludf.DUMMYFUNCTION("""COMPUTED_VALUE"""),"Brainlabs, Siege Media, Victorious, HawkSEM, Animalz, Omniscient Digital, iPullRank")</f>
        <v>Brainlabs, Siege Media, Victorious, HawkSEM, Animalz, Omniscient Digital, iPullRank</v>
      </c>
      <c r="I227" s="11">
        <f>IFERROR(__xludf.DUMMYFUNCTION("""COMPUTED_VALUE"""),11.0)</f>
        <v>11</v>
      </c>
      <c r="J227" s="11">
        <f>IFERROR(__xludf.DUMMYFUNCTION("""COMPUTED_VALUE"""),0.01)</f>
        <v>0.01</v>
      </c>
      <c r="K227" s="11">
        <f>IFERROR(__xludf.DUMMYFUNCTION("""COMPUTED_VALUE"""),3.0)</f>
        <v>3</v>
      </c>
      <c r="L227" s="11"/>
    </row>
    <row r="228" ht="15.75" customHeight="1">
      <c r="A228" s="10" t="str">
        <f>IFERROR(__xludf.DUMMYFUNCTION("""COMPUTED_VALUE"""),"https://seoprofy.com/blog/generative-engine-optimization-agencies/")</f>
        <v>https://seoprofy.com/blog/generative-engine-optimization-agencies/</v>
      </c>
      <c r="B228" s="11" t="str">
        <f>IFERROR(__xludf.DUMMYFUNCTION("""COMPUTED_VALUE"""),"TOP 13 Generative Engine Optimization (GEO) Agencies in 2026")</f>
        <v>TOP 13 Generative Engine Optimization (GEO) Agencies in 2026</v>
      </c>
      <c r="C228" s="10" t="str">
        <f>IFERROR(__xludf.DUMMYFUNCTION("""COMPUTED_VALUE"""),"seoprofy.com")</f>
        <v>seoprofy.com</v>
      </c>
      <c r="D228" s="11" t="str">
        <f>IFERROR(__xludf.DUMMYFUNCTION("""COMPUTED_VALUE"""),"LISTICLE")</f>
        <v>LISTICLE</v>
      </c>
      <c r="E228" s="11" t="str">
        <f>IFERROR(__xludf.DUMMYFUNCTION("""COMPUTED_VALUE"""),"CORPORATE")</f>
        <v>CORPORATE</v>
      </c>
      <c r="F228" s="11" t="str">
        <f>IFERROR(__xludf.DUMMYFUNCTION("""COMPUTED_VALUE"""),"Listicle")</f>
        <v>Listicle</v>
      </c>
      <c r="G228" s="11" t="b">
        <f>IFERROR(__xludf.DUMMYFUNCTION("""COMPUTED_VALUE"""),FALSE)</f>
        <v>0</v>
      </c>
      <c r="H228" s="11" t="str">
        <f>IFERROR(__xludf.DUMMYFUNCTION("""COMPUTED_VALUE"""),"Clutch, Omniscient Digital, Siege Media, RevenueZen, Go Fish Digital, NoGood, First Page Sage, Intero Digital, WebFX, iPullRank, Victorious, The SEO Works, Measured")</f>
        <v>Clutch, Omniscient Digital, Siege Media, RevenueZen, Go Fish Digital, NoGood, First Page Sage, Intero Digital, WebFX, iPullRank, Victorious, The SEO Works, Measured</v>
      </c>
      <c r="I228" s="11">
        <f>IFERROR(__xludf.DUMMYFUNCTION("""COMPUTED_VALUE"""),11.0)</f>
        <v>11</v>
      </c>
      <c r="J228" s="11">
        <f>IFERROR(__xludf.DUMMYFUNCTION("""COMPUTED_VALUE"""),0.01)</f>
        <v>0.01</v>
      </c>
      <c r="K228" s="11">
        <f>IFERROR(__xludf.DUMMYFUNCTION("""COMPUTED_VALUE"""),2.0)</f>
        <v>2</v>
      </c>
      <c r="L228" s="11"/>
    </row>
    <row r="229" ht="15.75" customHeight="1">
      <c r="A229" s="10" t="str">
        <f>IFERROR(__xludf.DUMMYFUNCTION("""COMPUTED_VALUE"""),"https://www.techaheadcorp.com/services/ai-consulting-company/")</f>
        <v>https://www.techaheadcorp.com/services/ai-consulting-company/</v>
      </c>
      <c r="B229" s="11" t="str">
        <f>IFERROR(__xludf.DUMMYFUNCTION("""COMPUTED_VALUE"""),"Top AI Consulting Company in the United States - TechAhead")</f>
        <v>Top AI Consulting Company in the United States - TechAhead</v>
      </c>
      <c r="C229" s="10" t="str">
        <f>IFERROR(__xludf.DUMMYFUNCTION("""COMPUTED_VALUE"""),"techaheadcorp.com")</f>
        <v>techaheadcorp.com</v>
      </c>
      <c r="D229" s="11" t="str">
        <f>IFERROR(__xludf.DUMMYFUNCTION("""COMPUTED_VALUE"""),"PRODUCT_PAGE")</f>
        <v>PRODUCT_PAGE</v>
      </c>
      <c r="E229" s="11" t="str">
        <f>IFERROR(__xludf.DUMMYFUNCTION("""COMPUTED_VALUE"""),"CORPORATE")</f>
        <v>CORPORATE</v>
      </c>
      <c r="F229" s="11" t="str">
        <f>IFERROR(__xludf.DUMMYFUNCTION("""COMPUTED_VALUE"""),"Product Page")</f>
        <v>Product Page</v>
      </c>
      <c r="G229" s="11" t="b">
        <f>IFERROR(__xludf.DUMMYFUNCTION("""COMPUTED_VALUE"""),FALSE)</f>
        <v>0</v>
      </c>
      <c r="H229" s="11" t="str">
        <f>IFERROR(__xludf.DUMMYFUNCTION("""COMPUTED_VALUE"""),"Anomaly, Measured")</f>
        <v>Anomaly, Measured</v>
      </c>
      <c r="I229" s="11">
        <f>IFERROR(__xludf.DUMMYFUNCTION("""COMPUTED_VALUE"""),11.0)</f>
        <v>11</v>
      </c>
      <c r="J229" s="11">
        <f>IFERROR(__xludf.DUMMYFUNCTION("""COMPUTED_VALUE"""),0.01)</f>
        <v>0.01</v>
      </c>
      <c r="K229" s="11">
        <f>IFERROR(__xludf.DUMMYFUNCTION("""COMPUTED_VALUE"""),0.18)</f>
        <v>0.18</v>
      </c>
      <c r="L229" s="11"/>
    </row>
    <row r="230" ht="15.75" customHeight="1">
      <c r="A230" s="10" t="str">
        <f>IFERROR(__xludf.DUMMYFUNCTION("""COMPUTED_VALUE"""),"https://www.uforocks.com/blog/top-google-ads-agencies-in-the-u-s/")</f>
        <v>https://www.uforocks.com/blog/top-google-ads-agencies-in-the-u-s/</v>
      </c>
      <c r="B230" s="11" t="str">
        <f>IFERROR(__xludf.DUMMYFUNCTION("""COMPUTED_VALUE"""),"Top Google Ads Agencies in the U.S. - UFO Digital Marketing Agency")</f>
        <v>Top Google Ads Agencies in the U.S. - UFO Digital Marketing Agency</v>
      </c>
      <c r="C230" s="10" t="str">
        <f>IFERROR(__xludf.DUMMYFUNCTION("""COMPUTED_VALUE"""),"uforocks.com")</f>
        <v>uforocks.com</v>
      </c>
      <c r="D230" s="11" t="str">
        <f>IFERROR(__xludf.DUMMYFUNCTION("""COMPUTED_VALUE"""),"LISTICLE")</f>
        <v>LISTICLE</v>
      </c>
      <c r="E230" s="11" t="str">
        <f>IFERROR(__xludf.DUMMYFUNCTION("""COMPUTED_VALUE"""),"CORPORATE")</f>
        <v>CORPORATE</v>
      </c>
      <c r="F230" s="11" t="str">
        <f>IFERROR(__xludf.DUMMYFUNCTION("""COMPUTED_VALUE"""),"Listicle")</f>
        <v>Listicle</v>
      </c>
      <c r="G230" s="11" t="b">
        <f>IFERROR(__xludf.DUMMYFUNCTION("""COMPUTED_VALUE"""),FALSE)</f>
        <v>0</v>
      </c>
      <c r="H230" s="11" t="str">
        <f>IFERROR(__xludf.DUMMYFUNCTION("""COMPUTED_VALUE"""),"AdVenture Media, Directive, Disruptive Advertising, Ignite Visibility, KlientBoost, MuteSix, Dentsu, NP Digital, Seer Interactive, Silverback Strategies, SmartSites, Thrive Internet Marketing Agency, Tinuiti, WebFX, Wpromote")</f>
        <v>AdVenture Media, Directive, Disruptive Advertising, Ignite Visibility, KlientBoost, MuteSix, Dentsu, NP Digital, Seer Interactive, Silverback Strategies, SmartSites, Thrive Internet Marketing Agency, Tinuiti, WebFX, Wpromote</v>
      </c>
      <c r="I230" s="11">
        <f>IFERROR(__xludf.DUMMYFUNCTION("""COMPUTED_VALUE"""),11.0)</f>
        <v>11</v>
      </c>
      <c r="J230" s="11">
        <f>IFERROR(__xludf.DUMMYFUNCTION("""COMPUTED_VALUE"""),0.01)</f>
        <v>0.01</v>
      </c>
      <c r="K230" s="11">
        <f>IFERROR(__xludf.DUMMYFUNCTION("""COMPUTED_VALUE"""),1.0)</f>
        <v>1</v>
      </c>
      <c r="L230" s="11"/>
    </row>
    <row r="231" ht="15.75" customHeight="1">
      <c r="A231" s="10" t="str">
        <f>IFERROR(__xludf.DUMMYFUNCTION("""COMPUTED_VALUE"""),"https://www.upliftgtm.com/blog/best-aeo-agencies")</f>
        <v>https://www.upliftgtm.com/blog/best-aeo-agencies</v>
      </c>
      <c r="B231" s="11" t="str">
        <f>IFERROR(__xludf.DUMMYFUNCTION("""COMPUTED_VALUE"""),"Best AEO Agencies 2026: Top 12 Answer Engine Optimization Firms")</f>
        <v>Best AEO Agencies 2026: Top 12 Answer Engine Optimization Firms</v>
      </c>
      <c r="C231" s="10" t="str">
        <f>IFERROR(__xludf.DUMMYFUNCTION("""COMPUTED_VALUE"""),"upliftgtm.com")</f>
        <v>upliftgtm.com</v>
      </c>
      <c r="D231" s="11" t="str">
        <f>IFERROR(__xludf.DUMMYFUNCTION("""COMPUTED_VALUE"""),"LISTICLE")</f>
        <v>LISTICLE</v>
      </c>
      <c r="E231" s="11" t="str">
        <f>IFERROR(__xludf.DUMMYFUNCTION("""COMPUTED_VALUE"""),"CORPORATE")</f>
        <v>CORPORATE</v>
      </c>
      <c r="F231" s="11" t="str">
        <f>IFERROR(__xludf.DUMMYFUNCTION("""COMPUTED_VALUE"""),"Listicle")</f>
        <v>Listicle</v>
      </c>
      <c r="G231" s="11" t="b">
        <f>IFERROR(__xludf.DUMMYFUNCTION("""COMPUTED_VALUE"""),FALSE)</f>
        <v>0</v>
      </c>
      <c r="H231" s="11" t="str">
        <f>IFERROR(__xludf.DUMMYFUNCTION("""COMPUTED_VALUE"""),"Animalz, Omniscient Digital, Single Grain, NoGood, Ignite Visibility, Victorious, Siege Media, Measured")</f>
        <v>Animalz, Omniscient Digital, Single Grain, NoGood, Ignite Visibility, Victorious, Siege Media, Measured</v>
      </c>
      <c r="I231" s="11">
        <f>IFERROR(__xludf.DUMMYFUNCTION("""COMPUTED_VALUE"""),11.0)</f>
        <v>11</v>
      </c>
      <c r="J231" s="11">
        <f>IFERROR(__xludf.DUMMYFUNCTION("""COMPUTED_VALUE"""),0.01)</f>
        <v>0.01</v>
      </c>
      <c r="K231" s="11">
        <f>IFERROR(__xludf.DUMMYFUNCTION("""COMPUTED_VALUE"""),0.91)</f>
        <v>0.91</v>
      </c>
      <c r="L231" s="11"/>
    </row>
    <row r="232" ht="15.75" customHeight="1">
      <c r="A232" s="10" t="str">
        <f>IFERROR(__xludf.DUMMYFUNCTION("""COMPUTED_VALUE"""),"https://wildnetmarketing.agency/blog/best-web-analytics-agencies-in-usa/")</f>
        <v>https://wildnetmarketing.agency/blog/best-web-analytics-agencies-in-usa/</v>
      </c>
      <c r="B232" s="11" t="str">
        <f>IFERROR(__xludf.DUMMYFUNCTION("""COMPUTED_VALUE"""),"Best Web Analytics &amp;amp; Attribution Agencies in USA 2026")</f>
        <v>Best Web Analytics &amp;amp; Attribution Agencies in USA 2026</v>
      </c>
      <c r="C232" s="11" t="str">
        <f>IFERROR(__xludf.DUMMYFUNCTION("""COMPUTED_VALUE"""),"wildnetmarketing.agency")</f>
        <v>wildnetmarketing.agency</v>
      </c>
      <c r="D232" s="11" t="str">
        <f>IFERROR(__xludf.DUMMYFUNCTION("""COMPUTED_VALUE"""),"LISTICLE")</f>
        <v>LISTICLE</v>
      </c>
      <c r="E232" s="11" t="str">
        <f>IFERROR(__xludf.DUMMYFUNCTION("""COMPUTED_VALUE"""),"CORPORATE")</f>
        <v>CORPORATE</v>
      </c>
      <c r="F232" s="11" t="str">
        <f>IFERROR(__xludf.DUMMYFUNCTION("""COMPUTED_VALUE"""),"Listicle")</f>
        <v>Listicle</v>
      </c>
      <c r="G232" s="11" t="b">
        <f>IFERROR(__xludf.DUMMYFUNCTION("""COMPUTED_VALUE"""),FALSE)</f>
        <v>0</v>
      </c>
      <c r="H232" s="11" t="str">
        <f>IFERROR(__xludf.DUMMYFUNCTION("""COMPUTED_VALUE"""),"Merkle, Ogilvy, VML, Digitas, Accenture Song, Deloitte Digital, Publicis Groupe, Epsilon, Anomaly")</f>
        <v>Merkle, Ogilvy, VML, Digitas, Accenture Song, Deloitte Digital, Publicis Groupe, Epsilon, Anomaly</v>
      </c>
      <c r="I232" s="11">
        <f>IFERROR(__xludf.DUMMYFUNCTION("""COMPUTED_VALUE"""),11.0)</f>
        <v>11</v>
      </c>
      <c r="J232" s="11">
        <f>IFERROR(__xludf.DUMMYFUNCTION("""COMPUTED_VALUE"""),0.01)</f>
        <v>0.01</v>
      </c>
      <c r="K232" s="11">
        <f>IFERROR(__xludf.DUMMYFUNCTION("""COMPUTED_VALUE"""),0.09)</f>
        <v>0.09</v>
      </c>
      <c r="L232" s="11"/>
    </row>
    <row r="233" ht="15.75" customHeight="1">
      <c r="A233" s="10" t="str">
        <f>IFERROR(__xludf.DUMMYFUNCTION("""COMPUTED_VALUE"""),"https://zyppy.com/companies/c/marketing-attribution/united-states/")</f>
        <v>https://zyppy.com/companies/c/marketing-attribution/united-states/</v>
      </c>
      <c r="B233" s="11" t="str">
        <f>IFERROR(__xludf.DUMMYFUNCTION("""COMPUTED_VALUE"""),"Top Marketing Attribution Companies in the United States - July 2026")</f>
        <v>Top Marketing Attribution Companies in the United States - July 2026</v>
      </c>
      <c r="C233" s="10" t="str">
        <f>IFERROR(__xludf.DUMMYFUNCTION("""COMPUTED_VALUE"""),"zyppy.com")</f>
        <v>zyppy.com</v>
      </c>
      <c r="D233" s="11" t="str">
        <f>IFERROR(__xludf.DUMMYFUNCTION("""COMPUTED_VALUE"""),"LISTICLE")</f>
        <v>LISTICLE</v>
      </c>
      <c r="E233" s="11" t="str">
        <f>IFERROR(__xludf.DUMMYFUNCTION("""COMPUTED_VALUE"""),"CORPORATE")</f>
        <v>CORPORATE</v>
      </c>
      <c r="F233" s="11" t="str">
        <f>IFERROR(__xludf.DUMMYFUNCTION("""COMPUTED_VALUE"""),"Listicle")</f>
        <v>Listicle</v>
      </c>
      <c r="G233" s="11" t="b">
        <f>IFERROR(__xludf.DUMMYFUNCTION("""COMPUTED_VALUE"""),FALSE)</f>
        <v>0</v>
      </c>
      <c r="H233" s="11"/>
      <c r="I233" s="11">
        <f>IFERROR(__xludf.DUMMYFUNCTION("""COMPUTED_VALUE"""),11.0)</f>
        <v>11</v>
      </c>
      <c r="J233" s="11">
        <f>IFERROR(__xludf.DUMMYFUNCTION("""COMPUTED_VALUE"""),0.01)</f>
        <v>0.01</v>
      </c>
      <c r="K233" s="11">
        <f>IFERROR(__xludf.DUMMYFUNCTION("""COMPUTED_VALUE"""),0.0)</f>
        <v>0</v>
      </c>
      <c r="L233" s="11"/>
    </row>
    <row r="234" ht="15.75" customHeight="1">
      <c r="A234" s="10" t="str">
        <f>IFERROR(__xludf.DUMMYFUNCTION("""COMPUTED_VALUE"""),"https://agencies.semrush.com/list/programmatic-advertising/united-states/")</f>
        <v>https://agencies.semrush.com/list/programmatic-advertising/united-states/</v>
      </c>
      <c r="B234" s="11" t="str">
        <f>IFERROR(__xludf.DUMMYFUNCTION("""COMPUTED_VALUE"""),"Best Programmatic Advertising Agencies in United States 2026 | Semrush")</f>
        <v>Best Programmatic Advertising Agencies in United States 2026 | Semrush</v>
      </c>
      <c r="C234" s="10" t="str">
        <f>IFERROR(__xludf.DUMMYFUNCTION("""COMPUTED_VALUE"""),"semrush.com")</f>
        <v>semrush.com</v>
      </c>
      <c r="D234" s="11" t="str">
        <f>IFERROR(__xludf.DUMMYFUNCTION("""COMPUTED_VALUE"""),"CATEGORY_PAGE")</f>
        <v>CATEGORY_PAGE</v>
      </c>
      <c r="E234" s="11" t="str">
        <f>IFERROR(__xludf.DUMMYFUNCTION("""COMPUTED_VALUE"""),"CORPORATE")</f>
        <v>CORPORATE</v>
      </c>
      <c r="F234" s="11" t="str">
        <f>IFERROR(__xludf.DUMMYFUNCTION("""COMPUTED_VALUE"""),"Category Page")</f>
        <v>Category Page</v>
      </c>
      <c r="G234" s="11" t="b">
        <f>IFERROR(__xludf.DUMMYFUNCTION("""COMPUTED_VALUE"""),FALSE)</f>
        <v>0</v>
      </c>
      <c r="H234" s="11" t="str">
        <f>IFERROR(__xludf.DUMMYFUNCTION("""COMPUTED_VALUE"""),"SmartSites, Elit-Web, Silverback Strategies, WebFX")</f>
        <v>SmartSites, Elit-Web, Silverback Strategies, WebFX</v>
      </c>
      <c r="I234" s="11">
        <f>IFERROR(__xludf.DUMMYFUNCTION("""COMPUTED_VALUE"""),10.0)</f>
        <v>10</v>
      </c>
      <c r="J234" s="11">
        <f>IFERROR(__xludf.DUMMYFUNCTION("""COMPUTED_VALUE"""),0.01)</f>
        <v>0.01</v>
      </c>
      <c r="K234" s="11">
        <f>IFERROR(__xludf.DUMMYFUNCTION("""COMPUTED_VALUE"""),0.0)</f>
        <v>0</v>
      </c>
      <c r="L234" s="11"/>
    </row>
    <row r="235" ht="15.75" customHeight="1">
      <c r="A235" s="10" t="str">
        <f>IFERROR(__xludf.DUMMYFUNCTION("""COMPUTED_VALUE"""),"https://beomniscient.com/blog/aeo-agency/")</f>
        <v>https://beomniscient.com/blog/aeo-agency/</v>
      </c>
      <c r="B235" s="11" t="str">
        <f>IFERROR(__xludf.DUMMYFUNCTION("""COMPUTED_VALUE"""),"Best AEO Agency for B2B SaaS: 5 That Prove Their Worth - Omniscient Digital")</f>
        <v>Best AEO Agency for B2B SaaS: 5 That Prove Their Worth - Omniscient Digital</v>
      </c>
      <c r="C235" s="10" t="str">
        <f>IFERROR(__xludf.DUMMYFUNCTION("""COMPUTED_VALUE"""),"beomniscient.com")</f>
        <v>beomniscient.com</v>
      </c>
      <c r="D235" s="11" t="str">
        <f>IFERROR(__xludf.DUMMYFUNCTION("""COMPUTED_VALUE"""),"LISTICLE")</f>
        <v>LISTICLE</v>
      </c>
      <c r="E235" s="11" t="str">
        <f>IFERROR(__xludf.DUMMYFUNCTION("""COMPUTED_VALUE"""),"COMPETITOR")</f>
        <v>COMPETITOR</v>
      </c>
      <c r="F235" s="11" t="str">
        <f>IFERROR(__xludf.DUMMYFUNCTION("""COMPUTED_VALUE"""),"Listicle")</f>
        <v>Listicle</v>
      </c>
      <c r="G235" s="11" t="b">
        <f>IFERROR(__xludf.DUMMYFUNCTION("""COMPUTED_VALUE"""),FALSE)</f>
        <v>0</v>
      </c>
      <c r="H235" s="11" t="str">
        <f>IFERROR(__xludf.DUMMYFUNCTION("""COMPUTED_VALUE"""),"Omniscient Digital, Optimist, Discovered Labs, Measured")</f>
        <v>Omniscient Digital, Optimist, Discovered Labs, Measured</v>
      </c>
      <c r="I235" s="11">
        <f>IFERROR(__xludf.DUMMYFUNCTION("""COMPUTED_VALUE"""),10.0)</f>
        <v>10</v>
      </c>
      <c r="J235" s="11">
        <f>IFERROR(__xludf.DUMMYFUNCTION("""COMPUTED_VALUE"""),0.01)</f>
        <v>0.01</v>
      </c>
      <c r="K235" s="11">
        <f>IFERROR(__xludf.DUMMYFUNCTION("""COMPUTED_VALUE"""),1.4)</f>
        <v>1.4</v>
      </c>
      <c r="L235" s="11"/>
    </row>
    <row r="236" ht="15.75" customHeight="1">
      <c r="A236" s="10" t="str">
        <f>IFERROR(__xludf.DUMMYFUNCTION("""COMPUTED_VALUE"""),"https://beomniscient.com/blog/geo-agencies/")</f>
        <v>https://beomniscient.com/blog/geo-agencies/</v>
      </c>
      <c r="B236" s="11" t="str">
        <f>IFERROR(__xludf.DUMMYFUNCTION("""COMPUTED_VALUE"""),"The 6 Best GEO Agencies for B2B SaaS Brands in 2026 - Omniscient Digital")</f>
        <v>The 6 Best GEO Agencies for B2B SaaS Brands in 2026 - Omniscient Digital</v>
      </c>
      <c r="C236" s="10" t="str">
        <f>IFERROR(__xludf.DUMMYFUNCTION("""COMPUTED_VALUE"""),"beomniscient.com")</f>
        <v>beomniscient.com</v>
      </c>
      <c r="D236" s="11" t="str">
        <f>IFERROR(__xludf.DUMMYFUNCTION("""COMPUTED_VALUE"""),"LISTICLE")</f>
        <v>LISTICLE</v>
      </c>
      <c r="E236" s="11" t="str">
        <f>IFERROR(__xludf.DUMMYFUNCTION("""COMPUTED_VALUE"""),"COMPETITOR")</f>
        <v>COMPETITOR</v>
      </c>
      <c r="F236" s="11" t="str">
        <f>IFERROR(__xludf.DUMMYFUNCTION("""COMPUTED_VALUE"""),"Listicle")</f>
        <v>Listicle</v>
      </c>
      <c r="G236" s="11" t="b">
        <f>IFERROR(__xludf.DUMMYFUNCTION("""COMPUTED_VALUE"""),FALSE)</f>
        <v>0</v>
      </c>
      <c r="H236" s="11" t="str">
        <f>IFERROR(__xludf.DUMMYFUNCTION("""COMPUTED_VALUE"""),"Omniscient Digital, Discovered Labs, NoGood, iPullRank")</f>
        <v>Omniscient Digital, Discovered Labs, NoGood, iPullRank</v>
      </c>
      <c r="I236" s="11">
        <f>IFERROR(__xludf.DUMMYFUNCTION("""COMPUTED_VALUE"""),10.0)</f>
        <v>10</v>
      </c>
      <c r="J236" s="11">
        <f>IFERROR(__xludf.DUMMYFUNCTION("""COMPUTED_VALUE"""),0.01)</f>
        <v>0.01</v>
      </c>
      <c r="K236" s="11">
        <f>IFERROR(__xludf.DUMMYFUNCTION("""COMPUTED_VALUE"""),2.3)</f>
        <v>2.3</v>
      </c>
      <c r="L236" s="11"/>
    </row>
    <row r="237" ht="15.75" customHeight="1">
      <c r="A237" s="10" t="str">
        <f>IFERROR(__xludf.DUMMYFUNCTION("""COMPUTED_VALUE"""),"https://compare.growthmarshal.io/best-geo-agencies-2026/")</f>
        <v>https://compare.growthmarshal.io/best-geo-agencies-2026/</v>
      </c>
      <c r="B237" s="11" t="str">
        <f>IFERROR(__xludf.DUMMYFUNCTION("""COMPUTED_VALUE"""),"Best GEO Agencies 2026: Top 8 Ranked and Reviewed")</f>
        <v>Best GEO Agencies 2026: Top 8 Ranked and Reviewed</v>
      </c>
      <c r="C237" s="10" t="str">
        <f>IFERROR(__xludf.DUMMYFUNCTION("""COMPUTED_VALUE"""),"growthmarshal.io")</f>
        <v>growthmarshal.io</v>
      </c>
      <c r="D237" s="11" t="str">
        <f>IFERROR(__xludf.DUMMYFUNCTION("""COMPUTED_VALUE"""),"LISTICLE")</f>
        <v>LISTICLE</v>
      </c>
      <c r="E237" s="11" t="str">
        <f>IFERROR(__xludf.DUMMYFUNCTION("""COMPUTED_VALUE"""),"CORPORATE")</f>
        <v>CORPORATE</v>
      </c>
      <c r="F237" s="11" t="str">
        <f>IFERROR(__xludf.DUMMYFUNCTION("""COMPUTED_VALUE"""),"Listicle")</f>
        <v>Listicle</v>
      </c>
      <c r="G237" s="11" t="b">
        <f>IFERROR(__xludf.DUMMYFUNCTION("""COMPUTED_VALUE"""),FALSE)</f>
        <v>0</v>
      </c>
      <c r="H237" s="11" t="str">
        <f>IFERROR(__xludf.DUMMYFUNCTION("""COMPUTED_VALUE"""),"First Page Sage, Directive, Go Fish Digital, Silverback Strategies")</f>
        <v>First Page Sage, Directive, Go Fish Digital, Silverback Strategies</v>
      </c>
      <c r="I237" s="11">
        <f>IFERROR(__xludf.DUMMYFUNCTION("""COMPUTED_VALUE"""),10.0)</f>
        <v>10</v>
      </c>
      <c r="J237" s="11">
        <f>IFERROR(__xludf.DUMMYFUNCTION("""COMPUTED_VALUE"""),0.01)</f>
        <v>0.01</v>
      </c>
      <c r="K237" s="11">
        <f>IFERROR(__xludf.DUMMYFUNCTION("""COMPUTED_VALUE"""),0.0)</f>
        <v>0</v>
      </c>
      <c r="L237" s="11"/>
    </row>
    <row r="238" ht="15.75" customHeight="1">
      <c r="A238" s="10" t="str">
        <f>IFERROR(__xludf.DUMMYFUNCTION("""COMPUTED_VALUE"""),"https://deviatelabs.com/resources/7-best-ai-marketing-agencies-to-revolutionize-your-growth-in-2025/")</f>
        <v>https://deviatelabs.com/resources/7-best-ai-marketing-agencies-to-revolutionize-your-growth-in-2025/</v>
      </c>
      <c r="B238" s="11" t="str">
        <f>IFERROR(__xludf.DUMMYFUNCTION("""COMPUTED_VALUE"""),"7 Best AI Marketing Agencies to Revolutionize Your Growth in 2026 \| Deviate Labs")</f>
        <v>7 Best AI Marketing Agencies to Revolutionize Your Growth in 2026 \| Deviate Labs</v>
      </c>
      <c r="C238" s="10" t="str">
        <f>IFERROR(__xludf.DUMMYFUNCTION("""COMPUTED_VALUE"""),"deviatelabs.com")</f>
        <v>deviatelabs.com</v>
      </c>
      <c r="D238" s="11" t="str">
        <f>IFERROR(__xludf.DUMMYFUNCTION("""COMPUTED_VALUE"""),"LISTICLE")</f>
        <v>LISTICLE</v>
      </c>
      <c r="E238" s="11" t="str">
        <f>IFERROR(__xludf.DUMMYFUNCTION("""COMPUTED_VALUE"""),"CORPORATE")</f>
        <v>CORPORATE</v>
      </c>
      <c r="F238" s="11" t="str">
        <f>IFERROR(__xludf.DUMMYFUNCTION("""COMPUTED_VALUE"""),"Listicle")</f>
        <v>Listicle</v>
      </c>
      <c r="G238" s="11" t="b">
        <f>IFERROR(__xludf.DUMMYFUNCTION("""COMPUTED_VALUE"""),FALSE)</f>
        <v>0</v>
      </c>
      <c r="H238" s="11" t="str">
        <f>IFERROR(__xludf.DUMMYFUNCTION("""COMPUTED_VALUE"""),"Single Grain, SmartSites, Major Tom, NoGood")</f>
        <v>Single Grain, SmartSites, Major Tom, NoGood</v>
      </c>
      <c r="I238" s="11">
        <f>IFERROR(__xludf.DUMMYFUNCTION("""COMPUTED_VALUE"""),10.0)</f>
        <v>10</v>
      </c>
      <c r="J238" s="11">
        <f>IFERROR(__xludf.DUMMYFUNCTION("""COMPUTED_VALUE"""),0.01)</f>
        <v>0.01</v>
      </c>
      <c r="K238" s="11">
        <f>IFERROR(__xludf.DUMMYFUNCTION("""COMPUTED_VALUE"""),0.2)</f>
        <v>0.2</v>
      </c>
      <c r="L238" s="11"/>
    </row>
    <row r="239" ht="15.75" customHeight="1">
      <c r="A239" s="10" t="str">
        <f>IFERROR(__xludf.DUMMYFUNCTION("""COMPUTED_VALUE"""),"https://digitalmarketingsupermarket.com/blog/best-ai-marketing-agencies/")</f>
        <v>https://digitalmarketingsupermarket.com/blog/best-ai-marketing-agencies/</v>
      </c>
      <c r="B239"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239" s="10" t="str">
        <f>IFERROR(__xludf.DUMMYFUNCTION("""COMPUTED_VALUE"""),"digitalmarketingsupermarket.com")</f>
        <v>digitalmarketingsupermarket.com</v>
      </c>
      <c r="D239" s="11" t="str">
        <f>IFERROR(__xludf.DUMMYFUNCTION("""COMPUTED_VALUE"""),"LISTICLE")</f>
        <v>LISTICLE</v>
      </c>
      <c r="E239" s="11" t="str">
        <f>IFERROR(__xludf.DUMMYFUNCTION("""COMPUTED_VALUE"""),"REFERENCE")</f>
        <v>REFERENCE</v>
      </c>
      <c r="F239" s="11" t="str">
        <f>IFERROR(__xludf.DUMMYFUNCTION("""COMPUTED_VALUE"""),"Listicle")</f>
        <v>Listicle</v>
      </c>
      <c r="G239" s="11" t="b">
        <f>IFERROR(__xludf.DUMMYFUNCTION("""COMPUTED_VALUE"""),FALSE)</f>
        <v>0</v>
      </c>
      <c r="H239" s="11" t="str">
        <f>IFERROR(__xludf.DUMMYFUNCTION("""COMPUTED_VALUE"""),"SmartSites, Superside, Single Grain, DEPT, Major Tom, NinjaPromo, Clutch, NoGood, Keenfolks")</f>
        <v>SmartSites, Superside, Single Grain, DEPT, Major Tom, NinjaPromo, Clutch, NoGood, Keenfolks</v>
      </c>
      <c r="I239" s="11">
        <f>IFERROR(__xludf.DUMMYFUNCTION("""COMPUTED_VALUE"""),10.0)</f>
        <v>10</v>
      </c>
      <c r="J239" s="11">
        <f>IFERROR(__xludf.DUMMYFUNCTION("""COMPUTED_VALUE"""),0.01)</f>
        <v>0.01</v>
      </c>
      <c r="K239" s="11">
        <f>IFERROR(__xludf.DUMMYFUNCTION("""COMPUTED_VALUE"""),0.2)</f>
        <v>0.2</v>
      </c>
      <c r="L239" s="11"/>
    </row>
    <row r="240" ht="15.75" customHeight="1">
      <c r="A240" s="10" t="str">
        <f>IFERROR(__xludf.DUMMYFUNCTION("""COMPUTED_VALUE"""),"https://directiveconsulting.com/blog/best-geo-agencies/")</f>
        <v>https://directiveconsulting.com/blog/best-geo-agencies/</v>
      </c>
      <c r="B240" s="11" t="str">
        <f>IFERROR(__xludf.DUMMYFUNCTION("""COMPUTED_VALUE"""),"25 Best GEO Agencies For B2B - Directive")</f>
        <v>25 Best GEO Agencies For B2B - Directive</v>
      </c>
      <c r="C240" s="10" t="str">
        <f>IFERROR(__xludf.DUMMYFUNCTION("""COMPUTED_VALUE"""),"directiveconsulting.com")</f>
        <v>directiveconsulting.com</v>
      </c>
      <c r="D240" s="11" t="str">
        <f>IFERROR(__xludf.DUMMYFUNCTION("""COMPUTED_VALUE"""),"LISTICLE")</f>
        <v>LISTICLE</v>
      </c>
      <c r="E240" s="11" t="str">
        <f>IFERROR(__xludf.DUMMYFUNCTION("""COMPUTED_VALUE"""),"COMPETITOR")</f>
        <v>COMPETITOR</v>
      </c>
      <c r="F240" s="11" t="str">
        <f>IFERROR(__xludf.DUMMYFUNCTION("""COMPUTED_VALUE"""),"Listicle")</f>
        <v>Listicle</v>
      </c>
      <c r="G240" s="11" t="b">
        <f>IFERROR(__xludf.DUMMYFUNCTION("""COMPUTED_VALUE"""),FALSE)</f>
        <v>0</v>
      </c>
      <c r="H240"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240" s="11">
        <f>IFERROR(__xludf.DUMMYFUNCTION("""COMPUTED_VALUE"""),10.0)</f>
        <v>10</v>
      </c>
      <c r="J240" s="11">
        <f>IFERROR(__xludf.DUMMYFUNCTION("""COMPUTED_VALUE"""),0.01)</f>
        <v>0.01</v>
      </c>
      <c r="K240" s="11">
        <f>IFERROR(__xludf.DUMMYFUNCTION("""COMPUTED_VALUE"""),0.1)</f>
        <v>0.1</v>
      </c>
      <c r="L240" s="11"/>
    </row>
    <row r="241" ht="15.75" customHeight="1">
      <c r="A241" s="10" t="str">
        <f>IFERROR(__xludf.DUMMYFUNCTION("""COMPUTED_VALUE"""),"https://directiveconsulting.com/uk/blog/best-geo-agencies/")</f>
        <v>https://directiveconsulting.com/uk/blog/best-geo-agencies/</v>
      </c>
      <c r="B241" s="11" t="str">
        <f>IFERROR(__xludf.DUMMYFUNCTION("""COMPUTED_VALUE"""),"25 Best GEO Agencies For B2B - Directive")</f>
        <v>25 Best GEO Agencies For B2B - Directive</v>
      </c>
      <c r="C241" s="10" t="str">
        <f>IFERROR(__xludf.DUMMYFUNCTION("""COMPUTED_VALUE"""),"directiveconsulting.com")</f>
        <v>directiveconsulting.com</v>
      </c>
      <c r="D241" s="11" t="str">
        <f>IFERROR(__xludf.DUMMYFUNCTION("""COMPUTED_VALUE"""),"LISTICLE")</f>
        <v>LISTICLE</v>
      </c>
      <c r="E241" s="11" t="str">
        <f>IFERROR(__xludf.DUMMYFUNCTION("""COMPUTED_VALUE"""),"COMPETITOR")</f>
        <v>COMPETITOR</v>
      </c>
      <c r="F241" s="11" t="str">
        <f>IFERROR(__xludf.DUMMYFUNCTION("""COMPUTED_VALUE"""),"Listicle")</f>
        <v>Listicle</v>
      </c>
      <c r="G241" s="11" t="b">
        <f>IFERROR(__xludf.DUMMYFUNCTION("""COMPUTED_VALUE"""),FALSE)</f>
        <v>0</v>
      </c>
      <c r="H241"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241" s="11">
        <f>IFERROR(__xludf.DUMMYFUNCTION("""COMPUTED_VALUE"""),10.0)</f>
        <v>10</v>
      </c>
      <c r="J241" s="11">
        <f>IFERROR(__xludf.DUMMYFUNCTION("""COMPUTED_VALUE"""),0.01)</f>
        <v>0.01</v>
      </c>
      <c r="K241" s="11">
        <f>IFERROR(__xludf.DUMMYFUNCTION("""COMPUTED_VALUE"""),0.0)</f>
        <v>0</v>
      </c>
      <c r="L241" s="11"/>
    </row>
    <row r="242" ht="15.75" customHeight="1">
      <c r="A242" s="10" t="str">
        <f>IFERROR(__xludf.DUMMYFUNCTION("""COMPUTED_VALUE"""),"https://firstpagesage.com/seo-blog/the-top-answer-engine-optimization-aeo-companies/")</f>
        <v>https://firstpagesage.com/seo-blog/the-top-answer-engine-optimization-aeo-companies/</v>
      </c>
      <c r="B242" s="11" t="str">
        <f>IFERROR(__xludf.DUMMYFUNCTION("""COMPUTED_VALUE"""),"The Top Answer Engine Optimization (AEO) Companies of 2026 – First Page Sage")</f>
        <v>The Top Answer Engine Optimization (AEO) Companies of 2026 – First Page Sage</v>
      </c>
      <c r="C242" s="10" t="str">
        <f>IFERROR(__xludf.DUMMYFUNCTION("""COMPUTED_VALUE"""),"firstpagesage.com")</f>
        <v>firstpagesage.com</v>
      </c>
      <c r="D242" s="11" t="str">
        <f>IFERROR(__xludf.DUMMYFUNCTION("""COMPUTED_VALUE"""),"LISTICLE")</f>
        <v>LISTICLE</v>
      </c>
      <c r="E242" s="11" t="str">
        <f>IFERROR(__xludf.DUMMYFUNCTION("""COMPUTED_VALUE"""),"COMPETITOR")</f>
        <v>COMPETITOR</v>
      </c>
      <c r="F242" s="11" t="str">
        <f>IFERROR(__xludf.DUMMYFUNCTION("""COMPUTED_VALUE"""),"Listicle")</f>
        <v>Listicle</v>
      </c>
      <c r="G242" s="11" t="b">
        <f>IFERROR(__xludf.DUMMYFUNCTION("""COMPUTED_VALUE"""),FALSE)</f>
        <v>0</v>
      </c>
      <c r="H242" s="11" t="str">
        <f>IFERROR(__xludf.DUMMYFUNCTION("""COMPUTED_VALUE"""),"First Page Sage, iPullRank, Avenue Z, Omniscient Digital, Marcel Digital")</f>
        <v>First Page Sage, iPullRank, Avenue Z, Omniscient Digital, Marcel Digital</v>
      </c>
      <c r="I242" s="11">
        <f>IFERROR(__xludf.DUMMYFUNCTION("""COMPUTED_VALUE"""),10.0)</f>
        <v>10</v>
      </c>
      <c r="J242" s="11">
        <f>IFERROR(__xludf.DUMMYFUNCTION("""COMPUTED_VALUE"""),0.01)</f>
        <v>0.01</v>
      </c>
      <c r="K242" s="11">
        <f>IFERROR(__xludf.DUMMYFUNCTION("""COMPUTED_VALUE"""),1.4)</f>
        <v>1.4</v>
      </c>
      <c r="L242" s="11"/>
    </row>
    <row r="243" ht="15.75" customHeight="1">
      <c r="A243" s="10" t="str">
        <f>IFERROR(__xludf.DUMMYFUNCTION("""COMPUTED_VALUE"""),"https://www.gestisoft.com/en/blog/top-ai-consulting-firms")</f>
        <v>https://www.gestisoft.com/en/blog/top-ai-consulting-firms</v>
      </c>
      <c r="B243" s="11" t="str">
        <f>IFERROR(__xludf.DUMMYFUNCTION("""COMPUTED_VALUE"""),"Top 10 AI consulting firms in the USA | Gestisoft")</f>
        <v>Top 10 AI consulting firms in the USA | Gestisoft</v>
      </c>
      <c r="C243" s="10" t="str">
        <f>IFERROR(__xludf.DUMMYFUNCTION("""COMPUTED_VALUE"""),"gestisoft.com")</f>
        <v>gestisoft.com</v>
      </c>
      <c r="D243" s="11" t="str">
        <f>IFERROR(__xludf.DUMMYFUNCTION("""COMPUTED_VALUE"""),"LISTICLE")</f>
        <v>LISTICLE</v>
      </c>
      <c r="E243" s="11" t="str">
        <f>IFERROR(__xludf.DUMMYFUNCTION("""COMPUTED_VALUE"""),"CORPORATE")</f>
        <v>CORPORATE</v>
      </c>
      <c r="F243" s="11" t="str">
        <f>IFERROR(__xludf.DUMMYFUNCTION("""COMPUTED_VALUE"""),"Listicle")</f>
        <v>Listicle</v>
      </c>
      <c r="G243" s="11" t="b">
        <f>IFERROR(__xludf.DUMMYFUNCTION("""COMPUTED_VALUE"""),FALSE)</f>
        <v>0</v>
      </c>
      <c r="H243" s="11" t="str">
        <f>IFERROR(__xludf.DUMMYFUNCTION("""COMPUTED_VALUE"""),"Fractal Analytics")</f>
        <v>Fractal Analytics</v>
      </c>
      <c r="I243" s="11">
        <f>IFERROR(__xludf.DUMMYFUNCTION("""COMPUTED_VALUE"""),10.0)</f>
        <v>10</v>
      </c>
      <c r="J243" s="11">
        <f>IFERROR(__xludf.DUMMYFUNCTION("""COMPUTED_VALUE"""),0.01)</f>
        <v>0.01</v>
      </c>
      <c r="K243" s="11">
        <f>IFERROR(__xludf.DUMMYFUNCTION("""COMPUTED_VALUE"""),0.1)</f>
        <v>0.1</v>
      </c>
      <c r="L243" s="11"/>
    </row>
    <row r="244" ht="15.75" customHeight="1">
      <c r="A244" s="10" t="str">
        <f>IFERROR(__xludf.DUMMYFUNCTION("""COMPUTED_VALUE"""),"https://inbeat.agency/blog/top-creative-agencies")</f>
        <v>https://inbeat.agency/blog/top-creative-agencies</v>
      </c>
      <c r="B244" s="11" t="str">
        <f>IFERROR(__xludf.DUMMYFUNCTION("""COMPUTED_VALUE"""),"Top 16 Creative Agencies Setting the Standard in 2026 - inBeat Agency")</f>
        <v>Top 16 Creative Agencies Setting the Standard in 2026 - inBeat Agency</v>
      </c>
      <c r="C244" s="11" t="str">
        <f>IFERROR(__xludf.DUMMYFUNCTION("""COMPUTED_VALUE"""),"inbeat.agency")</f>
        <v>inbeat.agency</v>
      </c>
      <c r="D244" s="11" t="str">
        <f>IFERROR(__xludf.DUMMYFUNCTION("""COMPUTED_VALUE"""),"LISTICLE")</f>
        <v>LISTICLE</v>
      </c>
      <c r="E244" s="11" t="str">
        <f>IFERROR(__xludf.DUMMYFUNCTION("""COMPUTED_VALUE"""),"COMPETITOR")</f>
        <v>COMPETITOR</v>
      </c>
      <c r="F244" s="11" t="str">
        <f>IFERROR(__xludf.DUMMYFUNCTION("""COMPUTED_VALUE"""),"Listicle")</f>
        <v>Listicle</v>
      </c>
      <c r="G244" s="11" t="b">
        <f>IFERROR(__xludf.DUMMYFUNCTION("""COMPUTED_VALUE"""),FALSE)</f>
        <v>0</v>
      </c>
      <c r="H244" s="11" t="str">
        <f>IFERROR(__xludf.DUMMYFUNCTION("""COMPUTED_VALUE"""),"inBeat, Nielsen, WPP, Wieden+Kennedy, Anomaly, 72andSunny, DEPT, Momentum, Ogilvy")</f>
        <v>inBeat, Nielsen, WPP, Wieden+Kennedy, Anomaly, 72andSunny, DEPT, Momentum, Ogilvy</v>
      </c>
      <c r="I244" s="11">
        <f>IFERROR(__xludf.DUMMYFUNCTION("""COMPUTED_VALUE"""),10.0)</f>
        <v>10</v>
      </c>
      <c r="J244" s="11">
        <f>IFERROR(__xludf.DUMMYFUNCTION("""COMPUTED_VALUE"""),0.01)</f>
        <v>0.01</v>
      </c>
      <c r="K244" s="11">
        <f>IFERROR(__xludf.DUMMYFUNCTION("""COMPUTED_VALUE"""),1.4)</f>
        <v>1.4</v>
      </c>
      <c r="L244" s="11"/>
    </row>
    <row r="245" ht="15.75" customHeight="1">
      <c r="A245" s="10" t="str">
        <f>IFERROR(__xludf.DUMMYFUNCTION("""COMPUTED_VALUE"""),"https://www.loudface.co/blog/best-aeo-agencies-b2b-saas-2026")</f>
        <v>https://www.loudface.co/blog/best-aeo-agencies-b2b-saas-2026</v>
      </c>
      <c r="B245" s="11" t="str">
        <f>IFERROR(__xludf.DUMMYFUNCTION("""COMPUTED_VALUE"""),"Best AEO &amp;amp; GEO Agencies for B2B SaaS in 2026 | LoudFace")</f>
        <v>Best AEO &amp;amp; GEO Agencies for B2B SaaS in 2026 | LoudFace</v>
      </c>
      <c r="C245" s="10" t="str">
        <f>IFERROR(__xludf.DUMMYFUNCTION("""COMPUTED_VALUE"""),"loudface.co")</f>
        <v>loudface.co</v>
      </c>
      <c r="D245" s="11" t="str">
        <f>IFERROR(__xludf.DUMMYFUNCTION("""COMPUTED_VALUE"""),"LISTICLE")</f>
        <v>LISTICLE</v>
      </c>
      <c r="E245" s="11" t="str">
        <f>IFERROR(__xludf.DUMMYFUNCTION("""COMPUTED_VALUE"""),"CORPORATE")</f>
        <v>CORPORATE</v>
      </c>
      <c r="F245" s="11" t="str">
        <f>IFERROR(__xludf.DUMMYFUNCTION("""COMPUTED_VALUE"""),"Listicle")</f>
        <v>Listicle</v>
      </c>
      <c r="G245" s="11" t="b">
        <f>IFERROR(__xludf.DUMMYFUNCTION("""COMPUTED_VALUE"""),FALSE)</f>
        <v>0</v>
      </c>
      <c r="H245" s="11" t="str">
        <f>IFERROR(__xludf.DUMMYFUNCTION("""COMPUTED_VALUE"""),"Siege Media, Animalz, NoGood, First Page Sage")</f>
        <v>Siege Media, Animalz, NoGood, First Page Sage</v>
      </c>
      <c r="I245" s="11">
        <f>IFERROR(__xludf.DUMMYFUNCTION("""COMPUTED_VALUE"""),10.0)</f>
        <v>10</v>
      </c>
      <c r="J245" s="11">
        <f>IFERROR(__xludf.DUMMYFUNCTION("""COMPUTED_VALUE"""),0.01)</f>
        <v>0.01</v>
      </c>
      <c r="K245" s="11">
        <f>IFERROR(__xludf.DUMMYFUNCTION("""COMPUTED_VALUE"""),0.0)</f>
        <v>0</v>
      </c>
      <c r="L245" s="11"/>
    </row>
    <row r="246" ht="15.75" customHeight="1">
      <c r="A246" s="10" t="str">
        <f>IFERROR(__xludf.DUMMYFUNCTION("""COMPUTED_VALUE"""),"https://omnieclipse.ai/blog/best-aeo-agencies-united-states-2026")</f>
        <v>https://omnieclipse.ai/blog/best-aeo-agencies-united-states-2026</v>
      </c>
      <c r="B246" s="11" t="str">
        <f>IFERROR(__xludf.DUMMYFUNCTION("""COMPUTED_VALUE"""),"Best AEO Agencies in the United States for 2026 | Omni Eclipse")</f>
        <v>Best AEO Agencies in the United States for 2026 | Omni Eclipse</v>
      </c>
      <c r="C246" s="10" t="str">
        <f>IFERROR(__xludf.DUMMYFUNCTION("""COMPUTED_VALUE"""),"omnieclipse.ai")</f>
        <v>omnieclipse.ai</v>
      </c>
      <c r="D246" s="11" t="str">
        <f>IFERROR(__xludf.DUMMYFUNCTION("""COMPUTED_VALUE"""),"LISTICLE")</f>
        <v>LISTICLE</v>
      </c>
      <c r="E246" s="11" t="str">
        <f>IFERROR(__xludf.DUMMYFUNCTION("""COMPUTED_VALUE"""),"CORPORATE")</f>
        <v>CORPORATE</v>
      </c>
      <c r="F246" s="11" t="str">
        <f>IFERROR(__xludf.DUMMYFUNCTION("""COMPUTED_VALUE"""),"Listicle")</f>
        <v>Listicle</v>
      </c>
      <c r="G246" s="11" t="b">
        <f>IFERROR(__xludf.DUMMYFUNCTION("""COMPUTED_VALUE"""),FALSE)</f>
        <v>0</v>
      </c>
      <c r="H246" s="11" t="str">
        <f>IFERROR(__xludf.DUMMYFUNCTION("""COMPUTED_VALUE"""),"McKinsey, First Page Sage, iPullRank, NoGood, Siege Media, RevenueZen, Discovered Labs, Graphite")</f>
        <v>McKinsey, First Page Sage, iPullRank, NoGood, Siege Media, RevenueZen, Discovered Labs, Graphite</v>
      </c>
      <c r="I246" s="11">
        <f>IFERROR(__xludf.DUMMYFUNCTION("""COMPUTED_VALUE"""),10.0)</f>
        <v>10</v>
      </c>
      <c r="J246" s="11">
        <f>IFERROR(__xludf.DUMMYFUNCTION("""COMPUTED_VALUE"""),0.01)</f>
        <v>0.01</v>
      </c>
      <c r="K246" s="11">
        <f>IFERROR(__xludf.DUMMYFUNCTION("""COMPUTED_VALUE"""),1.0)</f>
        <v>1</v>
      </c>
      <c r="L246" s="11"/>
    </row>
    <row r="247" ht="15.75" customHeight="1">
      <c r="A247" s="10" t="str">
        <f>IFERROR(__xludf.DUMMYFUNCTION("""COMPUTED_VALUE"""),"https://www.onely.com/blog/best-ai-seo-agencies/")</f>
        <v>https://www.onely.com/blog/best-ai-seo-agencies/</v>
      </c>
      <c r="B247" s="11" t="str">
        <f>IFERROR(__xludf.DUMMYFUNCTION("""COMPUTED_VALUE"""),"Top 10 AI SEO Agencies in 2026: What They Actually Deliver and How to Evaluate Them - Onely")</f>
        <v>Top 10 AI SEO Agencies in 2026: What They Actually Deliver and How to Evaluate Them - Onely</v>
      </c>
      <c r="C247" s="10" t="str">
        <f>IFERROR(__xludf.DUMMYFUNCTION("""COMPUTED_VALUE"""),"onely.com")</f>
        <v>onely.com</v>
      </c>
      <c r="D247" s="11" t="str">
        <f>IFERROR(__xludf.DUMMYFUNCTION("""COMPUTED_VALUE"""),"LISTICLE")</f>
        <v>LISTICLE</v>
      </c>
      <c r="E247" s="11" t="str">
        <f>IFERROR(__xludf.DUMMYFUNCTION("""COMPUTED_VALUE"""),"CORPORATE")</f>
        <v>CORPORATE</v>
      </c>
      <c r="F247" s="11" t="str">
        <f>IFERROR(__xludf.DUMMYFUNCTION("""COMPUTED_VALUE"""),"Listicle")</f>
        <v>Listicle</v>
      </c>
      <c r="G247" s="11" t="b">
        <f>IFERROR(__xludf.DUMMYFUNCTION("""COMPUTED_VALUE"""),FALSE)</f>
        <v>0</v>
      </c>
      <c r="H247" s="11" t="str">
        <f>IFERROR(__xludf.DUMMYFUNCTION("""COMPUTED_VALUE"""),"iPullRank, Siege Media, Omniscient Digital, Single Grain, Directive, Thrive Internet Marketing Agency, Searchbloom")</f>
        <v>iPullRank, Siege Media, Omniscient Digital, Single Grain, Directive, Thrive Internet Marketing Agency, Searchbloom</v>
      </c>
      <c r="I247" s="11">
        <f>IFERROR(__xludf.DUMMYFUNCTION("""COMPUTED_VALUE"""),10.0)</f>
        <v>10</v>
      </c>
      <c r="J247" s="11">
        <f>IFERROR(__xludf.DUMMYFUNCTION("""COMPUTED_VALUE"""),0.01)</f>
        <v>0.01</v>
      </c>
      <c r="K247" s="11">
        <f>IFERROR(__xludf.DUMMYFUNCTION("""COMPUTED_VALUE"""),1.1)</f>
        <v>1.1</v>
      </c>
      <c r="L247" s="11"/>
    </row>
    <row r="248" ht="15.75" customHeight="1">
      <c r="A248" s="10" t="str">
        <f>IFERROR(__xludf.DUMMYFUNCTION("""COMPUTED_VALUE"""),"https://www.onely.com/blog/best-geo-agencies/")</f>
        <v>https://www.onely.com/blog/best-geo-agencies/</v>
      </c>
      <c r="B248" s="11" t="str">
        <f>IFERROR(__xludf.DUMMYFUNCTION("""COMPUTED_VALUE"""),"Top 14 Best GEO Agencies in 2026: An Enterprise Buyer's Evaluation - Onely")</f>
        <v>Top 14 Best GEO Agencies in 2026: An Enterprise Buyer's Evaluation - Onely</v>
      </c>
      <c r="C248" s="10" t="str">
        <f>IFERROR(__xludf.DUMMYFUNCTION("""COMPUTED_VALUE"""),"onely.com")</f>
        <v>onely.com</v>
      </c>
      <c r="D248" s="11" t="str">
        <f>IFERROR(__xludf.DUMMYFUNCTION("""COMPUTED_VALUE"""),"LISTICLE")</f>
        <v>LISTICLE</v>
      </c>
      <c r="E248" s="11" t="str">
        <f>IFERROR(__xludf.DUMMYFUNCTION("""COMPUTED_VALUE"""),"CORPORATE")</f>
        <v>CORPORATE</v>
      </c>
      <c r="F248" s="11" t="str">
        <f>IFERROR(__xludf.DUMMYFUNCTION("""COMPUTED_VALUE"""),"Listicle")</f>
        <v>Listicle</v>
      </c>
      <c r="G248" s="11" t="b">
        <f>IFERROR(__xludf.DUMMYFUNCTION("""COMPUTED_VALUE"""),FALSE)</f>
        <v>0</v>
      </c>
      <c r="H248" s="11" t="str">
        <f>IFERROR(__xludf.DUMMYFUNCTION("""COMPUTED_VALUE"""),"Siege Media, Go Fish Digital, First Page Sage, Directive, Seer Interactive, Omniscient Digital, Single Grain, Victorious, WebFX, Ignite Visibility, Clutch, Measured")</f>
        <v>Siege Media, Go Fish Digital, First Page Sage, Directive, Seer Interactive, Omniscient Digital, Single Grain, Victorious, WebFX, Ignite Visibility, Clutch, Measured</v>
      </c>
      <c r="I248" s="11">
        <f>IFERROR(__xludf.DUMMYFUNCTION("""COMPUTED_VALUE"""),10.0)</f>
        <v>10</v>
      </c>
      <c r="J248" s="11">
        <f>IFERROR(__xludf.DUMMYFUNCTION("""COMPUTED_VALUE"""),0.01)</f>
        <v>0.01</v>
      </c>
      <c r="K248" s="11">
        <f>IFERROR(__xludf.DUMMYFUNCTION("""COMPUTED_VALUE"""),0.6)</f>
        <v>0.6</v>
      </c>
      <c r="L248" s="11"/>
    </row>
    <row r="249" ht="15.75" customHeight="1">
      <c r="A249" s="10" t="str">
        <f>IFERROR(__xludf.DUMMYFUNCTION("""COMPUTED_VALUE"""),"https://piperocket.digital/list/best-aeo-agency/")</f>
        <v>https://piperocket.digital/list/best-aeo-agency/</v>
      </c>
      <c r="B249" s="11" t="str">
        <f>IFERROR(__xludf.DUMMYFUNCTION("""COMPUTED_VALUE"""),"12 Best AEO Agencies for AI Visibility Tracking &amp;amp; Reporting 2026")</f>
        <v>12 Best AEO Agencies for AI Visibility Tracking &amp;amp; Reporting 2026</v>
      </c>
      <c r="C249" s="11" t="str">
        <f>IFERROR(__xludf.DUMMYFUNCTION("""COMPUTED_VALUE"""),"piperocket.digital")</f>
        <v>piperocket.digital</v>
      </c>
      <c r="D249" s="11" t="str">
        <f>IFERROR(__xludf.DUMMYFUNCTION("""COMPUTED_VALUE"""),"LISTICLE")</f>
        <v>LISTICLE</v>
      </c>
      <c r="E249" s="11" t="str">
        <f>IFERROR(__xludf.DUMMYFUNCTION("""COMPUTED_VALUE"""),"CORPORATE")</f>
        <v>CORPORATE</v>
      </c>
      <c r="F249" s="11" t="str">
        <f>IFERROR(__xludf.DUMMYFUNCTION("""COMPUTED_VALUE"""),"Listicle")</f>
        <v>Listicle</v>
      </c>
      <c r="G249" s="11" t="b">
        <f>IFERROR(__xludf.DUMMYFUNCTION("""COMPUTED_VALUE"""),FALSE)</f>
        <v>0</v>
      </c>
      <c r="H249" s="11" t="str">
        <f>IFERROR(__xludf.DUMMYFUNCTION("""COMPUTED_VALUE"""),"Clutch, WebFX, First Page Sage, Single Grain, Omniscient Digital, RevenueZen, iPullRank, NoGood, Siege Media, KlientBoost, Animalz, Discovered Labs, Measured")</f>
        <v>Clutch, WebFX, First Page Sage, Single Grain, Omniscient Digital, RevenueZen, iPullRank, NoGood, Siege Media, KlientBoost, Animalz, Discovered Labs, Measured</v>
      </c>
      <c r="I249" s="11">
        <f>IFERROR(__xludf.DUMMYFUNCTION("""COMPUTED_VALUE"""),10.0)</f>
        <v>10</v>
      </c>
      <c r="J249" s="11">
        <f>IFERROR(__xludf.DUMMYFUNCTION("""COMPUTED_VALUE"""),0.01)</f>
        <v>0.01</v>
      </c>
      <c r="K249" s="11">
        <f>IFERROR(__xludf.DUMMYFUNCTION("""COMPUTED_VALUE"""),1.5)</f>
        <v>1.5</v>
      </c>
      <c r="L249" s="11"/>
    </row>
    <row r="250" ht="15.75" customHeight="1">
      <c r="A250" s="10" t="str">
        <f>IFERROR(__xludf.DUMMYFUNCTION("""COMPUTED_VALUE"""),"https://www.rankarise.com/blog/best-aeo-agencies-in-usa-listing-and-reviews/")</f>
        <v>https://www.rankarise.com/blog/best-aeo-agencies-in-usa-listing-and-reviews/</v>
      </c>
      <c r="B250" s="11" t="str">
        <f>IFERROR(__xludf.DUMMYFUNCTION("""COMPUTED_VALUE"""),"Best AEO Agencies in USA | Detailed List - RankArise")</f>
        <v>Best AEO Agencies in USA | Detailed List - RankArise</v>
      </c>
      <c r="C250" s="10" t="str">
        <f>IFERROR(__xludf.DUMMYFUNCTION("""COMPUTED_VALUE"""),"rankarise.com")</f>
        <v>rankarise.com</v>
      </c>
      <c r="D250" s="11" t="str">
        <f>IFERROR(__xludf.DUMMYFUNCTION("""COMPUTED_VALUE"""),"LISTICLE")</f>
        <v>LISTICLE</v>
      </c>
      <c r="E250" s="11" t="str">
        <f>IFERROR(__xludf.DUMMYFUNCTION("""COMPUTED_VALUE"""),"CORPORATE")</f>
        <v>CORPORATE</v>
      </c>
      <c r="F250" s="11" t="str">
        <f>IFERROR(__xludf.DUMMYFUNCTION("""COMPUTED_VALUE"""),"Listicle")</f>
        <v>Listicle</v>
      </c>
      <c r="G250" s="11" t="b">
        <f>IFERROR(__xludf.DUMMYFUNCTION("""COMPUTED_VALUE"""),FALSE)</f>
        <v>0</v>
      </c>
      <c r="H250" s="11" t="str">
        <f>IFERROR(__xludf.DUMMYFUNCTION("""COMPUTED_VALUE"""),"Thrive Internet Marketing Agency, Victorious, Ignite Visibility, WebFX")</f>
        <v>Thrive Internet Marketing Agency, Victorious, Ignite Visibility, WebFX</v>
      </c>
      <c r="I250" s="11">
        <f>IFERROR(__xludf.DUMMYFUNCTION("""COMPUTED_VALUE"""),10.0)</f>
        <v>10</v>
      </c>
      <c r="J250" s="11">
        <f>IFERROR(__xludf.DUMMYFUNCTION("""COMPUTED_VALUE"""),0.01)</f>
        <v>0.01</v>
      </c>
      <c r="K250" s="11">
        <f>IFERROR(__xludf.DUMMYFUNCTION("""COMPUTED_VALUE"""),0.3)</f>
        <v>0.3</v>
      </c>
      <c r="L250" s="11"/>
    </row>
    <row r="251" ht="15.75" customHeight="1">
      <c r="A251" s="10" t="str">
        <f>IFERROR(__xludf.DUMMYFUNCTION("""COMPUTED_VALUE"""),"https://www.reddit.com/r/SaaS/comments/1scwc2o/who_is_the_best_answer_engine_optimization_aeo/")</f>
        <v>https://www.reddit.com/r/SaaS/comments/1scwc2o/who_is_the_best_answer_engine_optimization_aeo/</v>
      </c>
      <c r="B251" s="11" t="str">
        <f>IFERROR(__xludf.DUMMYFUNCTION("""COMPUTED_VALUE"""),"Who is the best Answer Engine Optimization (AEO) Agency in USA?")</f>
        <v>Who is the best Answer Engine Optimization (AEO) Agency in USA?</v>
      </c>
      <c r="C251" s="10" t="str">
        <f>IFERROR(__xludf.DUMMYFUNCTION("""COMPUTED_VALUE"""),"reddit.com")</f>
        <v>reddit.com</v>
      </c>
      <c r="D251" s="11" t="str">
        <f>IFERROR(__xludf.DUMMYFUNCTION("""COMPUTED_VALUE"""),"DISCUSSION")</f>
        <v>DISCUSSION</v>
      </c>
      <c r="E251" s="11" t="str">
        <f>IFERROR(__xludf.DUMMYFUNCTION("""COMPUTED_VALUE"""),"UGC")</f>
        <v>UGC</v>
      </c>
      <c r="F251" s="11" t="str">
        <f>IFERROR(__xludf.DUMMYFUNCTION("""COMPUTED_VALUE"""),"Discussion")</f>
        <v>Discussion</v>
      </c>
      <c r="G251" s="11" t="b">
        <f>IFERROR(__xludf.DUMMYFUNCTION("""COMPUTED_VALUE"""),FALSE)</f>
        <v>0</v>
      </c>
      <c r="H251" s="11" t="str">
        <f>IFERROR(__xludf.DUMMYFUNCTION("""COMPUTED_VALUE"""),"Animalz, NoGood")</f>
        <v>Animalz, NoGood</v>
      </c>
      <c r="I251" s="11">
        <f>IFERROR(__xludf.DUMMYFUNCTION("""COMPUTED_VALUE"""),10.0)</f>
        <v>10</v>
      </c>
      <c r="J251" s="11">
        <f>IFERROR(__xludf.DUMMYFUNCTION("""COMPUTED_VALUE"""),0.01)</f>
        <v>0.01</v>
      </c>
      <c r="K251" s="11">
        <f>IFERROR(__xludf.DUMMYFUNCTION("""COMPUTED_VALUE"""),1.2)</f>
        <v>1.2</v>
      </c>
      <c r="L251" s="11"/>
    </row>
    <row r="252" ht="15.75" customHeight="1">
      <c r="A252" s="10" t="str">
        <f>IFERROR(__xludf.DUMMYFUNCTION("""COMPUTED_VALUE"""),"https://www.reddit.com/r/ecommerce/comments/1qusfa4/looking_for_best_incrementality_testing_tools/")</f>
        <v>https://www.reddit.com/r/ecommerce/comments/1qusfa4/looking_for_best_incrementality_testing_tools/</v>
      </c>
      <c r="B252" s="11" t="str">
        <f>IFERROR(__xludf.DUMMYFUNCTION("""COMPUTED_VALUE"""),"Looking for best incrementality testing tools (advice/recommendation)")</f>
        <v>Looking for best incrementality testing tools (advice/recommendation)</v>
      </c>
      <c r="C252" s="10" t="str">
        <f>IFERROR(__xludf.DUMMYFUNCTION("""COMPUTED_VALUE"""),"reddit.com")</f>
        <v>reddit.com</v>
      </c>
      <c r="D252" s="11" t="str">
        <f>IFERROR(__xludf.DUMMYFUNCTION("""COMPUTED_VALUE"""),"DISCUSSION")</f>
        <v>DISCUSSION</v>
      </c>
      <c r="E252" s="11" t="str">
        <f>IFERROR(__xludf.DUMMYFUNCTION("""COMPUTED_VALUE"""),"UGC")</f>
        <v>UGC</v>
      </c>
      <c r="F252" s="11" t="str">
        <f>IFERROR(__xludf.DUMMYFUNCTION("""COMPUTED_VALUE"""),"Discussion")</f>
        <v>Discussion</v>
      </c>
      <c r="G252" s="11" t="b">
        <f>IFERROR(__xludf.DUMMYFUNCTION("""COMPUTED_VALUE"""),FALSE)</f>
        <v>0</v>
      </c>
      <c r="H252" s="11" t="str">
        <f>IFERROR(__xludf.DUMMYFUNCTION("""COMPUTED_VALUE"""),"Haus, LifeSight, Measured, SegmentStream, Recast, Rockerbox, Northbeam")</f>
        <v>Haus, LifeSight, Measured, SegmentStream, Recast, Rockerbox, Northbeam</v>
      </c>
      <c r="I252" s="11">
        <f>IFERROR(__xludf.DUMMYFUNCTION("""COMPUTED_VALUE"""),10.0)</f>
        <v>10</v>
      </c>
      <c r="J252" s="11">
        <f>IFERROR(__xludf.DUMMYFUNCTION("""COMPUTED_VALUE"""),0.01)</f>
        <v>0.01</v>
      </c>
      <c r="K252" s="11">
        <f>IFERROR(__xludf.DUMMYFUNCTION("""COMPUTED_VALUE"""),1.4)</f>
        <v>1.4</v>
      </c>
      <c r="L252" s="11"/>
    </row>
    <row r="253" ht="15.75" customHeight="1">
      <c r="A253" s="10" t="str">
        <f>IFERROR(__xludf.DUMMYFUNCTION("""COMPUTED_VALUE"""),"https://segmentstream.com/blog/articles/top-enterprise-marketing-analytics-and-attribution-platforms")</f>
        <v>https://segmentstream.com/blog/articles/top-enterprise-marketing-analytics-and-attribution-platforms</v>
      </c>
      <c r="B253" s="11" t="str">
        <f>IFERROR(__xludf.DUMMYFUNCTION("""COMPUTED_VALUE"""),"10 Best Enterprise Marketing Analytics &amp;amp; Attribution Platforms in 2026 — SegmentStream")</f>
        <v>10 Best Enterprise Marketing Analytics &amp;amp; Attribution Platforms in 2026 — SegmentStream</v>
      </c>
      <c r="C253" s="10" t="str">
        <f>IFERROR(__xludf.DUMMYFUNCTION("""COMPUTED_VALUE"""),"segmentstream.com")</f>
        <v>segmentstream.com</v>
      </c>
      <c r="D253" s="11" t="str">
        <f>IFERROR(__xludf.DUMMYFUNCTION("""COMPUTED_VALUE"""),"LISTICLE")</f>
        <v>LISTICLE</v>
      </c>
      <c r="E253" s="11" t="str">
        <f>IFERROR(__xludf.DUMMYFUNCTION("""COMPUTED_VALUE"""),"COMPETITOR")</f>
        <v>COMPETITOR</v>
      </c>
      <c r="F253" s="11" t="str">
        <f>IFERROR(__xludf.DUMMYFUNCTION("""COMPUTED_VALUE"""),"Listicle")</f>
        <v>Listicle</v>
      </c>
      <c r="G253" s="11" t="b">
        <f>IFERROR(__xludf.DUMMYFUNCTION("""COMPUTED_VALUE"""),FALSE)</f>
        <v>0</v>
      </c>
      <c r="H253" s="11" t="str">
        <f>IFERROR(__xludf.DUMMYFUNCTION("""COMPUTED_VALUE"""),"SegmentStream, Measured, Rockerbox, LifeSight")</f>
        <v>SegmentStream, Measured, Rockerbox, LifeSight</v>
      </c>
      <c r="I253" s="11">
        <f>IFERROR(__xludf.DUMMYFUNCTION("""COMPUTED_VALUE"""),10.0)</f>
        <v>10</v>
      </c>
      <c r="J253" s="11">
        <f>IFERROR(__xludf.DUMMYFUNCTION("""COMPUTED_VALUE"""),0.01)</f>
        <v>0.01</v>
      </c>
      <c r="K253" s="11">
        <f>IFERROR(__xludf.DUMMYFUNCTION("""COMPUTED_VALUE"""),0.6)</f>
        <v>0.6</v>
      </c>
      <c r="L253" s="11"/>
    </row>
    <row r="254" ht="15.75" customHeight="1">
      <c r="A254" s="10" t="str">
        <f>IFERROR(__xludf.DUMMYFUNCTION("""COMPUTED_VALUE"""),"https://www.semfirms.com/display-advertising-firms")</f>
        <v>https://www.semfirms.com/display-advertising-firms</v>
      </c>
      <c r="B254" s="11" t="str">
        <f>IFERROR(__xludf.DUMMYFUNCTION("""COMPUTED_VALUE"""),"Top Display Advertising Firms in United States | SEM Firms")</f>
        <v>Top Display Advertising Firms in United States | SEM Firms</v>
      </c>
      <c r="C254" s="10" t="str">
        <f>IFERROR(__xludf.DUMMYFUNCTION("""COMPUTED_VALUE"""),"semfirms.com")</f>
        <v>semfirms.com</v>
      </c>
      <c r="D254" s="11" t="str">
        <f>IFERROR(__xludf.DUMMYFUNCTION("""COMPUTED_VALUE"""),"OTHER")</f>
        <v>OTHER</v>
      </c>
      <c r="E254" s="11" t="str">
        <f>IFERROR(__xludf.DUMMYFUNCTION("""COMPUTED_VALUE"""),"REFERENCE")</f>
        <v>REFERENCE</v>
      </c>
      <c r="F254" s="11" t="str">
        <f>IFERROR(__xludf.DUMMYFUNCTION("""COMPUTED_VALUE"""),"Other")</f>
        <v>Other</v>
      </c>
      <c r="G254" s="11" t="b">
        <f>IFERROR(__xludf.DUMMYFUNCTION("""COMPUTED_VALUE"""),FALSE)</f>
        <v>0</v>
      </c>
      <c r="H254" s="11" t="str">
        <f>IFERROR(__xludf.DUMMYFUNCTION("""COMPUTED_VALUE"""),"Ignite Visibility, Disruptive Advertising, Intero Digital, Momentum")</f>
        <v>Ignite Visibility, Disruptive Advertising, Intero Digital, Momentum</v>
      </c>
      <c r="I254" s="11">
        <f>IFERROR(__xludf.DUMMYFUNCTION("""COMPUTED_VALUE"""),10.0)</f>
        <v>10</v>
      </c>
      <c r="J254" s="11">
        <f>IFERROR(__xludf.DUMMYFUNCTION("""COMPUTED_VALUE"""),0.01)</f>
        <v>0.01</v>
      </c>
      <c r="K254" s="11">
        <f>IFERROR(__xludf.DUMMYFUNCTION("""COMPUTED_VALUE"""),0.0)</f>
        <v>0</v>
      </c>
      <c r="L254" s="11"/>
    </row>
    <row r="255" ht="15.75" customHeight="1">
      <c r="A255" s="10" t="str">
        <f>IFERROR(__xludf.DUMMYFUNCTION("""COMPUTED_VALUE"""),"https://www.singlegrain.com/artificial-intelligence/top-14-ai-marketing-agencies-in-2025/")</f>
        <v>https://www.singlegrain.com/artificial-intelligence/top-14-ai-marketing-agencies-in-2025/</v>
      </c>
      <c r="B255" s="11" t="str">
        <f>IFERROR(__xludf.DUMMYFUNCTION("""COMPUTED_VALUE"""),"Top 14 AI Marketing Agencies in 2025: Expert Analysis &amp;amp; Rankings")</f>
        <v>Top 14 AI Marketing Agencies in 2025: Expert Analysis &amp;amp; Rankings</v>
      </c>
      <c r="C255" s="10" t="str">
        <f>IFERROR(__xludf.DUMMYFUNCTION("""COMPUTED_VALUE"""),"singlegrain.com")</f>
        <v>singlegrain.com</v>
      </c>
      <c r="D255" s="11" t="str">
        <f>IFERROR(__xludf.DUMMYFUNCTION("""COMPUTED_VALUE"""),"LISTICLE")</f>
        <v>LISTICLE</v>
      </c>
      <c r="E255" s="11" t="str">
        <f>IFERROR(__xludf.DUMMYFUNCTION("""COMPUTED_VALUE"""),"COMPETITOR")</f>
        <v>COMPETITOR</v>
      </c>
      <c r="F255" s="11" t="str">
        <f>IFERROR(__xludf.DUMMYFUNCTION("""COMPUTED_VALUE"""),"Listicle")</f>
        <v>Listicle</v>
      </c>
      <c r="G255" s="11" t="b">
        <f>IFERROR(__xludf.DUMMYFUNCTION("""COMPUTED_VALUE"""),FALSE)</f>
        <v>0</v>
      </c>
      <c r="H255" s="11" t="str">
        <f>IFERROR(__xludf.DUMMYFUNCTION("""COMPUTED_VALUE"""),"Single Grain, VML, Superside, Major Tom, Ignite Visibility")</f>
        <v>Single Grain, VML, Superside, Major Tom, Ignite Visibility</v>
      </c>
      <c r="I255" s="11">
        <f>IFERROR(__xludf.DUMMYFUNCTION("""COMPUTED_VALUE"""),10.0)</f>
        <v>10</v>
      </c>
      <c r="J255" s="11">
        <f>IFERROR(__xludf.DUMMYFUNCTION("""COMPUTED_VALUE"""),0.01)</f>
        <v>0.01</v>
      </c>
      <c r="K255" s="11">
        <f>IFERROR(__xludf.DUMMYFUNCTION("""COMPUTED_VALUE"""),2.0)</f>
        <v>2</v>
      </c>
      <c r="L255" s="11"/>
    </row>
    <row r="256" ht="15.75" customHeight="1">
      <c r="A256" s="10" t="str">
        <f>IFERROR(__xludf.DUMMYFUNCTION("""COMPUTED_VALUE"""),"https://www.sortlist.com/attribution-marketing")</f>
        <v>https://www.sortlist.com/attribution-marketing</v>
      </c>
      <c r="B256" s="11" t="str">
        <f>IFERROR(__xludf.DUMMYFUNCTION("""COMPUTED_VALUE"""),"The 100 Best Attribution Marketing Agencies - 2026 Reviews")</f>
        <v>The 100 Best Attribution Marketing Agencies - 2026 Reviews</v>
      </c>
      <c r="C256" s="10" t="str">
        <f>IFERROR(__xludf.DUMMYFUNCTION("""COMPUTED_VALUE"""),"sortlist.com")</f>
        <v>sortlist.com</v>
      </c>
      <c r="D256" s="11" t="str">
        <f>IFERROR(__xludf.DUMMYFUNCTION("""COMPUTED_VALUE"""),"PROFILE")</f>
        <v>PROFILE</v>
      </c>
      <c r="E256" s="11" t="str">
        <f>IFERROR(__xludf.DUMMYFUNCTION("""COMPUTED_VALUE"""),"CORPORATE")</f>
        <v>CORPORATE</v>
      </c>
      <c r="F256" s="11" t="str">
        <f>IFERROR(__xludf.DUMMYFUNCTION("""COMPUTED_VALUE"""),"Profile")</f>
        <v>Profile</v>
      </c>
      <c r="G256" s="11" t="b">
        <f>IFERROR(__xludf.DUMMYFUNCTION("""COMPUTED_VALUE"""),FALSE)</f>
        <v>0</v>
      </c>
      <c r="H256" s="11" t="str">
        <f>IFERROR(__xludf.DUMMYFUNCTION("""COMPUTED_VALUE"""),"Triple Whale, Northbeam, HockeyStack, WPP")</f>
        <v>Triple Whale, Northbeam, HockeyStack, WPP</v>
      </c>
      <c r="I256" s="11">
        <f>IFERROR(__xludf.DUMMYFUNCTION("""COMPUTED_VALUE"""),10.0)</f>
        <v>10</v>
      </c>
      <c r="J256" s="11">
        <f>IFERROR(__xludf.DUMMYFUNCTION("""COMPUTED_VALUE"""),0.01)</f>
        <v>0.01</v>
      </c>
      <c r="K256" s="11">
        <f>IFERROR(__xludf.DUMMYFUNCTION("""COMPUTED_VALUE"""),0.0)</f>
        <v>0</v>
      </c>
      <c r="L256" s="11"/>
    </row>
    <row r="257" ht="15.75" customHeight="1">
      <c r="A257" s="10" t="str">
        <f>IFERROR(__xludf.DUMMYFUNCTION("""COMPUTED_VALUE"""),"https://75way.com/blog/10-top-ai-consulting-companies-usa")</f>
        <v>https://75way.com/blog/10-top-ai-consulting-companies-usa</v>
      </c>
      <c r="B257" s="11" t="str">
        <f>IFERROR(__xludf.DUMMYFUNCTION("""COMPUTED_VALUE"""),"Top 10 AI Consulting Companies in USA | 2026 Expert Guide")</f>
        <v>Top 10 AI Consulting Companies in USA | 2026 Expert Guide</v>
      </c>
      <c r="C257" s="10" t="str">
        <f>IFERROR(__xludf.DUMMYFUNCTION("""COMPUTED_VALUE"""),"75way.com")</f>
        <v>75way.com</v>
      </c>
      <c r="D257" s="11" t="str">
        <f>IFERROR(__xludf.DUMMYFUNCTION("""COMPUTED_VALUE"""),"LISTICLE")</f>
        <v>LISTICLE</v>
      </c>
      <c r="E257" s="11" t="str">
        <f>IFERROR(__xludf.DUMMYFUNCTION("""COMPUTED_VALUE"""),"CORPORATE")</f>
        <v>CORPORATE</v>
      </c>
      <c r="F257" s="11" t="str">
        <f>IFERROR(__xludf.DUMMYFUNCTION("""COMPUTED_VALUE"""),"Listicle")</f>
        <v>Listicle</v>
      </c>
      <c r="G257" s="11" t="b">
        <f>IFERROR(__xludf.DUMMYFUNCTION("""COMPUTED_VALUE"""),FALSE)</f>
        <v>0</v>
      </c>
      <c r="H257" s="11"/>
      <c r="I257" s="11">
        <f>IFERROR(__xludf.DUMMYFUNCTION("""COMPUTED_VALUE"""),9.0)</f>
        <v>9</v>
      </c>
      <c r="J257" s="11">
        <f>IFERROR(__xludf.DUMMYFUNCTION("""COMPUTED_VALUE"""),0.01)</f>
        <v>0.01</v>
      </c>
      <c r="K257" s="11">
        <f>IFERROR(__xludf.DUMMYFUNCTION("""COMPUTED_VALUE"""),0.0)</f>
        <v>0</v>
      </c>
      <c r="L257" s="11"/>
    </row>
    <row r="258" ht="15.75" customHeight="1">
      <c r="A258" s="10" t="str">
        <f>IFERROR(__xludf.DUMMYFUNCTION("""COMPUTED_VALUE"""),"https://www.accordtechsolutions.com/blog/top-7-ai-marketing-agency-in-the-usa")</f>
        <v>https://www.accordtechsolutions.com/blog/top-7-ai-marketing-agency-in-the-usa</v>
      </c>
      <c r="B258" s="11" t="str">
        <f>IFERROR(__xludf.DUMMYFUNCTION("""COMPUTED_VALUE"""),"Top 7 AI Digital Marketing Agencies in the USA 2026")</f>
        <v>Top 7 AI Digital Marketing Agencies in the USA 2026</v>
      </c>
      <c r="C258" s="10" t="str">
        <f>IFERROR(__xludf.DUMMYFUNCTION("""COMPUTED_VALUE"""),"accordtechsolutions.com")</f>
        <v>accordtechsolutions.com</v>
      </c>
      <c r="D258" s="11" t="str">
        <f>IFERROR(__xludf.DUMMYFUNCTION("""COMPUTED_VALUE"""),"LISTICLE")</f>
        <v>LISTICLE</v>
      </c>
      <c r="E258" s="11" t="str">
        <f>IFERROR(__xludf.DUMMYFUNCTION("""COMPUTED_VALUE"""),"CORPORATE")</f>
        <v>CORPORATE</v>
      </c>
      <c r="F258" s="11" t="str">
        <f>IFERROR(__xludf.DUMMYFUNCTION("""COMPUTED_VALUE"""),"Listicle")</f>
        <v>Listicle</v>
      </c>
      <c r="G258" s="11" t="b">
        <f>IFERROR(__xludf.DUMMYFUNCTION("""COMPUTED_VALUE"""),FALSE)</f>
        <v>0</v>
      </c>
      <c r="H258" s="11" t="str">
        <f>IFERROR(__xludf.DUMMYFUNCTION("""COMPUTED_VALUE"""),"Huge, NoGood, Viral Nation, SmartSites")</f>
        <v>Huge, NoGood, Viral Nation, SmartSites</v>
      </c>
      <c r="I258" s="11">
        <f>IFERROR(__xludf.DUMMYFUNCTION("""COMPUTED_VALUE"""),9.0)</f>
        <v>9</v>
      </c>
      <c r="J258" s="11">
        <f>IFERROR(__xludf.DUMMYFUNCTION("""COMPUTED_VALUE"""),0.01)</f>
        <v>0.01</v>
      </c>
      <c r="K258" s="11">
        <f>IFERROR(__xludf.DUMMYFUNCTION("""COMPUTED_VALUE"""),0.89)</f>
        <v>0.89</v>
      </c>
      <c r="L258" s="11"/>
    </row>
    <row r="259" ht="15.75" customHeight="1">
      <c r="A259" s="10" t="str">
        <f>IFERROR(__xludf.DUMMYFUNCTION("""COMPUTED_VALUE"""),"https://agencylist.com/services/programmatic-display-and-video/us/")</f>
        <v>https://agencylist.com/services/programmatic-display-and-video/us/</v>
      </c>
      <c r="B259" s="11" t="str">
        <f>IFERROR(__xludf.DUMMYFUNCTION("""COMPUTED_VALUE"""),"Top Programmatic Display and Video Agencies in United States")</f>
        <v>Top Programmatic Display and Video Agencies in United States</v>
      </c>
      <c r="C259" s="10" t="str">
        <f>IFERROR(__xludf.DUMMYFUNCTION("""COMPUTED_VALUE"""),"agencylist.com")</f>
        <v>agencylist.com</v>
      </c>
      <c r="D259" s="11" t="str">
        <f>IFERROR(__xludf.DUMMYFUNCTION("""COMPUTED_VALUE"""),"CATEGORY_PAGE")</f>
        <v>CATEGORY_PAGE</v>
      </c>
      <c r="E259" s="11" t="str">
        <f>IFERROR(__xludf.DUMMYFUNCTION("""COMPUTED_VALUE"""),"REFERENCE")</f>
        <v>REFERENCE</v>
      </c>
      <c r="F259" s="11" t="str">
        <f>IFERROR(__xludf.DUMMYFUNCTION("""COMPUTED_VALUE"""),"Category Page")</f>
        <v>Category Page</v>
      </c>
      <c r="G259" s="11" t="b">
        <f>IFERROR(__xludf.DUMMYFUNCTION("""COMPUTED_VALUE"""),FALSE)</f>
        <v>0</v>
      </c>
      <c r="H259" s="11"/>
      <c r="I259" s="11">
        <f>IFERROR(__xludf.DUMMYFUNCTION("""COMPUTED_VALUE"""),9.0)</f>
        <v>9</v>
      </c>
      <c r="J259" s="11">
        <f>IFERROR(__xludf.DUMMYFUNCTION("""COMPUTED_VALUE"""),0.01)</f>
        <v>0.01</v>
      </c>
      <c r="K259" s="11">
        <f>IFERROR(__xludf.DUMMYFUNCTION("""COMPUTED_VALUE"""),0.0)</f>
        <v>0</v>
      </c>
      <c r="L259" s="11"/>
    </row>
    <row r="260" ht="15.75" customHeight="1">
      <c r="A260" s="10" t="str">
        <f>IFERROR(__xludf.DUMMYFUNCTION("""COMPUTED_VALUE"""),"https://brandmentions.com/wiki/Top_advertising_agencies_in_USA#:~:text=Renowned%20for%20its%20mantra%2C%20%E2%80%9CThe%20Work.%20The,results.%20%2D%2072andSunny%20%E2%80%93%20Los%20Angeles%2C%20CA.")</f>
        <v>https://brandmentions.com/wiki/Top_advertising_agencies_in_USA#:~:text=Renowned%20for%20its%20mantra%2C%20%E2%80%9CThe%20Work.%20The,results.%20%2D%2072andSunny%20%E2%80%93%20Los%20Angeles%2C%20CA.</v>
      </c>
      <c r="B260" s="11" t="str">
        <f>IFERROR(__xludf.DUMMYFUNCTION("""COMPUTED_VALUE"""),"Top advertising agencies in USA - BrandMentions Wiki")</f>
        <v>Top advertising agencies in USA - BrandMentions Wiki</v>
      </c>
      <c r="C260" s="10" t="str">
        <f>IFERROR(__xludf.DUMMYFUNCTION("""COMPUTED_VALUE"""),"brandmentions.com")</f>
        <v>brandmentions.com</v>
      </c>
      <c r="D260" s="11" t="str">
        <f>IFERROR(__xludf.DUMMYFUNCTION("""COMPUTED_VALUE"""),"LISTICLE")</f>
        <v>LISTICLE</v>
      </c>
      <c r="E260" s="11" t="str">
        <f>IFERROR(__xludf.DUMMYFUNCTION("""COMPUTED_VALUE"""),"CORPORATE")</f>
        <v>CORPORATE</v>
      </c>
      <c r="F260" s="11" t="str">
        <f>IFERROR(__xludf.DUMMYFUNCTION("""COMPUTED_VALUE"""),"Listicle")</f>
        <v>Listicle</v>
      </c>
      <c r="G260" s="11" t="b">
        <f>IFERROR(__xludf.DUMMYFUNCTION("""COMPUTED_VALUE"""),FALSE)</f>
        <v>0</v>
      </c>
      <c r="H260" s="11" t="str">
        <f>IFERROR(__xludf.DUMMYFUNCTION("""COMPUTED_VALUE"""),"Wieden+Kennedy, Droga5, Accenture Song, Ogilvy, BBDO, 72andSunny, R/GA, TBWA\Chiat\Day, Dentsu, LYFE Marketing")</f>
        <v>Wieden+Kennedy, Droga5, Accenture Song, Ogilvy, BBDO, 72andSunny, R/GA, TBWA\Chiat\Day, Dentsu, LYFE Marketing</v>
      </c>
      <c r="I260" s="11">
        <f>IFERROR(__xludf.DUMMYFUNCTION("""COMPUTED_VALUE"""),9.0)</f>
        <v>9</v>
      </c>
      <c r="J260" s="11">
        <f>IFERROR(__xludf.DUMMYFUNCTION("""COMPUTED_VALUE"""),0.01)</f>
        <v>0.01</v>
      </c>
      <c r="K260" s="11">
        <f>IFERROR(__xludf.DUMMYFUNCTION("""COMPUTED_VALUE"""),2.33)</f>
        <v>2.33</v>
      </c>
      <c r="L260" s="11"/>
    </row>
    <row r="261" ht="15.75" customHeight="1">
      <c r="A261" s="10" t="str">
        <f>IFERROR(__xludf.DUMMYFUNCTION("""COMPUTED_VALUE"""),"https://clutch.co/consulting/ai/strategy")</f>
        <v>https://clutch.co/consulting/ai/strategy</v>
      </c>
      <c r="B261" s="11" t="str">
        <f>IFERROR(__xludf.DUMMYFUNCTION("""COMPUTED_VALUE"""),"Top AI Strategy Companies - Jul 2026 Rankings \| Clutch.co")</f>
        <v>Top AI Strategy Companies - Jul 2026 Rankings \| Clutch.co</v>
      </c>
      <c r="C261" s="10" t="str">
        <f>IFERROR(__xludf.DUMMYFUNCTION("""COMPUTED_VALUE"""),"clutch.co")</f>
        <v>clutch.co</v>
      </c>
      <c r="D261" s="11" t="str">
        <f>IFERROR(__xludf.DUMMYFUNCTION("""COMPUTED_VALUE"""),"CATEGORY_PAGE")</f>
        <v>CATEGORY_PAGE</v>
      </c>
      <c r="E261" s="11" t="str">
        <f>IFERROR(__xludf.DUMMYFUNCTION("""COMPUTED_VALUE"""),"COMPETITOR")</f>
        <v>COMPETITOR</v>
      </c>
      <c r="F261" s="11" t="str">
        <f>IFERROR(__xludf.DUMMYFUNCTION("""COMPUTED_VALUE"""),"Category Page")</f>
        <v>Category Page</v>
      </c>
      <c r="G261" s="11" t="b">
        <f>IFERROR(__xludf.DUMMYFUNCTION("""COMPUTED_VALUE"""),FALSE)</f>
        <v>0</v>
      </c>
      <c r="H261" s="11" t="str">
        <f>IFERROR(__xludf.DUMMYFUNCTION("""COMPUTED_VALUE"""),"Clutch")</f>
        <v>Clutch</v>
      </c>
      <c r="I261" s="11">
        <f>IFERROR(__xludf.DUMMYFUNCTION("""COMPUTED_VALUE"""),9.0)</f>
        <v>9</v>
      </c>
      <c r="J261" s="11">
        <f>IFERROR(__xludf.DUMMYFUNCTION("""COMPUTED_VALUE"""),0.01)</f>
        <v>0.01</v>
      </c>
      <c r="K261" s="11">
        <f>IFERROR(__xludf.DUMMYFUNCTION("""COMPUTED_VALUE"""),0.11)</f>
        <v>0.11</v>
      </c>
      <c r="L261" s="11"/>
    </row>
    <row r="262" ht="15.75" customHeight="1">
      <c r="A262" s="10" t="str">
        <f>IFERROR(__xludf.DUMMYFUNCTION("""COMPUTED_VALUE"""),"https://clutch.co/seo-firms/generative-engine-optimization")</f>
        <v>https://clutch.co/seo-firms/generative-engine-optimization</v>
      </c>
      <c r="B262" s="11" t="str">
        <f>IFERROR(__xludf.DUMMYFUNCTION("""COMPUTED_VALUE"""),"Top Generative Engine Optimization (GEO) Companies - Jul 2026 Rankings | Clutch.co")</f>
        <v>Top Generative Engine Optimization (GEO) Companies - Jul 2026 Rankings | Clutch.co</v>
      </c>
      <c r="C262" s="10" t="str">
        <f>IFERROR(__xludf.DUMMYFUNCTION("""COMPUTED_VALUE"""),"clutch.co")</f>
        <v>clutch.co</v>
      </c>
      <c r="D262" s="11" t="str">
        <f>IFERROR(__xludf.DUMMYFUNCTION("""COMPUTED_VALUE"""),"CATEGORY_PAGE")</f>
        <v>CATEGORY_PAGE</v>
      </c>
      <c r="E262" s="11" t="str">
        <f>IFERROR(__xludf.DUMMYFUNCTION("""COMPUTED_VALUE"""),"COMPETITOR")</f>
        <v>COMPETITOR</v>
      </c>
      <c r="F262" s="11" t="str">
        <f>IFERROR(__xludf.DUMMYFUNCTION("""COMPUTED_VALUE"""),"Category Page")</f>
        <v>Category Page</v>
      </c>
      <c r="G262" s="11" t="b">
        <f>IFERROR(__xludf.DUMMYFUNCTION("""COMPUTED_VALUE"""),FALSE)</f>
        <v>0</v>
      </c>
      <c r="H262" s="11" t="str">
        <f>IFERROR(__xludf.DUMMYFUNCTION("""COMPUTED_VALUE"""),"Clutch, Victorious, Funnel Boost Media, NinjaPromo, WebFX, Intero Digital, Ignite Visibility, Elit-Web, HawkSEM, Siege Media, Huge, The SEO Works, Thrive Internet Marketing Agency")</f>
        <v>Clutch, Victorious, Funnel Boost Media, NinjaPromo, WebFX, Intero Digital, Ignite Visibility, Elit-Web, HawkSEM, Siege Media, Huge, The SEO Works, Thrive Internet Marketing Agency</v>
      </c>
      <c r="I262" s="11">
        <f>IFERROR(__xludf.DUMMYFUNCTION("""COMPUTED_VALUE"""),9.0)</f>
        <v>9</v>
      </c>
      <c r="J262" s="11">
        <f>IFERROR(__xludf.DUMMYFUNCTION("""COMPUTED_VALUE"""),0.01)</f>
        <v>0.01</v>
      </c>
      <c r="K262" s="11">
        <f>IFERROR(__xludf.DUMMYFUNCTION("""COMPUTED_VALUE"""),0.11)</f>
        <v>0.11</v>
      </c>
      <c r="L262" s="11"/>
    </row>
    <row r="263" ht="15.75" customHeight="1">
      <c r="A263" s="10" t="str">
        <f>IFERROR(__xludf.DUMMYFUNCTION("""COMPUTED_VALUE"""),"https://coolnerdsmarketing.com/top-digital-marketing-agencies-us/")</f>
        <v>https://coolnerdsmarketing.com/top-digital-marketing-agencies-us/</v>
      </c>
      <c r="B263" s="11" t="str">
        <f>IFERROR(__xludf.DUMMYFUNCTION("""COMPUTED_VALUE"""),"Top 17 Digital Marketing Agencies in the U.S. (January 2026)")</f>
        <v>Top 17 Digital Marketing Agencies in the U.S. (January 2026)</v>
      </c>
      <c r="C263" s="10" t="str">
        <f>IFERROR(__xludf.DUMMYFUNCTION("""COMPUTED_VALUE"""),"coolnerdsmarketing.com")</f>
        <v>coolnerdsmarketing.com</v>
      </c>
      <c r="D263" s="11" t="str">
        <f>IFERROR(__xludf.DUMMYFUNCTION("""COMPUTED_VALUE"""),"LISTICLE")</f>
        <v>LISTICLE</v>
      </c>
      <c r="E263" s="11" t="str">
        <f>IFERROR(__xludf.DUMMYFUNCTION("""COMPUTED_VALUE"""),"CORPORATE")</f>
        <v>CORPORATE</v>
      </c>
      <c r="F263" s="11" t="str">
        <f>IFERROR(__xludf.DUMMYFUNCTION("""COMPUTED_VALUE"""),"Listicle")</f>
        <v>Listicle</v>
      </c>
      <c r="G263" s="11" t="b">
        <f>IFERROR(__xludf.DUMMYFUNCTION("""COMPUTED_VALUE"""),FALSE)</f>
        <v>0</v>
      </c>
      <c r="H263" s="11" t="str">
        <f>IFERROR(__xludf.DUMMYFUNCTION("""COMPUTED_VALUE"""),"Refine Labs, Intero Digital, Single Grain, Power Digital, KlientBoost, VaynerMedia, inBeat, Publicis Groupe")</f>
        <v>Refine Labs, Intero Digital, Single Grain, Power Digital, KlientBoost, VaynerMedia, inBeat, Publicis Groupe</v>
      </c>
      <c r="I263" s="11">
        <f>IFERROR(__xludf.DUMMYFUNCTION("""COMPUTED_VALUE"""),9.0)</f>
        <v>9</v>
      </c>
      <c r="J263" s="11">
        <f>IFERROR(__xludf.DUMMYFUNCTION("""COMPUTED_VALUE"""),0.01)</f>
        <v>0.01</v>
      </c>
      <c r="K263" s="11">
        <f>IFERROR(__xludf.DUMMYFUNCTION("""COMPUTED_VALUE"""),1.33)</f>
        <v>1.33</v>
      </c>
      <c r="L263" s="11"/>
    </row>
    <row r="264" ht="15.75" customHeight="1">
      <c r="A264" s="10" t="str">
        <f>IFERROR(__xludf.DUMMYFUNCTION("""COMPUTED_VALUE"""),"https://derivatex.agency/blog/best-aeo-agencies-usa/")</f>
        <v>https://derivatex.agency/blog/best-aeo-agencies-usa/</v>
      </c>
      <c r="B264" s="11" t="str">
        <f>IFERROR(__xludf.DUMMYFUNCTION("""COMPUTED_VALUE"""),"6 Best AEO Agencies in the USA for B2B SaaS (2026)")</f>
        <v>6 Best AEO Agencies in the USA for B2B SaaS (2026)</v>
      </c>
      <c r="C264" s="11" t="str">
        <f>IFERROR(__xludf.DUMMYFUNCTION("""COMPUTED_VALUE"""),"derivatex.agency")</f>
        <v>derivatex.agency</v>
      </c>
      <c r="D264" s="11" t="str">
        <f>IFERROR(__xludf.DUMMYFUNCTION("""COMPUTED_VALUE"""),"LISTICLE")</f>
        <v>LISTICLE</v>
      </c>
      <c r="E264" s="11" t="str">
        <f>IFERROR(__xludf.DUMMYFUNCTION("""COMPUTED_VALUE"""),"CORPORATE")</f>
        <v>CORPORATE</v>
      </c>
      <c r="F264" s="11" t="str">
        <f>IFERROR(__xludf.DUMMYFUNCTION("""COMPUTED_VALUE"""),"Listicle")</f>
        <v>Listicle</v>
      </c>
      <c r="G264" s="11" t="b">
        <f>IFERROR(__xludf.DUMMYFUNCTION("""COMPUTED_VALUE"""),FALSE)</f>
        <v>0</v>
      </c>
      <c r="H264" s="11" t="str">
        <f>IFERROR(__xludf.DUMMYFUNCTION("""COMPUTED_VALUE"""),"Siege Media, Directive, RevenueZen, iPullRank, Clutch, Omniscient Digital")</f>
        <v>Siege Media, Directive, RevenueZen, iPullRank, Clutch, Omniscient Digital</v>
      </c>
      <c r="I264" s="11">
        <f>IFERROR(__xludf.DUMMYFUNCTION("""COMPUTED_VALUE"""),9.0)</f>
        <v>9</v>
      </c>
      <c r="J264" s="11">
        <f>IFERROR(__xludf.DUMMYFUNCTION("""COMPUTED_VALUE"""),0.01)</f>
        <v>0.01</v>
      </c>
      <c r="K264" s="11">
        <f>IFERROR(__xludf.DUMMYFUNCTION("""COMPUTED_VALUE"""),0.11)</f>
        <v>0.11</v>
      </c>
      <c r="L264" s="11"/>
    </row>
    <row r="265" ht="15.75" customHeight="1">
      <c r="A265" s="10" t="str">
        <f>IFERROR(__xludf.DUMMYFUNCTION("""COMPUTED_VALUE"""),"https://www.designrush.com/agency/paid-media-pay-per-click/google-adwords/us")</f>
        <v>https://www.designrush.com/agency/paid-media-pay-per-click/google-adwords/us</v>
      </c>
      <c r="B265" s="11" t="str">
        <f>IFERROR(__xludf.DUMMYFUNCTION("""COMPUTED_VALUE"""),"Top Google Ads Agencies in the USA | DesignRush")</f>
        <v>Top Google Ads Agencies in the USA | DesignRush</v>
      </c>
      <c r="C265" s="10" t="str">
        <f>IFERROR(__xludf.DUMMYFUNCTION("""COMPUTED_VALUE"""),"designrush.com")</f>
        <v>designrush.com</v>
      </c>
      <c r="D265" s="11" t="str">
        <f>IFERROR(__xludf.DUMMYFUNCTION("""COMPUTED_VALUE"""),"CATEGORY_PAGE")</f>
        <v>CATEGORY_PAGE</v>
      </c>
      <c r="E265" s="11" t="str">
        <f>IFERROR(__xludf.DUMMYFUNCTION("""COMPUTED_VALUE"""),"CORPORATE")</f>
        <v>CORPORATE</v>
      </c>
      <c r="F265" s="11" t="str">
        <f>IFERROR(__xludf.DUMMYFUNCTION("""COMPUTED_VALUE"""),"Category Page")</f>
        <v>Category Page</v>
      </c>
      <c r="G265" s="11" t="b">
        <f>IFERROR(__xludf.DUMMYFUNCTION("""COMPUTED_VALUE"""),FALSE)</f>
        <v>0</v>
      </c>
      <c r="H265" s="11" t="str">
        <f>IFERROR(__xludf.DUMMYFUNCTION("""COMPUTED_VALUE"""),"SmartSites, Searchbloom, Huge, Disruptive Advertising, Funnel Boost Media, Silverback Strategies, Intero Digital, KlientBoost, Elit-Web, Major Tom, IBM, AdVenture Media")</f>
        <v>SmartSites, Searchbloom, Huge, Disruptive Advertising, Funnel Boost Media, Silverback Strategies, Intero Digital, KlientBoost, Elit-Web, Major Tom, IBM, AdVenture Media</v>
      </c>
      <c r="I265" s="11">
        <f>IFERROR(__xludf.DUMMYFUNCTION("""COMPUTED_VALUE"""),9.0)</f>
        <v>9</v>
      </c>
      <c r="J265" s="11">
        <f>IFERROR(__xludf.DUMMYFUNCTION("""COMPUTED_VALUE"""),0.01)</f>
        <v>0.01</v>
      </c>
      <c r="K265" s="11">
        <f>IFERROR(__xludf.DUMMYFUNCTION("""COMPUTED_VALUE"""),0.44)</f>
        <v>0.44</v>
      </c>
      <c r="L265" s="11"/>
    </row>
    <row r="266" ht="15.75" customHeight="1">
      <c r="A266" s="10" t="str">
        <f>IFERROR(__xludf.DUMMYFUNCTION("""COMPUTED_VALUE"""),"https://firstpagesage.com/seo-blog/the-top-generative-engine-optimization-geo-agencies/")</f>
        <v>https://firstpagesage.com/seo-blog/the-top-generative-engine-optimization-geo-agencies/</v>
      </c>
      <c r="B266" s="11" t="str">
        <f>IFERROR(__xludf.DUMMYFUNCTION("""COMPUTED_VALUE"""),"The Top Generative Engine Optimization (GEO) Agencies of 2026 – First Page Sage")</f>
        <v>The Top Generative Engine Optimization (GEO) Agencies of 2026 – First Page Sage</v>
      </c>
      <c r="C266" s="10" t="str">
        <f>IFERROR(__xludf.DUMMYFUNCTION("""COMPUTED_VALUE"""),"firstpagesage.com")</f>
        <v>firstpagesage.com</v>
      </c>
      <c r="D266" s="11" t="str">
        <f>IFERROR(__xludf.DUMMYFUNCTION("""COMPUTED_VALUE"""),"LISTICLE")</f>
        <v>LISTICLE</v>
      </c>
      <c r="E266" s="11" t="str">
        <f>IFERROR(__xludf.DUMMYFUNCTION("""COMPUTED_VALUE"""),"COMPETITOR")</f>
        <v>COMPETITOR</v>
      </c>
      <c r="F266" s="11" t="str">
        <f>IFERROR(__xludf.DUMMYFUNCTION("""COMPUTED_VALUE"""),"Listicle")</f>
        <v>Listicle</v>
      </c>
      <c r="G266" s="11" t="b">
        <f>IFERROR(__xludf.DUMMYFUNCTION("""COMPUTED_VALUE"""),FALSE)</f>
        <v>0</v>
      </c>
      <c r="H266" s="11" t="str">
        <f>IFERROR(__xludf.DUMMYFUNCTION("""COMPUTED_VALUE"""),"First Page Sage")</f>
        <v>First Page Sage</v>
      </c>
      <c r="I266" s="11">
        <f>IFERROR(__xludf.DUMMYFUNCTION("""COMPUTED_VALUE"""),9.0)</f>
        <v>9</v>
      </c>
      <c r="J266" s="11">
        <f>IFERROR(__xludf.DUMMYFUNCTION("""COMPUTED_VALUE"""),0.01)</f>
        <v>0.01</v>
      </c>
      <c r="K266" s="11">
        <f>IFERROR(__xludf.DUMMYFUNCTION("""COMPUTED_VALUE"""),0.89)</f>
        <v>0.89</v>
      </c>
      <c r="L266" s="11"/>
    </row>
    <row r="267" ht="15.75" customHeight="1">
      <c r="A267" s="10" t="str">
        <f>IFERROR(__xludf.DUMMYFUNCTION("""COMPUTED_VALUE"""),"https://firstpagesage.com/seo-blog/top-digital-marketing-agencies/")</f>
        <v>https://firstpagesage.com/seo-blog/top-digital-marketing-agencies/</v>
      </c>
      <c r="B267" s="11" t="str">
        <f>IFERROR(__xludf.DUMMYFUNCTION("""COMPUTED_VALUE"""),"The Top Digital Marketing Agencies of 2026 – First Page Sage")</f>
        <v>The Top Digital Marketing Agencies of 2026 – First Page Sage</v>
      </c>
      <c r="C267" s="10" t="str">
        <f>IFERROR(__xludf.DUMMYFUNCTION("""COMPUTED_VALUE"""),"firstpagesage.com")</f>
        <v>firstpagesage.com</v>
      </c>
      <c r="D267" s="11" t="str">
        <f>IFERROR(__xludf.DUMMYFUNCTION("""COMPUTED_VALUE"""),"LISTICLE")</f>
        <v>LISTICLE</v>
      </c>
      <c r="E267" s="11" t="str">
        <f>IFERROR(__xludf.DUMMYFUNCTION("""COMPUTED_VALUE"""),"COMPETITOR")</f>
        <v>COMPETITOR</v>
      </c>
      <c r="F267" s="11" t="str">
        <f>IFERROR(__xludf.DUMMYFUNCTION("""COMPUTED_VALUE"""),"Listicle")</f>
        <v>Listicle</v>
      </c>
      <c r="G267" s="11" t="b">
        <f>IFERROR(__xludf.DUMMYFUNCTION("""COMPUTED_VALUE"""),FALSE)</f>
        <v>0</v>
      </c>
      <c r="H267" s="11" t="str">
        <f>IFERROR(__xludf.DUMMYFUNCTION("""COMPUTED_VALUE"""),"First Page Sage, Viral Nation, Epsilon, Sociallyin, Metric Theory, Clay")</f>
        <v>First Page Sage, Viral Nation, Epsilon, Sociallyin, Metric Theory, Clay</v>
      </c>
      <c r="I267" s="11">
        <f>IFERROR(__xludf.DUMMYFUNCTION("""COMPUTED_VALUE"""),9.0)</f>
        <v>9</v>
      </c>
      <c r="J267" s="11">
        <f>IFERROR(__xludf.DUMMYFUNCTION("""COMPUTED_VALUE"""),0.01)</f>
        <v>0.01</v>
      </c>
      <c r="K267" s="11">
        <f>IFERROR(__xludf.DUMMYFUNCTION("""COMPUTED_VALUE"""),1.33)</f>
        <v>1.33</v>
      </c>
      <c r="L267" s="11"/>
    </row>
    <row r="268" ht="15.75" customHeight="1">
      <c r="A268" s="10" t="str">
        <f>IFERROR(__xludf.DUMMYFUNCTION("""COMPUTED_VALUE"""),"https://www.gartner.com/reviews/market/b2b-multitouch-attribution-tools")</f>
        <v>https://www.gartner.com/reviews/market/b2b-multitouch-attribution-tools</v>
      </c>
      <c r="B268" s="11" t="str">
        <f>IFERROR(__xludf.DUMMYFUNCTION("""COMPUTED_VALUE"""),"Best B2B Multitouch Attribution Tools Reviews 2026 \| Gartner Peer Insights")</f>
        <v>Best B2B Multitouch Attribution Tools Reviews 2026 \| Gartner Peer Insights</v>
      </c>
      <c r="C268" s="10" t="str">
        <f>IFERROR(__xludf.DUMMYFUNCTION("""COMPUTED_VALUE"""),"gartner.com")</f>
        <v>gartner.com</v>
      </c>
      <c r="D268" s="11" t="str">
        <f>IFERROR(__xludf.DUMMYFUNCTION("""COMPUTED_VALUE"""),"CATEGORY_PAGE")</f>
        <v>CATEGORY_PAGE</v>
      </c>
      <c r="E268" s="11" t="str">
        <f>IFERROR(__xludf.DUMMYFUNCTION("""COMPUTED_VALUE"""),"CORPORATE")</f>
        <v>CORPORATE</v>
      </c>
      <c r="F268" s="11" t="str">
        <f>IFERROR(__xludf.DUMMYFUNCTION("""COMPUTED_VALUE"""),"Category Page")</f>
        <v>Category Page</v>
      </c>
      <c r="G268" s="11" t="b">
        <f>IFERROR(__xludf.DUMMYFUNCTION("""COMPUTED_VALUE"""),FALSE)</f>
        <v>0</v>
      </c>
      <c r="H268" s="11" t="str">
        <f>IFERROR(__xludf.DUMMYFUNCTION("""COMPUTED_VALUE"""),"Triple Whale, Northbeam, HockeyStack, Ruler Analytics, SegmentStream")</f>
        <v>Triple Whale, Northbeam, HockeyStack, Ruler Analytics, SegmentStream</v>
      </c>
      <c r="I268" s="11">
        <f>IFERROR(__xludf.DUMMYFUNCTION("""COMPUTED_VALUE"""),9.0)</f>
        <v>9</v>
      </c>
      <c r="J268" s="11">
        <f>IFERROR(__xludf.DUMMYFUNCTION("""COMPUTED_VALUE"""),0.01)</f>
        <v>0.01</v>
      </c>
      <c r="K268" s="11">
        <f>IFERROR(__xludf.DUMMYFUNCTION("""COMPUTED_VALUE"""),0.11)</f>
        <v>0.11</v>
      </c>
      <c r="L268" s="11"/>
    </row>
    <row r="269" ht="15.75" customHeight="1">
      <c r="A269" s="10" t="str">
        <f>IFERROR(__xludf.DUMMYFUNCTION("""COMPUTED_VALUE"""),"https://www.goodfirms.co/advertising-companies/creative/usa")</f>
        <v>https://www.goodfirms.co/advertising-companies/creative/usa</v>
      </c>
      <c r="B269" s="11" t="str">
        <f>IFERROR(__xludf.DUMMYFUNCTION("""COMPUTED_VALUE"""),"Top Creative Agencies in the United States - 2026 Reviews | Goodfirms")</f>
        <v>Top Creative Agencies in the United States - 2026 Reviews | Goodfirms</v>
      </c>
      <c r="C269" s="10" t="str">
        <f>IFERROR(__xludf.DUMMYFUNCTION("""COMPUTED_VALUE"""),"goodfirms.co")</f>
        <v>goodfirms.co</v>
      </c>
      <c r="D269" s="11" t="str">
        <f>IFERROR(__xludf.DUMMYFUNCTION("""COMPUTED_VALUE"""),"CATEGORY_PAGE")</f>
        <v>CATEGORY_PAGE</v>
      </c>
      <c r="E269" s="11" t="str">
        <f>IFERROR(__xludf.DUMMYFUNCTION("""COMPUTED_VALUE"""),"UGC")</f>
        <v>UGC</v>
      </c>
      <c r="F269" s="11" t="str">
        <f>IFERROR(__xludf.DUMMYFUNCTION("""COMPUTED_VALUE"""),"Category Page")</f>
        <v>Category Page</v>
      </c>
      <c r="G269" s="11" t="b">
        <f>IFERROR(__xludf.DUMMYFUNCTION("""COMPUTED_VALUE"""),FALSE)</f>
        <v>0</v>
      </c>
      <c r="H269" s="11" t="str">
        <f>IFERROR(__xludf.DUMMYFUNCTION("""COMPUTED_VALUE"""),"Brighter Click, SmartSites, PMG")</f>
        <v>Brighter Click, SmartSites, PMG</v>
      </c>
      <c r="I269" s="11">
        <f>IFERROR(__xludf.DUMMYFUNCTION("""COMPUTED_VALUE"""),9.0)</f>
        <v>9</v>
      </c>
      <c r="J269" s="11">
        <f>IFERROR(__xludf.DUMMYFUNCTION("""COMPUTED_VALUE"""),0.01)</f>
        <v>0.01</v>
      </c>
      <c r="K269" s="11">
        <f>IFERROR(__xludf.DUMMYFUNCTION("""COMPUTED_VALUE"""),0.0)</f>
        <v>0</v>
      </c>
      <c r="L269" s="11"/>
    </row>
    <row r="270" ht="15.75" customHeight="1">
      <c r="A270" s="10" t="str">
        <f>IFERROR(__xludf.DUMMYFUNCTION("""COMPUTED_VALUE"""),"https://www.krowdbase.com/top-marketing-analytics-companies")</f>
        <v>https://www.krowdbase.com/top-marketing-analytics-companies</v>
      </c>
      <c r="B270" s="11" t="str">
        <f>IFERROR(__xludf.DUMMYFUNCTION("""COMPUTED_VALUE"""),"Top Marketing Analytics Companies 2026")</f>
        <v>Top Marketing Analytics Companies 2026</v>
      </c>
      <c r="C270" s="10" t="str">
        <f>IFERROR(__xludf.DUMMYFUNCTION("""COMPUTED_VALUE"""),"krowdbase.com")</f>
        <v>krowdbase.com</v>
      </c>
      <c r="D270" s="11" t="str">
        <f>IFERROR(__xludf.DUMMYFUNCTION("""COMPUTED_VALUE"""),"CATEGORY_PAGE")</f>
        <v>CATEGORY_PAGE</v>
      </c>
      <c r="E270" s="11" t="str">
        <f>IFERROR(__xludf.DUMMYFUNCTION("""COMPUTED_VALUE"""),"REFERENCE")</f>
        <v>REFERENCE</v>
      </c>
      <c r="F270" s="11" t="str">
        <f>IFERROR(__xludf.DUMMYFUNCTION("""COMPUTED_VALUE"""),"Category Page")</f>
        <v>Category Page</v>
      </c>
      <c r="G270" s="11" t="b">
        <f>IFERROR(__xludf.DUMMYFUNCTION("""COMPUTED_VALUE"""),FALSE)</f>
        <v>0</v>
      </c>
      <c r="H270" s="11"/>
      <c r="I270" s="11">
        <f>IFERROR(__xludf.DUMMYFUNCTION("""COMPUTED_VALUE"""),9.0)</f>
        <v>9</v>
      </c>
      <c r="J270" s="11">
        <f>IFERROR(__xludf.DUMMYFUNCTION("""COMPUTED_VALUE"""),0.01)</f>
        <v>0.01</v>
      </c>
      <c r="K270" s="11">
        <f>IFERROR(__xludf.DUMMYFUNCTION("""COMPUTED_VALUE"""),0.0)</f>
        <v>0</v>
      </c>
      <c r="L270" s="11"/>
    </row>
    <row r="271" ht="15.75" customHeight="1">
      <c r="A271" s="10" t="str">
        <f>IFERROR(__xludf.DUMMYFUNCTION("""COMPUTED_VALUE"""),"https://leadsrx.com/resource/35-marketing-attribution-software-companies/")</f>
        <v>https://leadsrx.com/resource/35-marketing-attribution-software-companies/</v>
      </c>
      <c r="B271" s="11" t="str">
        <f>IFERROR(__xludf.DUMMYFUNCTION("""COMPUTED_VALUE"""),"35 Best Marketing Attribution Software For You to Consider")</f>
        <v>35 Best Marketing Attribution Software For You to Consider</v>
      </c>
      <c r="C271" s="10" t="str">
        <f>IFERROR(__xludf.DUMMYFUNCTION("""COMPUTED_VALUE"""),"leadsrx.com")</f>
        <v>leadsrx.com</v>
      </c>
      <c r="D271" s="11" t="str">
        <f>IFERROR(__xludf.DUMMYFUNCTION("""COMPUTED_VALUE"""),"LISTICLE")</f>
        <v>LISTICLE</v>
      </c>
      <c r="E271" s="11" t="str">
        <f>IFERROR(__xludf.DUMMYFUNCTION("""COMPUTED_VALUE"""),"UGC")</f>
        <v>UGC</v>
      </c>
      <c r="F271" s="11" t="str">
        <f>IFERROR(__xludf.DUMMYFUNCTION("""COMPUTED_VALUE"""),"Listicle")</f>
        <v>Listicle</v>
      </c>
      <c r="G271" s="11" t="b">
        <f>IFERROR(__xludf.DUMMYFUNCTION("""COMPUTED_VALUE"""),FALSE)</f>
        <v>0</v>
      </c>
      <c r="H271" s="11" t="str">
        <f>IFERROR(__xludf.DUMMYFUNCTION("""COMPUTED_VALUE"""),"Neustar, Nielsen, Rockerbox, Ruler Analytics, Measured, Huge")</f>
        <v>Neustar, Nielsen, Rockerbox, Ruler Analytics, Measured, Huge</v>
      </c>
      <c r="I271" s="11">
        <f>IFERROR(__xludf.DUMMYFUNCTION("""COMPUTED_VALUE"""),9.0)</f>
        <v>9</v>
      </c>
      <c r="J271" s="11">
        <f>IFERROR(__xludf.DUMMYFUNCTION("""COMPUTED_VALUE"""),0.01)</f>
        <v>0.01</v>
      </c>
      <c r="K271" s="11">
        <f>IFERROR(__xludf.DUMMYFUNCTION("""COMPUTED_VALUE"""),0.11)</f>
        <v>0.11</v>
      </c>
      <c r="L271" s="11"/>
    </row>
    <row r="272" ht="15.75" customHeight="1">
      <c r="A272" s="10" t="str">
        <f>IFERROR(__xludf.DUMMYFUNCTION("""COMPUTED_VALUE"""),"https://lengreo.com/ai-search-marketing-agencies/")</f>
        <v>https://lengreo.com/ai-search-marketing-agencies/</v>
      </c>
      <c r="B272" s="11" t="str">
        <f>IFERROR(__xludf.DUMMYFUNCTION("""COMPUTED_VALUE"""),"13 Best AI Search Marketing Companies for Smarter Growth (2026)")</f>
        <v>13 Best AI Search Marketing Companies for Smarter Growth (2026)</v>
      </c>
      <c r="C272" s="10" t="str">
        <f>IFERROR(__xludf.DUMMYFUNCTION("""COMPUTED_VALUE"""),"lengreo.com")</f>
        <v>lengreo.com</v>
      </c>
      <c r="D272" s="11" t="str">
        <f>IFERROR(__xludf.DUMMYFUNCTION("""COMPUTED_VALUE"""),"LISTICLE")</f>
        <v>LISTICLE</v>
      </c>
      <c r="E272" s="11" t="str">
        <f>IFERROR(__xludf.DUMMYFUNCTION("""COMPUTED_VALUE"""),"CORPORATE")</f>
        <v>CORPORATE</v>
      </c>
      <c r="F272" s="11" t="str">
        <f>IFERROR(__xludf.DUMMYFUNCTION("""COMPUTED_VALUE"""),"Listicle")</f>
        <v>Listicle</v>
      </c>
      <c r="G272" s="11" t="b">
        <f>IFERROR(__xludf.DUMMYFUNCTION("""COMPUTED_VALUE"""),FALSE)</f>
        <v>0</v>
      </c>
      <c r="H272" s="11" t="str">
        <f>IFERROR(__xludf.DUMMYFUNCTION("""COMPUTED_VALUE"""),"WebFX, Keenfolks, Clutch")</f>
        <v>WebFX, Keenfolks, Clutch</v>
      </c>
      <c r="I272" s="11">
        <f>IFERROR(__xludf.DUMMYFUNCTION("""COMPUTED_VALUE"""),9.0)</f>
        <v>9</v>
      </c>
      <c r="J272" s="11">
        <f>IFERROR(__xludf.DUMMYFUNCTION("""COMPUTED_VALUE"""),0.01)</f>
        <v>0.01</v>
      </c>
      <c r="K272" s="11">
        <f>IFERROR(__xludf.DUMMYFUNCTION("""COMPUTED_VALUE"""),0.11)</f>
        <v>0.11</v>
      </c>
      <c r="L272" s="11"/>
    </row>
    <row r="273" ht="15.75" customHeight="1">
      <c r="A273" s="10" t="str">
        <f>IFERROR(__xludf.DUMMYFUNCTION("""COMPUTED_VALUE"""),"https://www.moburst.com/blog/best-web-marketing-agencies-usa/")</f>
        <v>https://www.moburst.com/blog/best-web-marketing-agencies-usa/</v>
      </c>
      <c r="B273" s="11" t="str">
        <f>IFERROR(__xludf.DUMMYFUNCTION("""COMPUTED_VALUE"""),"Best Web Marketing Agencies in the USA Right Now | Moburst")</f>
        <v>Best Web Marketing Agencies in the USA Right Now | Moburst</v>
      </c>
      <c r="C273" s="10" t="str">
        <f>IFERROR(__xludf.DUMMYFUNCTION("""COMPUTED_VALUE"""),"moburst.com")</f>
        <v>moburst.com</v>
      </c>
      <c r="D273" s="11" t="str">
        <f>IFERROR(__xludf.DUMMYFUNCTION("""COMPUTED_VALUE"""),"LISTICLE")</f>
        <v>LISTICLE</v>
      </c>
      <c r="E273" s="11" t="str">
        <f>IFERROR(__xludf.DUMMYFUNCTION("""COMPUTED_VALUE"""),"CORPORATE")</f>
        <v>CORPORATE</v>
      </c>
      <c r="F273" s="11" t="str">
        <f>IFERROR(__xludf.DUMMYFUNCTION("""COMPUTED_VALUE"""),"Listicle")</f>
        <v>Listicle</v>
      </c>
      <c r="G273" s="11" t="b">
        <f>IFERROR(__xludf.DUMMYFUNCTION("""COMPUTED_VALUE"""),FALSE)</f>
        <v>0</v>
      </c>
      <c r="H273" s="11" t="str">
        <f>IFERROR(__xludf.DUMMYFUNCTION("""COMPUTED_VALUE"""),"Ignite Visibility, Disruptive Advertising, Power Digital, WebFX, NoGood, KlientBoost, Momentum")</f>
        <v>Ignite Visibility, Disruptive Advertising, Power Digital, WebFX, NoGood, KlientBoost, Momentum</v>
      </c>
      <c r="I273" s="11">
        <f>IFERROR(__xludf.DUMMYFUNCTION("""COMPUTED_VALUE"""),9.0)</f>
        <v>9</v>
      </c>
      <c r="J273" s="11">
        <f>IFERROR(__xludf.DUMMYFUNCTION("""COMPUTED_VALUE"""),0.01)</f>
        <v>0.01</v>
      </c>
      <c r="K273" s="11">
        <f>IFERROR(__xludf.DUMMYFUNCTION("""COMPUTED_VALUE"""),1.22)</f>
        <v>1.22</v>
      </c>
      <c r="L273" s="11"/>
    </row>
    <row r="274" ht="15.75" customHeight="1">
      <c r="A274" s="10" t="str">
        <f>IFERROR(__xludf.DUMMYFUNCTION("""COMPUTED_VALUE"""),"https://www.mordorintelligence.com/industry-reports/united-states-marketing-analytics-market/companies")</f>
        <v>https://www.mordorintelligence.com/industry-reports/united-states-marketing-analytics-market/companies</v>
      </c>
      <c r="B274" s="11" t="str">
        <f>IFERROR(__xludf.DUMMYFUNCTION("""COMPUTED_VALUE"""),"United States Marketing Analytics Companies - Top Players' List")</f>
        <v>United States Marketing Analytics Companies - Top Players' List</v>
      </c>
      <c r="C274" s="10" t="str">
        <f>IFERROR(__xludf.DUMMYFUNCTION("""COMPUTED_VALUE"""),"mordorintelligence.com")</f>
        <v>mordorintelligence.com</v>
      </c>
      <c r="D274" s="11" t="str">
        <f>IFERROR(__xludf.DUMMYFUNCTION("""COMPUTED_VALUE"""),"CATEGORY_PAGE")</f>
        <v>CATEGORY_PAGE</v>
      </c>
      <c r="E274" s="11" t="str">
        <f>IFERROR(__xludf.DUMMYFUNCTION("""COMPUTED_VALUE"""),"REFERENCE")</f>
        <v>REFERENCE</v>
      </c>
      <c r="F274" s="11" t="str">
        <f>IFERROR(__xludf.DUMMYFUNCTION("""COMPUTED_VALUE"""),"Category Page")</f>
        <v>Category Page</v>
      </c>
      <c r="G274" s="11" t="b">
        <f>IFERROR(__xludf.DUMMYFUNCTION("""COMPUTED_VALUE"""),FALSE)</f>
        <v>0</v>
      </c>
      <c r="H274" s="11" t="str">
        <f>IFERROR(__xludf.DUMMYFUNCTION("""COMPUTED_VALUE"""),"IBM, Neustar, Nielsen")</f>
        <v>IBM, Neustar, Nielsen</v>
      </c>
      <c r="I274" s="11">
        <f>IFERROR(__xludf.DUMMYFUNCTION("""COMPUTED_VALUE"""),9.0)</f>
        <v>9</v>
      </c>
      <c r="J274" s="11">
        <f>IFERROR(__xludf.DUMMYFUNCTION("""COMPUTED_VALUE"""),0.01)</f>
        <v>0.01</v>
      </c>
      <c r="K274" s="11">
        <f>IFERROR(__xludf.DUMMYFUNCTION("""COMPUTED_VALUE"""),0.22)</f>
        <v>0.22</v>
      </c>
      <c r="L274" s="11"/>
    </row>
    <row r="275" ht="15.75" customHeight="1">
      <c r="A275" s="10" t="str">
        <f>IFERROR(__xludf.DUMMYFUNCTION("""COMPUTED_VALUE"""),"https://www.saffronedge.com/blog/top-aeo-agency/#:~:text=10.%20Flying%20Cat%20Marketing%20%2D%20Strong%20B2B,fit%20for%20software%20companies%20and%20international%20growth.")</f>
        <v>https://www.saffronedge.com/blog/top-aeo-agency/#:~:text=10.%20Flying%20Cat%20Marketing%20%2D%20Strong%20B2B,fit%20for%20software%20companies%20and%20international%20growth.</v>
      </c>
      <c r="B275" s="11" t="str">
        <f>IFERROR(__xludf.DUMMYFUNCTION("""COMPUTED_VALUE"""),"Top 10+ Answer Engine Optimization Companies in the USA")</f>
        <v>Top 10+ Answer Engine Optimization Companies in the USA</v>
      </c>
      <c r="C275" s="10" t="str">
        <f>IFERROR(__xludf.DUMMYFUNCTION("""COMPUTED_VALUE"""),"saffronedge.com")</f>
        <v>saffronedge.com</v>
      </c>
      <c r="D275" s="11" t="str">
        <f>IFERROR(__xludf.DUMMYFUNCTION("""COMPUTED_VALUE"""),"OTHER")</f>
        <v>OTHER</v>
      </c>
      <c r="E275" s="11" t="str">
        <f>IFERROR(__xludf.DUMMYFUNCTION("""COMPUTED_VALUE"""),"CORPORATE")</f>
        <v>CORPORATE</v>
      </c>
      <c r="F275" s="11" t="str">
        <f>IFERROR(__xludf.DUMMYFUNCTION("""COMPUTED_VALUE"""),"Other")</f>
        <v>Other</v>
      </c>
      <c r="G275" s="11" t="b">
        <f>IFERROR(__xludf.DUMMYFUNCTION("""COMPUTED_VALUE"""),FALSE)</f>
        <v>0</v>
      </c>
      <c r="H275" s="11" t="str">
        <f>IFERROR(__xludf.DUMMYFUNCTION("""COMPUTED_VALUE"""),"First Page Sage, Searchbloom, iPullRank, NoGood, Marcel Digital, Clutch")</f>
        <v>First Page Sage, Searchbloom, iPullRank, NoGood, Marcel Digital, Clutch</v>
      </c>
      <c r="I275" s="11">
        <f>IFERROR(__xludf.DUMMYFUNCTION("""COMPUTED_VALUE"""),9.0)</f>
        <v>9</v>
      </c>
      <c r="J275" s="11">
        <f>IFERROR(__xludf.DUMMYFUNCTION("""COMPUTED_VALUE"""),0.01)</f>
        <v>0.01</v>
      </c>
      <c r="K275" s="11">
        <f>IFERROR(__xludf.DUMMYFUNCTION("""COMPUTED_VALUE"""),2.0)</f>
        <v>2</v>
      </c>
      <c r="L275" s="11"/>
    </row>
    <row r="276" ht="15.75" customHeight="1">
      <c r="A276" s="10" t="str">
        <f>IFERROR(__xludf.DUMMYFUNCTION("""COMPUTED_VALUE"""),"https://smacient.com/top-geo-agencies-in-the-usa/")</f>
        <v>https://smacient.com/top-geo-agencies-in-the-usa/</v>
      </c>
      <c r="B276" s="11" t="str">
        <f>IFERROR(__xludf.DUMMYFUNCTION("""COMPUTED_VALUE"""),"Top GEO Agencies in the USA - Smacient")</f>
        <v>Top GEO Agencies in the USA - Smacient</v>
      </c>
      <c r="C276" s="10" t="str">
        <f>IFERROR(__xludf.DUMMYFUNCTION("""COMPUTED_VALUE"""),"smacient.com")</f>
        <v>smacient.com</v>
      </c>
      <c r="D276" s="11" t="str">
        <f>IFERROR(__xludf.DUMMYFUNCTION("""COMPUTED_VALUE"""),"LISTICLE")</f>
        <v>LISTICLE</v>
      </c>
      <c r="E276" s="11" t="str">
        <f>IFERROR(__xludf.DUMMYFUNCTION("""COMPUTED_VALUE"""),"CORPORATE")</f>
        <v>CORPORATE</v>
      </c>
      <c r="F276" s="11" t="str">
        <f>IFERROR(__xludf.DUMMYFUNCTION("""COMPUTED_VALUE"""),"Listicle")</f>
        <v>Listicle</v>
      </c>
      <c r="G276" s="11" t="b">
        <f>IFERROR(__xludf.DUMMYFUNCTION("""COMPUTED_VALUE"""),FALSE)</f>
        <v>0</v>
      </c>
      <c r="H276" s="11" t="str">
        <f>IFERROR(__xludf.DUMMYFUNCTION("""COMPUTED_VALUE"""),"First Page Sage, Intero Digital, Directive, Stratabeat")</f>
        <v>First Page Sage, Intero Digital, Directive, Stratabeat</v>
      </c>
      <c r="I276" s="11">
        <f>IFERROR(__xludf.DUMMYFUNCTION("""COMPUTED_VALUE"""),9.0)</f>
        <v>9</v>
      </c>
      <c r="J276" s="11">
        <f>IFERROR(__xludf.DUMMYFUNCTION("""COMPUTED_VALUE"""),0.01)</f>
        <v>0.01</v>
      </c>
      <c r="K276" s="11">
        <f>IFERROR(__xludf.DUMMYFUNCTION("""COMPUTED_VALUE"""),0.11)</f>
        <v>0.11</v>
      </c>
      <c r="L276" s="11"/>
    </row>
    <row r="277" ht="15.75" customHeight="1">
      <c r="A277" s="10" t="str">
        <f>IFERROR(__xludf.DUMMYFUNCTION("""COMPUTED_VALUE"""),"https://www.sortlist.com/s/ai-marketing/united-states-us")</f>
        <v>https://www.sortlist.com/s/ai-marketing/united-states-us</v>
      </c>
      <c r="B277" s="11" t="str">
        <f>IFERROR(__xludf.DUMMYFUNCTION("""COMPUTED_VALUE"""),"The 10 Best AI Marketing Companies in the United States - 2026 Reviews")</f>
        <v>The 10 Best AI Marketing Companies in the United States - 2026 Reviews</v>
      </c>
      <c r="C277" s="10" t="str">
        <f>IFERROR(__xludf.DUMMYFUNCTION("""COMPUTED_VALUE"""),"sortlist.com")</f>
        <v>sortlist.com</v>
      </c>
      <c r="D277" s="11" t="str">
        <f>IFERROR(__xludf.DUMMYFUNCTION("""COMPUTED_VALUE"""),"CATEGORY_PAGE")</f>
        <v>CATEGORY_PAGE</v>
      </c>
      <c r="E277" s="11" t="str">
        <f>IFERROR(__xludf.DUMMYFUNCTION("""COMPUTED_VALUE"""),"CORPORATE")</f>
        <v>CORPORATE</v>
      </c>
      <c r="F277" s="11" t="str">
        <f>IFERROR(__xludf.DUMMYFUNCTION("""COMPUTED_VALUE"""),"Category Page")</f>
        <v>Category Page</v>
      </c>
      <c r="G277" s="11" t="b">
        <f>IFERROR(__xludf.DUMMYFUNCTION("""COMPUTED_VALUE"""),FALSE)</f>
        <v>0</v>
      </c>
      <c r="H277" s="11" t="str">
        <f>IFERROR(__xludf.DUMMYFUNCTION("""COMPUTED_VALUE"""),"Clutch")</f>
        <v>Clutch</v>
      </c>
      <c r="I277" s="11">
        <f>IFERROR(__xludf.DUMMYFUNCTION("""COMPUTED_VALUE"""),9.0)</f>
        <v>9</v>
      </c>
      <c r="J277" s="11">
        <f>IFERROR(__xludf.DUMMYFUNCTION("""COMPUTED_VALUE"""),0.01)</f>
        <v>0.01</v>
      </c>
      <c r="K277" s="11">
        <f>IFERROR(__xludf.DUMMYFUNCTION("""COMPUTED_VALUE"""),0.22)</f>
        <v>0.22</v>
      </c>
      <c r="L277" s="11"/>
    </row>
    <row r="278" ht="15.75" customHeight="1">
      <c r="A278" s="10" t="str">
        <f>IFERROR(__xludf.DUMMYFUNCTION("""COMPUTED_VALUE"""),"https://sourceloop.ai/blog/best-marketing-measurement-tools/")</f>
        <v>https://sourceloop.ai/blog/best-marketing-measurement-tools/</v>
      </c>
      <c r="B278" s="11" t="str">
        <f>IFERROR(__xludf.DUMMYFUNCTION("""COMPUTED_VALUE"""),"10 Best Marketing Measurement Tools: Compared in 2026 | SourceLoop")</f>
        <v>10 Best Marketing Measurement Tools: Compared in 2026 | SourceLoop</v>
      </c>
      <c r="C278" s="10" t="str">
        <f>IFERROR(__xludf.DUMMYFUNCTION("""COMPUTED_VALUE"""),"sourceloop.ai")</f>
        <v>sourceloop.ai</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t="str">
        <f>IFERROR(__xludf.DUMMYFUNCTION("""COMPUTED_VALUE"""),"Northbeam, Triple Whale, Measured, Recast, INCRMNTAL, Rockerbox, Sellforte, Analytic Partners, Cometly, Nielsen, TransUnion")</f>
        <v>Northbeam, Triple Whale, Measured, Recast, INCRMNTAL, Rockerbox, Sellforte, Analytic Partners, Cometly, Nielsen, TransUnion</v>
      </c>
      <c r="I278" s="11">
        <f>IFERROR(__xludf.DUMMYFUNCTION("""COMPUTED_VALUE"""),9.0)</f>
        <v>9</v>
      </c>
      <c r="J278" s="11">
        <f>IFERROR(__xludf.DUMMYFUNCTION("""COMPUTED_VALUE"""),0.01)</f>
        <v>0.01</v>
      </c>
      <c r="K278" s="11">
        <f>IFERROR(__xludf.DUMMYFUNCTION("""COMPUTED_VALUE"""),0.33)</f>
        <v>0.33</v>
      </c>
      <c r="L278" s="11"/>
    </row>
    <row r="279" ht="15.75" customHeight="1">
      <c r="A279" s="10" t="str">
        <f>IFERROR(__xludf.DUMMYFUNCTION("""COMPUTED_VALUE"""),"https://thedigitalelevator.com/blog/best-ai-seo-agencies/")</f>
        <v>https://thedigitalelevator.com/blog/best-ai-seo-agencies/</v>
      </c>
      <c r="B279" s="11" t="str">
        <f>IFERROR(__xludf.DUMMYFUNCTION("""COMPUTED_VALUE"""),"The 10 Best AI SEO Agencies in 2026 | Digital Elevator")</f>
        <v>The 10 Best AI SEO Agencies in 2026 | Digital Elevator</v>
      </c>
      <c r="C279" s="10" t="str">
        <f>IFERROR(__xludf.DUMMYFUNCTION("""COMPUTED_VALUE"""),"thedigitalelevator.com")</f>
        <v>thedigitalelevator.com</v>
      </c>
      <c r="D279" s="11" t="str">
        <f>IFERROR(__xludf.DUMMYFUNCTION("""COMPUTED_VALUE"""),"LISTICLE")</f>
        <v>LISTICLE</v>
      </c>
      <c r="E279" s="11" t="str">
        <f>IFERROR(__xludf.DUMMYFUNCTION("""COMPUTED_VALUE"""),"CORPORATE")</f>
        <v>CORPORATE</v>
      </c>
      <c r="F279" s="11" t="str">
        <f>IFERROR(__xludf.DUMMYFUNCTION("""COMPUTED_VALUE"""),"Listicle")</f>
        <v>Listicle</v>
      </c>
      <c r="G279" s="11" t="b">
        <f>IFERROR(__xludf.DUMMYFUNCTION("""COMPUTED_VALUE"""),FALSE)</f>
        <v>0</v>
      </c>
      <c r="H279" s="11" t="str">
        <f>IFERROR(__xludf.DUMMYFUNCTION("""COMPUTED_VALUE"""),"Graphite, Siege Media, Intero Digital, iPullRank, Go Fish Digital")</f>
        <v>Graphite, Siege Media, Intero Digital, iPullRank, Go Fish Digital</v>
      </c>
      <c r="I279" s="11">
        <f>IFERROR(__xludf.DUMMYFUNCTION("""COMPUTED_VALUE"""),9.0)</f>
        <v>9</v>
      </c>
      <c r="J279" s="11">
        <f>IFERROR(__xludf.DUMMYFUNCTION("""COMPUTED_VALUE"""),0.01)</f>
        <v>0.01</v>
      </c>
      <c r="K279" s="11">
        <f>IFERROR(__xludf.DUMMYFUNCTION("""COMPUTED_VALUE"""),1.0)</f>
        <v>1</v>
      </c>
      <c r="L279" s="11"/>
    </row>
    <row r="280" ht="15.75" customHeight="1">
      <c r="A280" s="10" t="str">
        <f>IFERROR(__xludf.DUMMYFUNCTION("""COMPUTED_VALUE"""),"https://wildnetmarketing.agency/blog/best-performance-marketing-agencies-in-usa/")</f>
        <v>https://wildnetmarketing.agency/blog/best-performance-marketing-agencies-in-usa/</v>
      </c>
      <c r="B280" s="11" t="str">
        <f>IFERROR(__xludf.DUMMYFUNCTION("""COMPUTED_VALUE"""),"Best Performance Marketing Agencies in USA 2026")</f>
        <v>Best Performance Marketing Agencies in USA 2026</v>
      </c>
      <c r="C280" s="11" t="str">
        <f>IFERROR(__xludf.DUMMYFUNCTION("""COMPUTED_VALUE"""),"wildnetmarketing.agency")</f>
        <v>wildnetmarketing.agency</v>
      </c>
      <c r="D280" s="11" t="str">
        <f>IFERROR(__xludf.DUMMYFUNCTION("""COMPUTED_VALUE"""),"LISTICLE")</f>
        <v>LISTICLE</v>
      </c>
      <c r="E280" s="11" t="str">
        <f>IFERROR(__xludf.DUMMYFUNCTION("""COMPUTED_VALUE"""),"CORPORATE")</f>
        <v>CORPORATE</v>
      </c>
      <c r="F280" s="11" t="str">
        <f>IFERROR(__xludf.DUMMYFUNCTION("""COMPUTED_VALUE"""),"Listicle")</f>
        <v>Listicle</v>
      </c>
      <c r="G280" s="11" t="b">
        <f>IFERROR(__xludf.DUMMYFUNCTION("""COMPUTED_VALUE"""),FALSE)</f>
        <v>0</v>
      </c>
      <c r="H280" s="11" t="str">
        <f>IFERROR(__xludf.DUMMYFUNCTION("""COMPUTED_VALUE"""),"Merkle, Ogilvy, VML, Digitas, iProspect, Accenture Song, Deloitte Digital, Publicis Groupe, Dentsu")</f>
        <v>Merkle, Ogilvy, VML, Digitas, iProspect, Accenture Song, Deloitte Digital, Publicis Groupe, Dentsu</v>
      </c>
      <c r="I280" s="11">
        <f>IFERROR(__xludf.DUMMYFUNCTION("""COMPUTED_VALUE"""),9.0)</f>
        <v>9</v>
      </c>
      <c r="J280" s="11">
        <f>IFERROR(__xludf.DUMMYFUNCTION("""COMPUTED_VALUE"""),0.01)</f>
        <v>0.01</v>
      </c>
      <c r="K280" s="11">
        <f>IFERROR(__xludf.DUMMYFUNCTION("""COMPUTED_VALUE"""),0.0)</f>
        <v>0</v>
      </c>
      <c r="L280" s="11"/>
    </row>
    <row r="281" ht="15.75" customHeight="1">
      <c r="A281" s="10" t="str">
        <f>IFERROR(__xludf.DUMMYFUNCTION("""COMPUTED_VALUE"""),"https://amworldgroup.com/best/digital-marketing-agency-worldwide")</f>
        <v>https://amworldgroup.com/best/digital-marketing-agency-worldwide</v>
      </c>
      <c r="B281" s="11" t="str">
        <f>IFERROR(__xludf.DUMMYFUNCTION("""COMPUTED_VALUE"""),"Best Digital Marketing Agencies Worldwide (2026) | AMW®")</f>
        <v>Best Digital Marketing Agencies Worldwide (2026) | AMW®</v>
      </c>
      <c r="C281" s="10" t="str">
        <f>IFERROR(__xludf.DUMMYFUNCTION("""COMPUTED_VALUE"""),"amworldgroup.com")</f>
        <v>amworldgroup.com</v>
      </c>
      <c r="D281" s="11" t="str">
        <f>IFERROR(__xludf.DUMMYFUNCTION("""COMPUTED_VALUE"""),"LISTICLE")</f>
        <v>LISTICLE</v>
      </c>
      <c r="E281" s="11" t="str">
        <f>IFERROR(__xludf.DUMMYFUNCTION("""COMPUTED_VALUE"""),"CORPORATE")</f>
        <v>CORPORATE</v>
      </c>
      <c r="F281" s="11" t="str">
        <f>IFERROR(__xludf.DUMMYFUNCTION("""COMPUTED_VALUE"""),"Listicle")</f>
        <v>Listicle</v>
      </c>
      <c r="G281" s="11" t="b">
        <f>IFERROR(__xludf.DUMMYFUNCTION("""COMPUTED_VALUE"""),FALSE)</f>
        <v>0</v>
      </c>
      <c r="H281" s="11"/>
      <c r="I281" s="11">
        <f>IFERROR(__xludf.DUMMYFUNCTION("""COMPUTED_VALUE"""),8.0)</f>
        <v>8</v>
      </c>
      <c r="J281" s="11">
        <f>IFERROR(__xludf.DUMMYFUNCTION("""COMPUTED_VALUE"""),0.01)</f>
        <v>0.01</v>
      </c>
      <c r="K281" s="11">
        <f>IFERROR(__xludf.DUMMYFUNCTION("""COMPUTED_VALUE"""),0.0)</f>
        <v>0</v>
      </c>
      <c r="L281" s="11"/>
    </row>
    <row r="282" ht="15.75" customHeight="1">
      <c r="A282" s="10" t="str">
        <f>IFERROR(__xludf.DUMMYFUNCTION("""COMPUTED_VALUE"""),"https://avidtrak.com/resource/best-market-attribution-software")</f>
        <v>https://avidtrak.com/resource/best-market-attribution-software</v>
      </c>
      <c r="B282" s="11" t="str">
        <f>IFERROR(__xludf.DUMMYFUNCTION("""COMPUTED_VALUE"""),"9 Best Marketing Attribution Software for Agencies")</f>
        <v>9 Best Marketing Attribution Software for Agencies</v>
      </c>
      <c r="C282" s="10" t="str">
        <f>IFERROR(__xludf.DUMMYFUNCTION("""COMPUTED_VALUE"""),"avidtrak.com")</f>
        <v>avidtrak.com</v>
      </c>
      <c r="D282" s="11" t="str">
        <f>IFERROR(__xludf.DUMMYFUNCTION("""COMPUTED_VALUE"""),"LISTICLE")</f>
        <v>LISTICLE</v>
      </c>
      <c r="E282" s="11" t="str">
        <f>IFERROR(__xludf.DUMMYFUNCTION("""COMPUTED_VALUE"""),"CORPORATE")</f>
        <v>CORPORATE</v>
      </c>
      <c r="F282" s="11" t="str">
        <f>IFERROR(__xludf.DUMMYFUNCTION("""COMPUTED_VALUE"""),"Listicle")</f>
        <v>Listicle</v>
      </c>
      <c r="G282" s="11" t="b">
        <f>IFERROR(__xludf.DUMMYFUNCTION("""COMPUTED_VALUE"""),FALSE)</f>
        <v>0</v>
      </c>
      <c r="H282" s="11" t="str">
        <f>IFERROR(__xludf.DUMMYFUNCTION("""COMPUTED_VALUE"""),"Ruler Analytics, Nielsen")</f>
        <v>Ruler Analytics, Nielsen</v>
      </c>
      <c r="I282" s="11">
        <f>IFERROR(__xludf.DUMMYFUNCTION("""COMPUTED_VALUE"""),8.0)</f>
        <v>8</v>
      </c>
      <c r="J282" s="11">
        <f>IFERROR(__xludf.DUMMYFUNCTION("""COMPUTED_VALUE"""),0.01)</f>
        <v>0.01</v>
      </c>
      <c r="K282" s="11">
        <f>IFERROR(__xludf.DUMMYFUNCTION("""COMPUTED_VALUE"""),0.0)</f>
        <v>0</v>
      </c>
      <c r="L282" s="11"/>
    </row>
    <row r="283" ht="15.75" customHeight="1">
      <c r="A283" s="10" t="str">
        <f>IFERROR(__xludf.DUMMYFUNCTION("""COMPUTED_VALUE"""),"https://brillmedia.co/resources/best-display-advertising-agencies/")</f>
        <v>https://brillmedia.co/resources/best-display-advertising-agencies/</v>
      </c>
      <c r="B283" s="11" t="str">
        <f>IFERROR(__xludf.DUMMYFUNCTION("""COMPUTED_VALUE"""),"Best Display Advertising Agencies | Brill Media")</f>
        <v>Best Display Advertising Agencies | Brill Media</v>
      </c>
      <c r="C283" s="10" t="str">
        <f>IFERROR(__xludf.DUMMYFUNCTION("""COMPUTED_VALUE"""),"brillmedia.co")</f>
        <v>brillmedia.co</v>
      </c>
      <c r="D283" s="11" t="str">
        <f>IFERROR(__xludf.DUMMYFUNCTION("""COMPUTED_VALUE"""),"LISTICLE")</f>
        <v>LISTICLE</v>
      </c>
      <c r="E283" s="11" t="str">
        <f>IFERROR(__xludf.DUMMYFUNCTION("""COMPUTED_VALUE"""),"CORPORATE")</f>
        <v>CORPORATE</v>
      </c>
      <c r="F283" s="11" t="str">
        <f>IFERROR(__xludf.DUMMYFUNCTION("""COMPUTED_VALUE"""),"Listicle")</f>
        <v>Listicle</v>
      </c>
      <c r="G283" s="11" t="b">
        <f>IFERROR(__xludf.DUMMYFUNCTION("""COMPUTED_VALUE"""),FALSE)</f>
        <v>0</v>
      </c>
      <c r="H283" s="11" t="str">
        <f>IFERROR(__xludf.DUMMYFUNCTION("""COMPUTED_VALUE"""),"WebFX")</f>
        <v>WebFX</v>
      </c>
      <c r="I283" s="11">
        <f>IFERROR(__xludf.DUMMYFUNCTION("""COMPUTED_VALUE"""),8.0)</f>
        <v>8</v>
      </c>
      <c r="J283" s="11">
        <f>IFERROR(__xludf.DUMMYFUNCTION("""COMPUTED_VALUE"""),0.01)</f>
        <v>0.01</v>
      </c>
      <c r="K283" s="11">
        <f>IFERROR(__xludf.DUMMYFUNCTION("""COMPUTED_VALUE"""),1.13)</f>
        <v>1.13</v>
      </c>
      <c r="L283" s="11"/>
    </row>
    <row r="284" ht="15.75" customHeight="1">
      <c r="A284" s="10" t="str">
        <f>IFERROR(__xludf.DUMMYFUNCTION("""COMPUTED_VALUE"""),"https://clutch.co/agencies/ppc/display%3Fpage%3D0")</f>
        <v>https://clutch.co/agencies/ppc/display%3Fpage%3D0</v>
      </c>
      <c r="B284" s="11" t="str">
        <f>IFERROR(__xludf.DUMMYFUNCTION("""COMPUTED_VALUE"""),"Top Display Advertising Agencies - Jul 2026 Rankings | Clutch.co")</f>
        <v>Top Display Advertising Agencies - Jul 2026 Rankings | Clutch.co</v>
      </c>
      <c r="C284" s="10" t="str">
        <f>IFERROR(__xludf.DUMMYFUNCTION("""COMPUTED_VALUE"""),"clutch.co")</f>
        <v>clutch.co</v>
      </c>
      <c r="D284" s="11" t="str">
        <f>IFERROR(__xludf.DUMMYFUNCTION("""COMPUTED_VALUE"""),"PROFILE")</f>
        <v>PROFILE</v>
      </c>
      <c r="E284" s="11" t="str">
        <f>IFERROR(__xludf.DUMMYFUNCTION("""COMPUTED_VALUE"""),"COMPETITOR")</f>
        <v>COMPETITOR</v>
      </c>
      <c r="F284" s="11" t="str">
        <f>IFERROR(__xludf.DUMMYFUNCTION("""COMPUTED_VALUE"""),"Profile")</f>
        <v>Profile</v>
      </c>
      <c r="G284" s="11" t="b">
        <f>IFERROR(__xludf.DUMMYFUNCTION("""COMPUTED_VALUE"""),FALSE)</f>
        <v>0</v>
      </c>
      <c r="H284" s="11" t="str">
        <f>IFERROR(__xludf.DUMMYFUNCTION("""COMPUTED_VALUE"""),"Clutch, Elit-Web, AdVenture Media, NinjaPromo, Storm Brain, Huge, The SEO Works")</f>
        <v>Clutch, Elit-Web, AdVenture Media, NinjaPromo, Storm Brain, Huge, The SEO Works</v>
      </c>
      <c r="I284" s="11">
        <f>IFERROR(__xludf.DUMMYFUNCTION("""COMPUTED_VALUE"""),8.0)</f>
        <v>8</v>
      </c>
      <c r="J284" s="11">
        <f>IFERROR(__xludf.DUMMYFUNCTION("""COMPUTED_VALUE"""),0.01)</f>
        <v>0.01</v>
      </c>
      <c r="K284" s="11">
        <f>IFERROR(__xludf.DUMMYFUNCTION("""COMPUTED_VALUE"""),0.0)</f>
        <v>0</v>
      </c>
      <c r="L284" s="11"/>
    </row>
    <row r="285" ht="15.75" customHeight="1">
      <c r="A285" s="10" t="str">
        <f>IFERROR(__xludf.DUMMYFUNCTION("""COMPUTED_VALUE"""),"https://clutch.co/us/agencies/digital-marketing/enterprise")</f>
        <v>https://clutch.co/us/agencies/digital-marketing/enterprise</v>
      </c>
      <c r="B285" s="11" t="str">
        <f>IFERROR(__xludf.DUMMYFUNCTION("""COMPUTED_VALUE"""),"Top Digital Marketing Agencies for Enterprise in the United States - Jul 2026 Rankings | Clutch.co")</f>
        <v>Top Digital Marketing Agencies for Enterprise in the United States - Jul 2026 Rankings | Clutch.co</v>
      </c>
      <c r="C285" s="10" t="str">
        <f>IFERROR(__xludf.DUMMYFUNCTION("""COMPUTED_VALUE"""),"clutch.co")</f>
        <v>clutch.co</v>
      </c>
      <c r="D285" s="11" t="str">
        <f>IFERROR(__xludf.DUMMYFUNCTION("""COMPUTED_VALUE"""),"CATEGORY_PAGE")</f>
        <v>CATEGORY_PAGE</v>
      </c>
      <c r="E285" s="11" t="str">
        <f>IFERROR(__xludf.DUMMYFUNCTION("""COMPUTED_VALUE"""),"COMPETITOR")</f>
        <v>COMPETITOR</v>
      </c>
      <c r="F285" s="11" t="str">
        <f>IFERROR(__xludf.DUMMYFUNCTION("""COMPUTED_VALUE"""),"Category Page")</f>
        <v>Category Page</v>
      </c>
      <c r="G285" s="11" t="b">
        <f>IFERROR(__xludf.DUMMYFUNCTION("""COMPUTED_VALUE"""),FALSE)</f>
        <v>0</v>
      </c>
      <c r="H285" s="11" t="str">
        <f>IFERROR(__xludf.DUMMYFUNCTION("""COMPUTED_VALUE"""),"Clutch, Thrive Internet Marketing Agency, Intero Digital, Disruptive Advertising, Ignite Visibility, Elit-Web, NinjaPromo, HawkSEM, WebFX, KlientBoost, Victorious, Siege Media, Searchbloom, Marcel Digital, Brighter Click, Storm Brain, Power Digital")</f>
        <v>Clutch, Thrive Internet Marketing Agency, Intero Digital, Disruptive Advertising, Ignite Visibility, Elit-Web, NinjaPromo, HawkSEM, WebFX, KlientBoost, Victorious, Siege Media, Searchbloom, Marcel Digital, Brighter Click, Storm Brain, Power Digital</v>
      </c>
      <c r="I285" s="11">
        <f>IFERROR(__xludf.DUMMYFUNCTION("""COMPUTED_VALUE"""),8.0)</f>
        <v>8</v>
      </c>
      <c r="J285" s="11">
        <f>IFERROR(__xludf.DUMMYFUNCTION("""COMPUTED_VALUE"""),0.01)</f>
        <v>0.01</v>
      </c>
      <c r="K285" s="11">
        <f>IFERROR(__xludf.DUMMYFUNCTION("""COMPUTED_VALUE"""),0.13)</f>
        <v>0.13</v>
      </c>
      <c r="L285" s="11"/>
    </row>
    <row r="286" ht="15.75" customHeight="1">
      <c r="A286" s="10" t="str">
        <f>IFERROR(__xludf.DUMMYFUNCTION("""COMPUTED_VALUE"""),"https://www.cometly.com/post/incrementality-testing-software")</f>
        <v>https://www.cometly.com/post/incrementality-testing-software</v>
      </c>
      <c r="B286" s="11" t="str">
        <f>IFERROR(__xludf.DUMMYFUNCTION("""COMPUTED_VALUE"""),"Best Incrementality Testing Software Tools Guide 2026")</f>
        <v>Best Incrementality Testing Software Tools Guide 2026</v>
      </c>
      <c r="C286" s="10" t="str">
        <f>IFERROR(__xludf.DUMMYFUNCTION("""COMPUTED_VALUE"""),"cometly.com")</f>
        <v>cometly.com</v>
      </c>
      <c r="D286" s="11" t="str">
        <f>IFERROR(__xludf.DUMMYFUNCTION("""COMPUTED_VALUE"""),"LISTICLE")</f>
        <v>LISTICLE</v>
      </c>
      <c r="E286" s="11" t="str">
        <f>IFERROR(__xludf.DUMMYFUNCTION("""COMPUTED_VALUE"""),"COMPETITOR")</f>
        <v>COMPETITOR</v>
      </c>
      <c r="F286" s="11" t="str">
        <f>IFERROR(__xludf.DUMMYFUNCTION("""COMPUTED_VALUE"""),"Listicle")</f>
        <v>Listicle</v>
      </c>
      <c r="G286" s="11" t="b">
        <f>IFERROR(__xludf.DUMMYFUNCTION("""COMPUTED_VALUE"""),FALSE)</f>
        <v>0</v>
      </c>
      <c r="H286" s="11" t="str">
        <f>IFERROR(__xludf.DUMMYFUNCTION("""COMPUTED_VALUE"""),"Cometly, Measured, Rockerbox, Northbeam, Haus, Recast")</f>
        <v>Cometly, Measured, Rockerbox, Northbeam, Haus, Recast</v>
      </c>
      <c r="I286" s="11">
        <f>IFERROR(__xludf.DUMMYFUNCTION("""COMPUTED_VALUE"""),8.0)</f>
        <v>8</v>
      </c>
      <c r="J286" s="11">
        <f>IFERROR(__xludf.DUMMYFUNCTION("""COMPUTED_VALUE"""),0.01)</f>
        <v>0.01</v>
      </c>
      <c r="K286" s="11">
        <f>IFERROR(__xludf.DUMMYFUNCTION("""COMPUTED_VALUE"""),0.75)</f>
        <v>0.75</v>
      </c>
      <c r="L286" s="11"/>
    </row>
    <row r="287" ht="15.75" customHeight="1">
      <c r="A287" s="10" t="str">
        <f>IFERROR(__xludf.DUMMYFUNCTION("""COMPUTED_VALUE"""),"https://www.fieldtrip.agency/post/best-ai-marketing-agencies#:~:text=The%20agency%20offers%20proprietary%20Integrative%20AI%C2%AE%20methodology,local%20implementation%20in%20more%20than%2040%20markets.")</f>
        <v>https://www.fieldtrip.agency/post/best-ai-marketing-agencies#:~:text=The%20agency%20offers%20proprietary%20Integrative%20AI%C2%AE%20methodology,local%20implementation%20in%20more%20than%2040%20markets.</v>
      </c>
      <c r="B287" s="11" t="str">
        <f>IFERROR(__xludf.DUMMYFUNCTION("""COMPUTED_VALUE"""),"Best AI Marketing Agencies Building the Next Era of Advertising")</f>
        <v>Best AI Marketing Agencies Building the Next Era of Advertising</v>
      </c>
      <c r="C287" s="11" t="str">
        <f>IFERROR(__xludf.DUMMYFUNCTION("""COMPUTED_VALUE"""),"fieldtrip.agency")</f>
        <v>fieldtrip.agency</v>
      </c>
      <c r="D287" s="11" t="str">
        <f>IFERROR(__xludf.DUMMYFUNCTION("""COMPUTED_VALUE"""),"LISTICLE")</f>
        <v>LISTICLE</v>
      </c>
      <c r="E287" s="11" t="str">
        <f>IFERROR(__xludf.DUMMYFUNCTION("""COMPUTED_VALUE"""),"CORPORATE")</f>
        <v>CORPORATE</v>
      </c>
      <c r="F287" s="11" t="str">
        <f>IFERROR(__xludf.DUMMYFUNCTION("""COMPUTED_VALUE"""),"Listicle")</f>
        <v>Listicle</v>
      </c>
      <c r="G287" s="11" t="b">
        <f>IFERROR(__xludf.DUMMYFUNCTION("""COMPUTED_VALUE"""),FALSE)</f>
        <v>0</v>
      </c>
      <c r="H287" s="11" t="str">
        <f>IFERROR(__xludf.DUMMYFUNCTION("""COMPUTED_VALUE"""),"Jellyfish, Keenfolks, Monks, Superside, Single Grain, Wpromote, TransUnion, Brainlabs, Measured, Power Digital, McKinsey, QuantumBlack, inBeat")</f>
        <v>Jellyfish, Keenfolks, Monks, Superside, Single Grain, Wpromote, TransUnion, Brainlabs, Measured, Power Digital, McKinsey, QuantumBlack, inBeat</v>
      </c>
      <c r="I287" s="11">
        <f>IFERROR(__xludf.DUMMYFUNCTION("""COMPUTED_VALUE"""),8.0)</f>
        <v>8</v>
      </c>
      <c r="J287" s="11">
        <f>IFERROR(__xludf.DUMMYFUNCTION("""COMPUTED_VALUE"""),0.01)</f>
        <v>0.01</v>
      </c>
      <c r="K287" s="11">
        <f>IFERROR(__xludf.DUMMYFUNCTION("""COMPUTED_VALUE"""),2.0)</f>
        <v>2</v>
      </c>
      <c r="L287" s="11"/>
    </row>
    <row r="288" ht="15.75" customHeight="1">
      <c r="A288" s="10" t="str">
        <f>IFERROR(__xludf.DUMMYFUNCTION("""COMPUTED_VALUE"""),"https://www.goodfirms.co/advertising-companies/programmatic")</f>
        <v>https://www.goodfirms.co/advertising-companies/programmatic</v>
      </c>
      <c r="B288" s="11" t="str">
        <f>IFERROR(__xludf.DUMMYFUNCTION("""COMPUTED_VALUE"""),"Top Programmatic Advertising Companies - 2026 Reviews | Goodfirms")</f>
        <v>Top Programmatic Advertising Companies - 2026 Reviews | Goodfirms</v>
      </c>
      <c r="C288" s="10" t="str">
        <f>IFERROR(__xludf.DUMMYFUNCTION("""COMPUTED_VALUE"""),"goodfirms.co")</f>
        <v>goodfirms.co</v>
      </c>
      <c r="D288" s="11" t="str">
        <f>IFERROR(__xludf.DUMMYFUNCTION("""COMPUTED_VALUE"""),"CATEGORY_PAGE")</f>
        <v>CATEGORY_PAGE</v>
      </c>
      <c r="E288" s="11" t="str">
        <f>IFERROR(__xludf.DUMMYFUNCTION("""COMPUTED_VALUE"""),"UGC")</f>
        <v>UGC</v>
      </c>
      <c r="F288" s="11" t="str">
        <f>IFERROR(__xludf.DUMMYFUNCTION("""COMPUTED_VALUE"""),"Category Page")</f>
        <v>Category Page</v>
      </c>
      <c r="G288" s="11" t="b">
        <f>IFERROR(__xludf.DUMMYFUNCTION("""COMPUTED_VALUE"""),FALSE)</f>
        <v>0</v>
      </c>
      <c r="H288" s="11" t="str">
        <f>IFERROR(__xludf.DUMMYFUNCTION("""COMPUTED_VALUE"""),"Funnel Boost Media, The SEO Works, Daydream")</f>
        <v>Funnel Boost Media, The SEO Works, Daydream</v>
      </c>
      <c r="I288" s="11">
        <f>IFERROR(__xludf.DUMMYFUNCTION("""COMPUTED_VALUE"""),8.0)</f>
        <v>8</v>
      </c>
      <c r="J288" s="11">
        <f>IFERROR(__xludf.DUMMYFUNCTION("""COMPUTED_VALUE"""),0.01)</f>
        <v>0.01</v>
      </c>
      <c r="K288" s="11">
        <f>IFERROR(__xludf.DUMMYFUNCTION("""COMPUTED_VALUE"""),0.0)</f>
        <v>0</v>
      </c>
      <c r="L288" s="11"/>
    </row>
    <row r="289" ht="15.75" customHeight="1">
      <c r="A289" s="10" t="str">
        <f>IFERROR(__xludf.DUMMYFUNCTION("""COMPUTED_VALUE"""),"https://www.goodfirms.co/directory/country/top-digital-marketing-companies/advertising-ppc/usa")</f>
        <v>https://www.goodfirms.co/directory/country/top-digital-marketing-companies/advertising-ppc/usa</v>
      </c>
      <c r="B289" s="11" t="str">
        <f>IFERROR(__xludf.DUMMYFUNCTION("""COMPUTED_VALUE"""),"Top PPC Agencies in the USA - 2026 Reviews | Goodfirms")</f>
        <v>Top PPC Agencies in the USA - 2026 Reviews | Goodfirms</v>
      </c>
      <c r="C289" s="10" t="str">
        <f>IFERROR(__xludf.DUMMYFUNCTION("""COMPUTED_VALUE"""),"goodfirms.co")</f>
        <v>goodfirms.co</v>
      </c>
      <c r="D289" s="11" t="str">
        <f>IFERROR(__xludf.DUMMYFUNCTION("""COMPUTED_VALUE"""),"CATEGORY_PAGE")</f>
        <v>CATEGORY_PAGE</v>
      </c>
      <c r="E289" s="11" t="str">
        <f>IFERROR(__xludf.DUMMYFUNCTION("""COMPUTED_VALUE"""),"UGC")</f>
        <v>UGC</v>
      </c>
      <c r="F289" s="11" t="str">
        <f>IFERROR(__xludf.DUMMYFUNCTION("""COMPUTED_VALUE"""),"Category Page")</f>
        <v>Category Page</v>
      </c>
      <c r="G289" s="11" t="b">
        <f>IFERROR(__xludf.DUMMYFUNCTION("""COMPUTED_VALUE"""),FALSE)</f>
        <v>0</v>
      </c>
      <c r="H289" s="11" t="str">
        <f>IFERROR(__xludf.DUMMYFUNCTION("""COMPUTED_VALUE"""),"WebFX, Searchbloom, SmartSites, Funnel Boost Media, Elit-Web, Storm Brain, Go Fish Digital")</f>
        <v>WebFX, Searchbloom, SmartSites, Funnel Boost Media, Elit-Web, Storm Brain, Go Fish Digital</v>
      </c>
      <c r="I289" s="11">
        <f>IFERROR(__xludf.DUMMYFUNCTION("""COMPUTED_VALUE"""),8.0)</f>
        <v>8</v>
      </c>
      <c r="J289" s="11">
        <f>IFERROR(__xludf.DUMMYFUNCTION("""COMPUTED_VALUE"""),0.01)</f>
        <v>0.01</v>
      </c>
      <c r="K289" s="11">
        <f>IFERROR(__xludf.DUMMYFUNCTION("""COMPUTED_VALUE"""),0.5)</f>
        <v>0.5</v>
      </c>
      <c r="L289" s="11"/>
    </row>
    <row r="290" ht="15.75" customHeight="1">
      <c r="A290" s="10" t="str">
        <f>IFERROR(__xludf.DUMMYFUNCTION("""COMPUTED_VALUE"""),"https://www.goodfirms.co/directory/country/top-digital-marketing-companies/media-planning-buying/usa")</f>
        <v>https://www.goodfirms.co/directory/country/top-digital-marketing-companies/media-planning-buying/usa</v>
      </c>
      <c r="B290" s="11" t="str">
        <f>IFERROR(__xludf.DUMMYFUNCTION("""COMPUTED_VALUE"""),"Top Media Buying Agencies in the United States - 2026 Reviews | Goodfirms")</f>
        <v>Top Media Buying Agencies in the United States - 2026 Reviews | Goodfirms</v>
      </c>
      <c r="C290" s="10" t="str">
        <f>IFERROR(__xludf.DUMMYFUNCTION("""COMPUTED_VALUE"""),"goodfirms.co")</f>
        <v>goodfirms.co</v>
      </c>
      <c r="D290" s="11" t="str">
        <f>IFERROR(__xludf.DUMMYFUNCTION("""COMPUTED_VALUE"""),"CATEGORY_PAGE")</f>
        <v>CATEGORY_PAGE</v>
      </c>
      <c r="E290" s="11" t="str">
        <f>IFERROR(__xludf.DUMMYFUNCTION("""COMPUTED_VALUE"""),"UGC")</f>
        <v>UGC</v>
      </c>
      <c r="F290" s="11" t="str">
        <f>IFERROR(__xludf.DUMMYFUNCTION("""COMPUTED_VALUE"""),"Category Page")</f>
        <v>Category Page</v>
      </c>
      <c r="G290" s="11" t="b">
        <f>IFERROR(__xludf.DUMMYFUNCTION("""COMPUTED_VALUE"""),FALSE)</f>
        <v>0</v>
      </c>
      <c r="H290" s="11" t="str">
        <f>IFERROR(__xludf.DUMMYFUNCTION("""COMPUTED_VALUE"""),"WebFX, SmartSites, Elit-Web")</f>
        <v>WebFX, SmartSites, Elit-Web</v>
      </c>
      <c r="I290" s="11">
        <f>IFERROR(__xludf.DUMMYFUNCTION("""COMPUTED_VALUE"""),8.0)</f>
        <v>8</v>
      </c>
      <c r="J290" s="11">
        <f>IFERROR(__xludf.DUMMYFUNCTION("""COMPUTED_VALUE"""),0.01)</f>
        <v>0.01</v>
      </c>
      <c r="K290" s="11">
        <f>IFERROR(__xludf.DUMMYFUNCTION("""COMPUTED_VALUE"""),0.0)</f>
        <v>0</v>
      </c>
      <c r="L290" s="11"/>
    </row>
    <row r="291" ht="15.75" customHeight="1">
      <c r="A291" s="10" t="str">
        <f>IFERROR(__xludf.DUMMYFUNCTION("""COMPUTED_VALUE"""),"https://grizzle.io/blog/best-generative-engine-optimization-agencies-for-b2b")</f>
        <v>https://grizzle.io/blog/best-generative-engine-optimization-agencies-for-b2b</v>
      </c>
      <c r="B291" s="11" t="str">
        <f>IFERROR(__xludf.DUMMYFUNCTION("""COMPUTED_VALUE"""),"6 best generative engine optimization (GEO) agencies for B2B to grow AI visibility in 2026")</f>
        <v>6 best generative engine optimization (GEO) agencies for B2B to grow AI visibility in 2026</v>
      </c>
      <c r="C291" s="10" t="str">
        <f>IFERROR(__xludf.DUMMYFUNCTION("""COMPUTED_VALUE"""),"grizzle.io")</f>
        <v>grizzle.io</v>
      </c>
      <c r="D291" s="11" t="str">
        <f>IFERROR(__xludf.DUMMYFUNCTION("""COMPUTED_VALUE"""),"LISTICLE")</f>
        <v>LISTICLE</v>
      </c>
      <c r="E291" s="11" t="str">
        <f>IFERROR(__xludf.DUMMYFUNCTION("""COMPUTED_VALUE"""),"OTHER")</f>
        <v>OTHER</v>
      </c>
      <c r="F291" s="11" t="str">
        <f>IFERROR(__xludf.DUMMYFUNCTION("""COMPUTED_VALUE"""),"Listicle")</f>
        <v>Listicle</v>
      </c>
      <c r="G291" s="11" t="b">
        <f>IFERROR(__xludf.DUMMYFUNCTION("""COMPUTED_VALUE"""),FALSE)</f>
        <v>0</v>
      </c>
      <c r="H291" s="11" t="str">
        <f>IFERROR(__xludf.DUMMYFUNCTION("""COMPUTED_VALUE"""),"Siege Media, Omniscient Digital, IBM, Measured, Brainlabs, Tinuiti")</f>
        <v>Siege Media, Omniscient Digital, IBM, Measured, Brainlabs, Tinuiti</v>
      </c>
      <c r="I291" s="11">
        <f>IFERROR(__xludf.DUMMYFUNCTION("""COMPUTED_VALUE"""),8.0)</f>
        <v>8</v>
      </c>
      <c r="J291" s="11">
        <f>IFERROR(__xludf.DUMMYFUNCTION("""COMPUTED_VALUE"""),0.01)</f>
        <v>0.01</v>
      </c>
      <c r="K291" s="11">
        <f>IFERROR(__xludf.DUMMYFUNCTION("""COMPUTED_VALUE"""),2.38)</f>
        <v>2.38</v>
      </c>
      <c r="L291" s="11"/>
    </row>
    <row r="292" ht="15.75" customHeight="1">
      <c r="A292" s="10" t="str">
        <f>IFERROR(__xludf.DUMMYFUNCTION("""COMPUTED_VALUE"""),"https://www.gtm8020.com/blog/marketing-analytics-agencies-b2b")</f>
        <v>https://www.gtm8020.com/blog/marketing-analytics-agencies-b2b</v>
      </c>
      <c r="B292" s="11" t="str">
        <f>IFERROR(__xludf.DUMMYFUNCTION("""COMPUTED_VALUE"""),"The 7 Best Marketing Analytics Agencies for B2B in 2026 — GTM 8020")</f>
        <v>The 7 Best Marketing Analytics Agencies for B2B in 2026 — GTM 8020</v>
      </c>
      <c r="C292" s="10" t="str">
        <f>IFERROR(__xludf.DUMMYFUNCTION("""COMPUTED_VALUE"""),"gtm8020.com")</f>
        <v>gtm8020.com</v>
      </c>
      <c r="D292" s="11" t="str">
        <f>IFERROR(__xludf.DUMMYFUNCTION("""COMPUTED_VALUE"""),"LISTICLE")</f>
        <v>LISTICLE</v>
      </c>
      <c r="E292" s="11" t="str">
        <f>IFERROR(__xludf.DUMMYFUNCTION("""COMPUTED_VALUE"""),"OTHER")</f>
        <v>OTHER</v>
      </c>
      <c r="F292" s="11" t="str">
        <f>IFERROR(__xludf.DUMMYFUNCTION("""COMPUTED_VALUE"""),"Listicle")</f>
        <v>Listicle</v>
      </c>
      <c r="G292" s="11" t="b">
        <f>IFERROR(__xludf.DUMMYFUNCTION("""COMPUTED_VALUE"""),FALSE)</f>
        <v>0</v>
      </c>
      <c r="H292" s="11" t="str">
        <f>IFERROR(__xludf.DUMMYFUNCTION("""COMPUTED_VALUE"""),"Directive, Clutch, Omniscient Digital, NP Digital")</f>
        <v>Directive, Clutch, Omniscient Digital, NP Digital</v>
      </c>
      <c r="I292" s="11">
        <f>IFERROR(__xludf.DUMMYFUNCTION("""COMPUTED_VALUE"""),8.0)</f>
        <v>8</v>
      </c>
      <c r="J292" s="11">
        <f>IFERROR(__xludf.DUMMYFUNCTION("""COMPUTED_VALUE"""),0.01)</f>
        <v>0.01</v>
      </c>
      <c r="K292" s="11">
        <f>IFERROR(__xludf.DUMMYFUNCTION("""COMPUTED_VALUE"""),0.25)</f>
        <v>0.25</v>
      </c>
      <c r="L292" s="11"/>
    </row>
    <row r="293" ht="15.75" customHeight="1">
      <c r="A293" s="10" t="str">
        <f>IFERROR(__xludf.DUMMYFUNCTION("""COMPUTED_VALUE"""),"https://liftlab.com/blog/best-mmm-platforms-2026/")</f>
        <v>https://liftlab.com/blog/best-mmm-platforms-2026/</v>
      </c>
      <c r="B293" s="11" t="str">
        <f>IFERROR(__xludf.DUMMYFUNCTION("""COMPUTED_VALUE"""),"Best MMM Platforms 2026: LiftLab vs Measured vs Recast vs Haus")</f>
        <v>Best MMM Platforms 2026: LiftLab vs Measured vs Recast vs Haus</v>
      </c>
      <c r="C293" s="10" t="str">
        <f>IFERROR(__xludf.DUMMYFUNCTION("""COMPUTED_VALUE"""),"liftlab.com")</f>
        <v>liftlab.com</v>
      </c>
      <c r="D293" s="11" t="str">
        <f>IFERROR(__xludf.DUMMYFUNCTION("""COMPUTED_VALUE"""),"COMPARISON")</f>
        <v>COMPARISON</v>
      </c>
      <c r="E293" s="11" t="str">
        <f>IFERROR(__xludf.DUMMYFUNCTION("""COMPUTED_VALUE"""),"COMPETITOR")</f>
        <v>COMPETITOR</v>
      </c>
      <c r="F293" s="11" t="str">
        <f>IFERROR(__xludf.DUMMYFUNCTION("""COMPUTED_VALUE"""),"Comparison")</f>
        <v>Comparison</v>
      </c>
      <c r="G293" s="11" t="b">
        <f>IFERROR(__xludf.DUMMYFUNCTION("""COMPUTED_VALUE"""),FALSE)</f>
        <v>0</v>
      </c>
      <c r="H293" s="11" t="str">
        <f>IFERROR(__xludf.DUMMYFUNCTION("""COMPUTED_VALUE"""),"LiftLab, Measured, Recast, Haus")</f>
        <v>LiftLab, Measured, Recast, Haus</v>
      </c>
      <c r="I293" s="11">
        <f>IFERROR(__xludf.DUMMYFUNCTION("""COMPUTED_VALUE"""),8.0)</f>
        <v>8</v>
      </c>
      <c r="J293" s="11">
        <f>IFERROR(__xludf.DUMMYFUNCTION("""COMPUTED_VALUE"""),0.01)</f>
        <v>0.01</v>
      </c>
      <c r="K293" s="11">
        <f>IFERROR(__xludf.DUMMYFUNCTION("""COMPUTED_VALUE"""),0.5)</f>
        <v>0.5</v>
      </c>
      <c r="L293" s="11"/>
    </row>
    <row r="294" ht="15.75" customHeight="1">
      <c r="A294" s="10" t="str">
        <f>IFERROR(__xludf.DUMMYFUNCTION("""COMPUTED_VALUE"""),"https://www.measured.com/faq/top-10-best-media-mix-modeling-companies-software-for-2025/")</f>
        <v>https://www.measured.com/faq/top-10-best-media-mix-modeling-companies-software-for-2025/</v>
      </c>
      <c r="B294" s="11" t="str">
        <f>IFERROR(__xludf.DUMMYFUNCTION("""COMPUTED_VALUE"""),"Top 10 Best Media Mix Modeling Companies &amp; Software for 2026")</f>
        <v>Top 10 Best Media Mix Modeling Companies &amp; Software for 2026</v>
      </c>
      <c r="C294" s="10" t="str">
        <f>IFERROR(__xludf.DUMMYFUNCTION("""COMPUTED_VALUE"""),"measured.com")</f>
        <v>measured.com</v>
      </c>
      <c r="D294" s="11" t="str">
        <f>IFERROR(__xludf.DUMMYFUNCTION("""COMPUTED_VALUE"""),"LISTICLE")</f>
        <v>LISTICLE</v>
      </c>
      <c r="E294" s="11" t="str">
        <f>IFERROR(__xludf.DUMMYFUNCTION("""COMPUTED_VALUE"""),"COMPETITOR")</f>
        <v>COMPETITOR</v>
      </c>
      <c r="F294" s="11" t="str">
        <f>IFERROR(__xludf.DUMMYFUNCTION("""COMPUTED_VALUE"""),"Listicle")</f>
        <v>Listicle</v>
      </c>
      <c r="G294" s="11" t="b">
        <f>IFERROR(__xludf.DUMMYFUNCTION("""COMPUTED_VALUE"""),FALSE)</f>
        <v>0</v>
      </c>
      <c r="H294" s="11" t="str">
        <f>IFERROR(__xludf.DUMMYFUNCTION("""COMPUTED_VALUE"""),"Measured, Nielsen, Circana, Analytic Partners, Kantar, Neustar, TransUnion, Gain Theory, WPP, Recast")</f>
        <v>Measured, Nielsen, Circana, Analytic Partners, Kantar, Neustar, TransUnion, Gain Theory, WPP, Recast</v>
      </c>
      <c r="I294" s="11">
        <f>IFERROR(__xludf.DUMMYFUNCTION("""COMPUTED_VALUE"""),8.0)</f>
        <v>8</v>
      </c>
      <c r="J294" s="11">
        <f>IFERROR(__xludf.DUMMYFUNCTION("""COMPUTED_VALUE"""),0.01)</f>
        <v>0.01</v>
      </c>
      <c r="K294" s="11">
        <f>IFERROR(__xludf.DUMMYFUNCTION("""COMPUTED_VALUE"""),0.0)</f>
        <v>0</v>
      </c>
      <c r="L294" s="11"/>
    </row>
    <row r="295" ht="15.75" customHeight="1">
      <c r="A295" s="10" t="str">
        <f>IFERROR(__xludf.DUMMYFUNCTION("""COMPUTED_VALUE"""),"https://neurons-lab.com/articles/top-ai-consulting-firms/")</f>
        <v>https://neurons-lab.com/articles/top-ai-consulting-firms/</v>
      </c>
      <c r="B295" s="11" t="str">
        <f>IFERROR(__xludf.DUMMYFUNCTION("""COMPUTED_VALUE"""),"Top AI Consulting Firms in 2026 for FSIs")</f>
        <v>Top AI Consulting Firms in 2026 for FSIs</v>
      </c>
      <c r="C295" s="10" t="str">
        <f>IFERROR(__xludf.DUMMYFUNCTION("""COMPUTED_VALUE"""),"neurons-lab.com")</f>
        <v>neurons-lab.com</v>
      </c>
      <c r="D295" s="11" t="str">
        <f>IFERROR(__xludf.DUMMYFUNCTION("""COMPUTED_VALUE"""),"LISTICLE")</f>
        <v>LISTICLE</v>
      </c>
      <c r="E295" s="11" t="str">
        <f>IFERROR(__xludf.DUMMYFUNCTION("""COMPUTED_VALUE"""),"CORPORATE")</f>
        <v>CORPORATE</v>
      </c>
      <c r="F295" s="11" t="str">
        <f>IFERROR(__xludf.DUMMYFUNCTION("""COMPUTED_VALUE"""),"Listicle")</f>
        <v>Listicle</v>
      </c>
      <c r="G295" s="11" t="b">
        <f>IFERROR(__xludf.DUMMYFUNCTION("""COMPUTED_VALUE"""),FALSE)</f>
        <v>0</v>
      </c>
      <c r="H295" s="11" t="str">
        <f>IFERROR(__xludf.DUMMYFUNCTION("""COMPUTED_VALUE"""),"BCG, Momentum")</f>
        <v>BCG, Momentum</v>
      </c>
      <c r="I295" s="11">
        <f>IFERROR(__xludf.DUMMYFUNCTION("""COMPUTED_VALUE"""),8.0)</f>
        <v>8</v>
      </c>
      <c r="J295" s="11">
        <f>IFERROR(__xludf.DUMMYFUNCTION("""COMPUTED_VALUE"""),0.01)</f>
        <v>0.01</v>
      </c>
      <c r="K295" s="11">
        <f>IFERROR(__xludf.DUMMYFUNCTION("""COMPUTED_VALUE"""),0.38)</f>
        <v>0.38</v>
      </c>
      <c r="L295" s="11"/>
    </row>
    <row r="296" ht="15.75" customHeight="1">
      <c r="A296" s="10" t="str">
        <f>IFERROR(__xludf.DUMMYFUNCTION("""COMPUTED_VALUE"""),"https://outreachz.com/blog/best-ai-marketing-agencies-2026/")</f>
        <v>https://outreachz.com/blog/best-ai-marketing-agencies-2026/</v>
      </c>
      <c r="B296" s="11" t="str">
        <f>IFERROR(__xludf.DUMMYFUNCTION("""COMPUTED_VALUE"""),"Best AI Marketing Agencies (2026): 10 Top Picks for Brands That Want Smarter Growth")</f>
        <v>Best AI Marketing Agencies (2026): 10 Top Picks for Brands That Want Smarter Growth</v>
      </c>
      <c r="C296" s="10" t="str">
        <f>IFERROR(__xludf.DUMMYFUNCTION("""COMPUTED_VALUE"""),"outreachz.com")</f>
        <v>outreachz.com</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IFERROR(__xludf.DUMMYFUNCTION("""COMPUTED_VALUE"""),"NoGood, Single Grain, NinjaPromo, NP Digital, Keenfolks, Hawke Media, Huge")</f>
        <v>NoGood, Single Grain, NinjaPromo, NP Digital, Keenfolks, Hawke Media, Huge</v>
      </c>
      <c r="I296" s="11">
        <f>IFERROR(__xludf.DUMMYFUNCTION("""COMPUTED_VALUE"""),8.0)</f>
        <v>8</v>
      </c>
      <c r="J296" s="11">
        <f>IFERROR(__xludf.DUMMYFUNCTION("""COMPUTED_VALUE"""),0.01)</f>
        <v>0.01</v>
      </c>
      <c r="K296" s="11">
        <f>IFERROR(__xludf.DUMMYFUNCTION("""COMPUTED_VALUE"""),0.75)</f>
        <v>0.75</v>
      </c>
      <c r="L296" s="11"/>
    </row>
    <row r="297" ht="15.75" customHeight="1">
      <c r="A297" s="10" t="str">
        <f>IFERROR(__xludf.DUMMYFUNCTION("""COMPUTED_VALUE"""),"https://pikaseo.com/articles/best-ai-seo-agencies")</f>
        <v>https://pikaseo.com/articles/best-ai-seo-agencies</v>
      </c>
      <c r="B297" s="11" t="str">
        <f>IFERROR(__xludf.DUMMYFUNCTION("""COMPUTED_VALUE"""),"10 Best AI SEO Agencies (GEO &amp;amp; AEO) in 2026 | PikaSEO")</f>
        <v>10 Best AI SEO Agencies (GEO &amp;amp; AEO) in 2026 | PikaSEO</v>
      </c>
      <c r="C297" s="10" t="str">
        <f>IFERROR(__xludf.DUMMYFUNCTION("""COMPUTED_VALUE"""),"pikaseo.com")</f>
        <v>pikaseo.com</v>
      </c>
      <c r="D297" s="11" t="str">
        <f>IFERROR(__xludf.DUMMYFUNCTION("""COMPUTED_VALUE"""),"LISTICLE")</f>
        <v>LISTICLE</v>
      </c>
      <c r="E297" s="11" t="str">
        <f>IFERROR(__xludf.DUMMYFUNCTION("""COMPUTED_VALUE"""),"CORPORATE")</f>
        <v>CORPORATE</v>
      </c>
      <c r="F297" s="11" t="str">
        <f>IFERROR(__xludf.DUMMYFUNCTION("""COMPUTED_VALUE"""),"Listicle")</f>
        <v>Listicle</v>
      </c>
      <c r="G297" s="11" t="b">
        <f>IFERROR(__xludf.DUMMYFUNCTION("""COMPUTED_VALUE"""),FALSE)</f>
        <v>0</v>
      </c>
      <c r="H297" s="11" t="str">
        <f>IFERROR(__xludf.DUMMYFUNCTION("""COMPUTED_VALUE"""),"iPullRank, Single Grain, NoGood, Omniscient Digital, Directive, Siege Media, WebFX, Go Fish Digital, First Page Sage, Measured")</f>
        <v>iPullRank, Single Grain, NoGood, Omniscient Digital, Directive, Siege Media, WebFX, Go Fish Digital, First Page Sage, Measured</v>
      </c>
      <c r="I297" s="11">
        <f>IFERROR(__xludf.DUMMYFUNCTION("""COMPUTED_VALUE"""),8.0)</f>
        <v>8</v>
      </c>
      <c r="J297" s="11">
        <f>IFERROR(__xludf.DUMMYFUNCTION("""COMPUTED_VALUE"""),0.01)</f>
        <v>0.01</v>
      </c>
      <c r="K297" s="11">
        <f>IFERROR(__xludf.DUMMYFUNCTION("""COMPUTED_VALUE"""),2.0)</f>
        <v>2</v>
      </c>
      <c r="L297" s="11"/>
    </row>
    <row r="298" ht="15.75" customHeight="1">
      <c r="A298" s="10" t="str">
        <f>IFERROR(__xludf.DUMMYFUNCTION("""COMPUTED_VALUE"""),"https://piperocket.digital/list/best-geo-agencies/")</f>
        <v>https://piperocket.digital/list/best-geo-agencies/</v>
      </c>
      <c r="B298" s="11" t="str">
        <f>IFERROR(__xludf.DUMMYFUNCTION("""COMPUTED_VALUE"""),"12 Best GEO (Generative Engine Optimization) Agencies 2026")</f>
        <v>12 Best GEO (Generative Engine Optimization) Agencies 2026</v>
      </c>
      <c r="C298" s="11" t="str">
        <f>IFERROR(__xludf.DUMMYFUNCTION("""COMPUTED_VALUE"""),"piperocket.digital")</f>
        <v>piperocket.digital</v>
      </c>
      <c r="D298" s="11" t="str">
        <f>IFERROR(__xludf.DUMMYFUNCTION("""COMPUTED_VALUE"""),"LISTICLE")</f>
        <v>LISTICLE</v>
      </c>
      <c r="E298" s="11" t="str">
        <f>IFERROR(__xludf.DUMMYFUNCTION("""COMPUTED_VALUE"""),"CORPORATE")</f>
        <v>CORPORATE</v>
      </c>
      <c r="F298" s="11" t="str">
        <f>IFERROR(__xludf.DUMMYFUNCTION("""COMPUTED_VALUE"""),"Listicle")</f>
        <v>Listicle</v>
      </c>
      <c r="G298" s="11" t="b">
        <f>IFERROR(__xludf.DUMMYFUNCTION("""COMPUTED_VALUE"""),FALSE)</f>
        <v>0</v>
      </c>
      <c r="H298" s="11" t="str">
        <f>IFERROR(__xludf.DUMMYFUNCTION("""COMPUTED_VALUE"""),"Clutch, iPullRank, First Page Sage, Omniscient Digital, RevenueZen, Single Grain, Animalz, WebFX, NoGood, Siege Media, KlientBoost, Power Digital")</f>
        <v>Clutch, iPullRank, First Page Sage, Omniscient Digital, RevenueZen, Single Grain, Animalz, WebFX, NoGood, Siege Media, KlientBoost, Power Digital</v>
      </c>
      <c r="I298" s="11">
        <f>IFERROR(__xludf.DUMMYFUNCTION("""COMPUTED_VALUE"""),8.0)</f>
        <v>8</v>
      </c>
      <c r="J298" s="11">
        <f>IFERROR(__xludf.DUMMYFUNCTION("""COMPUTED_VALUE"""),0.01)</f>
        <v>0.01</v>
      </c>
      <c r="K298" s="11">
        <f>IFERROR(__xludf.DUMMYFUNCTION("""COMPUTED_VALUE"""),1.75)</f>
        <v>1.75</v>
      </c>
      <c r="L298" s="11"/>
    </row>
    <row r="299" ht="15.75" customHeight="1">
      <c r="A299" s="10" t="str">
        <f>IFERROR(__xludf.DUMMYFUNCTION("""COMPUTED_VALUE"""),"https://www.plerdy.com/blog/digital-marketing-agencies-in-the-united-states/")</f>
        <v>https://www.plerdy.com/blog/digital-marketing-agencies-in-the-united-states/</v>
      </c>
      <c r="B299" s="11" t="str">
        <f>IFERROR(__xludf.DUMMYFUNCTION("""COMPUTED_VALUE"""),"Best Digital Marketing Agencies in the United States 2025 – Plerdy")</f>
        <v>Best Digital Marketing Agencies in the United States 2025 – Plerdy</v>
      </c>
      <c r="C299" s="10" t="str">
        <f>IFERROR(__xludf.DUMMYFUNCTION("""COMPUTED_VALUE"""),"plerdy.com")</f>
        <v>plerdy.com</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t="str">
        <f>IFERROR(__xludf.DUMMYFUNCTION("""COMPUTED_VALUE"""),"SmartSites, Ignite Visibility, KlientBoost, Disruptive Advertising, WebFX, Intero Digital, Storm Brain, Thrive Internet Marketing Agency")</f>
        <v>SmartSites, Ignite Visibility, KlientBoost, Disruptive Advertising, WebFX, Intero Digital, Storm Brain, Thrive Internet Marketing Agency</v>
      </c>
      <c r="I299" s="11">
        <f>IFERROR(__xludf.DUMMYFUNCTION("""COMPUTED_VALUE"""),8.0)</f>
        <v>8</v>
      </c>
      <c r="J299" s="11">
        <f>IFERROR(__xludf.DUMMYFUNCTION("""COMPUTED_VALUE"""),0.01)</f>
        <v>0.01</v>
      </c>
      <c r="K299" s="11">
        <f>IFERROR(__xludf.DUMMYFUNCTION("""COMPUTED_VALUE"""),0.0)</f>
        <v>0</v>
      </c>
      <c r="L299" s="11"/>
    </row>
    <row r="300" ht="15.75" customHeight="1">
      <c r="A300" s="10" t="str">
        <f>IFERROR(__xludf.DUMMYFUNCTION("""COMPUTED_VALUE"""),"https://www.reddit.com/r/u_Large_Let1715/comments/1tdt8px/best_marketing_analytics_firms_a_complete/")</f>
        <v>https://www.reddit.com/r/u_Large_Let1715/comments/1tdt8px/best_marketing_analytics_firms_a_complete/</v>
      </c>
      <c r="B300" s="11" t="str">
        <f>IFERROR(__xludf.DUMMYFUNCTION("""COMPUTED_VALUE"""),"Best Marketing Analytics firms - a complete breakdown in the USA")</f>
        <v>Best Marketing Analytics firms - a complete breakdown in the USA</v>
      </c>
      <c r="C300" s="10" t="str">
        <f>IFERROR(__xludf.DUMMYFUNCTION("""COMPUTED_VALUE"""),"reddit.com")</f>
        <v>reddit.com</v>
      </c>
      <c r="D300" s="11" t="str">
        <f>IFERROR(__xludf.DUMMYFUNCTION("""COMPUTED_VALUE"""),"DISCUSSION")</f>
        <v>DISCUSSION</v>
      </c>
      <c r="E300" s="11" t="str">
        <f>IFERROR(__xludf.DUMMYFUNCTION("""COMPUTED_VALUE"""),"UGC")</f>
        <v>UGC</v>
      </c>
      <c r="F300" s="11" t="str">
        <f>IFERROR(__xludf.DUMMYFUNCTION("""COMPUTED_VALUE"""),"Discussion")</f>
        <v>Discussion</v>
      </c>
      <c r="G300" s="11" t="b">
        <f>IFERROR(__xludf.DUMMYFUNCTION("""COMPUTED_VALUE"""),FALSE)</f>
        <v>0</v>
      </c>
      <c r="H300" s="11" t="str">
        <f>IFERROR(__xludf.DUMMYFUNCTION("""COMPUTED_VALUE"""),"LatentView Analytics, Fractal Analytics")</f>
        <v>LatentView Analytics, Fractal Analytics</v>
      </c>
      <c r="I300" s="11">
        <f>IFERROR(__xludf.DUMMYFUNCTION("""COMPUTED_VALUE"""),8.0)</f>
        <v>8</v>
      </c>
      <c r="J300" s="11">
        <f>IFERROR(__xludf.DUMMYFUNCTION("""COMPUTED_VALUE"""),0.01)</f>
        <v>0.01</v>
      </c>
      <c r="K300" s="11">
        <f>IFERROR(__xludf.DUMMYFUNCTION("""COMPUTED_VALUE"""),3.63)</f>
        <v>3.63</v>
      </c>
      <c r="L300" s="11"/>
    </row>
    <row r="301" ht="15.75" customHeight="1">
      <c r="A301" s="10" t="str">
        <f>IFERROR(__xludf.DUMMYFUNCTION("""COMPUTED_VALUE"""),"https://respona.com/blog/answer-engine-optimization-agencies/#:~:text=NoGood%20is%20a%20growth%20marketing%20agency%20where,not%20as%20a%20bolt%2Don%20to%20traditional%20SEO.")</f>
        <v>https://respona.com/blog/answer-engine-optimization-agencies/#:~:text=NoGood%20is%20a%20growth%20marketing%20agency%20where,not%20as%20a%20bolt%2Don%20to%20traditional%20SEO.</v>
      </c>
      <c r="B301" s="11" t="str">
        <f>IFERROR(__xludf.DUMMYFUNCTION("""COMPUTED_VALUE"""),"23 Best Answer Engine Optimization (AEO) Agencies in 2026")</f>
        <v>23 Best Answer Engine Optimization (AEO) Agencies in 2026</v>
      </c>
      <c r="C301" s="10" t="str">
        <f>IFERROR(__xludf.DUMMYFUNCTION("""COMPUTED_VALUE"""),"respona.com")</f>
        <v>respona.com</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IFERROR(__xludf.DUMMYFUNCTION("""COMPUTED_VALUE"""),"NoGood, Marcel Digital, Clutch")</f>
        <v>NoGood, Marcel Digital, Clutch</v>
      </c>
      <c r="I301" s="11">
        <f>IFERROR(__xludf.DUMMYFUNCTION("""COMPUTED_VALUE"""),8.0)</f>
        <v>8</v>
      </c>
      <c r="J301" s="11">
        <f>IFERROR(__xludf.DUMMYFUNCTION("""COMPUTED_VALUE"""),0.01)</f>
        <v>0.01</v>
      </c>
      <c r="K301" s="11">
        <f>IFERROR(__xludf.DUMMYFUNCTION("""COMPUTED_VALUE"""),1.13)</f>
        <v>1.13</v>
      </c>
      <c r="L301" s="11"/>
    </row>
    <row r="302" ht="15.75" customHeight="1">
      <c r="A302" s="10" t="str">
        <f>IFERROR(__xludf.DUMMYFUNCTION("""COMPUTED_VALUE"""),"https://www.singlegrain.com/aeo/top-14-aeo-agencies-in-2025/")</f>
        <v>https://www.singlegrain.com/aeo/top-14-aeo-agencies-in-2025/</v>
      </c>
      <c r="B302" s="11" t="str">
        <f>IFERROR(__xludf.DUMMYFUNCTION("""COMPUTED_VALUE"""),"Top 14 AEO Agencies in 2025")</f>
        <v>Top 14 AEO Agencies in 2025</v>
      </c>
      <c r="C302" s="10" t="str">
        <f>IFERROR(__xludf.DUMMYFUNCTION("""COMPUTED_VALUE"""),"singlegrain.com")</f>
        <v>singlegrain.com</v>
      </c>
      <c r="D302" s="11" t="str">
        <f>IFERROR(__xludf.DUMMYFUNCTION("""COMPUTED_VALUE"""),"LISTICLE")</f>
        <v>LISTICLE</v>
      </c>
      <c r="E302" s="11" t="str">
        <f>IFERROR(__xludf.DUMMYFUNCTION("""COMPUTED_VALUE"""),"COMPETITOR")</f>
        <v>COMPETITOR</v>
      </c>
      <c r="F302" s="11" t="str">
        <f>IFERROR(__xludf.DUMMYFUNCTION("""COMPUTED_VALUE"""),"Listicle")</f>
        <v>Listicle</v>
      </c>
      <c r="G302" s="11" t="b">
        <f>IFERROR(__xludf.DUMMYFUNCTION("""COMPUTED_VALUE"""),FALSE)</f>
        <v>0</v>
      </c>
      <c r="H302" s="11" t="str">
        <f>IFERROR(__xludf.DUMMYFUNCTION("""COMPUTED_VALUE"""),"Single Grain, NoGood, RevenueZen, iPullRank, WebFX, First Page Sage, SmartSites, Siege Media")</f>
        <v>Single Grain, NoGood, RevenueZen, iPullRank, WebFX, First Page Sage, SmartSites, Siege Media</v>
      </c>
      <c r="I302" s="11">
        <f>IFERROR(__xludf.DUMMYFUNCTION("""COMPUTED_VALUE"""),8.0)</f>
        <v>8</v>
      </c>
      <c r="J302" s="11">
        <f>IFERROR(__xludf.DUMMYFUNCTION("""COMPUTED_VALUE"""),0.01)</f>
        <v>0.01</v>
      </c>
      <c r="K302" s="11">
        <f>IFERROR(__xludf.DUMMYFUNCTION("""COMPUTED_VALUE"""),0.13)</f>
        <v>0.13</v>
      </c>
      <c r="L302" s="11"/>
    </row>
    <row r="303" ht="15.75" customHeight="1">
      <c r="A303" s="10" t="str">
        <f>IFERROR(__xludf.DUMMYFUNCTION("""COMPUTED_VALUE"""),"https://www.sortlist.com/s/international-marketing/united-states-us")</f>
        <v>https://www.sortlist.com/s/international-marketing/united-states-us</v>
      </c>
      <c r="B303" s="11" t="str">
        <f>IFERROR(__xludf.DUMMYFUNCTION("""COMPUTED_VALUE"""),"The 10 Best International Marketing Agencies in the United States - 2026 Reviews")</f>
        <v>The 10 Best International Marketing Agencies in the United States - 2026 Reviews</v>
      </c>
      <c r="C303" s="10" t="str">
        <f>IFERROR(__xludf.DUMMYFUNCTION("""COMPUTED_VALUE"""),"sortlist.com")</f>
        <v>sortlist.com</v>
      </c>
      <c r="D303" s="11" t="str">
        <f>IFERROR(__xludf.DUMMYFUNCTION("""COMPUTED_VALUE"""),"CATEGORY_PAGE")</f>
        <v>CATEGORY_PAGE</v>
      </c>
      <c r="E303" s="11" t="str">
        <f>IFERROR(__xludf.DUMMYFUNCTION("""COMPUTED_VALUE"""),"CORPORATE")</f>
        <v>CORPORATE</v>
      </c>
      <c r="F303" s="11" t="str">
        <f>IFERROR(__xludf.DUMMYFUNCTION("""COMPUTED_VALUE"""),"Category Page")</f>
        <v>Category Page</v>
      </c>
      <c r="G303" s="11" t="b">
        <f>IFERROR(__xludf.DUMMYFUNCTION("""COMPUTED_VALUE"""),FALSE)</f>
        <v>0</v>
      </c>
      <c r="H303" s="11" t="str">
        <f>IFERROR(__xludf.DUMMYFUNCTION("""COMPUTED_VALUE"""),"NinjaPromo, IBM, Clutch")</f>
        <v>NinjaPromo, IBM, Clutch</v>
      </c>
      <c r="I303" s="11">
        <f>IFERROR(__xludf.DUMMYFUNCTION("""COMPUTED_VALUE"""),8.0)</f>
        <v>8</v>
      </c>
      <c r="J303" s="11">
        <f>IFERROR(__xludf.DUMMYFUNCTION("""COMPUTED_VALUE"""),0.01)</f>
        <v>0.01</v>
      </c>
      <c r="K303" s="11">
        <f>IFERROR(__xludf.DUMMYFUNCTION("""COMPUTED_VALUE"""),0.0)</f>
        <v>0</v>
      </c>
      <c r="L303" s="11"/>
    </row>
    <row r="304" ht="15.75" customHeight="1">
      <c r="A304" s="10" t="str">
        <f>IFERROR(__xludf.DUMMYFUNCTION("""COMPUTED_VALUE"""),"https://www.superside.com/blog/ad-creative-agencies")</f>
        <v>https://www.superside.com/blog/ad-creative-agencies</v>
      </c>
      <c r="B304" s="11" t="str">
        <f>IFERROR(__xludf.DUMMYFUNCTION("""COMPUTED_VALUE"""),"12 Top Ad Creative Agencies for Enterprises &amp;amp; Brands (2026)")</f>
        <v>12 Top Ad Creative Agencies for Enterprises &amp;amp; Brands (2026)</v>
      </c>
      <c r="C304" s="10" t="str">
        <f>IFERROR(__xludf.DUMMYFUNCTION("""COMPUTED_VALUE"""),"superside.com")</f>
        <v>superside.com</v>
      </c>
      <c r="D304" s="11" t="str">
        <f>IFERROR(__xludf.DUMMYFUNCTION("""COMPUTED_VALUE"""),"LISTICLE")</f>
        <v>LISTICLE</v>
      </c>
      <c r="E304" s="11" t="str">
        <f>IFERROR(__xludf.DUMMYFUNCTION("""COMPUTED_VALUE"""),"COMPETITOR")</f>
        <v>COMPETITOR</v>
      </c>
      <c r="F304" s="11" t="str">
        <f>IFERROR(__xludf.DUMMYFUNCTION("""COMPUTED_VALUE"""),"Listicle")</f>
        <v>Listicle</v>
      </c>
      <c r="G304" s="11" t="b">
        <f>IFERROR(__xludf.DUMMYFUNCTION("""COMPUTED_VALUE"""),FALSE)</f>
        <v>0</v>
      </c>
      <c r="H304" s="11" t="str">
        <f>IFERROR(__xludf.DUMMYFUNCTION("""COMPUTED_VALUE"""),"Superside, Anomaly, Droga5, Wieden+Kennedy, 72andSunny, Ogilvy, Accenture Song, BBDO")</f>
        <v>Superside, Anomaly, Droga5, Wieden+Kennedy, 72andSunny, Ogilvy, Accenture Song, BBDO</v>
      </c>
      <c r="I304" s="11">
        <f>IFERROR(__xludf.DUMMYFUNCTION("""COMPUTED_VALUE"""),8.0)</f>
        <v>8</v>
      </c>
      <c r="J304" s="11">
        <f>IFERROR(__xludf.DUMMYFUNCTION("""COMPUTED_VALUE"""),0.01)</f>
        <v>0.01</v>
      </c>
      <c r="K304" s="11">
        <f>IFERROR(__xludf.DUMMYFUNCTION("""COMPUTED_VALUE"""),1.0)</f>
        <v>1</v>
      </c>
      <c r="L304" s="11"/>
    </row>
    <row r="305" ht="15.75" customHeight="1">
      <c r="A305" s="10" t="str">
        <f>IFERROR(__xludf.DUMMYFUNCTION("""COMPUTED_VALUE"""),"https://www.superside.com/blog/ai-design-agencies")</f>
        <v>https://www.superside.com/blog/ai-design-agencies</v>
      </c>
      <c r="B305" s="11" t="str">
        <f>IFERROR(__xludf.DUMMYFUNCTION("""COMPUTED_VALUE"""),"Top 11 AI Design Agencies &amp;amp; Studios for Creative Innovation in 2026")</f>
        <v>Top 11 AI Design Agencies &amp;amp; Studios for Creative Innovation in 2026</v>
      </c>
      <c r="C305" s="10" t="str">
        <f>IFERROR(__xludf.DUMMYFUNCTION("""COMPUTED_VALUE"""),"superside.com")</f>
        <v>superside.com</v>
      </c>
      <c r="D305" s="11" t="str">
        <f>IFERROR(__xludf.DUMMYFUNCTION("""COMPUTED_VALUE"""),"LISTICLE")</f>
        <v>LISTICLE</v>
      </c>
      <c r="E305" s="11" t="str">
        <f>IFERROR(__xludf.DUMMYFUNCTION("""COMPUTED_VALUE"""),"COMPETITOR")</f>
        <v>COMPETITOR</v>
      </c>
      <c r="F305" s="11" t="str">
        <f>IFERROR(__xludf.DUMMYFUNCTION("""COMPUTED_VALUE"""),"Listicle")</f>
        <v>Listicle</v>
      </c>
      <c r="G305" s="11" t="b">
        <f>IFERROR(__xludf.DUMMYFUNCTION("""COMPUTED_VALUE"""),FALSE)</f>
        <v>0</v>
      </c>
      <c r="H305" s="11" t="str">
        <f>IFERROR(__xludf.DUMMYFUNCTION("""COMPUTED_VALUE"""),"Superside, McKinsey, Clutch, Pentagram, Major Tom, Huge")</f>
        <v>Superside, McKinsey, Clutch, Pentagram, Major Tom, Huge</v>
      </c>
      <c r="I305" s="11">
        <f>IFERROR(__xludf.DUMMYFUNCTION("""COMPUTED_VALUE"""),8.0)</f>
        <v>8</v>
      </c>
      <c r="J305" s="11">
        <f>IFERROR(__xludf.DUMMYFUNCTION("""COMPUTED_VALUE"""),0.01)</f>
        <v>0.01</v>
      </c>
      <c r="K305" s="11">
        <f>IFERROR(__xludf.DUMMYFUNCTION("""COMPUTED_VALUE"""),1.25)</f>
        <v>1.25</v>
      </c>
      <c r="L305" s="11"/>
    </row>
    <row r="306" ht="15.75" customHeight="1">
      <c r="A306" s="10" t="str">
        <f>IFERROR(__xludf.DUMMYFUNCTION("""COMPUTED_VALUE"""),"https://agencyanalytics.com/blog/best-marketing-analytics-tools")</f>
        <v>https://agencyanalytics.com/blog/best-marketing-analytics-tools</v>
      </c>
      <c r="B306" s="11" t="str">
        <f>IFERROR(__xludf.DUMMYFUNCTION("""COMPUTED_VALUE"""),"Best Marketing Analytics Tools for Agencies in 2026 - AgencyAnalytics")</f>
        <v>Best Marketing Analytics Tools for Agencies in 2026 - AgencyAnalytics</v>
      </c>
      <c r="C306" s="10" t="str">
        <f>IFERROR(__xludf.DUMMYFUNCTION("""COMPUTED_VALUE"""),"agencyanalytics.com")</f>
        <v>agencyanalytics.com</v>
      </c>
      <c r="D306" s="11" t="str">
        <f>IFERROR(__xludf.DUMMYFUNCTION("""COMPUTED_VALUE"""),"LISTICLE")</f>
        <v>LISTICLE</v>
      </c>
      <c r="E306" s="11" t="str">
        <f>IFERROR(__xludf.DUMMYFUNCTION("""COMPUTED_VALUE"""),"CORPORATE")</f>
        <v>CORPORATE</v>
      </c>
      <c r="F306" s="11" t="str">
        <f>IFERROR(__xludf.DUMMYFUNCTION("""COMPUTED_VALUE"""),"Listicle")</f>
        <v>Listicle</v>
      </c>
      <c r="G306" s="11" t="b">
        <f>IFERROR(__xludf.DUMMYFUNCTION("""COMPUTED_VALUE"""),FALSE)</f>
        <v>0</v>
      </c>
      <c r="H306" s="11" t="str">
        <f>IFERROR(__xludf.DUMMYFUNCTION("""COMPUTED_VALUE"""),"Anomaly")</f>
        <v>Anomaly</v>
      </c>
      <c r="I306" s="11">
        <f>IFERROR(__xludf.DUMMYFUNCTION("""COMPUTED_VALUE"""),7.0)</f>
        <v>7</v>
      </c>
      <c r="J306" s="11">
        <f>IFERROR(__xludf.DUMMYFUNCTION("""COMPUTED_VALUE"""),0.01)</f>
        <v>0.01</v>
      </c>
      <c r="K306" s="11">
        <f>IFERROR(__xludf.DUMMYFUNCTION("""COMPUTED_VALUE"""),0.0)</f>
        <v>0</v>
      </c>
      <c r="L306" s="11"/>
    </row>
    <row r="307" ht="15.75" customHeight="1">
      <c r="A307" s="10" t="str">
        <f>IFERROR(__xludf.DUMMYFUNCTION("""COMPUTED_VALUE"""),"https://www.charleagency.com/articles/top-social-media-marketing-agencies/")</f>
        <v>https://www.charleagency.com/articles/top-social-media-marketing-agencies/</v>
      </c>
      <c r="B307" s="11" t="str">
        <f>IFERROR(__xludf.DUMMYFUNCTION("""COMPUTED_VALUE"""),"Top 12 Social Media Agencies USA (2026) | Charle")</f>
        <v>Top 12 Social Media Agencies USA (2026) | Charle</v>
      </c>
      <c r="C307" s="10" t="str">
        <f>IFERROR(__xludf.DUMMYFUNCTION("""COMPUTED_VALUE"""),"charleagency.com")</f>
        <v>charleagency.com</v>
      </c>
      <c r="D307" s="11" t="str">
        <f>IFERROR(__xludf.DUMMYFUNCTION("""COMPUTED_VALUE"""),"LISTICLE")</f>
        <v>LISTICLE</v>
      </c>
      <c r="E307" s="11" t="str">
        <f>IFERROR(__xludf.DUMMYFUNCTION("""COMPUTED_VALUE"""),"CORPORATE")</f>
        <v>CORPORATE</v>
      </c>
      <c r="F307" s="11" t="str">
        <f>IFERROR(__xludf.DUMMYFUNCTION("""COMPUTED_VALUE"""),"Listicle")</f>
        <v>Listicle</v>
      </c>
      <c r="G307" s="11" t="b">
        <f>IFERROR(__xludf.DUMMYFUNCTION("""COMPUTED_VALUE"""),FALSE)</f>
        <v>0</v>
      </c>
      <c r="H307" s="11" t="str">
        <f>IFERROR(__xludf.DUMMYFUNCTION("""COMPUTED_VALUE"""),"The Social Shepherd, Disruptive Advertising, Sociallyin, LYFE Marketing, NoGood, inBeat, Silverback Strategies, Clutch, Momentum")</f>
        <v>The Social Shepherd, Disruptive Advertising, Sociallyin, LYFE Marketing, NoGood, inBeat, Silverback Strategies, Clutch, Momentum</v>
      </c>
      <c r="I307" s="11">
        <f>IFERROR(__xludf.DUMMYFUNCTION("""COMPUTED_VALUE"""),7.0)</f>
        <v>7</v>
      </c>
      <c r="J307" s="11">
        <f>IFERROR(__xludf.DUMMYFUNCTION("""COMPUTED_VALUE"""),0.01)</f>
        <v>0.01</v>
      </c>
      <c r="K307" s="11">
        <f>IFERROR(__xludf.DUMMYFUNCTION("""COMPUTED_VALUE"""),2.14)</f>
        <v>2.14</v>
      </c>
      <c r="L307" s="11"/>
    </row>
    <row r="308" ht="15.75" customHeight="1">
      <c r="A308" s="10" t="str">
        <f>IFERROR(__xludf.DUMMYFUNCTION("""COMPUTED_VALUE"""),"https://clutch.co/us/seo-firms/generative-engine-optimization%3Fpage%3D2")</f>
        <v>https://clutch.co/us/seo-firms/generative-engine-optimization%3Fpage%3D2</v>
      </c>
      <c r="B308" s="11" t="str">
        <f>IFERROR(__xludf.DUMMYFUNCTION("""COMPUTED_VALUE"""),"Top Generative Engine Optimization (GEO) Agencies in the United States - Jul 2026 Rankings | Clutch.co")</f>
        <v>Top Generative Engine Optimization (GEO) Agencies in the United States - Jul 2026 Rankings | Clutch.co</v>
      </c>
      <c r="C308" s="10" t="str">
        <f>IFERROR(__xludf.DUMMYFUNCTION("""COMPUTED_VALUE"""),"clutch.co")</f>
        <v>clutch.co</v>
      </c>
      <c r="D308" s="11" t="str">
        <f>IFERROR(__xludf.DUMMYFUNCTION("""COMPUTED_VALUE"""),"CATEGORY_PAGE")</f>
        <v>CATEGORY_PAGE</v>
      </c>
      <c r="E308" s="11" t="str">
        <f>IFERROR(__xludf.DUMMYFUNCTION("""COMPUTED_VALUE"""),"COMPETITOR")</f>
        <v>COMPETITOR</v>
      </c>
      <c r="F308" s="11" t="str">
        <f>IFERROR(__xludf.DUMMYFUNCTION("""COMPUTED_VALUE"""),"Category Page")</f>
        <v>Category Page</v>
      </c>
      <c r="G308" s="11" t="b">
        <f>IFERROR(__xludf.DUMMYFUNCTION("""COMPUTED_VALUE"""),FALSE)</f>
        <v>0</v>
      </c>
      <c r="H308" s="11" t="str">
        <f>IFERROR(__xludf.DUMMYFUNCTION("""COMPUTED_VALUE"""),"Clutch, Funnel Boost Media, WebFX, Intero Digital, Ignite Visibility, Elit-Web, Victorious, HawkSEM, Siege Media, Thrive Internet Marketing Agency")</f>
        <v>Clutch, Funnel Boost Media, WebFX, Intero Digital, Ignite Visibility, Elit-Web, Victorious, HawkSEM, Siege Media, Thrive Internet Marketing Agency</v>
      </c>
      <c r="I308" s="11">
        <f>IFERROR(__xludf.DUMMYFUNCTION("""COMPUTED_VALUE"""),7.0)</f>
        <v>7</v>
      </c>
      <c r="J308" s="11">
        <f>IFERROR(__xludf.DUMMYFUNCTION("""COMPUTED_VALUE"""),0.01)</f>
        <v>0.01</v>
      </c>
      <c r="K308" s="11">
        <f>IFERROR(__xludf.DUMMYFUNCTION("""COMPUTED_VALUE"""),0.0)</f>
        <v>0</v>
      </c>
      <c r="L308" s="11"/>
    </row>
    <row r="309" ht="15.75" customHeight="1">
      <c r="A309" s="10" t="str">
        <f>IFERROR(__xludf.DUMMYFUNCTION("""COMPUTED_VALUE"""),"https://clutch.co/us/seo-firms/generative-engine-optimization%3Fpage%3D4")</f>
        <v>https://clutch.co/us/seo-firms/generative-engine-optimization%3Fpage%3D4</v>
      </c>
      <c r="B309" s="11" t="str">
        <f>IFERROR(__xludf.DUMMYFUNCTION("""COMPUTED_VALUE"""),"Top Generative Engine Optimization (GEO) Agencies in the United States - Jul 2026 Rankings | Clutch.co")</f>
        <v>Top Generative Engine Optimization (GEO) Agencies in the United States - Jul 2026 Rankings | Clutch.co</v>
      </c>
      <c r="C309" s="10" t="str">
        <f>IFERROR(__xludf.DUMMYFUNCTION("""COMPUTED_VALUE"""),"clutch.co")</f>
        <v>clutch.co</v>
      </c>
      <c r="D309" s="11" t="str">
        <f>IFERROR(__xludf.DUMMYFUNCTION("""COMPUTED_VALUE"""),"CATEGORY_PAGE")</f>
        <v>CATEGORY_PAGE</v>
      </c>
      <c r="E309" s="11" t="str">
        <f>IFERROR(__xludf.DUMMYFUNCTION("""COMPUTED_VALUE"""),"COMPETITOR")</f>
        <v>COMPETITOR</v>
      </c>
      <c r="F309" s="11" t="str">
        <f>IFERROR(__xludf.DUMMYFUNCTION("""COMPUTED_VALUE"""),"Category Page")</f>
        <v>Category Page</v>
      </c>
      <c r="G309" s="11" t="b">
        <f>IFERROR(__xludf.DUMMYFUNCTION("""COMPUTED_VALUE"""),FALSE)</f>
        <v>0</v>
      </c>
      <c r="H309" s="11" t="str">
        <f>IFERROR(__xludf.DUMMYFUNCTION("""COMPUTED_VALUE"""),"Clutch, Funnel Boost Media, WebFX, Intero Digital, Ignite Visibility, Elit-Web, Victorious, HawkSEM, Thrive Internet Marketing Agency")</f>
        <v>Clutch, Funnel Boost Media, WebFX, Intero Digital, Ignite Visibility, Elit-Web, Victorious, HawkSEM, Thrive Internet Marketing Agency</v>
      </c>
      <c r="I309" s="11">
        <f>IFERROR(__xludf.DUMMYFUNCTION("""COMPUTED_VALUE"""),7.0)</f>
        <v>7</v>
      </c>
      <c r="J309" s="11">
        <f>IFERROR(__xludf.DUMMYFUNCTION("""COMPUTED_VALUE"""),0.01)</f>
        <v>0.01</v>
      </c>
      <c r="K309" s="11">
        <f>IFERROR(__xludf.DUMMYFUNCTION("""COMPUTED_VALUE"""),0.43)</f>
        <v>0.43</v>
      </c>
      <c r="L309" s="11"/>
    </row>
    <row r="310" ht="15.75" customHeight="1">
      <c r="A310" s="10" t="str">
        <f>IFERROR(__xludf.DUMMYFUNCTION("""COMPUTED_VALUE"""),"https://gaper.io/best-aeo-agencies")</f>
        <v>https://gaper.io/best-aeo-agencies</v>
      </c>
      <c r="B310" s="11" t="str">
        <f>IFERROR(__xludf.DUMMYFUNCTION("""COMPUTED_VALUE"""),"Best AEO Agencies in 2026: Answer Engine Optimization Shortlist · Gaper")</f>
        <v>Best AEO Agencies in 2026: Answer Engine Optimization Shortlist · Gaper</v>
      </c>
      <c r="C310" s="10" t="str">
        <f>IFERROR(__xludf.DUMMYFUNCTION("""COMPUTED_VALUE"""),"gaper.io")</f>
        <v>gaper.io</v>
      </c>
      <c r="D310" s="11" t="str">
        <f>IFERROR(__xludf.DUMMYFUNCTION("""COMPUTED_VALUE"""),"LISTICLE")</f>
        <v>LISTICLE</v>
      </c>
      <c r="E310" s="11" t="str">
        <f>IFERROR(__xludf.DUMMYFUNCTION("""COMPUTED_VALUE"""),"CORPORATE")</f>
        <v>CORPORATE</v>
      </c>
      <c r="F310" s="11" t="str">
        <f>IFERROR(__xludf.DUMMYFUNCTION("""COMPUTED_VALUE"""),"Listicle")</f>
        <v>Listicle</v>
      </c>
      <c r="G310" s="11" t="b">
        <f>IFERROR(__xludf.DUMMYFUNCTION("""COMPUTED_VALUE"""),FALSE)</f>
        <v>0</v>
      </c>
      <c r="H310" s="11" t="str">
        <f>IFERROR(__xludf.DUMMYFUNCTION("""COMPUTED_VALUE"""),"Clutch, Directive, NoGood")</f>
        <v>Clutch, Directive, NoGood</v>
      </c>
      <c r="I310" s="11">
        <f>IFERROR(__xludf.DUMMYFUNCTION("""COMPUTED_VALUE"""),7.0)</f>
        <v>7</v>
      </c>
      <c r="J310" s="11">
        <f>IFERROR(__xludf.DUMMYFUNCTION("""COMPUTED_VALUE"""),0.01)</f>
        <v>0.01</v>
      </c>
      <c r="K310" s="11">
        <f>IFERROR(__xludf.DUMMYFUNCTION("""COMPUTED_VALUE"""),0.0)</f>
        <v>0</v>
      </c>
      <c r="L310" s="11"/>
    </row>
    <row r="311" ht="15.75" customHeight="1">
      <c r="A311" s="10" t="str">
        <f>IFERROR(__xludf.DUMMYFUNCTION("""COMPUTED_VALUE"""),"https://gemfind.com/blogs/digital-marketing/google-marketing-partner")</f>
        <v>https://gemfind.com/blogs/digital-marketing/google-marketing-partner</v>
      </c>
      <c r="B311" s="11" t="str">
        <f>IFERROR(__xludf.DUMMYFUNCTION("""COMPUTED_VALUE"""),"Top 3 Essential Google Marketing Partner Tips – GemFind Digital Solutions")</f>
        <v>Top 3 Essential Google Marketing Partner Tips – GemFind Digital Solutions</v>
      </c>
      <c r="C311" s="10" t="str">
        <f>IFERROR(__xludf.DUMMYFUNCTION("""COMPUTED_VALUE"""),"gemfind.com")</f>
        <v>gemfind.com</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IFERROR(__xludf.DUMMYFUNCTION("""COMPUTED_VALUE"""),"Monks, DEPT")</f>
        <v>Monks, DEPT</v>
      </c>
      <c r="I311" s="11">
        <f>IFERROR(__xludf.DUMMYFUNCTION("""COMPUTED_VALUE"""),7.0)</f>
        <v>7</v>
      </c>
      <c r="J311" s="11">
        <f>IFERROR(__xludf.DUMMYFUNCTION("""COMPUTED_VALUE"""),0.01)</f>
        <v>0.01</v>
      </c>
      <c r="K311" s="11">
        <f>IFERROR(__xludf.DUMMYFUNCTION("""COMPUTED_VALUE"""),0.43)</f>
        <v>0.43</v>
      </c>
      <c r="L311" s="11"/>
    </row>
    <row r="312" ht="15.75" customHeight="1">
      <c r="A312" s="10" t="str">
        <f>IFERROR(__xludf.DUMMYFUNCTION("""COMPUTED_VALUE"""),"https://improvado.io/blog/multi-touch-attribution-solutions")</f>
        <v>https://improvado.io/blog/multi-touch-attribution-solutions</v>
      </c>
      <c r="B312" s="11" t="str">
        <f>IFERROR(__xludf.DUMMYFUNCTION("""COMPUTED_VALUE"""),"12 Best Multi-Touch Attribution Solutions (2026)")</f>
        <v>12 Best Multi-Touch Attribution Solutions (2026)</v>
      </c>
      <c r="C312" s="10" t="str">
        <f>IFERROR(__xludf.DUMMYFUNCTION("""COMPUTED_VALUE"""),"improvado.io")</f>
        <v>improvado.io</v>
      </c>
      <c r="D312" s="11" t="str">
        <f>IFERROR(__xludf.DUMMYFUNCTION("""COMPUTED_VALUE"""),"COMPARISON")</f>
        <v>COMPARISON</v>
      </c>
      <c r="E312" s="11" t="str">
        <f>IFERROR(__xludf.DUMMYFUNCTION("""COMPUTED_VALUE"""),"CORPORATE")</f>
        <v>CORPORATE</v>
      </c>
      <c r="F312" s="11" t="str">
        <f>IFERROR(__xludf.DUMMYFUNCTION("""COMPUTED_VALUE"""),"Comparison")</f>
        <v>Comparison</v>
      </c>
      <c r="G312" s="11" t="b">
        <f>IFERROR(__xludf.DUMMYFUNCTION("""COMPUTED_VALUE"""),FALSE)</f>
        <v>0</v>
      </c>
      <c r="H312" s="11" t="str">
        <f>IFERROR(__xludf.DUMMYFUNCTION("""COMPUTED_VALUE"""),"Rockerbox, Triple Whale, SegmentStream, Northbeam, HockeyStack, Ruler Analytics, Neustar")</f>
        <v>Rockerbox, Triple Whale, SegmentStream, Northbeam, HockeyStack, Ruler Analytics, Neustar</v>
      </c>
      <c r="I312" s="11">
        <f>IFERROR(__xludf.DUMMYFUNCTION("""COMPUTED_VALUE"""),7.0)</f>
        <v>7</v>
      </c>
      <c r="J312" s="11">
        <f>IFERROR(__xludf.DUMMYFUNCTION("""COMPUTED_VALUE"""),0.01)</f>
        <v>0.01</v>
      </c>
      <c r="K312" s="11">
        <f>IFERROR(__xludf.DUMMYFUNCTION("""COMPUTED_VALUE"""),0.86)</f>
        <v>0.86</v>
      </c>
      <c r="L312" s="11"/>
    </row>
    <row r="313" ht="15.75" customHeight="1">
      <c r="A313" s="10" t="str">
        <f>IFERROR(__xludf.DUMMYFUNCTION("""COMPUTED_VALUE"""),"https://minuttia.com/best-geo-agencies/")</f>
        <v>https://minuttia.com/best-geo-agencies/</v>
      </c>
      <c r="B313" s="11" t="str">
        <f>IFERROR(__xludf.DUMMYFUNCTION("""COMPUTED_VALUE"""),"10 Best Generative Engine Optimization (GEO) Agencies 2026")</f>
        <v>10 Best Generative Engine Optimization (GEO) Agencies 2026</v>
      </c>
      <c r="C313" s="10" t="str">
        <f>IFERROR(__xludf.DUMMYFUNCTION("""COMPUTED_VALUE"""),"minuttia.com")</f>
        <v>minuttia.com</v>
      </c>
      <c r="D313" s="11" t="str">
        <f>IFERROR(__xludf.DUMMYFUNCTION("""COMPUTED_VALUE"""),"LISTICLE")</f>
        <v>LISTICLE</v>
      </c>
      <c r="E313" s="11" t="str">
        <f>IFERROR(__xludf.DUMMYFUNCTION("""COMPUTED_VALUE"""),"CORPORATE")</f>
        <v>CORPORATE</v>
      </c>
      <c r="F313" s="11" t="str">
        <f>IFERROR(__xludf.DUMMYFUNCTION("""COMPUTED_VALUE"""),"Listicle")</f>
        <v>Listicle</v>
      </c>
      <c r="G313" s="11" t="b">
        <f>IFERROR(__xludf.DUMMYFUNCTION("""COMPUTED_VALUE"""),FALSE)</f>
        <v>0</v>
      </c>
      <c r="H313" s="11" t="str">
        <f>IFERROR(__xludf.DUMMYFUNCTION("""COMPUTED_VALUE"""),"Intero Digital, Clutch, Huge, Measured")</f>
        <v>Intero Digital, Clutch, Huge, Measured</v>
      </c>
      <c r="I313" s="11">
        <f>IFERROR(__xludf.DUMMYFUNCTION("""COMPUTED_VALUE"""),7.0)</f>
        <v>7</v>
      </c>
      <c r="J313" s="11">
        <f>IFERROR(__xludf.DUMMYFUNCTION("""COMPUTED_VALUE"""),0.01)</f>
        <v>0.01</v>
      </c>
      <c r="K313" s="11">
        <f>IFERROR(__xludf.DUMMYFUNCTION("""COMPUTED_VALUE"""),0.29)</f>
        <v>0.29</v>
      </c>
      <c r="L313" s="11"/>
    </row>
    <row r="314" ht="15.75" customHeight="1">
      <c r="A314" s="10" t="str">
        <f>IFERROR(__xludf.DUMMYFUNCTION("""COMPUTED_VALUE"""),"https://www.munro.agency/top-geo-agencies/")</f>
        <v>https://www.munro.agency/top-geo-agencies/</v>
      </c>
      <c r="B314" s="11" t="str">
        <f>IFERROR(__xludf.DUMMYFUNCTION("""COMPUTED_VALUE"""),"Top 13 GEO Agencies")</f>
        <v>Top 13 GEO Agencies</v>
      </c>
      <c r="C314" s="11" t="str">
        <f>IFERROR(__xludf.DUMMYFUNCTION("""COMPUTED_VALUE"""),"munro.agency")</f>
        <v>munro.agency</v>
      </c>
      <c r="D314" s="11" t="str">
        <f>IFERROR(__xludf.DUMMYFUNCTION("""COMPUTED_VALUE"""),"LISTICLE")</f>
        <v>LISTICLE</v>
      </c>
      <c r="E314" s="11" t="str">
        <f>IFERROR(__xludf.DUMMYFUNCTION("""COMPUTED_VALUE"""),"CORPORATE")</f>
        <v>CORPORATE</v>
      </c>
      <c r="F314" s="11" t="str">
        <f>IFERROR(__xludf.DUMMYFUNCTION("""COMPUTED_VALUE"""),"Listicle")</f>
        <v>Listicle</v>
      </c>
      <c r="G314" s="11" t="b">
        <f>IFERROR(__xludf.DUMMYFUNCTION("""COMPUTED_VALUE"""),FALSE)</f>
        <v>0</v>
      </c>
      <c r="H314" s="11" t="str">
        <f>IFERROR(__xludf.DUMMYFUNCTION("""COMPUTED_VALUE"""),"Siege Media, First Page Sage, Omniscient Digital, Go Fish Digital")</f>
        <v>Siege Media, First Page Sage, Omniscient Digital, Go Fish Digital</v>
      </c>
      <c r="I314" s="11">
        <f>IFERROR(__xludf.DUMMYFUNCTION("""COMPUTED_VALUE"""),7.0)</f>
        <v>7</v>
      </c>
      <c r="J314" s="11">
        <f>IFERROR(__xludf.DUMMYFUNCTION("""COMPUTED_VALUE"""),0.01)</f>
        <v>0.01</v>
      </c>
      <c r="K314" s="11">
        <f>IFERROR(__xludf.DUMMYFUNCTION("""COMPUTED_VALUE"""),0.0)</f>
        <v>0</v>
      </c>
      <c r="L314" s="11"/>
    </row>
    <row r="315" ht="15.75" customHeight="1">
      <c r="A315" s="10" t="str">
        <f>IFERROR(__xludf.DUMMYFUNCTION("""COMPUTED_VALUE"""),"https://www.munro.agency/top-performance-marketing-agencies/")</f>
        <v>https://www.munro.agency/top-performance-marketing-agencies/</v>
      </c>
      <c r="B315" s="11" t="str">
        <f>IFERROR(__xludf.DUMMYFUNCTION("""COMPUTED_VALUE"""),"Top 15 Performance Marketing Agencies for 2026")</f>
        <v>Top 15 Performance Marketing Agencies for 2026</v>
      </c>
      <c r="C315" s="11" t="str">
        <f>IFERROR(__xludf.DUMMYFUNCTION("""COMPUTED_VALUE"""),"munro.agency")</f>
        <v>munro.agency</v>
      </c>
      <c r="D315" s="11" t="str">
        <f>IFERROR(__xludf.DUMMYFUNCTION("""COMPUTED_VALUE"""),"LISTICLE")</f>
        <v>LISTICLE</v>
      </c>
      <c r="E315" s="11" t="str">
        <f>IFERROR(__xludf.DUMMYFUNCTION("""COMPUTED_VALUE"""),"CORPORATE")</f>
        <v>CORPORATE</v>
      </c>
      <c r="F315" s="11" t="str">
        <f>IFERROR(__xludf.DUMMYFUNCTION("""COMPUTED_VALUE"""),"Listicle")</f>
        <v>Listicle</v>
      </c>
      <c r="G315" s="11" t="b">
        <f>IFERROR(__xludf.DUMMYFUNCTION("""COMPUTED_VALUE"""),FALSE)</f>
        <v>0</v>
      </c>
      <c r="H315" s="11" t="str">
        <f>IFERROR(__xludf.DUMMYFUNCTION("""COMPUTED_VALUE"""),"WebFX, Directive, Intero Digital, Viral Nation, Amsive")</f>
        <v>WebFX, Directive, Intero Digital, Viral Nation, Amsive</v>
      </c>
      <c r="I315" s="11">
        <f>IFERROR(__xludf.DUMMYFUNCTION("""COMPUTED_VALUE"""),7.0)</f>
        <v>7</v>
      </c>
      <c r="J315" s="11">
        <f>IFERROR(__xludf.DUMMYFUNCTION("""COMPUTED_VALUE"""),0.01)</f>
        <v>0.01</v>
      </c>
      <c r="K315" s="11">
        <f>IFERROR(__xludf.DUMMYFUNCTION("""COMPUTED_VALUE"""),1.0)</f>
        <v>1</v>
      </c>
      <c r="L315" s="11"/>
    </row>
    <row r="316" ht="15.75" customHeight="1">
      <c r="A316" s="10" t="str">
        <f>IFERROR(__xludf.DUMMYFUNCTION("""COMPUTED_VALUE"""),"https://www.newform.com/guides/best-paid-social-performance-creative-agencies-2026")</f>
        <v>https://www.newform.com/guides/best-paid-social-performance-creative-agencies-2026</v>
      </c>
      <c r="B316" s="11" t="str">
        <f>IFERROR(__xludf.DUMMYFUNCTION("""COMPUTED_VALUE"""),"Best Paid Social Performance Creative Agencies in 2026 (Ranked) | NewForm")</f>
        <v>Best Paid Social Performance Creative Agencies in 2026 (Ranked) | NewForm</v>
      </c>
      <c r="C316" s="10" t="str">
        <f>IFERROR(__xludf.DUMMYFUNCTION("""COMPUTED_VALUE"""),"newform.com")</f>
        <v>newform.com</v>
      </c>
      <c r="D316" s="11" t="str">
        <f>IFERROR(__xludf.DUMMYFUNCTION("""COMPUTED_VALUE"""),"LISTICLE")</f>
        <v>LISTICLE</v>
      </c>
      <c r="E316" s="11" t="str">
        <f>IFERROR(__xludf.DUMMYFUNCTION("""COMPUTED_VALUE"""),"CORPORATE")</f>
        <v>CORPORATE</v>
      </c>
      <c r="F316" s="11" t="str">
        <f>IFERROR(__xludf.DUMMYFUNCTION("""COMPUTED_VALUE"""),"Listicle")</f>
        <v>Listicle</v>
      </c>
      <c r="G316" s="11" t="b">
        <f>IFERROR(__xludf.DUMMYFUNCTION("""COMPUTED_VALUE"""),FALSE)</f>
        <v>0</v>
      </c>
      <c r="H316" s="11" t="str">
        <f>IFERROR(__xludf.DUMMYFUNCTION("""COMPUTED_VALUE"""),"Darkroom, inBeat, MuteSix, Superside, NoGood, Directive, Measured, Dentsu")</f>
        <v>Darkroom, inBeat, MuteSix, Superside, NoGood, Directive, Measured, Dentsu</v>
      </c>
      <c r="I316" s="11">
        <f>IFERROR(__xludf.DUMMYFUNCTION("""COMPUTED_VALUE"""),7.0)</f>
        <v>7</v>
      </c>
      <c r="J316" s="11">
        <f>IFERROR(__xludf.DUMMYFUNCTION("""COMPUTED_VALUE"""),0.01)</f>
        <v>0.01</v>
      </c>
      <c r="K316" s="11">
        <f>IFERROR(__xludf.DUMMYFUNCTION("""COMPUTED_VALUE"""),1.29)</f>
        <v>1.29</v>
      </c>
      <c r="L316" s="11"/>
    </row>
    <row r="317" ht="15.75" customHeight="1">
      <c r="A317" s="10" t="str">
        <f>IFERROR(__xludf.DUMMYFUNCTION("""COMPUTED_VALUE"""),"https://ninjapromo.io/top-display-advertising-agencies")</f>
        <v>https://ninjapromo.io/top-display-advertising-agencies</v>
      </c>
      <c r="B317" s="11" t="str">
        <f>IFERROR(__xludf.DUMMYFUNCTION("""COMPUTED_VALUE"""),"Top 8 Display Advertising Agencies That Get You Seen in 2026")</f>
        <v>Top 8 Display Advertising Agencies That Get You Seen in 2026</v>
      </c>
      <c r="C317" s="10" t="str">
        <f>IFERROR(__xludf.DUMMYFUNCTION("""COMPUTED_VALUE"""),"ninjapromo.io")</f>
        <v>ninjapromo.io</v>
      </c>
      <c r="D317" s="11" t="str">
        <f>IFERROR(__xludf.DUMMYFUNCTION("""COMPUTED_VALUE"""),"LISTICLE")</f>
        <v>LISTICLE</v>
      </c>
      <c r="E317" s="11" t="str">
        <f>IFERROR(__xludf.DUMMYFUNCTION("""COMPUTED_VALUE"""),"COMPETITOR")</f>
        <v>COMPETITOR</v>
      </c>
      <c r="F317" s="11" t="str">
        <f>IFERROR(__xludf.DUMMYFUNCTION("""COMPUTED_VALUE"""),"Listicle")</f>
        <v>Listicle</v>
      </c>
      <c r="G317" s="11" t="b">
        <f>IFERROR(__xludf.DUMMYFUNCTION("""COMPUTED_VALUE"""),FALSE)</f>
        <v>0</v>
      </c>
      <c r="H317" s="11" t="str">
        <f>IFERROR(__xludf.DUMMYFUNCTION("""COMPUTED_VALUE"""),"NinjaPromo, Measured, Momentum, Clutch")</f>
        <v>NinjaPromo, Measured, Momentum, Clutch</v>
      </c>
      <c r="I317" s="11">
        <f>IFERROR(__xludf.DUMMYFUNCTION("""COMPUTED_VALUE"""),7.0)</f>
        <v>7</v>
      </c>
      <c r="J317" s="11">
        <f>IFERROR(__xludf.DUMMYFUNCTION("""COMPUTED_VALUE"""),0.01)</f>
        <v>0.01</v>
      </c>
      <c r="K317" s="11">
        <f>IFERROR(__xludf.DUMMYFUNCTION("""COMPUTED_VALUE"""),1.43)</f>
        <v>1.43</v>
      </c>
      <c r="L317" s="11"/>
    </row>
    <row r="318" ht="15.75" customHeight="1">
      <c r="A318" s="10" t="str">
        <f>IFERROR(__xludf.DUMMYFUNCTION("""COMPUTED_VALUE"""),"https://rampiq.agency/blog/best-ai-search-b2b-marketing-agencies/")</f>
        <v>https://rampiq.agency/blog/best-ai-search-b2b-marketing-agencies/</v>
      </c>
      <c r="B318" s="11" t="str">
        <f>IFERROR(__xludf.DUMMYFUNCTION("""COMPUTED_VALUE"""),"7 Best AI Search Agencies For B2B Marketing")</f>
        <v>7 Best AI Search Agencies For B2B Marketing</v>
      </c>
      <c r="C318" s="11" t="str">
        <f>IFERROR(__xludf.DUMMYFUNCTION("""COMPUTED_VALUE"""),"rampiq.agency")</f>
        <v>rampiq.agency</v>
      </c>
      <c r="D318" s="11" t="str">
        <f>IFERROR(__xludf.DUMMYFUNCTION("""COMPUTED_VALUE"""),"LISTICLE")</f>
        <v>LISTICLE</v>
      </c>
      <c r="E318" s="11" t="str">
        <f>IFERROR(__xludf.DUMMYFUNCTION("""COMPUTED_VALUE"""),"CORPORATE")</f>
        <v>CORPORATE</v>
      </c>
      <c r="F318" s="11" t="str">
        <f>IFERROR(__xludf.DUMMYFUNCTION("""COMPUTED_VALUE"""),"Listicle")</f>
        <v>Listicle</v>
      </c>
      <c r="G318" s="11" t="b">
        <f>IFERROR(__xludf.DUMMYFUNCTION("""COMPUTED_VALUE"""),FALSE)</f>
        <v>0</v>
      </c>
      <c r="H318" s="11" t="str">
        <f>IFERROR(__xludf.DUMMYFUNCTION("""COMPUTED_VALUE"""),"WebFX, Omniscient Digital, First Page Sage, Directive, Siege Media, Single Grain")</f>
        <v>WebFX, Omniscient Digital, First Page Sage, Directive, Siege Media, Single Grain</v>
      </c>
      <c r="I318" s="11">
        <f>IFERROR(__xludf.DUMMYFUNCTION("""COMPUTED_VALUE"""),7.0)</f>
        <v>7</v>
      </c>
      <c r="J318" s="11">
        <f>IFERROR(__xludf.DUMMYFUNCTION("""COMPUTED_VALUE"""),0.01)</f>
        <v>0.01</v>
      </c>
      <c r="K318" s="11">
        <f>IFERROR(__xludf.DUMMYFUNCTION("""COMPUTED_VALUE"""),0.71)</f>
        <v>0.71</v>
      </c>
      <c r="L318" s="11"/>
    </row>
    <row r="319" ht="15.75" customHeight="1">
      <c r="A319" s="10" t="str">
        <f>IFERROR(__xludf.DUMMYFUNCTION("""COMPUTED_VALUE"""),"https://www.reddit.com/r/TheTopAgencies/comments/1me9pid/the_best_digital_marketing_agencies_in_the_united/")</f>
        <v>https://www.reddit.com/r/TheTopAgencies/comments/1me9pid/the_best_digital_marketing_agencies_in_the_united/</v>
      </c>
      <c r="B319" s="11" t="str">
        <f>IFERROR(__xludf.DUMMYFUNCTION("""COMPUTED_VALUE"""),"The Best Digital Marketing Agencies In The United States")</f>
        <v>The Best Digital Marketing Agencies In The United States</v>
      </c>
      <c r="C319" s="10" t="str">
        <f>IFERROR(__xludf.DUMMYFUNCTION("""COMPUTED_VALUE"""),"reddit.com")</f>
        <v>reddit.com</v>
      </c>
      <c r="D319" s="11" t="str">
        <f>IFERROR(__xludf.DUMMYFUNCTION("""COMPUTED_VALUE"""),"DISCUSSION")</f>
        <v>DISCUSSION</v>
      </c>
      <c r="E319" s="11" t="str">
        <f>IFERROR(__xludf.DUMMYFUNCTION("""COMPUTED_VALUE"""),"UGC")</f>
        <v>UGC</v>
      </c>
      <c r="F319" s="11" t="str">
        <f>IFERROR(__xludf.DUMMYFUNCTION("""COMPUTED_VALUE"""),"Discussion")</f>
        <v>Discussion</v>
      </c>
      <c r="G319" s="11" t="b">
        <f>IFERROR(__xludf.DUMMYFUNCTION("""COMPUTED_VALUE"""),FALSE)</f>
        <v>0</v>
      </c>
      <c r="H319" s="11" t="str">
        <f>IFERROR(__xludf.DUMMYFUNCTION("""COMPUTED_VALUE"""),"LYFE Marketing, Ignite Visibility, Thrive Internet Marketing Agency, Disruptive Advertising, Sociallyin, WebFX, Victorious, Tinuiti, Power Digital, Metric Theory, Brainlabs, Silverback Strategies, Single Grain, HawkSEM, SmartSites, Directive, KlientBoost,"&amp;" First Page Sage, Refine Labs, Kobe Digital, Ogilvy, VaynerMedia")</f>
        <v>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v>
      </c>
      <c r="I319" s="11">
        <f>IFERROR(__xludf.DUMMYFUNCTION("""COMPUTED_VALUE"""),7.0)</f>
        <v>7</v>
      </c>
      <c r="J319" s="11">
        <f>IFERROR(__xludf.DUMMYFUNCTION("""COMPUTED_VALUE"""),0.01)</f>
        <v>0.01</v>
      </c>
      <c r="K319" s="11">
        <f>IFERROR(__xludf.DUMMYFUNCTION("""COMPUTED_VALUE"""),1.43)</f>
        <v>1.43</v>
      </c>
      <c r="L319" s="11"/>
    </row>
    <row r="320" ht="15.75" customHeight="1">
      <c r="A320" s="10" t="str">
        <f>IFERROR(__xludf.DUMMYFUNCTION("""COMPUTED_VALUE"""),"https://www.reddit.com/r/b2bmarketing/comments/1rl47cr/the_10_best_visibility_companies_and_agencies_for/#:~:text=Conductor%20is%20the%20enterprise%20tool%20behind%20the,else%20is%20doing.%20Lemonshadehere.%20%E2%80%A2%204mo%20ago.")</f>
        <v>https://www.reddit.com/r/b2bmarketing/comments/1rl47cr/the_10_best_visibility_companies_and_agencies_for/#:~:text=Conductor%20is%20the%20enterprise%20tool%20behind%20the,else%20is%20doing.%20Lemonshadehere.%20%E2%80%A2%204mo%20ago.</v>
      </c>
      <c r="B320" s="11" t="str">
        <f>IFERROR(__xludf.DUMMYFUNCTION("""COMPUTED_VALUE"""),"The 10 Best Visibility Companies and Agencies for SEO and GEO?")</f>
        <v>The 10 Best Visibility Companies and Agencies for SEO and GEO?</v>
      </c>
      <c r="C320" s="10" t="str">
        <f>IFERROR(__xludf.DUMMYFUNCTION("""COMPUTED_VALUE"""),"reddit.com")</f>
        <v>reddit.com</v>
      </c>
      <c r="D320" s="11" t="str">
        <f>IFERROR(__xludf.DUMMYFUNCTION("""COMPUTED_VALUE"""),"DISCUSSION")</f>
        <v>DISCUSSION</v>
      </c>
      <c r="E320" s="11" t="str">
        <f>IFERROR(__xludf.DUMMYFUNCTION("""COMPUTED_VALUE"""),"UGC")</f>
        <v>UGC</v>
      </c>
      <c r="F320" s="11" t="str">
        <f>IFERROR(__xludf.DUMMYFUNCTION("""COMPUTED_VALUE"""),"Discussion")</f>
        <v>Discussion</v>
      </c>
      <c r="G320" s="11" t="b">
        <f>IFERROR(__xludf.DUMMYFUNCTION("""COMPUTED_VALUE"""),FALSE)</f>
        <v>0</v>
      </c>
      <c r="H320" s="11" t="str">
        <f>IFERROR(__xludf.DUMMYFUNCTION("""COMPUTED_VALUE"""),"Seer Interactive, Funnel Boost Media, Huge, Siege Media, Single Grain, First Page Sage, iPullRank, Clutch, Directive")</f>
        <v>Seer Interactive, Funnel Boost Media, Huge, Siege Media, Single Grain, First Page Sage, iPullRank, Clutch, Directive</v>
      </c>
      <c r="I320" s="11">
        <f>IFERROR(__xludf.DUMMYFUNCTION("""COMPUTED_VALUE"""),7.0)</f>
        <v>7</v>
      </c>
      <c r="J320" s="11">
        <f>IFERROR(__xludf.DUMMYFUNCTION("""COMPUTED_VALUE"""),0.01)</f>
        <v>0.01</v>
      </c>
      <c r="K320" s="11">
        <f>IFERROR(__xludf.DUMMYFUNCTION("""COMPUTED_VALUE"""),1.14)</f>
        <v>1.14</v>
      </c>
      <c r="L320" s="11"/>
    </row>
    <row r="321" ht="15.75" customHeight="1">
      <c r="A321" s="10" t="str">
        <f>IFERROR(__xludf.DUMMYFUNCTION("""COMPUTED_VALUE"""),"https://segmentstream.com/blog/articles/measured-com-alternatives")</f>
        <v>https://segmentstream.com/blog/articles/measured-com-alternatives</v>
      </c>
      <c r="B321" s="11" t="str">
        <f>IFERROR(__xludf.DUMMYFUNCTION("""COMPUTED_VALUE"""),"9 Best Measured Alternatives &amp;amp; Competitors for Incrementality Testing in 2026 — SegmentStream")</f>
        <v>9 Best Measured Alternatives &amp;amp; Competitors for Incrementality Testing in 2026 — SegmentStream</v>
      </c>
      <c r="C321" s="10" t="str">
        <f>IFERROR(__xludf.DUMMYFUNCTION("""COMPUTED_VALUE"""),"segmentstream.com")</f>
        <v>segmentstream.com</v>
      </c>
      <c r="D321" s="11" t="str">
        <f>IFERROR(__xludf.DUMMYFUNCTION("""COMPUTED_VALUE"""),"ALTERNATIVE")</f>
        <v>ALTERNATIVE</v>
      </c>
      <c r="E321" s="11" t="str">
        <f>IFERROR(__xludf.DUMMYFUNCTION("""COMPUTED_VALUE"""),"COMPETITOR")</f>
        <v>COMPETITOR</v>
      </c>
      <c r="F321" s="11" t="str">
        <f>IFERROR(__xludf.DUMMYFUNCTION("""COMPUTED_VALUE"""),"Alternative")</f>
        <v>Alternative</v>
      </c>
      <c r="G321" s="11" t="b">
        <f>IFERROR(__xludf.DUMMYFUNCTION("""COMPUTED_VALUE"""),FALSE)</f>
        <v>0</v>
      </c>
      <c r="H321" s="11" t="str">
        <f>IFERROR(__xludf.DUMMYFUNCTION("""COMPUTED_VALUE"""),"SegmentStream, Measured, Haus, LifeSight, INCRMNTAL, Recast, LiftLab, Momentum, Sellforte")</f>
        <v>SegmentStream, Measured, Haus, LifeSight, INCRMNTAL, Recast, LiftLab, Momentum, Sellforte</v>
      </c>
      <c r="I321" s="11">
        <f>IFERROR(__xludf.DUMMYFUNCTION("""COMPUTED_VALUE"""),7.0)</f>
        <v>7</v>
      </c>
      <c r="J321" s="11">
        <f>IFERROR(__xludf.DUMMYFUNCTION("""COMPUTED_VALUE"""),0.01)</f>
        <v>0.01</v>
      </c>
      <c r="K321" s="11">
        <f>IFERROR(__xludf.DUMMYFUNCTION("""COMPUTED_VALUE"""),1.14)</f>
        <v>1.14</v>
      </c>
      <c r="L321" s="11"/>
    </row>
    <row r="322" ht="15.75" customHeight="1">
      <c r="A322" s="10" t="str">
        <f>IFERROR(__xludf.DUMMYFUNCTION("""COMPUTED_VALUE"""),"https://www.sortlist.com/s/programmatic-advertising/united-states-us")</f>
        <v>https://www.sortlist.com/s/programmatic-advertising/united-states-us</v>
      </c>
      <c r="B322" s="11" t="str">
        <f>IFERROR(__xludf.DUMMYFUNCTION("""COMPUTED_VALUE"""),"The 10 Best Programmatic Advertising Companies in the United States - 2026 Reviews")</f>
        <v>The 10 Best Programmatic Advertising Companies in the United States - 2026 Reviews</v>
      </c>
      <c r="C322" s="10" t="str">
        <f>IFERROR(__xludf.DUMMYFUNCTION("""COMPUTED_VALUE"""),"sortlist.com")</f>
        <v>sortlist.com</v>
      </c>
      <c r="D322" s="11" t="str">
        <f>IFERROR(__xludf.DUMMYFUNCTION("""COMPUTED_VALUE"""),"CATEGORY_PAGE")</f>
        <v>CATEGORY_PAGE</v>
      </c>
      <c r="E322" s="11" t="str">
        <f>IFERROR(__xludf.DUMMYFUNCTION("""COMPUTED_VALUE"""),"CORPORATE")</f>
        <v>CORPORATE</v>
      </c>
      <c r="F322" s="11" t="str">
        <f>IFERROR(__xludf.DUMMYFUNCTION("""COMPUTED_VALUE"""),"Category Page")</f>
        <v>Category Page</v>
      </c>
      <c r="G322" s="11" t="b">
        <f>IFERROR(__xludf.DUMMYFUNCTION("""COMPUTED_VALUE"""),FALSE)</f>
        <v>0</v>
      </c>
      <c r="H322" s="11" t="str">
        <f>IFERROR(__xludf.DUMMYFUNCTION("""COMPUTED_VALUE"""),"Clutch, IBM")</f>
        <v>Clutch, IBM</v>
      </c>
      <c r="I322" s="11">
        <f>IFERROR(__xludf.DUMMYFUNCTION("""COMPUTED_VALUE"""),7.0)</f>
        <v>7</v>
      </c>
      <c r="J322" s="11">
        <f>IFERROR(__xludf.DUMMYFUNCTION("""COMPUTED_VALUE"""),0.01)</f>
        <v>0.01</v>
      </c>
      <c r="K322" s="11">
        <f>IFERROR(__xludf.DUMMYFUNCTION("""COMPUTED_VALUE"""),0.0)</f>
        <v>0</v>
      </c>
      <c r="L322" s="11"/>
    </row>
    <row r="323" ht="15.75" customHeight="1">
      <c r="A323" s="10" t="str">
        <f>IFERROR(__xludf.DUMMYFUNCTION("""COMPUTED_VALUE"""),"https://techradiant.co/agencies/generative-engine-optimization/")</f>
        <v>https://techradiant.co/agencies/generative-engine-optimization/</v>
      </c>
      <c r="B323" s="11" t="str">
        <f>IFERROR(__xludf.DUMMYFUNCTION("""COMPUTED_VALUE"""),"Best Generative Engine Optimization Companies 2026 | Top GEO Experts - Techradiant")</f>
        <v>Best Generative Engine Optimization Companies 2026 | Top GEO Experts - Techradiant</v>
      </c>
      <c r="C323" s="10" t="str">
        <f>IFERROR(__xludf.DUMMYFUNCTION("""COMPUTED_VALUE"""),"techradiant.co")</f>
        <v>techradiant.co</v>
      </c>
      <c r="D323" s="11" t="str">
        <f>IFERROR(__xludf.DUMMYFUNCTION("""COMPUTED_VALUE"""),"CATEGORY_PAGE")</f>
        <v>CATEGORY_PAGE</v>
      </c>
      <c r="E323" s="11" t="str">
        <f>IFERROR(__xludf.DUMMYFUNCTION("""COMPUTED_VALUE"""),"REFERENCE")</f>
        <v>REFERENCE</v>
      </c>
      <c r="F323" s="11" t="str">
        <f>IFERROR(__xludf.DUMMYFUNCTION("""COMPUTED_VALUE"""),"Category Page")</f>
        <v>Category Page</v>
      </c>
      <c r="G323" s="11" t="b">
        <f>IFERROR(__xludf.DUMMYFUNCTION("""COMPUTED_VALUE"""),FALSE)</f>
        <v>0</v>
      </c>
      <c r="H323" s="11" t="str">
        <f>IFERROR(__xludf.DUMMYFUNCTION("""COMPUTED_VALUE"""),"Intero Digital, RevenueZen, Directive")</f>
        <v>Intero Digital, RevenueZen, Directive</v>
      </c>
      <c r="I323" s="11">
        <f>IFERROR(__xludf.DUMMYFUNCTION("""COMPUTED_VALUE"""),7.0)</f>
        <v>7</v>
      </c>
      <c r="J323" s="11">
        <f>IFERROR(__xludf.DUMMYFUNCTION("""COMPUTED_VALUE"""),0.01)</f>
        <v>0.01</v>
      </c>
      <c r="K323" s="11">
        <f>IFERROR(__xludf.DUMMYFUNCTION("""COMPUTED_VALUE"""),0.29)</f>
        <v>0.29</v>
      </c>
      <c r="L323" s="11"/>
    </row>
    <row r="324" ht="15.75" customHeight="1">
      <c r="A324" s="10" t="str">
        <f>IFERROR(__xludf.DUMMYFUNCTION("""COMPUTED_VALUE"""),"https://themanifest.com/programmatic/agencies")</f>
        <v>https://themanifest.com/programmatic/agencies</v>
      </c>
      <c r="B324" s="11" t="str">
        <f>IFERROR(__xludf.DUMMYFUNCTION("""COMPUTED_VALUE"""),"The Best Programmatic Advertising Companies - Jul 2026 | The Manifest")</f>
        <v>The Best Programmatic Advertising Companies - Jul 2026 | The Manifest</v>
      </c>
      <c r="C324" s="10" t="str">
        <f>IFERROR(__xludf.DUMMYFUNCTION("""COMPUTED_VALUE"""),"themanifest.com")</f>
        <v>themanifest.com</v>
      </c>
      <c r="D324" s="11" t="str">
        <f>IFERROR(__xludf.DUMMYFUNCTION("""COMPUTED_VALUE"""),"LISTICLE")</f>
        <v>LISTICLE</v>
      </c>
      <c r="E324" s="11" t="str">
        <f>IFERROR(__xludf.DUMMYFUNCTION("""COMPUTED_VALUE"""),"REFERENCE")</f>
        <v>REFERENCE</v>
      </c>
      <c r="F324" s="11" t="str">
        <f>IFERROR(__xludf.DUMMYFUNCTION("""COMPUTED_VALUE"""),"Listicle")</f>
        <v>Listicle</v>
      </c>
      <c r="G324" s="11" t="b">
        <f>IFERROR(__xludf.DUMMYFUNCTION("""COMPUTED_VALUE"""),FALSE)</f>
        <v>0</v>
      </c>
      <c r="H324" s="11" t="str">
        <f>IFERROR(__xludf.DUMMYFUNCTION("""COMPUTED_VALUE"""),"Clutch, SmartSites, Funnel Boost Media, LYFE Marketing, Major Tom, NinjaPromo, AdVenture Media, Power Digital, The SEO Works, Accelerated Digital Media")</f>
        <v>Clutch, SmartSites, Funnel Boost Media, LYFE Marketing, Major Tom, NinjaPromo, AdVenture Media, Power Digital, The SEO Works, Accelerated Digital Media</v>
      </c>
      <c r="I324" s="11">
        <f>IFERROR(__xludf.DUMMYFUNCTION("""COMPUTED_VALUE"""),7.0)</f>
        <v>7</v>
      </c>
      <c r="J324" s="11">
        <f>IFERROR(__xludf.DUMMYFUNCTION("""COMPUTED_VALUE"""),0.01)</f>
        <v>0.01</v>
      </c>
      <c r="K324" s="11">
        <f>IFERROR(__xludf.DUMMYFUNCTION("""COMPUTED_VALUE"""),0.57)</f>
        <v>0.57</v>
      </c>
      <c r="L324" s="11"/>
    </row>
    <row r="325" ht="15.75" customHeight="1">
      <c r="A325" s="10" t="str">
        <f>IFERROR(__xludf.DUMMYFUNCTION("""COMPUTED_VALUE"""),"https://zipdo.co/service/marketing-analytics/")</f>
        <v>https://zipdo.co/service/marketing-analytics/</v>
      </c>
      <c r="B325" s="11" t="str">
        <f>IFERROR(__xludf.DUMMYFUNCTION("""COMPUTED_VALUE"""),"Best Marketing Analytics Services | 2026 Rankings")</f>
        <v>Best Marketing Analytics Services | 2026 Rankings</v>
      </c>
      <c r="C325" s="10" t="str">
        <f>IFERROR(__xludf.DUMMYFUNCTION("""COMPUTED_VALUE"""),"zipdo.co")</f>
        <v>zipdo.co</v>
      </c>
      <c r="D325" s="11" t="str">
        <f>IFERROR(__xludf.DUMMYFUNCTION("""COMPUTED_VALUE"""),"LISTICLE")</f>
        <v>LISTICLE</v>
      </c>
      <c r="E325" s="11" t="str">
        <f>IFERROR(__xludf.DUMMYFUNCTION("""COMPUTED_VALUE"""),"REFERENCE")</f>
        <v>REFERENCE</v>
      </c>
      <c r="F325" s="11" t="str">
        <f>IFERROR(__xludf.DUMMYFUNCTION("""COMPUTED_VALUE"""),"Listicle")</f>
        <v>Listicle</v>
      </c>
      <c r="G325" s="11" t="b">
        <f>IFERROR(__xludf.DUMMYFUNCTION("""COMPUTED_VALUE"""),FALSE)</f>
        <v>0</v>
      </c>
      <c r="H325" s="11" t="str">
        <f>IFERROR(__xludf.DUMMYFUNCTION("""COMPUTED_VALUE"""),"Merkle, Dentsu, Publicis Groupe, WPP, Measured, Clutch")</f>
        <v>Merkle, Dentsu, Publicis Groupe, WPP, Measured, Clutch</v>
      </c>
      <c r="I325" s="11">
        <f>IFERROR(__xludf.DUMMYFUNCTION("""COMPUTED_VALUE"""),7.0)</f>
        <v>7</v>
      </c>
      <c r="J325" s="11">
        <f>IFERROR(__xludf.DUMMYFUNCTION("""COMPUTED_VALUE"""),0.01)</f>
        <v>0.01</v>
      </c>
      <c r="K325" s="11">
        <f>IFERROR(__xludf.DUMMYFUNCTION("""COMPUTED_VALUE"""),0.29)</f>
        <v>0.29</v>
      </c>
      <c r="L325" s="11"/>
    </row>
    <row r="326" ht="15.75" customHeight="1">
      <c r="A326" s="10" t="str">
        <f>IFERROR(__xludf.DUMMYFUNCTION("""COMPUTED_VALUE"""),"https://www.20northmarketing.com/blog/top-ai-seo-experts")</f>
        <v>https://www.20northmarketing.com/blog/top-ai-seo-experts</v>
      </c>
      <c r="B326" s="11" t="str">
        <f>IFERROR(__xludf.DUMMYFUNCTION("""COMPUTED_VALUE"""),"The Top AI SEO Experts in the US | Best AI SEO Agencies | 20North")</f>
        <v>The Top AI SEO Experts in the US | Best AI SEO Agencies | 20North</v>
      </c>
      <c r="C326" s="10" t="str">
        <f>IFERROR(__xludf.DUMMYFUNCTION("""COMPUTED_VALUE"""),"20northmarketing.com")</f>
        <v>20northmarketing.com</v>
      </c>
      <c r="D326" s="11" t="str">
        <f>IFERROR(__xludf.DUMMYFUNCTION("""COMPUTED_VALUE"""),"LISTICLE")</f>
        <v>LISTICLE</v>
      </c>
      <c r="E326" s="11" t="str">
        <f>IFERROR(__xludf.DUMMYFUNCTION("""COMPUTED_VALUE"""),"CORPORATE")</f>
        <v>CORPORATE</v>
      </c>
      <c r="F326" s="11" t="str">
        <f>IFERROR(__xludf.DUMMYFUNCTION("""COMPUTED_VALUE"""),"Listicle")</f>
        <v>Listicle</v>
      </c>
      <c r="G326" s="11" t="b">
        <f>IFERROR(__xludf.DUMMYFUNCTION("""COMPUTED_VALUE"""),FALSE)</f>
        <v>0</v>
      </c>
      <c r="H326" s="11" t="str">
        <f>IFERROR(__xludf.DUMMYFUNCTION("""COMPUTED_VALUE"""),"iPullRank, Omniscient Digital, First Page Sage, Siege Media")</f>
        <v>iPullRank, Omniscient Digital, First Page Sage, Siege Media</v>
      </c>
      <c r="I326" s="11">
        <f>IFERROR(__xludf.DUMMYFUNCTION("""COMPUTED_VALUE"""),6.0)</f>
        <v>6</v>
      </c>
      <c r="J326" s="11">
        <f>IFERROR(__xludf.DUMMYFUNCTION("""COMPUTED_VALUE"""),0.01)</f>
        <v>0.01</v>
      </c>
      <c r="K326" s="11">
        <f>IFERROR(__xludf.DUMMYFUNCTION("""COMPUTED_VALUE"""),3.17)</f>
        <v>3.17</v>
      </c>
      <c r="L326" s="11"/>
    </row>
    <row r="327" ht="15.75" customHeight="1">
      <c r="A327" s="10" t="str">
        <f>IFERROR(__xludf.DUMMYFUNCTION("""COMPUTED_VALUE"""),"https://aeo-collective.com/blog/top-10-aeo-geo-aio-marketing-agencies-in-april-2026/")</f>
        <v>https://aeo-collective.com/blog/top-10-aeo-geo-aio-marketing-agencies-in-april-2026/</v>
      </c>
      <c r="B327" s="11" t="str">
        <f>IFERROR(__xludf.DUMMYFUNCTION("""COMPUTED_VALUE"""),"Top AEO Agencies for Boosting AI Search Visibility in 2026")</f>
        <v>Top AEO Agencies for Boosting AI Search Visibility in 2026</v>
      </c>
      <c r="C327" s="10" t="str">
        <f>IFERROR(__xludf.DUMMYFUNCTION("""COMPUTED_VALUE"""),"aeo-collective.com")</f>
        <v>aeo-collective.com</v>
      </c>
      <c r="D327" s="11" t="str">
        <f>IFERROR(__xludf.DUMMYFUNCTION("""COMPUTED_VALUE"""),"LISTICLE")</f>
        <v>LISTICLE</v>
      </c>
      <c r="E327" s="11" t="str">
        <f>IFERROR(__xludf.DUMMYFUNCTION("""COMPUTED_VALUE"""),"CORPORATE")</f>
        <v>CORPORATE</v>
      </c>
      <c r="F327" s="11" t="str">
        <f>IFERROR(__xludf.DUMMYFUNCTION("""COMPUTED_VALUE"""),"Listicle")</f>
        <v>Listicle</v>
      </c>
      <c r="G327" s="11" t="b">
        <f>IFERROR(__xludf.DUMMYFUNCTION("""COMPUTED_VALUE"""),FALSE)</f>
        <v>0</v>
      </c>
      <c r="H327" s="11" t="str">
        <f>IFERROR(__xludf.DUMMYFUNCTION("""COMPUTED_VALUE"""),"Discovered Labs, First Page Sage, Single Grain")</f>
        <v>Discovered Labs, First Page Sage, Single Grain</v>
      </c>
      <c r="I327" s="11">
        <f>IFERROR(__xludf.DUMMYFUNCTION("""COMPUTED_VALUE"""),6.0)</f>
        <v>6</v>
      </c>
      <c r="J327" s="11">
        <f>IFERROR(__xludf.DUMMYFUNCTION("""COMPUTED_VALUE"""),0.01)</f>
        <v>0.01</v>
      </c>
      <c r="K327" s="11">
        <f>IFERROR(__xludf.DUMMYFUNCTION("""COMPUTED_VALUE"""),0.0)</f>
        <v>0</v>
      </c>
      <c r="L327" s="11"/>
    </row>
    <row r="328" ht="15.75" customHeight="1">
      <c r="A328" s="10" t="str">
        <f>IFERROR(__xludf.DUMMYFUNCTION("""COMPUTED_VALUE"""),"https://agencies.semrush.com/list/analytics-data-science/united-states/")</f>
        <v>https://agencies.semrush.com/list/analytics-data-science/united-states/</v>
      </c>
      <c r="B328" s="11" t="str">
        <f>IFERROR(__xludf.DUMMYFUNCTION("""COMPUTED_VALUE"""),"Best Data Analytics Services in United States 2026 | Semrush")</f>
        <v>Best Data Analytics Services in United States 2026 | Semrush</v>
      </c>
      <c r="C328" s="10" t="str">
        <f>IFERROR(__xludf.DUMMYFUNCTION("""COMPUTED_VALUE"""),"semrush.com")</f>
        <v>semrush.com</v>
      </c>
      <c r="D328" s="11" t="str">
        <f>IFERROR(__xludf.DUMMYFUNCTION("""COMPUTED_VALUE"""),"CATEGORY_PAGE")</f>
        <v>CATEGORY_PAGE</v>
      </c>
      <c r="E328" s="11" t="str">
        <f>IFERROR(__xludf.DUMMYFUNCTION("""COMPUTED_VALUE"""),"CORPORATE")</f>
        <v>CORPORATE</v>
      </c>
      <c r="F328" s="11" t="str">
        <f>IFERROR(__xludf.DUMMYFUNCTION("""COMPUTED_VALUE"""),"Category Page")</f>
        <v>Category Page</v>
      </c>
      <c r="G328" s="11" t="b">
        <f>IFERROR(__xludf.DUMMYFUNCTION("""COMPUTED_VALUE"""),FALSE)</f>
        <v>0</v>
      </c>
      <c r="H328" s="11" t="str">
        <f>IFERROR(__xludf.DUMMYFUNCTION("""COMPUTED_VALUE"""),"Elit-Web, Silverback Strategies, WebFX")</f>
        <v>Elit-Web, Silverback Strategies, WebFX</v>
      </c>
      <c r="I328" s="11">
        <f>IFERROR(__xludf.DUMMYFUNCTION("""COMPUTED_VALUE"""),6.0)</f>
        <v>6</v>
      </c>
      <c r="J328" s="11">
        <f>IFERROR(__xludf.DUMMYFUNCTION("""COMPUTED_VALUE"""),0.01)</f>
        <v>0.01</v>
      </c>
      <c r="K328" s="11">
        <f>IFERROR(__xludf.DUMMYFUNCTION("""COMPUTED_VALUE"""),0.0)</f>
        <v>0</v>
      </c>
      <c r="L328" s="11"/>
    </row>
    <row r="329" ht="15.75" customHeight="1">
      <c r="A329" s="10" t="str">
        <f>IFERROR(__xludf.DUMMYFUNCTION("""COMPUTED_VALUE"""),"https://agencies.semrush.com/list/ppc/united-states/")</f>
        <v>https://agencies.semrush.com/list/ppc/united-states/</v>
      </c>
      <c r="B329" s="11" t="str">
        <f>IFERROR(__xludf.DUMMYFUNCTION("""COMPUTED_VALUE"""),"Best PPC Agencies in United States 2026 | Semrush")</f>
        <v>Best PPC Agencies in United States 2026 | Semrush</v>
      </c>
      <c r="C329" s="10" t="str">
        <f>IFERROR(__xludf.DUMMYFUNCTION("""COMPUTED_VALUE"""),"semrush.com")</f>
        <v>semrush.com</v>
      </c>
      <c r="D329" s="11" t="str">
        <f>IFERROR(__xludf.DUMMYFUNCTION("""COMPUTED_VALUE"""),"CATEGORY_PAGE")</f>
        <v>CATEGORY_PAGE</v>
      </c>
      <c r="E329" s="11" t="str">
        <f>IFERROR(__xludf.DUMMYFUNCTION("""COMPUTED_VALUE"""),"CORPORATE")</f>
        <v>CORPORATE</v>
      </c>
      <c r="F329" s="11" t="str">
        <f>IFERROR(__xludf.DUMMYFUNCTION("""COMPUTED_VALUE"""),"Category Page")</f>
        <v>Category Page</v>
      </c>
      <c r="G329" s="11" t="b">
        <f>IFERROR(__xludf.DUMMYFUNCTION("""COMPUTED_VALUE"""),FALSE)</f>
        <v>0</v>
      </c>
      <c r="H329" s="11" t="str">
        <f>IFERROR(__xludf.DUMMYFUNCTION("""COMPUTED_VALUE"""),"SmartSites, Elit-Web, Clutch")</f>
        <v>SmartSites, Elit-Web, Clutch</v>
      </c>
      <c r="I329" s="11">
        <f>IFERROR(__xludf.DUMMYFUNCTION("""COMPUTED_VALUE"""),6.0)</f>
        <v>6</v>
      </c>
      <c r="J329" s="11">
        <f>IFERROR(__xludf.DUMMYFUNCTION("""COMPUTED_VALUE"""),0.01)</f>
        <v>0.01</v>
      </c>
      <c r="K329" s="11">
        <f>IFERROR(__xludf.DUMMYFUNCTION("""COMPUTED_VALUE"""),0.0)</f>
        <v>0</v>
      </c>
      <c r="L329" s="11"/>
    </row>
    <row r="330" ht="15.75" customHeight="1">
      <c r="A330" s="10" t="str">
        <f>IFERROR(__xludf.DUMMYFUNCTION("""COMPUTED_VALUE"""),"https://www.aikenhouse.com/post/best-ai-consulting-firms-that-go-beyond-strategy-decks")</f>
        <v>https://www.aikenhouse.com/post/best-ai-consulting-firms-that-go-beyond-strategy-decks</v>
      </c>
      <c r="B330" s="11" t="str">
        <f>IFERROR(__xludf.DUMMYFUNCTION("""COMPUTED_VALUE"""),"Best AI Consulting Firms That Go Beyond Strategy Decks | Aiken House Blog")</f>
        <v>Best AI Consulting Firms That Go Beyond Strategy Decks | Aiken House Blog</v>
      </c>
      <c r="C330" s="10" t="str">
        <f>IFERROR(__xludf.DUMMYFUNCTION("""COMPUTED_VALUE"""),"aikenhouse.com")</f>
        <v>aikenhouse.com</v>
      </c>
      <c r="D330" s="11" t="str">
        <f>IFERROR(__xludf.DUMMYFUNCTION("""COMPUTED_VALUE"""),"LISTICLE")</f>
        <v>LISTICLE</v>
      </c>
      <c r="E330" s="11" t="str">
        <f>IFERROR(__xludf.DUMMYFUNCTION("""COMPUTED_VALUE"""),"CORPORATE")</f>
        <v>CORPORATE</v>
      </c>
      <c r="F330" s="11" t="str">
        <f>IFERROR(__xludf.DUMMYFUNCTION("""COMPUTED_VALUE"""),"Listicle")</f>
        <v>Listicle</v>
      </c>
      <c r="G330" s="11" t="b">
        <f>IFERROR(__xludf.DUMMYFUNCTION("""COMPUTED_VALUE"""),FALSE)</f>
        <v>0</v>
      </c>
      <c r="H330" s="11" t="str">
        <f>IFERROR(__xludf.DUMMYFUNCTION("""COMPUTED_VALUE"""),"McKinsey, BCG, Superside, IBM")</f>
        <v>McKinsey, BCG, Superside, IBM</v>
      </c>
      <c r="I330" s="11">
        <f>IFERROR(__xludf.DUMMYFUNCTION("""COMPUTED_VALUE"""),6.0)</f>
        <v>6</v>
      </c>
      <c r="J330" s="11">
        <f>IFERROR(__xludf.DUMMYFUNCTION("""COMPUTED_VALUE"""),0.01)</f>
        <v>0.01</v>
      </c>
      <c r="K330" s="11">
        <f>IFERROR(__xludf.DUMMYFUNCTION("""COMPUTED_VALUE"""),1.17)</f>
        <v>1.17</v>
      </c>
      <c r="L330" s="11"/>
    </row>
    <row r="331" ht="15.75" customHeight="1">
      <c r="A331" s="10" t="str">
        <f>IFERROR(__xludf.DUMMYFUNCTION("""COMPUTED_VALUE"""),"https://www.barchart.com/story/news/1302801/11-best-ai-search-marketing-agencies-ranked-for-2026")</f>
        <v>https://www.barchart.com/story/news/1302801/11-best-ai-search-marketing-agencies-ranked-for-2026</v>
      </c>
      <c r="B331" s="11" t="str">
        <f>IFERROR(__xludf.DUMMYFUNCTION("""COMPUTED_VALUE"""),"11 Best AI Search Marketing Agencies Ranked for 2026")</f>
        <v>11 Best AI Search Marketing Agencies Ranked for 2026</v>
      </c>
      <c r="C331" s="10" t="str">
        <f>IFERROR(__xludf.DUMMYFUNCTION("""COMPUTED_VALUE"""),"barchart.com")</f>
        <v>barchart.com</v>
      </c>
      <c r="D331" s="11" t="str">
        <f>IFERROR(__xludf.DUMMYFUNCTION("""COMPUTED_VALUE"""),"LISTICLE")</f>
        <v>LISTICLE</v>
      </c>
      <c r="E331" s="11" t="str">
        <f>IFERROR(__xludf.DUMMYFUNCTION("""COMPUTED_VALUE"""),"REFERENCE")</f>
        <v>REFERENCE</v>
      </c>
      <c r="F331" s="11" t="str">
        <f>IFERROR(__xludf.DUMMYFUNCTION("""COMPUTED_VALUE"""),"Listicle")</f>
        <v>Listicle</v>
      </c>
      <c r="G331" s="11" t="b">
        <f>IFERROR(__xludf.DUMMYFUNCTION("""COMPUTED_VALUE"""),FALSE)</f>
        <v>0</v>
      </c>
      <c r="H331" s="11" t="str">
        <f>IFERROR(__xludf.DUMMYFUNCTION("""COMPUTED_VALUE"""),"Momentum, Omniscient Digital, Siege Media, RevenueZen, Go Fish Digital, NoGood, First Page Sage, Intero Digital, WebFX, iPullRank")</f>
        <v>Momentum, Omniscient Digital, Siege Media, RevenueZen, Go Fish Digital, NoGood, First Page Sage, Intero Digital, WebFX, iPullRank</v>
      </c>
      <c r="I331" s="11">
        <f>IFERROR(__xludf.DUMMYFUNCTION("""COMPUTED_VALUE"""),6.0)</f>
        <v>6</v>
      </c>
      <c r="J331" s="11">
        <f>IFERROR(__xludf.DUMMYFUNCTION("""COMPUTED_VALUE"""),0.01)</f>
        <v>0.01</v>
      </c>
      <c r="K331" s="11">
        <f>IFERROR(__xludf.DUMMYFUNCTION("""COMPUTED_VALUE"""),2.5)</f>
        <v>2.5</v>
      </c>
      <c r="L331" s="11"/>
    </row>
    <row r="332" ht="15.75" customHeight="1">
      <c r="A332" s="10" t="str">
        <f>IFERROR(__xludf.DUMMYFUNCTION("""COMPUTED_VALUE"""),"https://www.businessofapps.com/marketplace/performance-marketing/")</f>
        <v>https://www.businessofapps.com/marketplace/performance-marketing/</v>
      </c>
      <c r="B332" s="11" t="str">
        <f>IFERROR(__xludf.DUMMYFUNCTION("""COMPUTED_VALUE"""),"Top Performance Marketing Agencies (2026) - Business of Apps")</f>
        <v>Top Performance Marketing Agencies (2026) - Business of Apps</v>
      </c>
      <c r="C332" s="10" t="str">
        <f>IFERROR(__xludf.DUMMYFUNCTION("""COMPUTED_VALUE"""),"businessofapps.com")</f>
        <v>businessofapps.com</v>
      </c>
      <c r="D332" s="11" t="str">
        <f>IFERROR(__xludf.DUMMYFUNCTION("""COMPUTED_VALUE"""),"CATEGORY_PAGE")</f>
        <v>CATEGORY_PAGE</v>
      </c>
      <c r="E332" s="11" t="str">
        <f>IFERROR(__xludf.DUMMYFUNCTION("""COMPUTED_VALUE"""),"EDITORIAL")</f>
        <v>EDITORIAL</v>
      </c>
      <c r="F332" s="11" t="str">
        <f>IFERROR(__xludf.DUMMYFUNCTION("""COMPUTED_VALUE"""),"Category Page")</f>
        <v>Category Page</v>
      </c>
      <c r="G332" s="11" t="b">
        <f>IFERROR(__xludf.DUMMYFUNCTION("""COMPUTED_VALUE"""),TRUE)</f>
        <v>1</v>
      </c>
      <c r="H332" s="11" t="str">
        <f>IFERROR(__xludf.DUMMYFUNCTION("""COMPUTED_VALUE"""),"The Social Shepherd, Measured, Incubeta, Directive")</f>
        <v>The Social Shepherd, Measured, Incubeta, Directive</v>
      </c>
      <c r="I332" s="11">
        <f>IFERROR(__xludf.DUMMYFUNCTION("""COMPUTED_VALUE"""),6.0)</f>
        <v>6</v>
      </c>
      <c r="J332" s="11">
        <f>IFERROR(__xludf.DUMMYFUNCTION("""COMPUTED_VALUE"""),0.01)</f>
        <v>0.01</v>
      </c>
      <c r="K332" s="11">
        <f>IFERROR(__xludf.DUMMYFUNCTION("""COMPUTED_VALUE"""),0.0)</f>
        <v>0</v>
      </c>
      <c r="L332" s="11"/>
    </row>
    <row r="333" ht="15.75" customHeight="1">
      <c r="A333" s="10" t="str">
        <f>IFERROR(__xludf.DUMMYFUNCTION("""COMPUTED_VALUE"""),"https://clutch.co/us/agencies/ppc/display%3Fpage%3D2")</f>
        <v>https://clutch.co/us/agencies/ppc/display%3Fpage%3D2</v>
      </c>
      <c r="B333" s="11" t="str">
        <f>IFERROR(__xludf.DUMMYFUNCTION("""COMPUTED_VALUE"""),"Top Display Advertising Agencies in the United States - Jul 2026 Rankings \| Clutch.co")</f>
        <v>Top Display Advertising Agencies in the United States - Jul 2026 Rankings \| Clutch.co</v>
      </c>
      <c r="C333" s="10" t="str">
        <f>IFERROR(__xludf.DUMMYFUNCTION("""COMPUTED_VALUE"""),"clutch.co")</f>
        <v>clutch.co</v>
      </c>
      <c r="D333" s="11" t="str">
        <f>IFERROR(__xludf.DUMMYFUNCTION("""COMPUTED_VALUE"""),"CATEGORY_PAGE")</f>
        <v>CATEGORY_PAGE</v>
      </c>
      <c r="E333" s="11" t="str">
        <f>IFERROR(__xludf.DUMMYFUNCTION("""COMPUTED_VALUE"""),"COMPETITOR")</f>
        <v>COMPETITOR</v>
      </c>
      <c r="F333" s="11" t="str">
        <f>IFERROR(__xludf.DUMMYFUNCTION("""COMPUTED_VALUE"""),"Category Page")</f>
        <v>Category Page</v>
      </c>
      <c r="G333" s="11" t="b">
        <f>IFERROR(__xludf.DUMMYFUNCTION("""COMPUTED_VALUE"""),FALSE)</f>
        <v>0</v>
      </c>
      <c r="H333" s="11" t="str">
        <f>IFERROR(__xludf.DUMMYFUNCTION("""COMPUTED_VALUE"""),"Clutch, Elit-Web, AdVenture Media, Storm Brain, Huge")</f>
        <v>Clutch, Elit-Web, AdVenture Media, Storm Brain, Huge</v>
      </c>
      <c r="I333" s="11">
        <f>IFERROR(__xludf.DUMMYFUNCTION("""COMPUTED_VALUE"""),6.0)</f>
        <v>6</v>
      </c>
      <c r="J333" s="11">
        <f>IFERROR(__xludf.DUMMYFUNCTION("""COMPUTED_VALUE"""),0.01)</f>
        <v>0.01</v>
      </c>
      <c r="K333" s="11">
        <f>IFERROR(__xludf.DUMMYFUNCTION("""COMPUTED_VALUE"""),0.0)</f>
        <v>0</v>
      </c>
      <c r="L333" s="11"/>
    </row>
    <row r="334" ht="15.75" customHeight="1">
      <c r="A334" s="10" t="str">
        <f>IFERROR(__xludf.DUMMYFUNCTION("""COMPUTED_VALUE"""),"https://coolnerdsmarketing.com/best-ad-agencies-2025/")</f>
        <v>https://coolnerdsmarketing.com/best-ad-agencies-2025/</v>
      </c>
      <c r="B334" s="11" t="str">
        <f>IFERROR(__xludf.DUMMYFUNCTION("""COMPUTED_VALUE"""),"Top 17 Best Ad Agencies in the U.S. (January 2026 List)")</f>
        <v>Top 17 Best Ad Agencies in the U.S. (January 2026 List)</v>
      </c>
      <c r="C334" s="10" t="str">
        <f>IFERROR(__xludf.DUMMYFUNCTION("""COMPUTED_VALUE"""),"coolnerdsmarketing.com")</f>
        <v>coolnerdsmarketing.com</v>
      </c>
      <c r="D334" s="11" t="str">
        <f>IFERROR(__xludf.DUMMYFUNCTION("""COMPUTED_VALUE"""),"LISTICLE")</f>
        <v>LISTICLE</v>
      </c>
      <c r="E334" s="11" t="str">
        <f>IFERROR(__xludf.DUMMYFUNCTION("""COMPUTED_VALUE"""),"CORPORATE")</f>
        <v>CORPORATE</v>
      </c>
      <c r="F334" s="11" t="str">
        <f>IFERROR(__xludf.DUMMYFUNCTION("""COMPUTED_VALUE"""),"Listicle")</f>
        <v>Listicle</v>
      </c>
      <c r="G334" s="11" t="b">
        <f>IFERROR(__xludf.DUMMYFUNCTION("""COMPUTED_VALUE"""),FALSE)</f>
        <v>0</v>
      </c>
      <c r="H334" s="11" t="str">
        <f>IFERROR(__xludf.DUMMYFUNCTION("""COMPUTED_VALUE"""),"Momentum, Wieden+Kennedy, Droga5, Anomaly, TBWA\Chiat\Day, BBDO, Accenture Song")</f>
        <v>Momentum, Wieden+Kennedy, Droga5, Anomaly, TBWA\Chiat\Day, BBDO, Accenture Song</v>
      </c>
      <c r="I334" s="11">
        <f>IFERROR(__xludf.DUMMYFUNCTION("""COMPUTED_VALUE"""),6.0)</f>
        <v>6</v>
      </c>
      <c r="J334" s="11">
        <f>IFERROR(__xludf.DUMMYFUNCTION("""COMPUTED_VALUE"""),0.01)</f>
        <v>0.01</v>
      </c>
      <c r="K334" s="11">
        <f>IFERROR(__xludf.DUMMYFUNCTION("""COMPUTED_VALUE"""),1.33)</f>
        <v>1.33</v>
      </c>
      <c r="L334" s="11"/>
    </row>
    <row r="335" ht="15.75" customHeight="1">
      <c r="A335" s="10" t="str">
        <f>IFERROR(__xludf.DUMMYFUNCTION("""COMPUTED_VALUE"""),"https://www.designrush.com/agency/digital-marketing")</f>
        <v>https://www.designrush.com/agency/digital-marketing</v>
      </c>
      <c r="B335" s="11" t="str">
        <f>IFERROR(__xludf.DUMMYFUNCTION("""COMPUTED_VALUE"""),"Top Digital Marketing Agencies in 2026")</f>
        <v>Top Digital Marketing Agencies in 2026</v>
      </c>
      <c r="C335" s="10" t="str">
        <f>IFERROR(__xludf.DUMMYFUNCTION("""COMPUTED_VALUE"""),"designrush.com")</f>
        <v>designrush.com</v>
      </c>
      <c r="D335" s="11" t="str">
        <f>IFERROR(__xludf.DUMMYFUNCTION("""COMPUTED_VALUE"""),"PROFILE")</f>
        <v>PROFILE</v>
      </c>
      <c r="E335" s="11" t="str">
        <f>IFERROR(__xludf.DUMMYFUNCTION("""COMPUTED_VALUE"""),"CORPORATE")</f>
        <v>CORPORATE</v>
      </c>
      <c r="F335" s="11" t="str">
        <f>IFERROR(__xludf.DUMMYFUNCTION("""COMPUTED_VALUE"""),"Profile")</f>
        <v>Profile</v>
      </c>
      <c r="G335" s="11" t="b">
        <f>IFERROR(__xludf.DUMMYFUNCTION("""COMPUTED_VALUE"""),FALSE)</f>
        <v>0</v>
      </c>
      <c r="H335" s="11" t="str">
        <f>IFERROR(__xludf.DUMMYFUNCTION("""COMPUTED_VALUE"""),"SmartSites, Searchbloom, Silverback Strategies, Intero Digital, Funnel Boost Media, Huge, Disruptive Advertising, IBM, PwC, NinjaPromo, KlientBoost, Elit-Web, Momentum")</f>
        <v>SmartSites, Searchbloom, Silverback Strategies, Intero Digital, Funnel Boost Media, Huge, Disruptive Advertising, IBM, PwC, NinjaPromo, KlientBoost, Elit-Web, Momentum</v>
      </c>
      <c r="I335" s="11">
        <f>IFERROR(__xludf.DUMMYFUNCTION("""COMPUTED_VALUE"""),6.0)</f>
        <v>6</v>
      </c>
      <c r="J335" s="11">
        <f>IFERROR(__xludf.DUMMYFUNCTION("""COMPUTED_VALUE"""),0.01)</f>
        <v>0.01</v>
      </c>
      <c r="K335" s="11">
        <f>IFERROR(__xludf.DUMMYFUNCTION("""COMPUTED_VALUE"""),0.0)</f>
        <v>0</v>
      </c>
      <c r="L335" s="11"/>
    </row>
    <row r="336" ht="15.75" customHeight="1">
      <c r="A336" s="10" t="str">
        <f>IFERROR(__xludf.DUMMYFUNCTION("""COMPUTED_VALUE"""),"https://www.embarque.io/post/we-found-20-ai-seo-agencies-helping-businesses-rank-in-llm-results")</f>
        <v>https://www.embarque.io/post/we-found-20-ai-seo-agencies-helping-businesses-rank-in-llm-results</v>
      </c>
      <c r="B336" s="11" t="str">
        <f>IFERROR(__xludf.DUMMYFUNCTION("""COMPUTED_VALUE"""),"We Found 30 of the Best AI SEO Agencies for Ranking in AI Results in 2026 \| Embarque")</f>
        <v>We Found 30 of the Best AI SEO Agencies for Ranking in AI Results in 2026 \| Embarque</v>
      </c>
      <c r="C336" s="10" t="str">
        <f>IFERROR(__xludf.DUMMYFUNCTION("""COMPUTED_VALUE"""),"embarque.io")</f>
        <v>embarque.io</v>
      </c>
      <c r="D336" s="11" t="str">
        <f>IFERROR(__xludf.DUMMYFUNCTION("""COMPUTED_VALUE"""),"LISTICLE")</f>
        <v>LISTICLE</v>
      </c>
      <c r="E336" s="11" t="str">
        <f>IFERROR(__xludf.DUMMYFUNCTION("""COMPUTED_VALUE"""),"CORPORATE")</f>
        <v>CORPORATE</v>
      </c>
      <c r="F336" s="11" t="str">
        <f>IFERROR(__xludf.DUMMYFUNCTION("""COMPUTED_VALUE"""),"Listicle")</f>
        <v>Listicle</v>
      </c>
      <c r="G336" s="11" t="b">
        <f>IFERROR(__xludf.DUMMYFUNCTION("""COMPUTED_VALUE"""),FALSE)</f>
        <v>0</v>
      </c>
      <c r="H336" s="11" t="str">
        <f>IFERROR(__xludf.DUMMYFUNCTION("""COMPUTED_VALUE"""),"NoGood, Marcel Digital, WebFX, iPullRank, Siege Media, Single Grain, Graphite, First Page Sage, Omniscient Digital, Animalz, Measured, Clutch, Huge, IBM")</f>
        <v>NoGood, Marcel Digital, WebFX, iPullRank, Siege Media, Single Grain, Graphite, First Page Sage, Omniscient Digital, Animalz, Measured, Clutch, Huge, IBM</v>
      </c>
      <c r="I336" s="11">
        <f>IFERROR(__xludf.DUMMYFUNCTION("""COMPUTED_VALUE"""),6.0)</f>
        <v>6</v>
      </c>
      <c r="J336" s="11">
        <f>IFERROR(__xludf.DUMMYFUNCTION("""COMPUTED_VALUE"""),0.01)</f>
        <v>0.01</v>
      </c>
      <c r="K336" s="11">
        <f>IFERROR(__xludf.DUMMYFUNCTION("""COMPUTED_VALUE"""),0.5)</f>
        <v>0.5</v>
      </c>
      <c r="L336" s="11"/>
    </row>
    <row r="337" ht="15.75" customHeight="1">
      <c r="A337" s="10" t="str">
        <f>IFERROR(__xludf.DUMMYFUNCTION("""COMPUTED_VALUE"""),"https://eseospace.com/blog/top-aeo-agencies-2026/")</f>
        <v>https://eseospace.com/blog/top-aeo-agencies-2026/</v>
      </c>
      <c r="B337" s="11" t="str">
        <f>IFERROR(__xludf.DUMMYFUNCTION("""COMPUTED_VALUE"""),"Top AEO Agencies in 2026: The Best Answer Engine Optimization Experts - eSEOspace")</f>
        <v>Top AEO Agencies in 2026: The Best Answer Engine Optimization Experts - eSEOspace</v>
      </c>
      <c r="C337" s="10" t="str">
        <f>IFERROR(__xludf.DUMMYFUNCTION("""COMPUTED_VALUE"""),"eseospace.com")</f>
        <v>eseospace.com</v>
      </c>
      <c r="D337" s="11" t="str">
        <f>IFERROR(__xludf.DUMMYFUNCTION("""COMPUTED_VALUE"""),"LISTICLE")</f>
        <v>LISTICLE</v>
      </c>
      <c r="E337" s="11" t="str">
        <f>IFERROR(__xludf.DUMMYFUNCTION("""COMPUTED_VALUE"""),"CORPORATE")</f>
        <v>CORPORATE</v>
      </c>
      <c r="F337" s="11" t="str">
        <f>IFERROR(__xludf.DUMMYFUNCTION("""COMPUTED_VALUE"""),"Listicle")</f>
        <v>Listicle</v>
      </c>
      <c r="G337" s="11" t="b">
        <f>IFERROR(__xludf.DUMMYFUNCTION("""COMPUTED_VALUE"""),FALSE)</f>
        <v>0</v>
      </c>
      <c r="H337" s="11" t="str">
        <f>IFERROR(__xludf.DUMMYFUNCTION("""COMPUTED_VALUE"""),"NoGood, Avenue Z, First Page Sage, Clutch")</f>
        <v>NoGood, Avenue Z, First Page Sage, Clutch</v>
      </c>
      <c r="I337" s="11">
        <f>IFERROR(__xludf.DUMMYFUNCTION("""COMPUTED_VALUE"""),6.0)</f>
        <v>6</v>
      </c>
      <c r="J337" s="11">
        <f>IFERROR(__xludf.DUMMYFUNCTION("""COMPUTED_VALUE"""),0.01)</f>
        <v>0.01</v>
      </c>
      <c r="K337" s="11">
        <f>IFERROR(__xludf.DUMMYFUNCTION("""COMPUTED_VALUE"""),0.0)</f>
        <v>0</v>
      </c>
      <c r="L337" s="11"/>
    </row>
    <row r="338" ht="15.75" customHeight="1">
      <c r="A338" s="10" t="str">
        <f>IFERROR(__xludf.DUMMYFUNCTION("""COMPUTED_VALUE"""),"https://www.forbes.com/lists/ai50/")</f>
        <v>https://www.forbes.com/lists/ai50/</v>
      </c>
      <c r="B338" s="11" t="str">
        <f>IFERROR(__xludf.DUMMYFUNCTION("""COMPUTED_VALUE"""),"Forbes 2026 AI 50 List | Top Artificial Intelligence Companies")</f>
        <v>Forbes 2026 AI 50 List | Top Artificial Intelligence Companies</v>
      </c>
      <c r="C338" s="10" t="str">
        <f>IFERROR(__xludf.DUMMYFUNCTION("""COMPUTED_VALUE"""),"forbes.com")</f>
        <v>forbes.com</v>
      </c>
      <c r="D338" s="11" t="str">
        <f>IFERROR(__xludf.DUMMYFUNCTION("""COMPUTED_VALUE"""),"LISTICLE")</f>
        <v>LISTICLE</v>
      </c>
      <c r="E338" s="11" t="str">
        <f>IFERROR(__xludf.DUMMYFUNCTION("""COMPUTED_VALUE"""),"EDITORIAL")</f>
        <v>EDITORIAL</v>
      </c>
      <c r="F338" s="11" t="str">
        <f>IFERROR(__xludf.DUMMYFUNCTION("""COMPUTED_VALUE"""),"Listicle")</f>
        <v>Listicle</v>
      </c>
      <c r="G338" s="11" t="b">
        <f>IFERROR(__xludf.DUMMYFUNCTION("""COMPUTED_VALUE"""),FALSE)</f>
        <v>0</v>
      </c>
      <c r="H338" s="11"/>
      <c r="I338" s="11">
        <f>IFERROR(__xludf.DUMMYFUNCTION("""COMPUTED_VALUE"""),6.0)</f>
        <v>6</v>
      </c>
      <c r="J338" s="11">
        <f>IFERROR(__xludf.DUMMYFUNCTION("""COMPUTED_VALUE"""),0.01)</f>
        <v>0.01</v>
      </c>
      <c r="K338" s="11">
        <f>IFERROR(__xludf.DUMMYFUNCTION("""COMPUTED_VALUE"""),0.0)</f>
        <v>0</v>
      </c>
      <c r="L338" s="11"/>
    </row>
    <row r="339" ht="15.75" customHeight="1">
      <c r="A339" s="10" t="str">
        <f>IFERROR(__xludf.DUMMYFUNCTION("""COMPUTED_VALUE"""),"https://foundgrove.com/blog/top-generative-engine-optimization-agencies-2026")</f>
        <v>https://foundgrove.com/blog/top-generative-engine-optimization-agencies-2026</v>
      </c>
      <c r="B339" s="11" t="str">
        <f>IFERROR(__xludf.DUMMYFUNCTION("""COMPUTED_VALUE"""),"Top 10 GEO Agencies Compared (2026) | Foundgrove")</f>
        <v>Top 10 GEO Agencies Compared (2026) | Foundgrove</v>
      </c>
      <c r="C339" s="10" t="str">
        <f>IFERROR(__xludf.DUMMYFUNCTION("""COMPUTED_VALUE"""),"foundgrove.com")</f>
        <v>foundgrove.com</v>
      </c>
      <c r="D339" s="11" t="str">
        <f>IFERROR(__xludf.DUMMYFUNCTION("""COMPUTED_VALUE"""),"PROFILE")</f>
        <v>PROFILE</v>
      </c>
      <c r="E339" s="11" t="str">
        <f>IFERROR(__xludf.DUMMYFUNCTION("""COMPUTED_VALUE"""),"CORPORATE")</f>
        <v>CORPORATE</v>
      </c>
      <c r="F339" s="11" t="str">
        <f>IFERROR(__xludf.DUMMYFUNCTION("""COMPUTED_VALUE"""),"Profile")</f>
        <v>Profile</v>
      </c>
      <c r="G339" s="11" t="b">
        <f>IFERROR(__xludf.DUMMYFUNCTION("""COMPUTED_VALUE"""),FALSE)</f>
        <v>0</v>
      </c>
      <c r="H339" s="11" t="str">
        <f>IFERROR(__xludf.DUMMYFUNCTION("""COMPUTED_VALUE"""),"WebFX, First Page Sage, iPullRank, Go Fish Digital, Directive, Omniscient Digital, Clutch, Siege Media, NoGood, Measured")</f>
        <v>WebFX, First Page Sage, iPullRank, Go Fish Digital, Directive, Omniscient Digital, Clutch, Siege Media, NoGood, Measured</v>
      </c>
      <c r="I339" s="11">
        <f>IFERROR(__xludf.DUMMYFUNCTION("""COMPUTED_VALUE"""),6.0)</f>
        <v>6</v>
      </c>
      <c r="J339" s="11">
        <f>IFERROR(__xludf.DUMMYFUNCTION("""COMPUTED_VALUE"""),0.01)</f>
        <v>0.01</v>
      </c>
      <c r="K339" s="11">
        <f>IFERROR(__xludf.DUMMYFUNCTION("""COMPUTED_VALUE"""),0.0)</f>
        <v>0</v>
      </c>
      <c r="L339" s="11"/>
    </row>
    <row r="340" ht="15.75" customHeight="1">
      <c r="A340" s="10" t="str">
        <f>IFERROR(__xludf.DUMMYFUNCTION("""COMPUTED_VALUE"""),"https://www.growandconvert.com/seo/best-ai-seo-agencies/")</f>
        <v>https://www.growandconvert.com/seo/best-ai-seo-agencies/</v>
      </c>
      <c r="B340" s="11" t="str">
        <f>IFERROR(__xludf.DUMMYFUNCTION("""COMPUTED_VALUE"""),"11 Best AI SEO Agencies in 2026 (&amp;amp; How to Evaluate Them) | Grow and Convert")</f>
        <v>11 Best AI SEO Agencies in 2026 (&amp;amp; How to Evaluate Them) | Grow and Convert</v>
      </c>
      <c r="C340" s="10" t="str">
        <f>IFERROR(__xludf.DUMMYFUNCTION("""COMPUTED_VALUE"""),"growandconvert.com")</f>
        <v>growandconvert.com</v>
      </c>
      <c r="D340" s="11" t="str">
        <f>IFERROR(__xludf.DUMMYFUNCTION("""COMPUTED_VALUE"""),"LISTICLE")</f>
        <v>LISTICLE</v>
      </c>
      <c r="E340" s="11" t="str">
        <f>IFERROR(__xludf.DUMMYFUNCTION("""COMPUTED_VALUE"""),"CORPORATE")</f>
        <v>CORPORATE</v>
      </c>
      <c r="F340" s="11" t="str">
        <f>IFERROR(__xludf.DUMMYFUNCTION("""COMPUTED_VALUE"""),"Listicle")</f>
        <v>Listicle</v>
      </c>
      <c r="G340" s="11" t="b">
        <f>IFERROR(__xludf.DUMMYFUNCTION("""COMPUTED_VALUE"""),FALSE)</f>
        <v>0</v>
      </c>
      <c r="H340" s="11" t="str">
        <f>IFERROR(__xludf.DUMMYFUNCTION("""COMPUTED_VALUE"""),"Siege Media, iPullRank, Omniscient Digital, Avenue Z, First Page Sage")</f>
        <v>Siege Media, iPullRank, Omniscient Digital, Avenue Z, First Page Sage</v>
      </c>
      <c r="I340" s="11">
        <f>IFERROR(__xludf.DUMMYFUNCTION("""COMPUTED_VALUE"""),6.0)</f>
        <v>6</v>
      </c>
      <c r="J340" s="11">
        <f>IFERROR(__xludf.DUMMYFUNCTION("""COMPUTED_VALUE"""),0.01)</f>
        <v>0.01</v>
      </c>
      <c r="K340" s="11">
        <f>IFERROR(__xludf.DUMMYFUNCTION("""COMPUTED_VALUE"""),1.83)</f>
        <v>1.83</v>
      </c>
      <c r="L340" s="11"/>
    </row>
    <row r="341" ht="15.75" customHeight="1">
      <c r="A341" s="10" t="str">
        <f>IFERROR(__xludf.DUMMYFUNCTION("""COMPUTED_VALUE"""),"https://www.icreativez.com/categories/online-marketing/10-best-display-advertising-services-companies-consultants-2026.html#:~:text=View%2Dthrough%20conversions%20account%20for%2030%2D50%25%20of%20display,increased%20ROAS%20340%25%20using%20dynamic%20crea"&amp;"tive%20optimization.")</f>
        <v>https://www.icreativez.com/categories/online-marketing/10-best-display-advertising-services-companies-consultants-2026.html#:~:text=View%2Dthrough%20conversions%20account%20for%2030%2D50%25%20of%20display,increased%20ROAS%20340%25%20using%20dynamic%20creative%20optimization.</v>
      </c>
      <c r="B341" s="11" t="str">
        <f>IFERROR(__xludf.DUMMYFUNCTION("""COMPUTED_VALUE"""),"10 Best Display Advertising Services Companies &amp; Consultants 2026 | iCreativez")</f>
        <v>10 Best Display Advertising Services Companies &amp; Consultants 2026 | iCreativez</v>
      </c>
      <c r="C341" s="10" t="str">
        <f>IFERROR(__xludf.DUMMYFUNCTION("""COMPUTED_VALUE"""),"icreativez.com")</f>
        <v>icreativez.com</v>
      </c>
      <c r="D341" s="11" t="str">
        <f>IFERROR(__xludf.DUMMYFUNCTION("""COMPUTED_VALUE"""),"LISTICLE")</f>
        <v>LISTICLE</v>
      </c>
      <c r="E341" s="11" t="str">
        <f>IFERROR(__xludf.DUMMYFUNCTION("""COMPUTED_VALUE"""),"OTHER")</f>
        <v>OTHER</v>
      </c>
      <c r="F341" s="11" t="str">
        <f>IFERROR(__xludf.DUMMYFUNCTION("""COMPUTED_VALUE"""),"Listicle")</f>
        <v>Listicle</v>
      </c>
      <c r="G341" s="11" t="b">
        <f>IFERROR(__xludf.DUMMYFUNCTION("""COMPUTED_VALUE"""),FALSE)</f>
        <v>0</v>
      </c>
      <c r="H341" s="11" t="str">
        <f>IFERROR(__xludf.DUMMYFUNCTION("""COMPUTED_VALUE"""),"Measured, Triple Whale, Northbeam, Rockerbox")</f>
        <v>Measured, Triple Whale, Northbeam, Rockerbox</v>
      </c>
      <c r="I341" s="11">
        <f>IFERROR(__xludf.DUMMYFUNCTION("""COMPUTED_VALUE"""),6.0)</f>
        <v>6</v>
      </c>
      <c r="J341" s="11">
        <f>IFERROR(__xludf.DUMMYFUNCTION("""COMPUTED_VALUE"""),0.01)</f>
        <v>0.01</v>
      </c>
      <c r="K341" s="11">
        <f>IFERROR(__xludf.DUMMYFUNCTION("""COMPUTED_VALUE"""),2.33)</f>
        <v>2.33</v>
      </c>
      <c r="L341" s="11"/>
    </row>
    <row r="342" ht="15.75" customHeight="1">
      <c r="A342" s="10" t="str">
        <f>IFERROR(__xludf.DUMMYFUNCTION("""COMPUTED_VALUE"""),"https://www.lyfemarketing.com/blog/top-digital-marketing-agencies-us/")</f>
        <v>https://www.lyfemarketing.com/blog/top-digital-marketing-agencies-us/</v>
      </c>
      <c r="B342" s="11" t="str">
        <f>IFERROR(__xludf.DUMMYFUNCTION("""COMPUTED_VALUE"""),"Top 35 Digital Marketing Agencies In US 2025")</f>
        <v>Top 35 Digital Marketing Agencies In US 2025</v>
      </c>
      <c r="C342" s="10" t="str">
        <f>IFERROR(__xludf.DUMMYFUNCTION("""COMPUTED_VALUE"""),"lyfemarketing.com")</f>
        <v>lyfemarketing.com</v>
      </c>
      <c r="D342" s="11" t="str">
        <f>IFERROR(__xludf.DUMMYFUNCTION("""COMPUTED_VALUE"""),"LISTICLE")</f>
        <v>LISTICLE</v>
      </c>
      <c r="E342" s="11" t="str">
        <f>IFERROR(__xludf.DUMMYFUNCTION("""COMPUTED_VALUE"""),"CORPORATE")</f>
        <v>CORPORATE</v>
      </c>
      <c r="F342" s="11" t="str">
        <f>IFERROR(__xludf.DUMMYFUNCTION("""COMPUTED_VALUE"""),"Listicle")</f>
        <v>Listicle</v>
      </c>
      <c r="G342" s="11" t="b">
        <f>IFERROR(__xludf.DUMMYFUNCTION("""COMPUTED_VALUE"""),FALSE)</f>
        <v>0</v>
      </c>
      <c r="H342" s="11" t="str">
        <f>IFERROR(__xludf.DUMMYFUNCTION("""COMPUTED_VALUE"""),"LYFE Marketing, Major Tom, Power Digital, KlientBoost, Deloitte Digital, VaynerMedia, Publicis Groupe, Refine Labs")</f>
        <v>LYFE Marketing, Major Tom, Power Digital, KlientBoost, Deloitte Digital, VaynerMedia, Publicis Groupe, Refine Labs</v>
      </c>
      <c r="I342" s="11">
        <f>IFERROR(__xludf.DUMMYFUNCTION("""COMPUTED_VALUE"""),6.0)</f>
        <v>6</v>
      </c>
      <c r="J342" s="11">
        <f>IFERROR(__xludf.DUMMYFUNCTION("""COMPUTED_VALUE"""),0.01)</f>
        <v>0.01</v>
      </c>
      <c r="K342" s="11">
        <f>IFERROR(__xludf.DUMMYFUNCTION("""COMPUTED_VALUE"""),0.17)</f>
        <v>0.17</v>
      </c>
      <c r="L342" s="11"/>
    </row>
    <row r="343" ht="15.75" customHeight="1">
      <c r="A343" s="10" t="str">
        <f>IFERROR(__xludf.DUMMYFUNCTION("""COMPUTED_VALUE"""),"https://marketerhire.com/blog/performance-marketing-agency")</f>
        <v>https://marketerhire.com/blog/performance-marketing-agency</v>
      </c>
      <c r="B343" s="11" t="str">
        <f>IFERROR(__xludf.DUMMYFUNCTION("""COMPUTED_VALUE"""),"10 Best Performance Marketing Agencies to Drive ROI in 2025")</f>
        <v>10 Best Performance Marketing Agencies to Drive ROI in 2025</v>
      </c>
      <c r="C343" s="10" t="str">
        <f>IFERROR(__xludf.DUMMYFUNCTION("""COMPUTED_VALUE"""),"marketerhire.com")</f>
        <v>marketerhire.com</v>
      </c>
      <c r="D343" s="11" t="str">
        <f>IFERROR(__xludf.DUMMYFUNCTION("""COMPUTED_VALUE"""),"LISTICLE")</f>
        <v>LISTICLE</v>
      </c>
      <c r="E343" s="11" t="str">
        <f>IFERROR(__xludf.DUMMYFUNCTION("""COMPUTED_VALUE"""),"CORPORATE")</f>
        <v>CORPORATE</v>
      </c>
      <c r="F343" s="11" t="str">
        <f>IFERROR(__xludf.DUMMYFUNCTION("""COMPUTED_VALUE"""),"Listicle")</f>
        <v>Listicle</v>
      </c>
      <c r="G343" s="11" t="b">
        <f>IFERROR(__xludf.DUMMYFUNCTION("""COMPUTED_VALUE"""),FALSE)</f>
        <v>0</v>
      </c>
      <c r="H343" s="11" t="str">
        <f>IFERROR(__xludf.DUMMYFUNCTION("""COMPUTED_VALUE"""),"Tinuiti, Directive, Kobe Digital, Disruptive Advertising, KlientBoost, MuteSix, HawkSEM")</f>
        <v>Tinuiti, Directive, Kobe Digital, Disruptive Advertising, KlientBoost, MuteSix, HawkSEM</v>
      </c>
      <c r="I343" s="11">
        <f>IFERROR(__xludf.DUMMYFUNCTION("""COMPUTED_VALUE"""),6.0)</f>
        <v>6</v>
      </c>
      <c r="J343" s="11">
        <f>IFERROR(__xludf.DUMMYFUNCTION("""COMPUTED_VALUE"""),0.01)</f>
        <v>0.01</v>
      </c>
      <c r="K343" s="11">
        <f>IFERROR(__xludf.DUMMYFUNCTION("""COMPUTED_VALUE"""),0.83)</f>
        <v>0.83</v>
      </c>
      <c r="L343" s="11"/>
    </row>
    <row r="344" ht="15.75" customHeight="1">
      <c r="A344" s="10" t="str">
        <f>IFERROR(__xludf.DUMMYFUNCTION("""COMPUTED_VALUE"""),"https://moosend.com/blog/best-aeo-agencies/")</f>
        <v>https://moosend.com/blog/best-aeo-agencies/</v>
      </c>
      <c r="B344" s="11" t="str">
        <f>IFERROR(__xludf.DUMMYFUNCTION("""COMPUTED_VALUE"""),"11 Best Answer Engine Optimization (AEO) Agencies In 2026")</f>
        <v>11 Best Answer Engine Optimization (AEO) Agencies In 2026</v>
      </c>
      <c r="C344" s="10" t="str">
        <f>IFERROR(__xludf.DUMMYFUNCTION("""COMPUTED_VALUE"""),"moosend.com")</f>
        <v>moosend.com</v>
      </c>
      <c r="D344" s="11" t="str">
        <f>IFERROR(__xludf.DUMMYFUNCTION("""COMPUTED_VALUE"""),"LISTICLE")</f>
        <v>LISTICLE</v>
      </c>
      <c r="E344" s="11" t="str">
        <f>IFERROR(__xludf.DUMMYFUNCTION("""COMPUTED_VALUE"""),"CORPORATE")</f>
        <v>CORPORATE</v>
      </c>
      <c r="F344" s="11" t="str">
        <f>IFERROR(__xludf.DUMMYFUNCTION("""COMPUTED_VALUE"""),"Listicle")</f>
        <v>Listicle</v>
      </c>
      <c r="G344" s="11" t="b">
        <f>IFERROR(__xludf.DUMMYFUNCTION("""COMPUTED_VALUE"""),FALSE)</f>
        <v>0</v>
      </c>
      <c r="H344" s="11" t="str">
        <f>IFERROR(__xludf.DUMMYFUNCTION("""COMPUTED_VALUE"""),"First Page Sage, Siege Media, iPullRank, Avenue Z, Graphite, WebFX, RevenueZen, Clutch, Measured")</f>
        <v>First Page Sage, Siege Media, iPullRank, Avenue Z, Graphite, WebFX, RevenueZen, Clutch, Measured</v>
      </c>
      <c r="I344" s="11">
        <f>IFERROR(__xludf.DUMMYFUNCTION("""COMPUTED_VALUE"""),6.0)</f>
        <v>6</v>
      </c>
      <c r="J344" s="11">
        <f>IFERROR(__xludf.DUMMYFUNCTION("""COMPUTED_VALUE"""),0.01)</f>
        <v>0.01</v>
      </c>
      <c r="K344" s="11">
        <f>IFERROR(__xludf.DUMMYFUNCTION("""COMPUTED_VALUE"""),0.0)</f>
        <v>0</v>
      </c>
      <c r="L344" s="11"/>
    </row>
    <row r="345" ht="15.75" customHeight="1">
      <c r="A345" s="10" t="str">
        <f>IFERROR(__xludf.DUMMYFUNCTION("""COMPUTED_VALUE"""),"https://www.position.digital/blog/top-geo-agencies/")</f>
        <v>https://www.position.digital/blog/top-geo-agencies/</v>
      </c>
      <c r="B345" s="11" t="str">
        <f>IFERROR(__xludf.DUMMYFUNCTION("""COMPUTED_VALUE"""),"Top 13 Generative Engine Optimization (GEO) Agencies in 2026")</f>
        <v>Top 13 Generative Engine Optimization (GEO) Agencies in 2026</v>
      </c>
      <c r="C345" s="11" t="str">
        <f>IFERROR(__xludf.DUMMYFUNCTION("""COMPUTED_VALUE"""),"position.digital")</f>
        <v>position.digital</v>
      </c>
      <c r="D345" s="11" t="str">
        <f>IFERROR(__xludf.DUMMYFUNCTION("""COMPUTED_VALUE"""),"LISTICLE")</f>
        <v>LISTICLE</v>
      </c>
      <c r="E345" s="11" t="str">
        <f>IFERROR(__xludf.DUMMYFUNCTION("""COMPUTED_VALUE"""),"CORPORATE")</f>
        <v>CORPORATE</v>
      </c>
      <c r="F345" s="11" t="str">
        <f>IFERROR(__xludf.DUMMYFUNCTION("""COMPUTED_VALUE"""),"Listicle")</f>
        <v>Listicle</v>
      </c>
      <c r="G345" s="11" t="b">
        <f>IFERROR(__xludf.DUMMYFUNCTION("""COMPUTED_VALUE"""),FALSE)</f>
        <v>0</v>
      </c>
      <c r="H345" s="11" t="str">
        <f>IFERROR(__xludf.DUMMYFUNCTION("""COMPUTED_VALUE"""),"Huge, Ignite Visibility, Avenue Z")</f>
        <v>Huge, Ignite Visibility, Avenue Z</v>
      </c>
      <c r="I345" s="11">
        <f>IFERROR(__xludf.DUMMYFUNCTION("""COMPUTED_VALUE"""),6.0)</f>
        <v>6</v>
      </c>
      <c r="J345" s="11">
        <f>IFERROR(__xludf.DUMMYFUNCTION("""COMPUTED_VALUE"""),0.01)</f>
        <v>0.01</v>
      </c>
      <c r="K345" s="11">
        <f>IFERROR(__xludf.DUMMYFUNCTION("""COMPUTED_VALUE"""),0.0)</f>
        <v>0</v>
      </c>
      <c r="L345" s="11"/>
    </row>
    <row r="346" ht="15.75" customHeight="1">
      <c r="A346" s="10" t="str">
        <f>IFERROR(__xludf.DUMMYFUNCTION("""COMPUTED_VALUE"""),"https://procloser.ai/blog/best-ai-search-optimization-agencies/")</f>
        <v>https://procloser.ai/blog/best-ai-search-optimization-agencies/</v>
      </c>
      <c r="B346" s="11" t="str">
        <f>IFERROR(__xludf.DUMMYFUNCTION("""COMPUTED_VALUE"""),"Best AI Search Optimization Agencies in 2026 | ProCloser.ai")</f>
        <v>Best AI Search Optimization Agencies in 2026 | ProCloser.ai</v>
      </c>
      <c r="C346" s="10" t="str">
        <f>IFERROR(__xludf.DUMMYFUNCTION("""COMPUTED_VALUE"""),"procloser.ai")</f>
        <v>procloser.ai</v>
      </c>
      <c r="D346" s="11" t="str">
        <f>IFERROR(__xludf.DUMMYFUNCTION("""COMPUTED_VALUE"""),"LISTICLE")</f>
        <v>LISTICLE</v>
      </c>
      <c r="E346" s="11" t="str">
        <f>IFERROR(__xludf.DUMMYFUNCTION("""COMPUTED_VALUE"""),"CORPORATE")</f>
        <v>CORPORATE</v>
      </c>
      <c r="F346" s="11" t="str">
        <f>IFERROR(__xludf.DUMMYFUNCTION("""COMPUTED_VALUE"""),"Listicle")</f>
        <v>Listicle</v>
      </c>
      <c r="G346" s="11" t="b">
        <f>IFERROR(__xludf.DUMMYFUNCTION("""COMPUTED_VALUE"""),FALSE)</f>
        <v>0</v>
      </c>
      <c r="H346" s="11" t="str">
        <f>IFERROR(__xludf.DUMMYFUNCTION("""COMPUTED_VALUE"""),"Clutch, NP Digital, Directive, Victorious, iPullRank, Siege Media, Single Grain, First Page Sage")</f>
        <v>Clutch, NP Digital, Directive, Victorious, iPullRank, Siege Media, Single Grain, First Page Sage</v>
      </c>
      <c r="I346" s="11">
        <f>IFERROR(__xludf.DUMMYFUNCTION("""COMPUTED_VALUE"""),6.0)</f>
        <v>6</v>
      </c>
      <c r="J346" s="11">
        <f>IFERROR(__xludf.DUMMYFUNCTION("""COMPUTED_VALUE"""),0.01)</f>
        <v>0.01</v>
      </c>
      <c r="K346" s="11">
        <f>IFERROR(__xludf.DUMMYFUNCTION("""COMPUTED_VALUE"""),0.33)</f>
        <v>0.33</v>
      </c>
      <c r="L346" s="11"/>
    </row>
    <row r="347" ht="15.75" customHeight="1">
      <c r="A347" s="10" t="str">
        <f>IFERROR(__xludf.DUMMYFUNCTION("""COMPUTED_VALUE"""),"https://www.reddit.com/r/ecommerce/comments/1c4too8/best_tools_for_paid_marketing_attribution/")</f>
        <v>https://www.reddit.com/r/ecommerce/comments/1c4too8/best_tools_for_paid_marketing_attribution/</v>
      </c>
      <c r="B347" s="11" t="str">
        <f>IFERROR(__xludf.DUMMYFUNCTION("""COMPUTED_VALUE"""),"Best tools for paid marketing attribution?")</f>
        <v>Best tools for paid marketing attribution?</v>
      </c>
      <c r="C347" s="10" t="str">
        <f>IFERROR(__xludf.DUMMYFUNCTION("""COMPUTED_VALUE"""),"reddit.com")</f>
        <v>reddit.com</v>
      </c>
      <c r="D347" s="11" t="str">
        <f>IFERROR(__xludf.DUMMYFUNCTION("""COMPUTED_VALUE"""),"DISCUSSION")</f>
        <v>DISCUSSION</v>
      </c>
      <c r="E347" s="11" t="str">
        <f>IFERROR(__xludf.DUMMYFUNCTION("""COMPUTED_VALUE"""),"UGC")</f>
        <v>UGC</v>
      </c>
      <c r="F347" s="11" t="str">
        <f>IFERROR(__xludf.DUMMYFUNCTION("""COMPUTED_VALUE"""),"Discussion")</f>
        <v>Discussion</v>
      </c>
      <c r="G347" s="11" t="b">
        <f>IFERROR(__xludf.DUMMYFUNCTION("""COMPUTED_VALUE"""),FALSE)</f>
        <v>0</v>
      </c>
      <c r="H347" s="11" t="str">
        <f>IFERROR(__xludf.DUMMYFUNCTION("""COMPUTED_VALUE"""),"Cometly, Huge, Ruler Analytics, Triple Whale, Northbeam, Rockerbox, HockeyStack, SegmentStream")</f>
        <v>Cometly, Huge, Ruler Analytics, Triple Whale, Northbeam, Rockerbox, HockeyStack, SegmentStream</v>
      </c>
      <c r="I347" s="11">
        <f>IFERROR(__xludf.DUMMYFUNCTION("""COMPUTED_VALUE"""),6.0)</f>
        <v>6</v>
      </c>
      <c r="J347" s="11">
        <f>IFERROR(__xludf.DUMMYFUNCTION("""COMPUTED_VALUE"""),0.01)</f>
        <v>0.01</v>
      </c>
      <c r="K347" s="11">
        <f>IFERROR(__xludf.DUMMYFUNCTION("""COMPUTED_VALUE"""),1.17)</f>
        <v>1.17</v>
      </c>
      <c r="L347" s="11"/>
    </row>
    <row r="348" ht="15.75" customHeight="1">
      <c r="A348" s="10" t="str">
        <f>IFERROR(__xludf.DUMMYFUNCTION("""COMPUTED_VALUE"""),"https://www.searchbloom.com/strategy/best-ppc-agencies-usa/")</f>
        <v>https://www.searchbloom.com/strategy/best-ppc-agencies-usa/</v>
      </c>
      <c r="B348" s="11" t="str">
        <f>IFERROR(__xludf.DUMMYFUNCTION("""COMPUTED_VALUE"""),"Best PPC Agencies 2026: 20 Top Companies in USA Ranked by Data")</f>
        <v>Best PPC Agencies 2026: 20 Top Companies in USA Ranked by Data</v>
      </c>
      <c r="C348" s="10" t="str">
        <f>IFERROR(__xludf.DUMMYFUNCTION("""COMPUTED_VALUE"""),"searchbloom.com")</f>
        <v>searchbloom.com</v>
      </c>
      <c r="D348" s="11" t="str">
        <f>IFERROR(__xludf.DUMMYFUNCTION("""COMPUTED_VALUE"""),"LISTICLE")</f>
        <v>LISTICLE</v>
      </c>
      <c r="E348" s="11" t="str">
        <f>IFERROR(__xludf.DUMMYFUNCTION("""COMPUTED_VALUE"""),"COMPETITOR")</f>
        <v>COMPETITOR</v>
      </c>
      <c r="F348" s="11" t="str">
        <f>IFERROR(__xludf.DUMMYFUNCTION("""COMPUTED_VALUE"""),"Listicle")</f>
        <v>Listicle</v>
      </c>
      <c r="G348" s="11" t="b">
        <f>IFERROR(__xludf.DUMMYFUNCTION("""COMPUTED_VALUE"""),FALSE)</f>
        <v>0</v>
      </c>
      <c r="H348" s="11" t="str">
        <f>IFERROR(__xludf.DUMMYFUNCTION("""COMPUTED_VALUE"""),"Searchbloom, Clutch, HawkSEM, Disruptive Advertising, KlientBoost, Directive, Power Digital, AdVenture Media, Metric Theory, Monks, Measured")</f>
        <v>Searchbloom, Clutch, HawkSEM, Disruptive Advertising, KlientBoost, Directive, Power Digital, AdVenture Media, Metric Theory, Monks, Measured</v>
      </c>
      <c r="I348" s="11">
        <f>IFERROR(__xludf.DUMMYFUNCTION("""COMPUTED_VALUE"""),6.0)</f>
        <v>6</v>
      </c>
      <c r="J348" s="11">
        <f>IFERROR(__xludf.DUMMYFUNCTION("""COMPUTED_VALUE"""),0.01)</f>
        <v>0.01</v>
      </c>
      <c r="K348" s="11">
        <f>IFERROR(__xludf.DUMMYFUNCTION("""COMPUTED_VALUE"""),0.0)</f>
        <v>0</v>
      </c>
      <c r="L348" s="11"/>
    </row>
    <row r="349" ht="15.75" customHeight="1">
      <c r="A349" s="10" t="str">
        <f>IFERROR(__xludf.DUMMYFUNCTION("""COMPUTED_VALUE"""),"https://www.silverbackstrategies.com/lists/best-geo-agencies-generative-engine-optimization-in-2026-ranked-reviewed/")</f>
        <v>https://www.silverbackstrategies.com/lists/best-geo-agencies-generative-engine-optimization-in-2026-ranked-reviewed/</v>
      </c>
      <c r="B349" s="11" t="str">
        <f>IFERROR(__xludf.DUMMYFUNCTION("""COMPUTED_VALUE"""),"Best GEO Agencies (Generative Engine Optimization) in 2026 (Ranked &amp;amp; Reviewed) | Silverback Strategies")</f>
        <v>Best GEO Agencies (Generative Engine Optimization) in 2026 (Ranked &amp;amp; Reviewed) | Silverback Strategies</v>
      </c>
      <c r="C349" s="10" t="str">
        <f>IFERROR(__xludf.DUMMYFUNCTION("""COMPUTED_VALUE"""),"silverbackstrategies.com")</f>
        <v>silverbackstrategies.com</v>
      </c>
      <c r="D349" s="11" t="str">
        <f>IFERROR(__xludf.DUMMYFUNCTION("""COMPUTED_VALUE"""),"LISTICLE")</f>
        <v>LISTICLE</v>
      </c>
      <c r="E349" s="11" t="str">
        <f>IFERROR(__xludf.DUMMYFUNCTION("""COMPUTED_VALUE"""),"COMPETITOR")</f>
        <v>COMPETITOR</v>
      </c>
      <c r="F349" s="11" t="str">
        <f>IFERROR(__xludf.DUMMYFUNCTION("""COMPUTED_VALUE"""),"Listicle")</f>
        <v>Listicle</v>
      </c>
      <c r="G349" s="11" t="b">
        <f>IFERROR(__xludf.DUMMYFUNCTION("""COMPUTED_VALUE"""),FALSE)</f>
        <v>0</v>
      </c>
      <c r="H349" s="11" t="str">
        <f>IFERROR(__xludf.DUMMYFUNCTION("""COMPUTED_VALUE"""),"Silverback Strategies, Clutch, Siege Media, Omniscient Digital, Victorious, Go Fish Digital, Graphite, Measured")</f>
        <v>Silverback Strategies, Clutch, Siege Media, Omniscient Digital, Victorious, Go Fish Digital, Graphite, Measured</v>
      </c>
      <c r="I349" s="11">
        <f>IFERROR(__xludf.DUMMYFUNCTION("""COMPUTED_VALUE"""),6.0)</f>
        <v>6</v>
      </c>
      <c r="J349" s="11">
        <f>IFERROR(__xludf.DUMMYFUNCTION("""COMPUTED_VALUE"""),0.01)</f>
        <v>0.01</v>
      </c>
      <c r="K349" s="11">
        <f>IFERROR(__xludf.DUMMYFUNCTION("""COMPUTED_VALUE"""),0.83)</f>
        <v>0.83</v>
      </c>
      <c r="L349" s="11"/>
    </row>
    <row r="350" ht="15.75" customHeight="1">
      <c r="A350" s="10" t="str">
        <f>IFERROR(__xludf.DUMMYFUNCTION("""COMPUTED_VALUE"""),"https://www.tripledart.com/ai-seo/best-generative-engine-optimization-agencies")</f>
        <v>https://www.tripledart.com/ai-seo/best-generative-engine-optimization-agencies</v>
      </c>
      <c r="B350" s="11" t="str">
        <f>IFERROR(__xludf.DUMMYFUNCTION("""COMPUTED_VALUE"""),"17 Best GEO Agencies in 2026")</f>
        <v>17 Best GEO Agencies in 2026</v>
      </c>
      <c r="C350" s="10" t="str">
        <f>IFERROR(__xludf.DUMMYFUNCTION("""COMPUTED_VALUE"""),"tripledart.com")</f>
        <v>tripledart.com</v>
      </c>
      <c r="D350" s="11" t="str">
        <f>IFERROR(__xludf.DUMMYFUNCTION("""COMPUTED_VALUE"""),"LISTICLE")</f>
        <v>LISTICLE</v>
      </c>
      <c r="E350" s="11" t="str">
        <f>IFERROR(__xludf.DUMMYFUNCTION("""COMPUTED_VALUE"""),"OTHER")</f>
        <v>OTHER</v>
      </c>
      <c r="F350" s="11" t="str">
        <f>IFERROR(__xludf.DUMMYFUNCTION("""COMPUTED_VALUE"""),"Listicle")</f>
        <v>Listicle</v>
      </c>
      <c r="G350" s="11" t="b">
        <f>IFERROR(__xludf.DUMMYFUNCTION("""COMPUTED_VALUE"""),FALSE)</f>
        <v>0</v>
      </c>
      <c r="H350" s="11" t="str">
        <f>IFERROR(__xludf.DUMMYFUNCTION("""COMPUTED_VALUE"""),"iPullRank, First Page Sage, WebFX, Clutch, Ignite Visibility, NoGood, Avenue Z, Siege Media, Victorious, TransUnion")</f>
        <v>iPullRank, First Page Sage, WebFX, Clutch, Ignite Visibility, NoGood, Avenue Z, Siege Media, Victorious, TransUnion</v>
      </c>
      <c r="I350" s="11">
        <f>IFERROR(__xludf.DUMMYFUNCTION("""COMPUTED_VALUE"""),6.0)</f>
        <v>6</v>
      </c>
      <c r="J350" s="11">
        <f>IFERROR(__xludf.DUMMYFUNCTION("""COMPUTED_VALUE"""),0.01)</f>
        <v>0.01</v>
      </c>
      <c r="K350" s="11">
        <f>IFERROR(__xludf.DUMMYFUNCTION("""COMPUTED_VALUE"""),0.17)</f>
        <v>0.17</v>
      </c>
      <c r="L350" s="11"/>
    </row>
    <row r="351" ht="15.75" customHeight="1">
      <c r="A351" s="10" t="str">
        <f>IFERROR(__xludf.DUMMYFUNCTION("""COMPUTED_VALUE"""),"https://www.uforocks.com/blog/top-marketing-agencies-in-the-united-states/")</f>
        <v>https://www.uforocks.com/blog/top-marketing-agencies-in-the-united-states/</v>
      </c>
      <c r="B351" s="11" t="str">
        <f>IFERROR(__xludf.DUMMYFUNCTION("""COMPUTED_VALUE"""),"Top Marketing Agencies in the United States - UFO Digital Marketing Agency")</f>
        <v>Top Marketing Agencies in the United States - UFO Digital Marketing Agency</v>
      </c>
      <c r="C351" s="10" t="str">
        <f>IFERROR(__xludf.DUMMYFUNCTION("""COMPUTED_VALUE"""),"uforocks.com")</f>
        <v>uforocks.com</v>
      </c>
      <c r="D351" s="11" t="str">
        <f>IFERROR(__xludf.DUMMYFUNCTION("""COMPUTED_VALUE"""),"LISTICLE")</f>
        <v>LISTICLE</v>
      </c>
      <c r="E351" s="11" t="str">
        <f>IFERROR(__xludf.DUMMYFUNCTION("""COMPUTED_VALUE"""),"CORPORATE")</f>
        <v>CORPORATE</v>
      </c>
      <c r="F351" s="11" t="str">
        <f>IFERROR(__xludf.DUMMYFUNCTION("""COMPUTED_VALUE"""),"Listicle")</f>
        <v>Listicle</v>
      </c>
      <c r="G351" s="11" t="b">
        <f>IFERROR(__xludf.DUMMYFUNCTION("""COMPUTED_VALUE"""),FALSE)</f>
        <v>0</v>
      </c>
      <c r="H351" s="11" t="str">
        <f>IFERROR(__xludf.DUMMYFUNCTION("""COMPUTED_VALUE"""),"Wpromote, Power Digital, Tinuiti, Siege Media, LYFE Marketing, WebFX, HawkSEM, Disruptive Advertising, KlientBoost, Victorious, Seer Interactive, Silverback Strategies")</f>
        <v>Wpromote, Power Digital, Tinuiti, Siege Media, LYFE Marketing, WebFX, HawkSEM, Disruptive Advertising, KlientBoost, Victorious, Seer Interactive, Silverback Strategies</v>
      </c>
      <c r="I351" s="11">
        <f>IFERROR(__xludf.DUMMYFUNCTION("""COMPUTED_VALUE"""),6.0)</f>
        <v>6</v>
      </c>
      <c r="J351" s="11">
        <f>IFERROR(__xludf.DUMMYFUNCTION("""COMPUTED_VALUE"""),0.01)</f>
        <v>0.01</v>
      </c>
      <c r="K351" s="11">
        <f>IFERROR(__xludf.DUMMYFUNCTION("""COMPUTED_VALUE"""),1.33)</f>
        <v>1.33</v>
      </c>
      <c r="L351" s="11"/>
    </row>
    <row r="352" ht="15.75" customHeight="1">
      <c r="A352" s="10" t="str">
        <f>IFERROR(__xludf.DUMMYFUNCTION("""COMPUTED_VALUE"""),"https://www.uforocks.com/blog/top-ppc-agencies-in-the-united-states/")</f>
        <v>https://www.uforocks.com/blog/top-ppc-agencies-in-the-united-states/</v>
      </c>
      <c r="B352" s="11" t="str">
        <f>IFERROR(__xludf.DUMMYFUNCTION("""COMPUTED_VALUE"""),"Top PPC Agencies in the United States - UFO Digital Marketing Agency")</f>
        <v>Top PPC Agencies in the United States - UFO Digital Marketing Agency</v>
      </c>
      <c r="C352" s="10" t="str">
        <f>IFERROR(__xludf.DUMMYFUNCTION("""COMPUTED_VALUE"""),"uforocks.com")</f>
        <v>uforocks.com</v>
      </c>
      <c r="D352" s="11" t="str">
        <f>IFERROR(__xludf.DUMMYFUNCTION("""COMPUTED_VALUE"""),"LISTICLE")</f>
        <v>LISTICLE</v>
      </c>
      <c r="E352" s="11" t="str">
        <f>IFERROR(__xludf.DUMMYFUNCTION("""COMPUTED_VALUE"""),"CORPORATE")</f>
        <v>CORPORATE</v>
      </c>
      <c r="F352" s="11" t="str">
        <f>IFERROR(__xludf.DUMMYFUNCTION("""COMPUTED_VALUE"""),"Listicle")</f>
        <v>Listicle</v>
      </c>
      <c r="G352" s="11" t="b">
        <f>IFERROR(__xludf.DUMMYFUNCTION("""COMPUTED_VALUE"""),FALSE)</f>
        <v>0</v>
      </c>
      <c r="H352" s="11" t="str">
        <f>IFERROR(__xludf.DUMMYFUNCTION("""COMPUTED_VALUE"""),"AdVenture Media, Directive, Disruptive Advertising, Ignite Visibility, KlientBoost, MuteSix, Dentsu, NP Digital, Seer Interactive, Silverback Strategies, SmartSites, Tinuiti, WebFX, Wpromote, HawkSEM")</f>
        <v>AdVenture Media, Directive, Disruptive Advertising, Ignite Visibility, KlientBoost, MuteSix, Dentsu, NP Digital, Seer Interactive, Silverback Strategies, SmartSites, Tinuiti, WebFX, Wpromote, HawkSEM</v>
      </c>
      <c r="I352" s="11">
        <f>IFERROR(__xludf.DUMMYFUNCTION("""COMPUTED_VALUE"""),6.0)</f>
        <v>6</v>
      </c>
      <c r="J352" s="11">
        <f>IFERROR(__xludf.DUMMYFUNCTION("""COMPUTED_VALUE"""),0.01)</f>
        <v>0.01</v>
      </c>
      <c r="K352" s="11">
        <f>IFERROR(__xludf.DUMMYFUNCTION("""COMPUTED_VALUE"""),0.0)</f>
        <v>0</v>
      </c>
      <c r="L352" s="11"/>
    </row>
    <row r="353" ht="15.75" customHeight="1">
      <c r="A353" s="10" t="str">
        <f>IFERROR(__xludf.DUMMYFUNCTION("""COMPUTED_VALUE"""),"https://www.upliftgtm.com/blog/best-geo-agencies")</f>
        <v>https://www.upliftgtm.com/blog/best-geo-agencies</v>
      </c>
      <c r="B353" s="11" t="str">
        <f>IFERROR(__xludf.DUMMYFUNCTION("""COMPUTED_VALUE"""),"Best GEO Agencies 2026: Top 12 Generative Engine Optimization Firms")</f>
        <v>Best GEO Agencies 2026: Top 12 Generative Engine Optimization Firms</v>
      </c>
      <c r="C353" s="10" t="str">
        <f>IFERROR(__xludf.DUMMYFUNCTION("""COMPUTED_VALUE"""),"upliftgtm.com")</f>
        <v>upliftgtm.com</v>
      </c>
      <c r="D353" s="11" t="str">
        <f>IFERROR(__xludf.DUMMYFUNCTION("""COMPUTED_VALUE"""),"LISTICLE")</f>
        <v>LISTICLE</v>
      </c>
      <c r="E353" s="11" t="str">
        <f>IFERROR(__xludf.DUMMYFUNCTION("""COMPUTED_VALUE"""),"CORPORATE")</f>
        <v>CORPORATE</v>
      </c>
      <c r="F353" s="11" t="str">
        <f>IFERROR(__xludf.DUMMYFUNCTION("""COMPUTED_VALUE"""),"Listicle")</f>
        <v>Listicle</v>
      </c>
      <c r="G353" s="11" t="b">
        <f>IFERROR(__xludf.DUMMYFUNCTION("""COMPUTED_VALUE"""),FALSE)</f>
        <v>0</v>
      </c>
      <c r="H353" s="11" t="str">
        <f>IFERROR(__xludf.DUMMYFUNCTION("""COMPUTED_VALUE"""),"Animalz, Omniscient Digital, Single Grain, Ignite Visibility, Victorious, NoGood, Siege Media")</f>
        <v>Animalz, Omniscient Digital, Single Grain, Ignite Visibility, Victorious, NoGood, Siege Media</v>
      </c>
      <c r="I353" s="11">
        <f>IFERROR(__xludf.DUMMYFUNCTION("""COMPUTED_VALUE"""),6.0)</f>
        <v>6</v>
      </c>
      <c r="J353" s="11">
        <f>IFERROR(__xludf.DUMMYFUNCTION("""COMPUTED_VALUE"""),0.01)</f>
        <v>0.01</v>
      </c>
      <c r="K353" s="11">
        <f>IFERROR(__xludf.DUMMYFUNCTION("""COMPUTED_VALUE"""),0.17)</f>
        <v>0.17</v>
      </c>
      <c r="L353" s="11"/>
    </row>
    <row r="354" ht="15.75" customHeight="1">
      <c r="A354" s="10" t="str">
        <f>IFERROR(__xludf.DUMMYFUNCTION("""COMPUTED_VALUE"""),"https://www.webtonic.io/blog/best-digital-marketing-agencies-usa")</f>
        <v>https://www.webtonic.io/blog/best-digital-marketing-agencies-usa</v>
      </c>
      <c r="B354" s="11" t="str">
        <f>IFERROR(__xludf.DUMMYFUNCTION("""COMPUTED_VALUE"""),"41 Top Digital Marketing Agencies in the US for 2026")</f>
        <v>41 Top Digital Marketing Agencies in the US for 2026</v>
      </c>
      <c r="C354" s="10" t="str">
        <f>IFERROR(__xludf.DUMMYFUNCTION("""COMPUTED_VALUE"""),"webtonic.io")</f>
        <v>webtonic.io</v>
      </c>
      <c r="D354" s="11" t="str">
        <f>IFERROR(__xludf.DUMMYFUNCTION("""COMPUTED_VALUE"""),"LISTICLE")</f>
        <v>LISTICLE</v>
      </c>
      <c r="E354" s="11" t="str">
        <f>IFERROR(__xludf.DUMMYFUNCTION("""COMPUTED_VALUE"""),"COMPETITOR")</f>
        <v>COMPETITOR</v>
      </c>
      <c r="F354" s="11" t="str">
        <f>IFERROR(__xludf.DUMMYFUNCTION("""COMPUTED_VALUE"""),"Listicle")</f>
        <v>Listicle</v>
      </c>
      <c r="G354" s="11" t="b">
        <f>IFERROR(__xludf.DUMMYFUNCTION("""COMPUTED_VALUE"""),FALSE)</f>
        <v>0</v>
      </c>
      <c r="H354" s="11" t="str">
        <f>IFERROR(__xludf.DUMMYFUNCTION("""COMPUTED_VALUE"""),"Web Tonic, WebFX, Disruptive Advertising, Ignite Visibility, SmartSites, Thrive Internet Marketing Agency, Power Digital, NP Digital, Tinuiti, KlientBoost, Victorious, Single Grain, VaynerMedia, LYFE Marketing, Directive, Ogilvy, IBM, Intero Digital, Funn"&amp;"el Boost Media, Major Tom, R/GA, NoGood, BBDO, Sociallyin, Refine Labs")</f>
        <v>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v>
      </c>
      <c r="I354" s="11">
        <f>IFERROR(__xludf.DUMMYFUNCTION("""COMPUTED_VALUE"""),6.0)</f>
        <v>6</v>
      </c>
      <c r="J354" s="11">
        <f>IFERROR(__xludf.DUMMYFUNCTION("""COMPUTED_VALUE"""),0.01)</f>
        <v>0.01</v>
      </c>
      <c r="K354" s="11">
        <f>IFERROR(__xludf.DUMMYFUNCTION("""COMPUTED_VALUE"""),0.67)</f>
        <v>0.67</v>
      </c>
      <c r="L354" s="11"/>
    </row>
    <row r="355" ht="15.75" customHeight="1">
      <c r="A355" s="10" t="str">
        <f>IFERROR(__xludf.DUMMYFUNCTION("""COMPUTED_VALUE"""),"https://www.webtonic.io/blog/top-creative-agencies")</f>
        <v>https://www.webtonic.io/blog/top-creative-agencies</v>
      </c>
      <c r="B355" s="11" t="str">
        <f>IFERROR(__xludf.DUMMYFUNCTION("""COMPUTED_VALUE"""),"The 52 Top Creative Agencies as of 2026")</f>
        <v>The 52 Top Creative Agencies as of 2026</v>
      </c>
      <c r="C355" s="10" t="str">
        <f>IFERROR(__xludf.DUMMYFUNCTION("""COMPUTED_VALUE"""),"webtonic.io")</f>
        <v>webtonic.io</v>
      </c>
      <c r="D355" s="11" t="str">
        <f>IFERROR(__xludf.DUMMYFUNCTION("""COMPUTED_VALUE"""),"LISTICLE")</f>
        <v>LISTICLE</v>
      </c>
      <c r="E355" s="11" t="str">
        <f>IFERROR(__xludf.DUMMYFUNCTION("""COMPUTED_VALUE"""),"COMPETITOR")</f>
        <v>COMPETITOR</v>
      </c>
      <c r="F355" s="11" t="str">
        <f>IFERROR(__xludf.DUMMYFUNCTION("""COMPUTED_VALUE"""),"Listicle")</f>
        <v>Listicle</v>
      </c>
      <c r="G355" s="11" t="b">
        <f>IFERROR(__xludf.DUMMYFUNCTION("""COMPUTED_VALUE"""),FALSE)</f>
        <v>0</v>
      </c>
      <c r="H355" s="11" t="str">
        <f>IFERROR(__xludf.DUMMYFUNCTION("""COMPUTED_VALUE"""),"Web Tonic, Wieden+Kennedy, Droga5, Accenture Song, BBDO, Ogilvy, WPP, IBM, 72andSunny, R/GA, TBWA\Chiat\Day, Anomaly, Huge")</f>
        <v>Web Tonic, Wieden+Kennedy, Droga5, Accenture Song, BBDO, Ogilvy, WPP, IBM, 72andSunny, R/GA, TBWA\Chiat\Day, Anomaly, Huge</v>
      </c>
      <c r="I355" s="11">
        <f>IFERROR(__xludf.DUMMYFUNCTION("""COMPUTED_VALUE"""),6.0)</f>
        <v>6</v>
      </c>
      <c r="J355" s="11">
        <f>IFERROR(__xludf.DUMMYFUNCTION("""COMPUTED_VALUE"""),0.01)</f>
        <v>0.01</v>
      </c>
      <c r="K355" s="11">
        <f>IFERROR(__xludf.DUMMYFUNCTION("""COMPUTED_VALUE"""),0.0)</f>
        <v>0</v>
      </c>
      <c r="L355" s="11"/>
    </row>
    <row r="356" ht="15.75" customHeight="1">
      <c r="A356" s="10" t="str">
        <f>IFERROR(__xludf.DUMMYFUNCTION("""COMPUTED_VALUE"""),"https://worldmetrics.org/service/media-mix-modeling/")</f>
        <v>https://worldmetrics.org/service/media-mix-modeling/</v>
      </c>
      <c r="B356" s="11" t="str">
        <f>IFERROR(__xludf.DUMMYFUNCTION("""COMPUTED_VALUE"""),"Best Media Mix Modeling Services | 2026 Rankings")</f>
        <v>Best Media Mix Modeling Services | 2026 Rankings</v>
      </c>
      <c r="C356" s="10" t="str">
        <f>IFERROR(__xludf.DUMMYFUNCTION("""COMPUTED_VALUE"""),"worldmetrics.org")</f>
        <v>worldmetrics.org</v>
      </c>
      <c r="D356" s="11" t="str">
        <f>IFERROR(__xludf.DUMMYFUNCTION("""COMPUTED_VALUE"""),"LISTICLE")</f>
        <v>LISTICLE</v>
      </c>
      <c r="E356" s="11" t="str">
        <f>IFERROR(__xludf.DUMMYFUNCTION("""COMPUTED_VALUE"""),"REFERENCE")</f>
        <v>REFERENCE</v>
      </c>
      <c r="F356" s="11" t="str">
        <f>IFERROR(__xludf.DUMMYFUNCTION("""COMPUTED_VALUE"""),"Listicle")</f>
        <v>Listicle</v>
      </c>
      <c r="G356" s="11" t="b">
        <f>IFERROR(__xludf.DUMMYFUNCTION("""COMPUTED_VALUE"""),FALSE)</f>
        <v>0</v>
      </c>
      <c r="H356" s="11" t="str">
        <f>IFERROR(__xludf.DUMMYFUNCTION("""COMPUTED_VALUE"""),"Kantar, Nielsen, Croud, Publicis Groupe, WPP, Measured, Momentum, Clutch")</f>
        <v>Kantar, Nielsen, Croud, Publicis Groupe, WPP, Measured, Momentum, Clutch</v>
      </c>
      <c r="I356" s="11">
        <f>IFERROR(__xludf.DUMMYFUNCTION("""COMPUTED_VALUE"""),6.0)</f>
        <v>6</v>
      </c>
      <c r="J356" s="11">
        <f>IFERROR(__xludf.DUMMYFUNCTION("""COMPUTED_VALUE"""),0.01)</f>
        <v>0.01</v>
      </c>
      <c r="K356" s="11">
        <f>IFERROR(__xludf.DUMMYFUNCTION("""COMPUTED_VALUE"""),0.33)</f>
        <v>0.33</v>
      </c>
      <c r="L356" s="11"/>
    </row>
    <row r="357" ht="15.75" customHeight="1">
      <c r="A357" s="10" t="str">
        <f>IFERROR(__xludf.DUMMYFUNCTION("""COMPUTED_VALUE"""),"https://www.20northmarketing.com/blog/top-ai-optimization-agencies#:~:text=Based%20in%20San%20Francisco%2C%20First,choose%20which%20sources%20to%20cite.")</f>
        <v>https://www.20northmarketing.com/blog/top-ai-optimization-agencies#:~:text=Based%20in%20San%20Francisco%2C%20First,choose%20which%20sources%20to%20cite.</v>
      </c>
      <c r="B357" s="11" t="str">
        <f>IFERROR(__xludf.DUMMYFUNCTION("""COMPUTED_VALUE"""),"Top AI Optimization Agencies | 20North Marketing | 20North")</f>
        <v>Top AI Optimization Agencies | 20North Marketing | 20North</v>
      </c>
      <c r="C357" s="10" t="str">
        <f>IFERROR(__xludf.DUMMYFUNCTION("""COMPUTED_VALUE"""),"20northmarketing.com")</f>
        <v>20northmarketing.com</v>
      </c>
      <c r="D357" s="11" t="str">
        <f>IFERROR(__xludf.DUMMYFUNCTION("""COMPUTED_VALUE"""),"LISTICLE")</f>
        <v>LISTICLE</v>
      </c>
      <c r="E357" s="11" t="str">
        <f>IFERROR(__xludf.DUMMYFUNCTION("""COMPUTED_VALUE"""),"CORPORATE")</f>
        <v>CORPORATE</v>
      </c>
      <c r="F357" s="11" t="str">
        <f>IFERROR(__xludf.DUMMYFUNCTION("""COMPUTED_VALUE"""),"Listicle")</f>
        <v>Listicle</v>
      </c>
      <c r="G357" s="11" t="b">
        <f>IFERROR(__xludf.DUMMYFUNCTION("""COMPUTED_VALUE"""),FALSE)</f>
        <v>0</v>
      </c>
      <c r="H357" s="11" t="str">
        <f>IFERROR(__xludf.DUMMYFUNCTION("""COMPUTED_VALUE"""),"iPullRank, Siege Media, Avenue Z, Intero Digital, First Page Sage")</f>
        <v>iPullRank, Siege Media, Avenue Z, Intero Digital, First Page Sage</v>
      </c>
      <c r="I357" s="11">
        <f>IFERROR(__xludf.DUMMYFUNCTION("""COMPUTED_VALUE"""),5.0)</f>
        <v>5</v>
      </c>
      <c r="J357" s="11">
        <f>IFERROR(__xludf.DUMMYFUNCTION("""COMPUTED_VALUE"""),0.0)</f>
        <v>0</v>
      </c>
      <c r="K357" s="11">
        <f>IFERROR(__xludf.DUMMYFUNCTION("""COMPUTED_VALUE"""),1.6)</f>
        <v>1.6</v>
      </c>
      <c r="L357" s="11"/>
    </row>
    <row r="358" ht="15.75" customHeight="1">
      <c r="A358" s="10" t="str">
        <f>IFERROR(__xludf.DUMMYFUNCTION("""COMPUTED_VALUE"""),"https://www.50pros.com/hire/advertising")</f>
        <v>https://www.50pros.com/hire/advertising</v>
      </c>
      <c r="B358" s="11" t="str">
        <f>IFERROR(__xludf.DUMMYFUNCTION("""COMPUTED_VALUE"""),"Top Advertising Agencies to Hire in June 2026")</f>
        <v>Top Advertising Agencies to Hire in June 2026</v>
      </c>
      <c r="C358" s="10" t="str">
        <f>IFERROR(__xludf.DUMMYFUNCTION("""COMPUTED_VALUE"""),"50pros.com")</f>
        <v>50pros.com</v>
      </c>
      <c r="D358" s="11" t="str">
        <f>IFERROR(__xludf.DUMMYFUNCTION("""COMPUTED_VALUE"""),"CATEGORY_PAGE")</f>
        <v>CATEGORY_PAGE</v>
      </c>
      <c r="E358" s="11" t="str">
        <f>IFERROR(__xludf.DUMMYFUNCTION("""COMPUTED_VALUE"""),"REFERENCE")</f>
        <v>REFERENCE</v>
      </c>
      <c r="F358" s="11" t="str">
        <f>IFERROR(__xludf.DUMMYFUNCTION("""COMPUTED_VALUE"""),"Category Page")</f>
        <v>Category Page</v>
      </c>
      <c r="G358" s="11" t="b">
        <f>IFERROR(__xludf.DUMMYFUNCTION("""COMPUTED_VALUE"""),FALSE)</f>
        <v>0</v>
      </c>
      <c r="H358" s="11" t="str">
        <f>IFERROR(__xludf.DUMMYFUNCTION("""COMPUTED_VALUE"""),"AdVenture Media")</f>
        <v>AdVenture Media</v>
      </c>
      <c r="I358" s="11">
        <f>IFERROR(__xludf.DUMMYFUNCTION("""COMPUTED_VALUE"""),5.0)</f>
        <v>5</v>
      </c>
      <c r="J358" s="11">
        <f>IFERROR(__xludf.DUMMYFUNCTION("""COMPUTED_VALUE"""),0.0)</f>
        <v>0</v>
      </c>
      <c r="K358" s="11">
        <f>IFERROR(__xludf.DUMMYFUNCTION("""COMPUTED_VALUE"""),1.0)</f>
        <v>1</v>
      </c>
      <c r="L358" s="11"/>
    </row>
    <row r="359" ht="15.75" customHeight="1">
      <c r="A359" s="10" t="str">
        <f>IFERROR(__xludf.DUMMYFUNCTION("""COMPUTED_VALUE"""),"https://agencyreview.dev/insights/top-social-media-marketing-agencies")</f>
        <v>https://agencyreview.dev/insights/top-social-media-marketing-agencies</v>
      </c>
      <c r="B359" s="11" t="str">
        <f>IFERROR(__xludf.DUMMYFUNCTION("""COMPUTED_VALUE"""),"Top Social Media Marketing Agencies by Specialty [2026] | AgencyReview")</f>
        <v>Top Social Media Marketing Agencies by Specialty [2026] | AgencyReview</v>
      </c>
      <c r="C359" s="11" t="str">
        <f>IFERROR(__xludf.DUMMYFUNCTION("""COMPUTED_VALUE"""),"agencyreview.dev")</f>
        <v>agencyreview.dev</v>
      </c>
      <c r="D359" s="11" t="str">
        <f>IFERROR(__xludf.DUMMYFUNCTION("""COMPUTED_VALUE"""),"LISTICLE")</f>
        <v>LISTICLE</v>
      </c>
      <c r="E359" s="11" t="str">
        <f>IFERROR(__xludf.DUMMYFUNCTION("""COMPUTED_VALUE"""),"REFERENCE")</f>
        <v>REFERENCE</v>
      </c>
      <c r="F359" s="11" t="str">
        <f>IFERROR(__xludf.DUMMYFUNCTION("""COMPUTED_VALUE"""),"Listicle")</f>
        <v>Listicle</v>
      </c>
      <c r="G359" s="11" t="b">
        <f>IFERROR(__xludf.DUMMYFUNCTION("""COMPUTED_VALUE"""),FALSE)</f>
        <v>0</v>
      </c>
      <c r="H359" s="11" t="str">
        <f>IFERROR(__xludf.DUMMYFUNCTION("""COMPUTED_VALUE"""),"Viral Nation, LYFE Marketing, Ignite Visibility, Disruptive Advertising, Tinuiti, Silverback Strategies, Power Digital, Directive, SmartSites")</f>
        <v>Viral Nation, LYFE Marketing, Ignite Visibility, Disruptive Advertising, Tinuiti, Silverback Strategies, Power Digital, Directive, SmartSites</v>
      </c>
      <c r="I359" s="11">
        <f>IFERROR(__xludf.DUMMYFUNCTION("""COMPUTED_VALUE"""),5.0)</f>
        <v>5</v>
      </c>
      <c r="J359" s="11">
        <f>IFERROR(__xludf.DUMMYFUNCTION("""COMPUTED_VALUE"""),0.0)</f>
        <v>0</v>
      </c>
      <c r="K359" s="11">
        <f>IFERROR(__xludf.DUMMYFUNCTION("""COMPUTED_VALUE"""),0.0)</f>
        <v>0</v>
      </c>
      <c r="L359" s="11"/>
    </row>
    <row r="360" ht="15.75" customHeight="1">
      <c r="A360" s="10" t="str">
        <f>IFERROR(__xludf.DUMMYFUNCTION("""COMPUTED_VALUE"""),"https://www.agencyspotter.com/top/social-media-marketing-agencies")</f>
        <v>https://www.agencyspotter.com/top/social-media-marketing-agencies</v>
      </c>
      <c r="B360" s="11" t="str">
        <f>IFERROR(__xludf.DUMMYFUNCTION("""COMPUTED_VALUE"""),"Top 25 Social Media Marketing Agencies Report | Agency Spotter")</f>
        <v>Top 25 Social Media Marketing Agencies Report | Agency Spotter</v>
      </c>
      <c r="C360" s="10" t="str">
        <f>IFERROR(__xludf.DUMMYFUNCTION("""COMPUTED_VALUE"""),"agencyspotter.com")</f>
        <v>agencyspotter.com</v>
      </c>
      <c r="D360" s="11" t="str">
        <f>IFERROR(__xludf.DUMMYFUNCTION("""COMPUTED_VALUE"""),"CATEGORY_PAGE")</f>
        <v>CATEGORY_PAGE</v>
      </c>
      <c r="E360" s="11" t="str">
        <f>IFERROR(__xludf.DUMMYFUNCTION("""COMPUTED_VALUE"""),"REFERENCE")</f>
        <v>REFERENCE</v>
      </c>
      <c r="F360" s="11" t="str">
        <f>IFERROR(__xludf.DUMMYFUNCTION("""COMPUTED_VALUE"""),"Category Page")</f>
        <v>Category Page</v>
      </c>
      <c r="G360" s="11" t="b">
        <f>IFERROR(__xludf.DUMMYFUNCTION("""COMPUTED_VALUE"""),FALSE)</f>
        <v>0</v>
      </c>
      <c r="H360" s="11" t="str">
        <f>IFERROR(__xludf.DUMMYFUNCTION("""COMPUTED_VALUE"""),"Sociallyin")</f>
        <v>Sociallyin</v>
      </c>
      <c r="I360" s="11">
        <f>IFERROR(__xludf.DUMMYFUNCTION("""COMPUTED_VALUE"""),5.0)</f>
        <v>5</v>
      </c>
      <c r="J360" s="11">
        <f>IFERROR(__xludf.DUMMYFUNCTION("""COMPUTED_VALUE"""),0.0)</f>
        <v>0</v>
      </c>
      <c r="K360" s="11">
        <f>IFERROR(__xludf.DUMMYFUNCTION("""COMPUTED_VALUE"""),1.2)</f>
        <v>1.2</v>
      </c>
      <c r="L360" s="11"/>
    </row>
    <row r="361" ht="15.75" customHeight="1">
      <c r="A361" s="10" t="str">
        <f>IFERROR(__xludf.DUMMYFUNCTION("""COMPUTED_VALUE"""),"https://alexbirkett.com/answer-engine-optimization-agencies/")</f>
        <v>https://alexbirkett.com/answer-engine-optimization-agencies/</v>
      </c>
      <c r="B361" s="11" t="str">
        <f>IFERROR(__xludf.DUMMYFUNCTION("""COMPUTED_VALUE"""),"The 7 Best Answer Engine Optimization (AEO) Agencies - Alex Birkett")</f>
        <v>The 7 Best Answer Engine Optimization (AEO) Agencies - Alex Birkett</v>
      </c>
      <c r="C361" s="10" t="str">
        <f>IFERROR(__xludf.DUMMYFUNCTION("""COMPUTED_VALUE"""),"alexbirkett.com")</f>
        <v>alexbirkett.com</v>
      </c>
      <c r="D361" s="11" t="str">
        <f>IFERROR(__xludf.DUMMYFUNCTION("""COMPUTED_VALUE"""),"LISTICLE")</f>
        <v>LISTICLE</v>
      </c>
      <c r="E361" s="11" t="str">
        <f>IFERROR(__xludf.DUMMYFUNCTION("""COMPUTED_VALUE"""),"CORPORATE")</f>
        <v>CORPORATE</v>
      </c>
      <c r="F361" s="11" t="str">
        <f>IFERROR(__xludf.DUMMYFUNCTION("""COMPUTED_VALUE"""),"Listicle")</f>
        <v>Listicle</v>
      </c>
      <c r="G361" s="11" t="b">
        <f>IFERROR(__xludf.DUMMYFUNCTION("""COMPUTED_VALUE"""),FALSE)</f>
        <v>0</v>
      </c>
      <c r="H361" s="11" t="str">
        <f>IFERROR(__xludf.DUMMYFUNCTION("""COMPUTED_VALUE"""),"Omniscient Digital, iPullRank, NoGood, Huge")</f>
        <v>Omniscient Digital, iPullRank, NoGood, Huge</v>
      </c>
      <c r="I361" s="11">
        <f>IFERROR(__xludf.DUMMYFUNCTION("""COMPUTED_VALUE"""),5.0)</f>
        <v>5</v>
      </c>
      <c r="J361" s="11">
        <f>IFERROR(__xludf.DUMMYFUNCTION("""COMPUTED_VALUE"""),0.0)</f>
        <v>0</v>
      </c>
      <c r="K361" s="11">
        <f>IFERROR(__xludf.DUMMYFUNCTION("""COMPUTED_VALUE"""),0.0)</f>
        <v>0</v>
      </c>
      <c r="L361" s="11"/>
    </row>
    <row r="362" ht="15.75" customHeight="1">
      <c r="A362" s="10" t="str">
        <f>IFERROR(__xludf.DUMMYFUNCTION("""COMPUTED_VALUE"""),"https://awisee.com/blog/ai-marketing-agencies-us/")</f>
        <v>https://awisee.com/blog/ai-marketing-agencies-us/</v>
      </c>
      <c r="B362" s="11" t="str">
        <f>IFERROR(__xludf.DUMMYFUNCTION("""COMPUTED_VALUE"""),"Top 4 AI Marketing Agencies US (2026 Rankings &amp;amp; Expert Guide)&amp;nbsp;")</f>
        <v>Top 4 AI Marketing Agencies US (2026 Rankings &amp;amp; Expert Guide)&amp;nbsp;</v>
      </c>
      <c r="C362" s="10" t="str">
        <f>IFERROR(__xludf.DUMMYFUNCTION("""COMPUTED_VALUE"""),"awisee.com")</f>
        <v>awisee.com</v>
      </c>
      <c r="D362" s="11" t="str">
        <f>IFERROR(__xludf.DUMMYFUNCTION("""COMPUTED_VALUE"""),"LISTICLE")</f>
        <v>LISTICLE</v>
      </c>
      <c r="E362" s="11" t="str">
        <f>IFERROR(__xludf.DUMMYFUNCTION("""COMPUTED_VALUE"""),"OTHER")</f>
        <v>OTHER</v>
      </c>
      <c r="F362" s="11" t="str">
        <f>IFERROR(__xludf.DUMMYFUNCTION("""COMPUTED_VALUE"""),"Listicle")</f>
        <v>Listicle</v>
      </c>
      <c r="G362" s="11" t="b">
        <f>IFERROR(__xludf.DUMMYFUNCTION("""COMPUTED_VALUE"""),FALSE)</f>
        <v>0</v>
      </c>
      <c r="H362" s="11" t="str">
        <f>IFERROR(__xludf.DUMMYFUNCTION("""COMPUTED_VALUE"""),"Momentum")</f>
        <v>Momentum</v>
      </c>
      <c r="I362" s="11">
        <f>IFERROR(__xludf.DUMMYFUNCTION("""COMPUTED_VALUE"""),5.0)</f>
        <v>5</v>
      </c>
      <c r="J362" s="11">
        <f>IFERROR(__xludf.DUMMYFUNCTION("""COMPUTED_VALUE"""),0.0)</f>
        <v>0</v>
      </c>
      <c r="K362" s="11">
        <f>IFERROR(__xludf.DUMMYFUNCTION("""COMPUTED_VALUE"""),0.0)</f>
        <v>0</v>
      </c>
      <c r="L362" s="11"/>
    </row>
    <row r="363" ht="15.75" customHeight="1">
      <c r="A363" s="10" t="str">
        <f>IFERROR(__xludf.DUMMYFUNCTION("""COMPUTED_VALUE"""),"https://brentonway.com/blog/top-performance-marketing-agencies")</f>
        <v>https://brentonway.com/blog/top-performance-marketing-agencies</v>
      </c>
      <c r="B363" s="11" t="str">
        <f>IFERROR(__xludf.DUMMYFUNCTION("""COMPUTED_VALUE"""),"Top 25 Performance Marketing Agencies in 2026 | Brenton Way")</f>
        <v>Top 25 Performance Marketing Agencies in 2026 | Brenton Way</v>
      </c>
      <c r="C363" s="10" t="str">
        <f>IFERROR(__xludf.DUMMYFUNCTION("""COMPUTED_VALUE"""),"brentonway.com")</f>
        <v>brentonway.com</v>
      </c>
      <c r="D363" s="11" t="str">
        <f>IFERROR(__xludf.DUMMYFUNCTION("""COMPUTED_VALUE"""),"LISTICLE")</f>
        <v>LISTICLE</v>
      </c>
      <c r="E363" s="11" t="str">
        <f>IFERROR(__xludf.DUMMYFUNCTION("""COMPUTED_VALUE"""),"CORPORATE")</f>
        <v>CORPORATE</v>
      </c>
      <c r="F363" s="11" t="str">
        <f>IFERROR(__xludf.DUMMYFUNCTION("""COMPUTED_VALUE"""),"Listicle")</f>
        <v>Listicle</v>
      </c>
      <c r="G363" s="11" t="b">
        <f>IFERROR(__xludf.DUMMYFUNCTION("""COMPUTED_VALUE"""),FALSE)</f>
        <v>0</v>
      </c>
      <c r="H363" s="11" t="str">
        <f>IFERROR(__xludf.DUMMYFUNCTION("""COMPUTED_VALUE"""),"Right Side Up, NoGood, inBeat, Disruptive Advertising, Directive, Power Digital, Thrive Internet Marketing Agency")</f>
        <v>Right Side Up, NoGood, inBeat, Disruptive Advertising, Directive, Power Digital, Thrive Internet Marketing Agency</v>
      </c>
      <c r="I363" s="11">
        <f>IFERROR(__xludf.DUMMYFUNCTION("""COMPUTED_VALUE"""),5.0)</f>
        <v>5</v>
      </c>
      <c r="J363" s="11">
        <f>IFERROR(__xludf.DUMMYFUNCTION("""COMPUTED_VALUE"""),0.0)</f>
        <v>0</v>
      </c>
      <c r="K363" s="11">
        <f>IFERROR(__xludf.DUMMYFUNCTION("""COMPUTED_VALUE"""),0.8)</f>
        <v>0.8</v>
      </c>
      <c r="L363" s="11"/>
    </row>
    <row r="364" ht="15.75" customHeight="1">
      <c r="A364" s="10" t="str">
        <f>IFERROR(__xludf.DUMMYFUNCTION("""COMPUTED_VALUE"""),"https://clicksgeek.com/best-paid-advertising-platforms-for-businesses/")</f>
        <v>https://clicksgeek.com/best-paid-advertising-platforms-for-businesses/</v>
      </c>
      <c r="B364" s="11" t="str">
        <f>IFERROR(__xludf.DUMMYFUNCTION("""COMPUTED_VALUE"""),"Best Paid Advertising Platforms For Businesses 2026")</f>
        <v>Best Paid Advertising Platforms For Businesses 2026</v>
      </c>
      <c r="C364" s="10" t="str">
        <f>IFERROR(__xludf.DUMMYFUNCTION("""COMPUTED_VALUE"""),"clicksgeek.com")</f>
        <v>clicksgeek.com</v>
      </c>
      <c r="D364" s="11" t="str">
        <f>IFERROR(__xludf.DUMMYFUNCTION("""COMPUTED_VALUE"""),"LISTICLE")</f>
        <v>LISTICLE</v>
      </c>
      <c r="E364" s="11" t="str">
        <f>IFERROR(__xludf.DUMMYFUNCTION("""COMPUTED_VALUE"""),"CORPORATE")</f>
        <v>CORPORATE</v>
      </c>
      <c r="F364" s="11" t="str">
        <f>IFERROR(__xludf.DUMMYFUNCTION("""COMPUTED_VALUE"""),"Listicle")</f>
        <v>Listicle</v>
      </c>
      <c r="G364" s="11" t="b">
        <f>IFERROR(__xludf.DUMMYFUNCTION("""COMPUTED_VALUE"""),FALSE)</f>
        <v>0</v>
      </c>
      <c r="H364" s="11"/>
      <c r="I364" s="11">
        <f>IFERROR(__xludf.DUMMYFUNCTION("""COMPUTED_VALUE"""),5.0)</f>
        <v>5</v>
      </c>
      <c r="J364" s="11">
        <f>IFERROR(__xludf.DUMMYFUNCTION("""COMPUTED_VALUE"""),0.0)</f>
        <v>0</v>
      </c>
      <c r="K364" s="11">
        <f>IFERROR(__xludf.DUMMYFUNCTION("""COMPUTED_VALUE"""),0.8)</f>
        <v>0.8</v>
      </c>
      <c r="L364" s="11"/>
    </row>
    <row r="365" ht="15.75" customHeight="1">
      <c r="A365" s="10" t="str">
        <f>IFERROR(__xludf.DUMMYFUNCTION("""COMPUTED_VALUE"""),"https://clutch.co/it-services/analytics/marketing")</f>
        <v>https://clutch.co/it-services/analytics/marketing</v>
      </c>
      <c r="B365" s="11" t="str">
        <f>IFERROR(__xludf.DUMMYFUNCTION("""COMPUTED_VALUE"""),"Top Big Data Marketing Companies - Jul 2026 Rankings \| Clutch.co")</f>
        <v>Top Big Data Marketing Companies - Jul 2026 Rankings \| Clutch.co</v>
      </c>
      <c r="C365" s="10" t="str">
        <f>IFERROR(__xludf.DUMMYFUNCTION("""COMPUTED_VALUE"""),"clutch.co")</f>
        <v>clutch.co</v>
      </c>
      <c r="D365" s="11" t="str">
        <f>IFERROR(__xludf.DUMMYFUNCTION("""COMPUTED_VALUE"""),"CATEGORY_PAGE")</f>
        <v>CATEGORY_PAGE</v>
      </c>
      <c r="E365" s="11" t="str">
        <f>IFERROR(__xludf.DUMMYFUNCTION("""COMPUTED_VALUE"""),"COMPETITOR")</f>
        <v>COMPETITOR</v>
      </c>
      <c r="F365" s="11" t="str">
        <f>IFERROR(__xludf.DUMMYFUNCTION("""COMPUTED_VALUE"""),"Category Page")</f>
        <v>Category Page</v>
      </c>
      <c r="G365" s="11" t="b">
        <f>IFERROR(__xludf.DUMMYFUNCTION("""COMPUTED_VALUE"""),FALSE)</f>
        <v>0</v>
      </c>
      <c r="H365" s="11" t="str">
        <f>IFERROR(__xludf.DUMMYFUNCTION("""COMPUTED_VALUE"""),"Clutch, Huge")</f>
        <v>Clutch, Huge</v>
      </c>
      <c r="I365" s="11">
        <f>IFERROR(__xludf.DUMMYFUNCTION("""COMPUTED_VALUE"""),5.0)</f>
        <v>5</v>
      </c>
      <c r="J365" s="11">
        <f>IFERROR(__xludf.DUMMYFUNCTION("""COMPUTED_VALUE"""),0.0)</f>
        <v>0</v>
      </c>
      <c r="K365" s="11">
        <f>IFERROR(__xludf.DUMMYFUNCTION("""COMPUTED_VALUE"""),0.2)</f>
        <v>0.2</v>
      </c>
      <c r="L365" s="11"/>
    </row>
    <row r="366" ht="15.75" customHeight="1">
      <c r="A366" s="10" t="str">
        <f>IFERROR(__xludf.DUMMYFUNCTION("""COMPUTED_VALUE"""),"https://clutch.co/us/agencies/market-research")</f>
        <v>https://clutch.co/us/agencies/market-research</v>
      </c>
      <c r="B366" s="11" t="str">
        <f>IFERROR(__xludf.DUMMYFUNCTION("""COMPUTED_VALUE"""),"Top Market Research Agencies in the United States - Jul 2026 Rankings \| Clutch.co")</f>
        <v>Top Market Research Agencies in the United States - Jul 2026 Rankings \| Clutch.co</v>
      </c>
      <c r="C366" s="10" t="str">
        <f>IFERROR(__xludf.DUMMYFUNCTION("""COMPUTED_VALUE"""),"clutch.co")</f>
        <v>clutch.co</v>
      </c>
      <c r="D366" s="11" t="str">
        <f>IFERROR(__xludf.DUMMYFUNCTION("""COMPUTED_VALUE"""),"CATEGORY_PAGE")</f>
        <v>CATEGORY_PAGE</v>
      </c>
      <c r="E366" s="11" t="str">
        <f>IFERROR(__xludf.DUMMYFUNCTION("""COMPUTED_VALUE"""),"COMPETITOR")</f>
        <v>COMPETITOR</v>
      </c>
      <c r="F366" s="11" t="str">
        <f>IFERROR(__xludf.DUMMYFUNCTION("""COMPUTED_VALUE"""),"Category Page")</f>
        <v>Category Page</v>
      </c>
      <c r="G366" s="11" t="b">
        <f>IFERROR(__xludf.DUMMYFUNCTION("""COMPUTED_VALUE"""),FALSE)</f>
        <v>0</v>
      </c>
      <c r="H366" s="11" t="str">
        <f>IFERROR(__xludf.DUMMYFUNCTION("""COMPUTED_VALUE"""),"Clutch, Acadia, Brighter Click, Momentum, Haus")</f>
        <v>Clutch, Acadia, Brighter Click, Momentum, Haus</v>
      </c>
      <c r="I366" s="11">
        <f>IFERROR(__xludf.DUMMYFUNCTION("""COMPUTED_VALUE"""),5.0)</f>
        <v>5</v>
      </c>
      <c r="J366" s="11">
        <f>IFERROR(__xludf.DUMMYFUNCTION("""COMPUTED_VALUE"""),0.0)</f>
        <v>0</v>
      </c>
      <c r="K366" s="11">
        <f>IFERROR(__xludf.DUMMYFUNCTION("""COMPUTED_VALUE"""),0.0)</f>
        <v>0</v>
      </c>
      <c r="L366" s="11"/>
    </row>
    <row r="367" ht="15.75" customHeight="1">
      <c r="A367" s="10" t="str">
        <f>IFERROR(__xludf.DUMMYFUNCTION("""COMPUTED_VALUE"""),"https://clutch.co/us/agencies/ppc/display?page=5")</f>
        <v>https://clutch.co/us/agencies/ppc/display?page=5</v>
      </c>
      <c r="B367" s="11" t="str">
        <f>IFERROR(__xludf.DUMMYFUNCTION("""COMPUTED_VALUE"""),"Page 5 - Top Display Advertising Agencies in the United States - Jul 2026 Rankings | Clutch.co")</f>
        <v>Page 5 - Top Display Advertising Agencies in the United States - Jul 2026 Rankings | Clutch.co</v>
      </c>
      <c r="C367" s="10" t="str">
        <f>IFERROR(__xludf.DUMMYFUNCTION("""COMPUTED_VALUE"""),"clutch.co")</f>
        <v>clutch.co</v>
      </c>
      <c r="D367" s="11" t="str">
        <f>IFERROR(__xludf.DUMMYFUNCTION("""COMPUTED_VALUE"""),"CATEGORY_PAGE")</f>
        <v>CATEGORY_PAGE</v>
      </c>
      <c r="E367" s="11" t="str">
        <f>IFERROR(__xludf.DUMMYFUNCTION("""COMPUTED_VALUE"""),"COMPETITOR")</f>
        <v>COMPETITOR</v>
      </c>
      <c r="F367" s="11" t="str">
        <f>IFERROR(__xludf.DUMMYFUNCTION("""COMPUTED_VALUE"""),"Category Page")</f>
        <v>Category Page</v>
      </c>
      <c r="G367" s="11" t="b">
        <f>IFERROR(__xludf.DUMMYFUNCTION("""COMPUTED_VALUE"""),FALSE)</f>
        <v>0</v>
      </c>
      <c r="H367" s="11" t="str">
        <f>IFERROR(__xludf.DUMMYFUNCTION("""COMPUTED_VALUE"""),"Clutch, Elit-Web, AdVenture Media, Go Fish Digital, Storm Brain, NoGood, Tinuiti")</f>
        <v>Clutch, Elit-Web, AdVenture Media, Go Fish Digital, Storm Brain, NoGood, Tinuiti</v>
      </c>
      <c r="I367" s="11">
        <f>IFERROR(__xludf.DUMMYFUNCTION("""COMPUTED_VALUE"""),5.0)</f>
        <v>5</v>
      </c>
      <c r="J367" s="11">
        <f>IFERROR(__xludf.DUMMYFUNCTION("""COMPUTED_VALUE"""),0.0)</f>
        <v>0</v>
      </c>
      <c r="K367" s="11">
        <f>IFERROR(__xludf.DUMMYFUNCTION("""COMPUTED_VALUE"""),0.4)</f>
        <v>0.4</v>
      </c>
      <c r="L367" s="11"/>
    </row>
    <row r="368" ht="15.75" customHeight="1">
      <c r="A368" s="10" t="str">
        <f>IFERROR(__xludf.DUMMYFUNCTION("""COMPUTED_VALUE"""),"https://clutch.co/us/agencies?page=1")</f>
        <v>https://clutch.co/us/agencies?page=1</v>
      </c>
      <c r="B368" s="11" t="str">
        <f>IFERROR(__xludf.DUMMYFUNCTION("""COMPUTED_VALUE"""),"Page 2 - Top Advertising Agencies in the United States - Jul 2026 Rankings \| Clutch.co")</f>
        <v>Page 2 - Top Advertising Agencies in the United States - Jul 2026 Rankings \| Clutch.co</v>
      </c>
      <c r="C368" s="10" t="str">
        <f>IFERROR(__xludf.DUMMYFUNCTION("""COMPUTED_VALUE"""),"clutch.co")</f>
        <v>clutch.co</v>
      </c>
      <c r="D368" s="11" t="str">
        <f>IFERROR(__xludf.DUMMYFUNCTION("""COMPUTED_VALUE"""),"CATEGORY_PAGE")</f>
        <v>CATEGORY_PAGE</v>
      </c>
      <c r="E368" s="11" t="str">
        <f>IFERROR(__xludf.DUMMYFUNCTION("""COMPUTED_VALUE"""),"COMPETITOR")</f>
        <v>COMPETITOR</v>
      </c>
      <c r="F368" s="11" t="str">
        <f>IFERROR(__xludf.DUMMYFUNCTION("""COMPUTED_VALUE"""),"Category Page")</f>
        <v>Category Page</v>
      </c>
      <c r="G368" s="11" t="b">
        <f>IFERROR(__xludf.DUMMYFUNCTION("""COMPUTED_VALUE"""),FALSE)</f>
        <v>0</v>
      </c>
      <c r="H368" s="11" t="str">
        <f>IFERROR(__xludf.DUMMYFUNCTION("""COMPUTED_VALUE"""),"Clutch, SmartSites, WebFX, Ignite Visibility, Storm Brain, NinjaPromo, Huge")</f>
        <v>Clutch, SmartSites, WebFX, Ignite Visibility, Storm Brain, NinjaPromo, Huge</v>
      </c>
      <c r="I368" s="11">
        <f>IFERROR(__xludf.DUMMYFUNCTION("""COMPUTED_VALUE"""),5.0)</f>
        <v>5</v>
      </c>
      <c r="J368" s="11">
        <f>IFERROR(__xludf.DUMMYFUNCTION("""COMPUTED_VALUE"""),0.0)</f>
        <v>0</v>
      </c>
      <c r="K368" s="11">
        <f>IFERROR(__xludf.DUMMYFUNCTION("""COMPUTED_VALUE"""),0.0)</f>
        <v>0</v>
      </c>
      <c r="L368" s="11"/>
    </row>
    <row r="369" ht="15.75" customHeight="1">
      <c r="A369" s="10" t="str">
        <f>IFERROR(__xludf.DUMMYFUNCTION("""COMPUTED_VALUE"""),"https://clutch.co/us/consulting/ai/maturation")</f>
        <v>https://clutch.co/us/consulting/ai/maturation</v>
      </c>
      <c r="B369" s="11" t="str">
        <f>IFERROR(__xludf.DUMMYFUNCTION("""COMPUTED_VALUE"""),"Top AI Maturation Services in the United States - Jul 2026 Rankings \| Clutch.co")</f>
        <v>Top AI Maturation Services in the United States - Jul 2026 Rankings \| Clutch.co</v>
      </c>
      <c r="C369" s="10" t="str">
        <f>IFERROR(__xludf.DUMMYFUNCTION("""COMPUTED_VALUE"""),"clutch.co")</f>
        <v>clutch.co</v>
      </c>
      <c r="D369" s="11" t="str">
        <f>IFERROR(__xludf.DUMMYFUNCTION("""COMPUTED_VALUE"""),"PROFILE")</f>
        <v>PROFILE</v>
      </c>
      <c r="E369" s="11" t="str">
        <f>IFERROR(__xludf.DUMMYFUNCTION("""COMPUTED_VALUE"""),"COMPETITOR")</f>
        <v>COMPETITOR</v>
      </c>
      <c r="F369" s="11" t="str">
        <f>IFERROR(__xludf.DUMMYFUNCTION("""COMPUTED_VALUE"""),"Profile")</f>
        <v>Profile</v>
      </c>
      <c r="G369" s="11" t="b">
        <f>IFERROR(__xludf.DUMMYFUNCTION("""COMPUTED_VALUE"""),FALSE)</f>
        <v>0</v>
      </c>
      <c r="H369" s="11" t="str">
        <f>IFERROR(__xludf.DUMMYFUNCTION("""COMPUTED_VALUE"""),"Clutch, Go Fish Digital")</f>
        <v>Clutch, Go Fish Digital</v>
      </c>
      <c r="I369" s="11">
        <f>IFERROR(__xludf.DUMMYFUNCTION("""COMPUTED_VALUE"""),5.0)</f>
        <v>5</v>
      </c>
      <c r="J369" s="11">
        <f>IFERROR(__xludf.DUMMYFUNCTION("""COMPUTED_VALUE"""),0.0)</f>
        <v>0</v>
      </c>
      <c r="K369" s="11">
        <f>IFERROR(__xludf.DUMMYFUNCTION("""COMPUTED_VALUE"""),1.6)</f>
        <v>1.6</v>
      </c>
      <c r="L369" s="11"/>
    </row>
    <row r="370" ht="15.75" customHeight="1">
      <c r="A370" s="10" t="str">
        <f>IFERROR(__xludf.DUMMYFUNCTION("""COMPUTED_VALUE"""),"https://clutch.co/us/consulting/ai/maturation%3Fpage%3D2")</f>
        <v>https://clutch.co/us/consulting/ai/maturation%3Fpage%3D2</v>
      </c>
      <c r="B370" s="11" t="str">
        <f>IFERROR(__xludf.DUMMYFUNCTION("""COMPUTED_VALUE"""),"Top AI Maturation Services in the United States - Jul 2026 Rankings \| Clutch.co")</f>
        <v>Top AI Maturation Services in the United States - Jul 2026 Rankings \| Clutch.co</v>
      </c>
      <c r="C370" s="10" t="str">
        <f>IFERROR(__xludf.DUMMYFUNCTION("""COMPUTED_VALUE"""),"clutch.co")</f>
        <v>clutch.co</v>
      </c>
      <c r="D370" s="11" t="str">
        <f>IFERROR(__xludf.DUMMYFUNCTION("""COMPUTED_VALUE"""),"CATEGORY_PAGE")</f>
        <v>CATEGORY_PAGE</v>
      </c>
      <c r="E370" s="11" t="str">
        <f>IFERROR(__xludf.DUMMYFUNCTION("""COMPUTED_VALUE"""),"COMPETITOR")</f>
        <v>COMPETITOR</v>
      </c>
      <c r="F370" s="11" t="str">
        <f>IFERROR(__xludf.DUMMYFUNCTION("""COMPUTED_VALUE"""),"Category Page")</f>
        <v>Category Page</v>
      </c>
      <c r="G370" s="11" t="b">
        <f>IFERROR(__xludf.DUMMYFUNCTION("""COMPUTED_VALUE"""),FALSE)</f>
        <v>0</v>
      </c>
      <c r="H370" s="11" t="str">
        <f>IFERROR(__xludf.DUMMYFUNCTION("""COMPUTED_VALUE"""),"Clutch, Momentum")</f>
        <v>Clutch, Momentum</v>
      </c>
      <c r="I370" s="11">
        <f>IFERROR(__xludf.DUMMYFUNCTION("""COMPUTED_VALUE"""),5.0)</f>
        <v>5</v>
      </c>
      <c r="J370" s="11">
        <f>IFERROR(__xludf.DUMMYFUNCTION("""COMPUTED_VALUE"""),0.0)</f>
        <v>0</v>
      </c>
      <c r="K370" s="11">
        <f>IFERROR(__xludf.DUMMYFUNCTION("""COMPUTED_VALUE"""),0.0)</f>
        <v>0</v>
      </c>
      <c r="L370" s="11"/>
    </row>
    <row r="371" ht="15.75" customHeight="1">
      <c r="A371" s="10" t="str">
        <f>IFERROR(__xludf.DUMMYFUNCTION("""COMPUTED_VALUE"""),"https://www.darkroomagency.com/observatory/10-best-growth-marketing-agencies-in-2026-(ranked-for-online-sales)#:~:text=Brainlabs%20can%20be%20a%20strong,that%20experimentation%20extends%20beyond%20media.")</f>
        <v>https://www.darkroomagency.com/observatory/10-best-growth-marketing-agencies-in-2026-(ranked-for-online-sales)#:~:text=Brainlabs%20can%20be%20a%20strong,that%20experimentation%20extends%20beyond%20media.</v>
      </c>
      <c r="B371" s="11" t="str">
        <f>IFERROR(__xludf.DUMMYFUNCTION("""COMPUTED_VALUE"""),"Growth Marketing Solutions: 10 Best Agencies (2026)")</f>
        <v>Growth Marketing Solutions: 10 Best Agencies (2026)</v>
      </c>
      <c r="C371" s="10" t="str">
        <f>IFERROR(__xludf.DUMMYFUNCTION("""COMPUTED_VALUE"""),"darkroomagency.com")</f>
        <v>darkroomagency.com</v>
      </c>
      <c r="D371" s="11" t="str">
        <f>IFERROR(__xludf.DUMMYFUNCTION("""COMPUTED_VALUE"""),"LISTICLE")</f>
        <v>LISTICLE</v>
      </c>
      <c r="E371" s="11" t="str">
        <f>IFERROR(__xludf.DUMMYFUNCTION("""COMPUTED_VALUE"""),"COMPETITOR")</f>
        <v>COMPETITOR</v>
      </c>
      <c r="F371" s="11" t="str">
        <f>IFERROR(__xludf.DUMMYFUNCTION("""COMPUTED_VALUE"""),"Listicle")</f>
        <v>Listicle</v>
      </c>
      <c r="G371" s="11" t="b">
        <f>IFERROR(__xludf.DUMMYFUNCTION("""COMPUTED_VALUE"""),FALSE)</f>
        <v>0</v>
      </c>
      <c r="H371" s="11" t="str">
        <f>IFERROR(__xludf.DUMMYFUNCTION("""COMPUTED_VALUE"""),"Darkroom, Tinuiti, Wpromote, Brainlabs, Common Thread Collective, Disruptive Advertising, Power Digital, NoGood, Right Side Up, KlientBoost, Droga5")</f>
        <v>Darkroom, Tinuiti, Wpromote, Brainlabs, Common Thread Collective, Disruptive Advertising, Power Digital, NoGood, Right Side Up, KlientBoost, Droga5</v>
      </c>
      <c r="I371" s="11">
        <f>IFERROR(__xludf.DUMMYFUNCTION("""COMPUTED_VALUE"""),5.0)</f>
        <v>5</v>
      </c>
      <c r="J371" s="11">
        <f>IFERROR(__xludf.DUMMYFUNCTION("""COMPUTED_VALUE"""),0.0)</f>
        <v>0</v>
      </c>
      <c r="K371" s="11">
        <f>IFERROR(__xludf.DUMMYFUNCTION("""COMPUTED_VALUE"""),0.8)</f>
        <v>0.8</v>
      </c>
      <c r="L371" s="11"/>
    </row>
    <row r="372" ht="15.75" customHeight="1">
      <c r="A372" s="10" t="str">
        <f>IFERROR(__xludf.DUMMYFUNCTION("""COMPUTED_VALUE"""),"https://directiveconsulting.com/blog/best-google-ads-agencies/")</f>
        <v>https://directiveconsulting.com/blog/best-google-ads-agencies/</v>
      </c>
      <c r="B372" s="11" t="str">
        <f>IFERROR(__xludf.DUMMYFUNCTION("""COMPUTED_VALUE"""),"20 Best Google Ads Agencies For B2B - Directive")</f>
        <v>20 Best Google Ads Agencies For B2B - Directive</v>
      </c>
      <c r="C372" s="10" t="str">
        <f>IFERROR(__xludf.DUMMYFUNCTION("""COMPUTED_VALUE"""),"directiveconsulting.com")</f>
        <v>directiveconsulting.com</v>
      </c>
      <c r="D372" s="11" t="str">
        <f>IFERROR(__xludf.DUMMYFUNCTION("""COMPUTED_VALUE"""),"LISTICLE")</f>
        <v>LISTICLE</v>
      </c>
      <c r="E372" s="11" t="str">
        <f>IFERROR(__xludf.DUMMYFUNCTION("""COMPUTED_VALUE"""),"COMPETITOR")</f>
        <v>COMPETITOR</v>
      </c>
      <c r="F372" s="11" t="str">
        <f>IFERROR(__xludf.DUMMYFUNCTION("""COMPUTED_VALUE"""),"Listicle")</f>
        <v>Listicle</v>
      </c>
      <c r="G372" s="11" t="b">
        <f>IFERROR(__xludf.DUMMYFUNCTION("""COMPUTED_VALUE"""),FALSE)</f>
        <v>0</v>
      </c>
      <c r="H372" s="11" t="str">
        <f>IFERROR(__xludf.DUMMYFUNCTION("""COMPUTED_VALUE"""),"Directive, Disruptive Advertising, KlientBoost, Single Grain, Ignite Visibility, WebFX, HawkSEM, SmartSites, Monks, Thrive Internet Marketing Agency, Wpromote, Amsive, NoGood, TransUnion, Clutch")</f>
        <v>Directive, Disruptive Advertising, KlientBoost, Single Grain, Ignite Visibility, WebFX, HawkSEM, SmartSites, Monks, Thrive Internet Marketing Agency, Wpromote, Amsive, NoGood, TransUnion, Clutch</v>
      </c>
      <c r="I372" s="11">
        <f>IFERROR(__xludf.DUMMYFUNCTION("""COMPUTED_VALUE"""),5.0)</f>
        <v>5</v>
      </c>
      <c r="J372" s="11">
        <f>IFERROR(__xludf.DUMMYFUNCTION("""COMPUTED_VALUE"""),0.0)</f>
        <v>0</v>
      </c>
      <c r="K372" s="11">
        <f>IFERROR(__xludf.DUMMYFUNCTION("""COMPUTED_VALUE"""),1.2)</f>
        <v>1.2</v>
      </c>
      <c r="L372" s="11"/>
    </row>
    <row r="373" ht="15.75" customHeight="1">
      <c r="A373" s="10" t="str">
        <f>IFERROR(__xludf.DUMMYFUNCTION("""COMPUTED_VALUE"""),"https://firstpagesage.com/seo-blog/the-top-industrial-geo-aeo-agencies/")</f>
        <v>https://firstpagesage.com/seo-blog/the-top-industrial-geo-aeo-agencies/</v>
      </c>
      <c r="B373" s="11" t="str">
        <f>IFERROR(__xludf.DUMMYFUNCTION("""COMPUTED_VALUE"""),"The Top Industrial GEO/AEO Agencies of 2026 – First Page Sage")</f>
        <v>The Top Industrial GEO/AEO Agencies of 2026 – First Page Sage</v>
      </c>
      <c r="C373" s="10" t="str">
        <f>IFERROR(__xludf.DUMMYFUNCTION("""COMPUTED_VALUE"""),"firstpagesage.com")</f>
        <v>firstpagesage.com</v>
      </c>
      <c r="D373" s="11" t="str">
        <f>IFERROR(__xludf.DUMMYFUNCTION("""COMPUTED_VALUE"""),"LISTICLE")</f>
        <v>LISTICLE</v>
      </c>
      <c r="E373" s="11" t="str">
        <f>IFERROR(__xludf.DUMMYFUNCTION("""COMPUTED_VALUE"""),"COMPETITOR")</f>
        <v>COMPETITOR</v>
      </c>
      <c r="F373" s="11" t="str">
        <f>IFERROR(__xludf.DUMMYFUNCTION("""COMPUTED_VALUE"""),"Listicle")</f>
        <v>Listicle</v>
      </c>
      <c r="G373" s="11" t="b">
        <f>IFERROR(__xludf.DUMMYFUNCTION("""COMPUTED_VALUE"""),FALSE)</f>
        <v>0</v>
      </c>
      <c r="H373" s="11" t="str">
        <f>IFERROR(__xludf.DUMMYFUNCTION("""COMPUTED_VALUE"""),"First Page Sage, Measured")</f>
        <v>First Page Sage, Measured</v>
      </c>
      <c r="I373" s="11">
        <f>IFERROR(__xludf.DUMMYFUNCTION("""COMPUTED_VALUE"""),5.0)</f>
        <v>5</v>
      </c>
      <c r="J373" s="11">
        <f>IFERROR(__xludf.DUMMYFUNCTION("""COMPUTED_VALUE"""),0.0)</f>
        <v>0</v>
      </c>
      <c r="K373" s="11">
        <f>IFERROR(__xludf.DUMMYFUNCTION("""COMPUTED_VALUE"""),0.0)</f>
        <v>0</v>
      </c>
      <c r="L373" s="11"/>
    </row>
    <row r="374" ht="15.75" customHeight="1">
      <c r="A374" s="10" t="str">
        <f>IFERROR(__xludf.DUMMYFUNCTION("""COMPUTED_VALUE"""),"https://www.gartner.com/reviews/market/marketing-mix-modeling-solutions")</f>
        <v>https://www.gartner.com/reviews/market/marketing-mix-modeling-solutions</v>
      </c>
      <c r="B374" s="11" t="str">
        <f>IFERROR(__xludf.DUMMYFUNCTION("""COMPUTED_VALUE"""),"Best Marketing Mix Modeling Solutions Reviews 2026 \| Gartner Peer Insights")</f>
        <v>Best Marketing Mix Modeling Solutions Reviews 2026 \| Gartner Peer Insights</v>
      </c>
      <c r="C374" s="10" t="str">
        <f>IFERROR(__xludf.DUMMYFUNCTION("""COMPUTED_VALUE"""),"gartner.com")</f>
        <v>gartner.com</v>
      </c>
      <c r="D374" s="11" t="str">
        <f>IFERROR(__xludf.DUMMYFUNCTION("""COMPUTED_VALUE"""),"CATEGORY_PAGE")</f>
        <v>CATEGORY_PAGE</v>
      </c>
      <c r="E374" s="11" t="str">
        <f>IFERROR(__xludf.DUMMYFUNCTION("""COMPUTED_VALUE"""),"CORPORATE")</f>
        <v>CORPORATE</v>
      </c>
      <c r="F374" s="11" t="str">
        <f>IFERROR(__xludf.DUMMYFUNCTION("""COMPUTED_VALUE"""),"Category Page")</f>
        <v>Category Page</v>
      </c>
      <c r="G374" s="11" t="b">
        <f>IFERROR(__xludf.DUMMYFUNCTION("""COMPUTED_VALUE"""),FALSE)</f>
        <v>0</v>
      </c>
      <c r="H374" s="11" t="str">
        <f>IFERROR(__xludf.DUMMYFUNCTION("""COMPUTED_VALUE"""),"Nielsen, Measured, Analytic Partners, Circana, Dentsu, Gain Theory, Haus, LifeSight, Kantar")</f>
        <v>Nielsen, Measured, Analytic Partners, Circana, Dentsu, Gain Theory, Haus, LifeSight, Kantar</v>
      </c>
      <c r="I374" s="11">
        <f>IFERROR(__xludf.DUMMYFUNCTION("""COMPUTED_VALUE"""),5.0)</f>
        <v>5</v>
      </c>
      <c r="J374" s="11">
        <f>IFERROR(__xludf.DUMMYFUNCTION("""COMPUTED_VALUE"""),0.0)</f>
        <v>0</v>
      </c>
      <c r="K374" s="11">
        <f>IFERROR(__xludf.DUMMYFUNCTION("""COMPUTED_VALUE"""),1.2)</f>
        <v>1.2</v>
      </c>
      <c r="L374" s="11"/>
    </row>
    <row r="375" ht="15.75" customHeight="1">
      <c r="A375" s="10" t="str">
        <f>IFERROR(__xludf.DUMMYFUNCTION("""COMPUTED_VALUE"""),"https://www.growth-hackers.net/best-paid-media-agencies/")</f>
        <v>https://www.growth-hackers.net/best-paid-media-agencies/</v>
      </c>
      <c r="B375" s="11" t="str">
        <f>IFERROR(__xludf.DUMMYFUNCTION("""COMPUTED_VALUE"""),"Top 23 Paid Media Agencies in 2026 | Hire the Best Paid Media Agency | Growth Hackers")</f>
        <v>Top 23 Paid Media Agencies in 2026 | Hire the Best Paid Media Agency | Growth Hackers</v>
      </c>
      <c r="C375" s="10" t="str">
        <f>IFERROR(__xludf.DUMMYFUNCTION("""COMPUTED_VALUE"""),"growth-hackers.net")</f>
        <v>growth-hackers.net</v>
      </c>
      <c r="D375" s="11" t="str">
        <f>IFERROR(__xludf.DUMMYFUNCTION("""COMPUTED_VALUE"""),"LISTICLE")</f>
        <v>LISTICLE</v>
      </c>
      <c r="E375" s="11" t="str">
        <f>IFERROR(__xludf.DUMMYFUNCTION("""COMPUTED_VALUE"""),"CORPORATE")</f>
        <v>CORPORATE</v>
      </c>
      <c r="F375" s="11" t="str">
        <f>IFERROR(__xludf.DUMMYFUNCTION("""COMPUTED_VALUE"""),"Listicle")</f>
        <v>Listicle</v>
      </c>
      <c r="G375" s="11" t="b">
        <f>IFERROR(__xludf.DUMMYFUNCTION("""COMPUTED_VALUE"""),FALSE)</f>
        <v>0</v>
      </c>
      <c r="H375" s="11" t="str">
        <f>IFERROR(__xludf.DUMMYFUNCTION("""COMPUTED_VALUE"""),"inBeat, Intero Digital, Disruptive Advertising, IDHL, Marcel Digital, IBM")</f>
        <v>inBeat, Intero Digital, Disruptive Advertising, IDHL, Marcel Digital, IBM</v>
      </c>
      <c r="I375" s="11">
        <f>IFERROR(__xludf.DUMMYFUNCTION("""COMPUTED_VALUE"""),5.0)</f>
        <v>5</v>
      </c>
      <c r="J375" s="11">
        <f>IFERROR(__xludf.DUMMYFUNCTION("""COMPUTED_VALUE"""),0.0)</f>
        <v>0</v>
      </c>
      <c r="K375" s="11">
        <f>IFERROR(__xludf.DUMMYFUNCTION("""COMPUTED_VALUE"""),0.0)</f>
        <v>0</v>
      </c>
      <c r="L375" s="11"/>
    </row>
    <row r="376" ht="15.75" customHeight="1">
      <c r="A376" s="10" t="str">
        <f>IFERROR(__xludf.DUMMYFUNCTION("""COMPUTED_VALUE"""),"https://www.keywordsearch.com/blog/top-ai-marketing-agency-trends-to-watch-in-2025")</f>
        <v>https://www.keywordsearch.com/blog/top-ai-marketing-agency-trends-to-watch-in-2025</v>
      </c>
      <c r="B376" s="11" t="str">
        <f>IFERROR(__xludf.DUMMYFUNCTION("""COMPUTED_VALUE"""),"Exploring the Best AI Marketing Agencies in 2025")</f>
        <v>Exploring the Best AI Marketing Agencies in 2025</v>
      </c>
      <c r="C376" s="10" t="str">
        <f>IFERROR(__xludf.DUMMYFUNCTION("""COMPUTED_VALUE"""),"keywordsearch.com")</f>
        <v>keywordsearch.com</v>
      </c>
      <c r="D376" s="11" t="str">
        <f>IFERROR(__xludf.DUMMYFUNCTION("""COMPUTED_VALUE"""),"LISTICLE")</f>
        <v>LISTICLE</v>
      </c>
      <c r="E376" s="11" t="str">
        <f>IFERROR(__xludf.DUMMYFUNCTION("""COMPUTED_VALUE"""),"CORPORATE")</f>
        <v>CORPORATE</v>
      </c>
      <c r="F376" s="11" t="str">
        <f>IFERROR(__xludf.DUMMYFUNCTION("""COMPUTED_VALUE"""),"Listicle")</f>
        <v>Listicle</v>
      </c>
      <c r="G376" s="11" t="b">
        <f>IFERROR(__xludf.DUMMYFUNCTION("""COMPUTED_VALUE"""),FALSE)</f>
        <v>0</v>
      </c>
      <c r="H376" s="11"/>
      <c r="I376" s="11">
        <f>IFERROR(__xludf.DUMMYFUNCTION("""COMPUTED_VALUE"""),5.0)</f>
        <v>5</v>
      </c>
      <c r="J376" s="11">
        <f>IFERROR(__xludf.DUMMYFUNCTION("""COMPUTED_VALUE"""),0.0)</f>
        <v>0</v>
      </c>
      <c r="K376" s="11">
        <f>IFERROR(__xludf.DUMMYFUNCTION("""COMPUTED_VALUE"""),0.0)</f>
        <v>0</v>
      </c>
      <c r="L376" s="11"/>
    </row>
    <row r="377" ht="15.75" customHeight="1">
      <c r="A377" s="10" t="str">
        <f>IFERROR(__xludf.DUMMYFUNCTION("""COMPUTED_VALUE"""),"https://marketingltb.com/blog/agency/best-global-digital-marketing-agencies/")</f>
        <v>https://marketingltb.com/blog/agency/best-global-digital-marketing-agencies/</v>
      </c>
      <c r="B377" s="11" t="str">
        <f>IFERROR(__xludf.DUMMYFUNCTION("""COMPUTED_VALUE"""),"10 Best Global Digital Marketing Agencies in 2026 - Marketing LTB")</f>
        <v>10 Best Global Digital Marketing Agencies in 2026 - Marketing LTB</v>
      </c>
      <c r="C377" s="10" t="str">
        <f>IFERROR(__xludf.DUMMYFUNCTION("""COMPUTED_VALUE"""),"marketingltb.com")</f>
        <v>marketingltb.com</v>
      </c>
      <c r="D377" s="11" t="str">
        <f>IFERROR(__xludf.DUMMYFUNCTION("""COMPUTED_VALUE"""),"LISTICLE")</f>
        <v>LISTICLE</v>
      </c>
      <c r="E377" s="11" t="str">
        <f>IFERROR(__xludf.DUMMYFUNCTION("""COMPUTED_VALUE"""),"CORPORATE")</f>
        <v>CORPORATE</v>
      </c>
      <c r="F377" s="11" t="str">
        <f>IFERROR(__xludf.DUMMYFUNCTION("""COMPUTED_VALUE"""),"Listicle")</f>
        <v>Listicle</v>
      </c>
      <c r="G377" s="11" t="b">
        <f>IFERROR(__xludf.DUMMYFUNCTION("""COMPUTED_VALUE"""),FALSE)</f>
        <v>0</v>
      </c>
      <c r="H377" s="11" t="str">
        <f>IFERROR(__xludf.DUMMYFUNCTION("""COMPUTED_VALUE"""),"Ogilvy, GroupM, Dentsu, Publicis Sapient, VML, iProspect, R/GA, IBM, WPP, Merkle, Publicis Groupe, Measured, Momentum")</f>
        <v>Ogilvy, GroupM, Dentsu, Publicis Sapient, VML, iProspect, R/GA, IBM, WPP, Merkle, Publicis Groupe, Measured, Momentum</v>
      </c>
      <c r="I377" s="11">
        <f>IFERROR(__xludf.DUMMYFUNCTION("""COMPUTED_VALUE"""),5.0)</f>
        <v>5</v>
      </c>
      <c r="J377" s="11">
        <f>IFERROR(__xludf.DUMMYFUNCTION("""COMPUTED_VALUE"""),0.0)</f>
        <v>0</v>
      </c>
      <c r="K377" s="11">
        <f>IFERROR(__xludf.DUMMYFUNCTION("""COMPUTED_VALUE"""),0.8)</f>
        <v>0.8</v>
      </c>
      <c r="L377" s="11"/>
    </row>
    <row r="378" ht="15.75" customHeight="1">
      <c r="A378" s="10" t="str">
        <f>IFERROR(__xludf.DUMMYFUNCTION("""COMPUTED_VALUE"""),"https://www.masterrvdesigners.com/blog/best-creative-agencies-2026/#:~:text=Why%20Selecting%20the%20Right%20Creative%20Agency%20is,MasterRV%20Designers%3F%20Final%20Thoughts%3B%20FAQs.%20Contact%20Us")</f>
        <v>https://www.masterrvdesigners.com/blog/best-creative-agencies-2026/#:~:text=Why%20Selecting%20the%20Right%20Creative%20Agency%20is,MasterRV%20Designers%3F%20Final%20Thoughts%3B%20FAQs.%20Contact%20Us</v>
      </c>
      <c r="B378" s="11" t="str">
        <f>IFERROR(__xludf.DUMMYFUNCTION("""COMPUTED_VALUE"""),"12 Best Creative Agencies of 2026 for Brands")</f>
        <v>12 Best Creative Agencies of 2026 for Brands</v>
      </c>
      <c r="C378" s="10" t="str">
        <f>IFERROR(__xludf.DUMMYFUNCTION("""COMPUTED_VALUE"""),"masterrvdesigners.com")</f>
        <v>masterrvdesigners.com</v>
      </c>
      <c r="D378" s="11" t="str">
        <f>IFERROR(__xludf.DUMMYFUNCTION("""COMPUTED_VALUE"""),"OTHER")</f>
        <v>OTHER</v>
      </c>
      <c r="E378" s="11" t="str">
        <f>IFERROR(__xludf.DUMMYFUNCTION("""COMPUTED_VALUE"""),"CORPORATE")</f>
        <v>CORPORATE</v>
      </c>
      <c r="F378" s="11" t="str">
        <f>IFERROR(__xludf.DUMMYFUNCTION("""COMPUTED_VALUE"""),"Other")</f>
        <v>Other</v>
      </c>
      <c r="G378" s="11" t="b">
        <f>IFERROR(__xludf.DUMMYFUNCTION("""COMPUTED_VALUE"""),FALSE)</f>
        <v>0</v>
      </c>
      <c r="H378" s="11" t="str">
        <f>IFERROR(__xludf.DUMMYFUNCTION("""COMPUTED_VALUE"""),"Wieden+Kennedy, Ogilvy, Pentagram, BBDO, R/GA, Publicis Sapient")</f>
        <v>Wieden+Kennedy, Ogilvy, Pentagram, BBDO, R/GA, Publicis Sapient</v>
      </c>
      <c r="I378" s="11">
        <f>IFERROR(__xludf.DUMMYFUNCTION("""COMPUTED_VALUE"""),5.0)</f>
        <v>5</v>
      </c>
      <c r="J378" s="11">
        <f>IFERROR(__xludf.DUMMYFUNCTION("""COMPUTED_VALUE"""),0.0)</f>
        <v>0</v>
      </c>
      <c r="K378" s="11">
        <f>IFERROR(__xludf.DUMMYFUNCTION("""COMPUTED_VALUE"""),1.2)</f>
        <v>1.2</v>
      </c>
      <c r="L378" s="11"/>
    </row>
    <row r="379" ht="15.75" customHeight="1">
      <c r="A379" s="10" t="str">
        <f>IFERROR(__xludf.DUMMYFUNCTION("""COMPUTED_VALUE"""),"https://www.mobileappdaily.com/directory/digital-marketing-companies/us/")</f>
        <v>https://www.mobileappdaily.com/directory/digital-marketing-companies/us/</v>
      </c>
      <c r="B379" s="11" t="str">
        <f>IFERROR(__xludf.DUMMYFUNCTION("""COMPUTED_VALUE"""),"50+ Best Digital Marketing Companies in the USA - 2026 Reviews | MobileAppDaily")</f>
        <v>50+ Best Digital Marketing Companies in the USA - 2026 Reviews | MobileAppDaily</v>
      </c>
      <c r="C379" s="10" t="str">
        <f>IFERROR(__xludf.DUMMYFUNCTION("""COMPUTED_VALUE"""),"mobileappdaily.com")</f>
        <v>mobileappdaily.com</v>
      </c>
      <c r="D379" s="11" t="str">
        <f>IFERROR(__xludf.DUMMYFUNCTION("""COMPUTED_VALUE"""),"PROFILE")</f>
        <v>PROFILE</v>
      </c>
      <c r="E379" s="11" t="str">
        <f>IFERROR(__xludf.DUMMYFUNCTION("""COMPUTED_VALUE"""),"EDITORIAL")</f>
        <v>EDITORIAL</v>
      </c>
      <c r="F379" s="11" t="str">
        <f>IFERROR(__xludf.DUMMYFUNCTION("""COMPUTED_VALUE"""),"Profile")</f>
        <v>Profile</v>
      </c>
      <c r="G379" s="11" t="b">
        <f>IFERROR(__xludf.DUMMYFUNCTION("""COMPUTED_VALUE"""),FALSE)</f>
        <v>0</v>
      </c>
      <c r="H379" s="11" t="str">
        <f>IFERROR(__xludf.DUMMYFUNCTION("""COMPUTED_VALUE"""),"Disruptive Advertising, WebFX, PwC, Ignite Visibility, SmartSites, Intero Digital, Thrive Internet Marketing Agency, NP Digital, Searchbloom, Measured")</f>
        <v>Disruptive Advertising, WebFX, PwC, Ignite Visibility, SmartSites, Intero Digital, Thrive Internet Marketing Agency, NP Digital, Searchbloom, Measured</v>
      </c>
      <c r="I379" s="11">
        <f>IFERROR(__xludf.DUMMYFUNCTION("""COMPUTED_VALUE"""),5.0)</f>
        <v>5</v>
      </c>
      <c r="J379" s="11">
        <f>IFERROR(__xludf.DUMMYFUNCTION("""COMPUTED_VALUE"""),0.0)</f>
        <v>0</v>
      </c>
      <c r="K379" s="11">
        <f>IFERROR(__xludf.DUMMYFUNCTION("""COMPUTED_VALUE"""),0.0)</f>
        <v>0</v>
      </c>
      <c r="L379" s="11"/>
    </row>
    <row r="380" ht="15.75" customHeight="1">
      <c r="A380" s="10" t="str">
        <f>IFERROR(__xludf.DUMMYFUNCTION("""COMPUTED_VALUE"""),"https://piperocket.digital/list/top-performance-marketing-agencies/")</f>
        <v>https://piperocket.digital/list/top-performance-marketing-agencies/</v>
      </c>
      <c r="B380" s="11" t="str">
        <f>IFERROR(__xludf.DUMMYFUNCTION("""COMPUTED_VALUE"""),"9 Best Performance Marketing Agencies (2026 Review)")</f>
        <v>9 Best Performance Marketing Agencies (2026 Review)</v>
      </c>
      <c r="C380" s="11" t="str">
        <f>IFERROR(__xludf.DUMMYFUNCTION("""COMPUTED_VALUE"""),"piperocket.digital")</f>
        <v>piperocket.digital</v>
      </c>
      <c r="D380" s="11" t="str">
        <f>IFERROR(__xludf.DUMMYFUNCTION("""COMPUTED_VALUE"""),"LISTICLE")</f>
        <v>LISTICLE</v>
      </c>
      <c r="E380" s="11" t="str">
        <f>IFERROR(__xludf.DUMMYFUNCTION("""COMPUTED_VALUE"""),"CORPORATE")</f>
        <v>CORPORATE</v>
      </c>
      <c r="F380" s="11" t="str">
        <f>IFERROR(__xludf.DUMMYFUNCTION("""COMPUTED_VALUE"""),"Listicle")</f>
        <v>Listicle</v>
      </c>
      <c r="G380" s="11" t="b">
        <f>IFERROR(__xludf.DUMMYFUNCTION("""COMPUTED_VALUE"""),FALSE)</f>
        <v>0</v>
      </c>
      <c r="H380" s="11" t="str">
        <f>IFERROR(__xludf.DUMMYFUNCTION("""COMPUTED_VALUE"""),"Clutch, Directive, Tinuiti, Disruptive Advertising, Ignite Visibility, NoGood, The Social Shepherd, Power Digital, Dentsu")</f>
        <v>Clutch, Directive, Tinuiti, Disruptive Advertising, Ignite Visibility, NoGood, The Social Shepherd, Power Digital, Dentsu</v>
      </c>
      <c r="I380" s="11">
        <f>IFERROR(__xludf.DUMMYFUNCTION("""COMPUTED_VALUE"""),5.0)</f>
        <v>5</v>
      </c>
      <c r="J380" s="11">
        <f>IFERROR(__xludf.DUMMYFUNCTION("""COMPUTED_VALUE"""),0.0)</f>
        <v>0</v>
      </c>
      <c r="K380" s="11">
        <f>IFERROR(__xludf.DUMMYFUNCTION("""COMPUTED_VALUE"""),0.0)</f>
        <v>0</v>
      </c>
      <c r="L380" s="11"/>
    </row>
    <row r="381" ht="15.75" customHeight="1">
      <c r="A381" s="10" t="str">
        <f>IFERROR(__xludf.DUMMYFUNCTION("""COMPUTED_VALUE"""),"https://www.reddit.com/r/SearchTides/comments/1uu5d0d/10_best_geo_agencies_for_brands_that_want_to_win/")</f>
        <v>https://www.reddit.com/r/SearchTides/comments/1uu5d0d/10_best_geo_agencies_for_brands_that_want_to_win/</v>
      </c>
      <c r="B381" s="11" t="str">
        <f>IFERROR(__xludf.DUMMYFUNCTION("""COMPUTED_VALUE"""),"10 Best GEO Agencies for Brands That Want to Win AI Search, Featuring SearchTides")</f>
        <v>10 Best GEO Agencies for Brands That Want to Win AI Search, Featuring SearchTides</v>
      </c>
      <c r="C381" s="10" t="str">
        <f>IFERROR(__xludf.DUMMYFUNCTION("""COMPUTED_VALUE"""),"reddit.com")</f>
        <v>reddit.com</v>
      </c>
      <c r="D381" s="11" t="str">
        <f>IFERROR(__xludf.DUMMYFUNCTION("""COMPUTED_VALUE"""),"DISCUSSION")</f>
        <v>DISCUSSION</v>
      </c>
      <c r="E381" s="11" t="str">
        <f>IFERROR(__xludf.DUMMYFUNCTION("""COMPUTED_VALUE"""),"UGC")</f>
        <v>UGC</v>
      </c>
      <c r="F381" s="11" t="str">
        <f>IFERROR(__xludf.DUMMYFUNCTION("""COMPUTED_VALUE"""),"Discussion")</f>
        <v>Discussion</v>
      </c>
      <c r="G381" s="11" t="b">
        <f>IFERROR(__xludf.DUMMYFUNCTION("""COMPUTED_VALUE"""),FALSE)</f>
        <v>0</v>
      </c>
      <c r="H381" s="11" t="str">
        <f>IFERROR(__xludf.DUMMYFUNCTION("""COMPUTED_VALUE"""),"Seer Interactive, Funnel Boost Media")</f>
        <v>Seer Interactive, Funnel Boost Media</v>
      </c>
      <c r="I381" s="11">
        <f>IFERROR(__xludf.DUMMYFUNCTION("""COMPUTED_VALUE"""),5.0)</f>
        <v>5</v>
      </c>
      <c r="J381" s="11">
        <f>IFERROR(__xludf.DUMMYFUNCTION("""COMPUTED_VALUE"""),0.0)</f>
        <v>0</v>
      </c>
      <c r="K381" s="11">
        <f>IFERROR(__xludf.DUMMYFUNCTION("""COMPUTED_VALUE"""),2.8)</f>
        <v>2.8</v>
      </c>
      <c r="L381" s="11"/>
    </row>
    <row r="382" ht="15.75" customHeight="1">
      <c r="A382" s="10" t="str">
        <f>IFERROR(__xludf.DUMMYFUNCTION("""COMPUTED_VALUE"""),"https://retailhub.co/best-of/best-geo-marketing-agency/")</f>
        <v>https://retailhub.co/best-of/best-geo-marketing-agency/</v>
      </c>
      <c r="B382" s="11" t="str">
        <f>IFERROR(__xludf.DUMMYFUNCTION("""COMPUTED_VALUE"""),"5 Best GEO Marketing Agencies in 2026 (Ranked by AI Search Results) - Retail Hub")</f>
        <v>5 Best GEO Marketing Agencies in 2026 (Ranked by AI Search Results) - Retail Hub</v>
      </c>
      <c r="C382" s="10" t="str">
        <f>IFERROR(__xludf.DUMMYFUNCTION("""COMPUTED_VALUE"""),"retailhub.co")</f>
        <v>retailhub.co</v>
      </c>
      <c r="D382" s="11" t="str">
        <f>IFERROR(__xludf.DUMMYFUNCTION("""COMPUTED_VALUE"""),"LISTICLE")</f>
        <v>LISTICLE</v>
      </c>
      <c r="E382" s="11" t="str">
        <f>IFERROR(__xludf.DUMMYFUNCTION("""COMPUTED_VALUE"""),"EDITORIAL")</f>
        <v>EDITORIAL</v>
      </c>
      <c r="F382" s="11" t="str">
        <f>IFERROR(__xludf.DUMMYFUNCTION("""COMPUTED_VALUE"""),"Listicle")</f>
        <v>Listicle</v>
      </c>
      <c r="G382" s="11" t="b">
        <f>IFERROR(__xludf.DUMMYFUNCTION("""COMPUTED_VALUE"""),FALSE)</f>
        <v>0</v>
      </c>
      <c r="H382" s="11" t="str">
        <f>IFERROR(__xludf.DUMMYFUNCTION("""COMPUTED_VALUE"""),"Clutch, First Page Sage, Siege Media")</f>
        <v>Clutch, First Page Sage, Siege Media</v>
      </c>
      <c r="I382" s="11">
        <f>IFERROR(__xludf.DUMMYFUNCTION("""COMPUTED_VALUE"""),5.0)</f>
        <v>5</v>
      </c>
      <c r="J382" s="11">
        <f>IFERROR(__xludf.DUMMYFUNCTION("""COMPUTED_VALUE"""),0.0)</f>
        <v>0</v>
      </c>
      <c r="K382" s="11">
        <f>IFERROR(__xludf.DUMMYFUNCTION("""COMPUTED_VALUE"""),0.0)</f>
        <v>0</v>
      </c>
      <c r="L382" s="11"/>
    </row>
    <row r="383" ht="15.75" customHeight="1">
      <c r="A383" s="10" t="str">
        <f>IFERROR(__xludf.DUMMYFUNCTION("""COMPUTED_VALUE"""),"https://segmentstream.com/blog/articles/top-haus-io-alternatives-for-geo-lift-incrementality-testing")</f>
        <v>https://segmentstream.com/blog/articles/top-haus-io-alternatives-for-geo-lift-incrementality-testing</v>
      </c>
      <c r="B383" s="11" t="str">
        <f>IFERROR(__xludf.DUMMYFUNCTION("""COMPUTED_VALUE"""),"5 Best Haus.io Alternatives (2026) — SegmentStream")</f>
        <v>5 Best Haus.io Alternatives (2026) — SegmentStream</v>
      </c>
      <c r="C383" s="10" t="str">
        <f>IFERROR(__xludf.DUMMYFUNCTION("""COMPUTED_VALUE"""),"segmentstream.com")</f>
        <v>segmentstream.com</v>
      </c>
      <c r="D383" s="11" t="str">
        <f>IFERROR(__xludf.DUMMYFUNCTION("""COMPUTED_VALUE"""),"ALTERNATIVE")</f>
        <v>ALTERNATIVE</v>
      </c>
      <c r="E383" s="11" t="str">
        <f>IFERROR(__xludf.DUMMYFUNCTION("""COMPUTED_VALUE"""),"COMPETITOR")</f>
        <v>COMPETITOR</v>
      </c>
      <c r="F383" s="11" t="str">
        <f>IFERROR(__xludf.DUMMYFUNCTION("""COMPUTED_VALUE"""),"Alternative")</f>
        <v>Alternative</v>
      </c>
      <c r="G383" s="11" t="b">
        <f>IFERROR(__xludf.DUMMYFUNCTION("""COMPUTED_VALUE"""),FALSE)</f>
        <v>0</v>
      </c>
      <c r="H383" s="11" t="str">
        <f>IFERROR(__xludf.DUMMYFUNCTION("""COMPUTED_VALUE"""),"SegmentStream, Haus, Measured, INCRMNTAL, Recast")</f>
        <v>SegmentStream, Haus, Measured, INCRMNTAL, Recast</v>
      </c>
      <c r="I383" s="11">
        <f>IFERROR(__xludf.DUMMYFUNCTION("""COMPUTED_VALUE"""),5.0)</f>
        <v>5</v>
      </c>
      <c r="J383" s="11">
        <f>IFERROR(__xludf.DUMMYFUNCTION("""COMPUTED_VALUE"""),0.0)</f>
        <v>0</v>
      </c>
      <c r="K383" s="11">
        <f>IFERROR(__xludf.DUMMYFUNCTION("""COMPUTED_VALUE"""),0.0)</f>
        <v>0</v>
      </c>
      <c r="L383" s="11"/>
    </row>
    <row r="384" ht="15.75" customHeight="1">
      <c r="A384" s="10" t="str">
        <f>IFERROR(__xludf.DUMMYFUNCTION("""COMPUTED_VALUE"""),"https://sociallyin.com/resources/top-creative-agencies-us/")</f>
        <v>https://sociallyin.com/resources/top-creative-agencies-us/</v>
      </c>
      <c r="B384" s="11" t="str">
        <f>IFERROR(__xludf.DUMMYFUNCTION("""COMPUTED_VALUE"""),"Top 5 Creative Agencies US Reviewed &amp;amp; Ranked for 2026")</f>
        <v>Top 5 Creative Agencies US Reviewed &amp;amp; Ranked for 2026</v>
      </c>
      <c r="C384" s="10" t="str">
        <f>IFERROR(__xludf.DUMMYFUNCTION("""COMPUTED_VALUE"""),"sociallyin.com")</f>
        <v>sociallyin.com</v>
      </c>
      <c r="D384" s="11" t="str">
        <f>IFERROR(__xludf.DUMMYFUNCTION("""COMPUTED_VALUE"""),"LISTICLE")</f>
        <v>LISTICLE</v>
      </c>
      <c r="E384" s="11" t="str">
        <f>IFERROR(__xludf.DUMMYFUNCTION("""COMPUTED_VALUE"""),"COMPETITOR")</f>
        <v>COMPETITOR</v>
      </c>
      <c r="F384" s="11" t="str">
        <f>IFERROR(__xludf.DUMMYFUNCTION("""COMPUTED_VALUE"""),"Listicle")</f>
        <v>Listicle</v>
      </c>
      <c r="G384" s="11" t="b">
        <f>IFERROR(__xludf.DUMMYFUNCTION("""COMPUTED_VALUE"""),FALSE)</f>
        <v>0</v>
      </c>
      <c r="H384" s="11" t="str">
        <f>IFERROR(__xludf.DUMMYFUNCTION("""COMPUTED_VALUE"""),"Sociallyin, McKinsey, inBeat, DEPT, Momentum")</f>
        <v>Sociallyin, McKinsey, inBeat, DEPT, Momentum</v>
      </c>
      <c r="I384" s="11">
        <f>IFERROR(__xludf.DUMMYFUNCTION("""COMPUTED_VALUE"""),5.0)</f>
        <v>5</v>
      </c>
      <c r="J384" s="11">
        <f>IFERROR(__xludf.DUMMYFUNCTION("""COMPUTED_VALUE"""),0.0)</f>
        <v>0</v>
      </c>
      <c r="K384" s="11">
        <f>IFERROR(__xludf.DUMMYFUNCTION("""COMPUTED_VALUE"""),0.0)</f>
        <v>0</v>
      </c>
      <c r="L384" s="11"/>
    </row>
    <row r="385" ht="15.75" customHeight="1">
      <c r="A385" s="10" t="str">
        <f>IFERROR(__xludf.DUMMYFUNCTION("""COMPUTED_VALUE"""),"https://www.sortlist.com/digital-marketing/united-states-us")</f>
        <v>https://www.sortlist.com/digital-marketing/united-states-us</v>
      </c>
      <c r="B385" s="11" t="str">
        <f>IFERROR(__xludf.DUMMYFUNCTION("""COMPUTED_VALUE"""),"The 10 Best Digital Marketing Agencies in USA - 2026 Reviews")</f>
        <v>The 10 Best Digital Marketing Agencies in USA - 2026 Reviews</v>
      </c>
      <c r="C385" s="10" t="str">
        <f>IFERROR(__xludf.DUMMYFUNCTION("""COMPUTED_VALUE"""),"sortlist.com")</f>
        <v>sortlist.com</v>
      </c>
      <c r="D385" s="11" t="str">
        <f>IFERROR(__xludf.DUMMYFUNCTION("""COMPUTED_VALUE"""),"CATEGORY_PAGE")</f>
        <v>CATEGORY_PAGE</v>
      </c>
      <c r="E385" s="11" t="str">
        <f>IFERROR(__xludf.DUMMYFUNCTION("""COMPUTED_VALUE"""),"CORPORATE")</f>
        <v>CORPORATE</v>
      </c>
      <c r="F385" s="11" t="str">
        <f>IFERROR(__xludf.DUMMYFUNCTION("""COMPUTED_VALUE"""),"Category Page")</f>
        <v>Category Page</v>
      </c>
      <c r="G385" s="11" t="b">
        <f>IFERROR(__xludf.DUMMYFUNCTION("""COMPUTED_VALUE"""),FALSE)</f>
        <v>0</v>
      </c>
      <c r="H385" s="11" t="str">
        <f>IFERROR(__xludf.DUMMYFUNCTION("""COMPUTED_VALUE"""),"NinjaPromo, IBM, Clutch")</f>
        <v>NinjaPromo, IBM, Clutch</v>
      </c>
      <c r="I385" s="11">
        <f>IFERROR(__xludf.DUMMYFUNCTION("""COMPUTED_VALUE"""),5.0)</f>
        <v>5</v>
      </c>
      <c r="J385" s="11">
        <f>IFERROR(__xludf.DUMMYFUNCTION("""COMPUTED_VALUE"""),0.0)</f>
        <v>0</v>
      </c>
      <c r="K385" s="11">
        <f>IFERROR(__xludf.DUMMYFUNCTION("""COMPUTED_VALUE"""),0.0)</f>
        <v>0</v>
      </c>
      <c r="L385" s="11"/>
    </row>
    <row r="386" ht="15.75" customHeight="1">
      <c r="A386" s="10" t="str">
        <f>IFERROR(__xludf.DUMMYFUNCTION("""COMPUTED_VALUE"""),"https://www.thedrum.com/news/world-creative-rankings-2023-the-top-holding-companies-and-networks-revealed")</f>
        <v>https://www.thedrum.com/news/world-creative-rankings-2023-the-top-holding-companies-and-networks-revealed</v>
      </c>
      <c r="B386" s="11" t="str">
        <f>IFERROR(__xludf.DUMMYFUNCTION("""COMPUTED_VALUE"""),"World Creative Rankings 2023: the top holding companies and networks revealed | The Drum")</f>
        <v>World Creative Rankings 2023: the top holding companies and networks revealed | The Drum</v>
      </c>
      <c r="C386" s="10" t="str">
        <f>IFERROR(__xludf.DUMMYFUNCTION("""COMPUTED_VALUE"""),"thedrum.com")</f>
        <v>thedrum.com</v>
      </c>
      <c r="D386" s="11" t="str">
        <f>IFERROR(__xludf.DUMMYFUNCTION("""COMPUTED_VALUE"""),"ARTICLE")</f>
        <v>ARTICLE</v>
      </c>
      <c r="E386" s="11" t="str">
        <f>IFERROR(__xludf.DUMMYFUNCTION("""COMPUTED_VALUE"""),"EDITORIAL")</f>
        <v>EDITORIAL</v>
      </c>
      <c r="F386" s="11" t="str">
        <f>IFERROR(__xludf.DUMMYFUNCTION("""COMPUTED_VALUE"""),"Article")</f>
        <v>Article</v>
      </c>
      <c r="G386" s="11" t="b">
        <f>IFERROR(__xludf.DUMMYFUNCTION("""COMPUTED_VALUE"""),FALSE)</f>
        <v>0</v>
      </c>
      <c r="H386" s="11" t="str">
        <f>IFERROR(__xludf.DUMMYFUNCTION("""COMPUTED_VALUE"""),"VML, WPP, Ogilvy, Publicis Groupe, Dentsu, BBDO, Droga5")</f>
        <v>VML, WPP, Ogilvy, Publicis Groupe, Dentsu, BBDO, Droga5</v>
      </c>
      <c r="I386" s="11">
        <f>IFERROR(__xludf.DUMMYFUNCTION("""COMPUTED_VALUE"""),5.0)</f>
        <v>5</v>
      </c>
      <c r="J386" s="11">
        <f>IFERROR(__xludf.DUMMYFUNCTION("""COMPUTED_VALUE"""),0.0)</f>
        <v>0</v>
      </c>
      <c r="K386" s="11">
        <f>IFERROR(__xludf.DUMMYFUNCTION("""COMPUTED_VALUE"""),1.6)</f>
        <v>1.6</v>
      </c>
      <c r="L386" s="11"/>
    </row>
    <row r="387" ht="15.75" customHeight="1">
      <c r="A387" s="10" t="str">
        <f>IFERROR(__xludf.DUMMYFUNCTION("""COMPUTED_VALUE"""),"https://thefrankagency.com/best-paid-social-media-agencies/")</f>
        <v>https://thefrankagency.com/best-paid-social-media-agencies/</v>
      </c>
      <c r="B387" s="11" t="str">
        <f>IFERROR(__xludf.DUMMYFUNCTION("""COMPUTED_VALUE"""),"Top 13 Paid Social Media Agencies in 2026")</f>
        <v>Top 13 Paid Social Media Agencies in 2026</v>
      </c>
      <c r="C387" s="10" t="str">
        <f>IFERROR(__xludf.DUMMYFUNCTION("""COMPUTED_VALUE"""),"thefrankagency.com")</f>
        <v>thefrankagency.com</v>
      </c>
      <c r="D387" s="11" t="str">
        <f>IFERROR(__xludf.DUMMYFUNCTION("""COMPUTED_VALUE"""),"LISTICLE")</f>
        <v>LISTICLE</v>
      </c>
      <c r="E387" s="11" t="str">
        <f>IFERROR(__xludf.DUMMYFUNCTION("""COMPUTED_VALUE"""),"CORPORATE")</f>
        <v>CORPORATE</v>
      </c>
      <c r="F387" s="11" t="str">
        <f>IFERROR(__xludf.DUMMYFUNCTION("""COMPUTED_VALUE"""),"Listicle")</f>
        <v>Listicle</v>
      </c>
      <c r="G387" s="11" t="b">
        <f>IFERROR(__xludf.DUMMYFUNCTION("""COMPUTED_VALUE"""),FALSE)</f>
        <v>0</v>
      </c>
      <c r="H387" s="11" t="str">
        <f>IFERROR(__xludf.DUMMYFUNCTION("""COMPUTED_VALUE"""),"Power Digital, Thrive Internet Marketing Agency, Momentum, WebFX, Sociallyin")</f>
        <v>Power Digital, Thrive Internet Marketing Agency, Momentum, WebFX, Sociallyin</v>
      </c>
      <c r="I387" s="11">
        <f>IFERROR(__xludf.DUMMYFUNCTION("""COMPUTED_VALUE"""),5.0)</f>
        <v>5</v>
      </c>
      <c r="J387" s="11">
        <f>IFERROR(__xludf.DUMMYFUNCTION("""COMPUTED_VALUE"""),0.0)</f>
        <v>0</v>
      </c>
      <c r="K387" s="11">
        <f>IFERROR(__xludf.DUMMYFUNCTION("""COMPUTED_VALUE"""),0.0)</f>
        <v>0</v>
      </c>
      <c r="L387" s="11"/>
    </row>
    <row r="388" ht="15.75" customHeight="1">
      <c r="A388" s="10" t="str">
        <f>IFERROR(__xludf.DUMMYFUNCTION("""COMPUTED_VALUE"""),"https://themanifest.com/us/creative/agencies")</f>
        <v>https://themanifest.com/us/creative/agencies</v>
      </c>
      <c r="B388" s="11" t="str">
        <f>IFERROR(__xludf.DUMMYFUNCTION("""COMPUTED_VALUE"""),"The Best Creative Companies in United States - Jul 2026 | The Manifest")</f>
        <v>The Best Creative Companies in United States - Jul 2026 | The Manifest</v>
      </c>
      <c r="C388" s="10" t="str">
        <f>IFERROR(__xludf.DUMMYFUNCTION("""COMPUTED_VALUE"""),"themanifest.com")</f>
        <v>themanifest.com</v>
      </c>
      <c r="D388" s="11" t="str">
        <f>IFERROR(__xludf.DUMMYFUNCTION("""COMPUTED_VALUE"""),"LISTICLE")</f>
        <v>LISTICLE</v>
      </c>
      <c r="E388" s="11" t="str">
        <f>IFERROR(__xludf.DUMMYFUNCTION("""COMPUTED_VALUE"""),"REFERENCE")</f>
        <v>REFERENCE</v>
      </c>
      <c r="F388" s="11" t="str">
        <f>IFERROR(__xludf.DUMMYFUNCTION("""COMPUTED_VALUE"""),"Listicle")</f>
        <v>Listicle</v>
      </c>
      <c r="G388" s="11" t="b">
        <f>IFERROR(__xludf.DUMMYFUNCTION("""COMPUTED_VALUE"""),FALSE)</f>
        <v>0</v>
      </c>
      <c r="H388" s="11" t="str">
        <f>IFERROR(__xludf.DUMMYFUNCTION("""COMPUTED_VALUE"""),"Clutch, IBM, Clay, PwC")</f>
        <v>Clutch, IBM, Clay, PwC</v>
      </c>
      <c r="I388" s="11">
        <f>IFERROR(__xludf.DUMMYFUNCTION("""COMPUTED_VALUE"""),5.0)</f>
        <v>5</v>
      </c>
      <c r="J388" s="11">
        <f>IFERROR(__xludf.DUMMYFUNCTION("""COMPUTED_VALUE"""),0.0)</f>
        <v>0</v>
      </c>
      <c r="K388" s="11">
        <f>IFERROR(__xludf.DUMMYFUNCTION("""COMPUTED_VALUE"""),0.0)</f>
        <v>0</v>
      </c>
      <c r="L388" s="11"/>
    </row>
    <row r="389" ht="15.75" customHeight="1">
      <c r="A389" s="10" t="str">
        <f>IFERROR(__xludf.DUMMYFUNCTION("""COMPUTED_VALUE"""),"https://themanifest.com/us/social-media/agencies")</f>
        <v>https://themanifest.com/us/social-media/agencies</v>
      </c>
      <c r="B389" s="11" t="str">
        <f>IFERROR(__xludf.DUMMYFUNCTION("""COMPUTED_VALUE"""),"The Best Social Media Marketing Companies in United States - Jul 2026 | The Manifest")</f>
        <v>The Best Social Media Marketing Companies in United States - Jul 2026 | The Manifest</v>
      </c>
      <c r="C389" s="10" t="str">
        <f>IFERROR(__xludf.DUMMYFUNCTION("""COMPUTED_VALUE"""),"themanifest.com")</f>
        <v>themanifest.com</v>
      </c>
      <c r="D389" s="11" t="str">
        <f>IFERROR(__xludf.DUMMYFUNCTION("""COMPUTED_VALUE"""),"LISTICLE")</f>
        <v>LISTICLE</v>
      </c>
      <c r="E389" s="11" t="str">
        <f>IFERROR(__xludf.DUMMYFUNCTION("""COMPUTED_VALUE"""),"REFERENCE")</f>
        <v>REFERENCE</v>
      </c>
      <c r="F389" s="11" t="str">
        <f>IFERROR(__xludf.DUMMYFUNCTION("""COMPUTED_VALUE"""),"Listicle")</f>
        <v>Listicle</v>
      </c>
      <c r="G389" s="11" t="b">
        <f>IFERROR(__xludf.DUMMYFUNCTION("""COMPUTED_VALUE"""),FALSE)</f>
        <v>0</v>
      </c>
      <c r="H389" s="11" t="str">
        <f>IFERROR(__xludf.DUMMYFUNCTION("""COMPUTED_VALUE"""),"Clutch, LYFE Marketing, Sociallyin, Power Digital, Viral Nation, SmartSites, AdVenture Media, NinjaPromo")</f>
        <v>Clutch, LYFE Marketing, Sociallyin, Power Digital, Viral Nation, SmartSites, AdVenture Media, NinjaPromo</v>
      </c>
      <c r="I389" s="11">
        <f>IFERROR(__xludf.DUMMYFUNCTION("""COMPUTED_VALUE"""),5.0)</f>
        <v>5</v>
      </c>
      <c r="J389" s="11">
        <f>IFERROR(__xludf.DUMMYFUNCTION("""COMPUTED_VALUE"""),0.0)</f>
        <v>0</v>
      </c>
      <c r="K389" s="11">
        <f>IFERROR(__xludf.DUMMYFUNCTION("""COMPUTED_VALUE"""),0.0)</f>
        <v>0</v>
      </c>
      <c r="L389" s="11"/>
    </row>
    <row r="390" ht="15.75" customHeight="1">
      <c r="A390" s="10" t="str">
        <f>IFERROR(__xludf.DUMMYFUNCTION("""COMPUTED_VALUE"""),"https://www.tofuhq.com/post/best-ai-agents-for-marketing")</f>
        <v>https://www.tofuhq.com/post/best-ai-agents-for-marketing</v>
      </c>
      <c r="B390" s="11" t="str">
        <f>IFERROR(__xludf.DUMMYFUNCTION("""COMPUTED_VALUE"""),"The 7 Best AI Agents for Marketing in 2026")</f>
        <v>The 7 Best AI Agents for Marketing in 2026</v>
      </c>
      <c r="C390" s="10" t="str">
        <f>IFERROR(__xludf.DUMMYFUNCTION("""COMPUTED_VALUE"""),"tofuhq.com")</f>
        <v>tofuhq.com</v>
      </c>
      <c r="D390" s="11" t="str">
        <f>IFERROR(__xludf.DUMMYFUNCTION("""COMPUTED_VALUE"""),"LISTICLE")</f>
        <v>LISTICLE</v>
      </c>
      <c r="E390" s="11" t="str">
        <f>IFERROR(__xludf.DUMMYFUNCTION("""COMPUTED_VALUE"""),"CORPORATE")</f>
        <v>CORPORATE</v>
      </c>
      <c r="F390" s="11" t="str">
        <f>IFERROR(__xludf.DUMMYFUNCTION("""COMPUTED_VALUE"""),"Listicle")</f>
        <v>Listicle</v>
      </c>
      <c r="G390" s="11" t="b">
        <f>IFERROR(__xludf.DUMMYFUNCTION("""COMPUTED_VALUE"""),FALSE)</f>
        <v>0</v>
      </c>
      <c r="H390" s="11"/>
      <c r="I390" s="11">
        <f>IFERROR(__xludf.DUMMYFUNCTION("""COMPUTED_VALUE"""),5.0)</f>
        <v>5</v>
      </c>
      <c r="J390" s="11">
        <f>IFERROR(__xludf.DUMMYFUNCTION("""COMPUTED_VALUE"""),0.0)</f>
        <v>0</v>
      </c>
      <c r="K390" s="11">
        <f>IFERROR(__xludf.DUMMYFUNCTION("""COMPUTED_VALUE"""),0.0)</f>
        <v>0</v>
      </c>
      <c r="L390" s="11"/>
    </row>
    <row r="391" ht="15.75" customHeight="1">
      <c r="A391" s="10" t="str">
        <f>IFERROR(__xludf.DUMMYFUNCTION("""COMPUTED_VALUE"""),"https://typecast.ai/learn/the-best-ai-marketing-agency/")</f>
        <v>https://typecast.ai/learn/the-best-ai-marketing-agency/</v>
      </c>
      <c r="B391" s="11" t="str">
        <f>IFERROR(__xludf.DUMMYFUNCTION("""COMPUTED_VALUE"""),"The Best AI Advertising Companies and Marketing Agencies | Typecast")</f>
        <v>The Best AI Advertising Companies and Marketing Agencies | Typecast</v>
      </c>
      <c r="C391" s="10" t="str">
        <f>IFERROR(__xludf.DUMMYFUNCTION("""COMPUTED_VALUE"""),"typecast.ai")</f>
        <v>typecast.ai</v>
      </c>
      <c r="D391" s="11" t="str">
        <f>IFERROR(__xludf.DUMMYFUNCTION("""COMPUTED_VALUE"""),"LISTICLE")</f>
        <v>LISTICLE</v>
      </c>
      <c r="E391" s="11" t="str">
        <f>IFERROR(__xludf.DUMMYFUNCTION("""COMPUTED_VALUE"""),"CORPORATE")</f>
        <v>CORPORATE</v>
      </c>
      <c r="F391" s="11" t="str">
        <f>IFERROR(__xludf.DUMMYFUNCTION("""COMPUTED_VALUE"""),"Listicle")</f>
        <v>Listicle</v>
      </c>
      <c r="G391" s="11" t="b">
        <f>IFERROR(__xludf.DUMMYFUNCTION("""COMPUTED_VALUE"""),FALSE)</f>
        <v>0</v>
      </c>
      <c r="H391" s="11" t="str">
        <f>IFERROR(__xludf.DUMMYFUNCTION("""COMPUTED_VALUE"""),"NoGood, Single Grain, Keenfolks, Ignite Visibility, WPP")</f>
        <v>NoGood, Single Grain, Keenfolks, Ignite Visibility, WPP</v>
      </c>
      <c r="I391" s="11">
        <f>IFERROR(__xludf.DUMMYFUNCTION("""COMPUTED_VALUE"""),5.0)</f>
        <v>5</v>
      </c>
      <c r="J391" s="11">
        <f>IFERROR(__xludf.DUMMYFUNCTION("""COMPUTED_VALUE"""),0.0)</f>
        <v>0</v>
      </c>
      <c r="K391" s="11">
        <f>IFERROR(__xludf.DUMMYFUNCTION("""COMPUTED_VALUE"""),0.0)</f>
        <v>0</v>
      </c>
      <c r="L391" s="11"/>
    </row>
    <row r="392" ht="15.75" customHeight="1">
      <c r="A392" s="10" t="str">
        <f>IFERROR(__xludf.DUMMYFUNCTION("""COMPUTED_VALUE"""),"https://usermaven.com/blog/marketing-analytics-companies")</f>
        <v>https://usermaven.com/blog/marketing-analytics-companies</v>
      </c>
      <c r="B392" s="11" t="str">
        <f>IFERROR(__xludf.DUMMYFUNCTION("""COMPUTED_VALUE"""),"Top 10 marketing analytics companies in 2026")</f>
        <v>Top 10 marketing analytics companies in 2026</v>
      </c>
      <c r="C392" s="10" t="str">
        <f>IFERROR(__xludf.DUMMYFUNCTION("""COMPUTED_VALUE"""),"usermaven.com")</f>
        <v>usermaven.com</v>
      </c>
      <c r="D392" s="11" t="str">
        <f>IFERROR(__xludf.DUMMYFUNCTION("""COMPUTED_VALUE"""),"LISTICLE")</f>
        <v>LISTICLE</v>
      </c>
      <c r="E392" s="11" t="str">
        <f>IFERROR(__xludf.DUMMYFUNCTION("""COMPUTED_VALUE"""),"CORPORATE")</f>
        <v>CORPORATE</v>
      </c>
      <c r="F392" s="11" t="str">
        <f>IFERROR(__xludf.DUMMYFUNCTION("""COMPUTED_VALUE"""),"Listicle")</f>
        <v>Listicle</v>
      </c>
      <c r="G392" s="11" t="b">
        <f>IFERROR(__xludf.DUMMYFUNCTION("""COMPUTED_VALUE"""),FALSE)</f>
        <v>0</v>
      </c>
      <c r="H392" s="11" t="str">
        <f>IFERROR(__xludf.DUMMYFUNCTION("""COMPUTED_VALUE"""),"Ruler Analytics, HockeyStack, Cometly, Triple Whale, Rockerbox, Northbeam")</f>
        <v>Ruler Analytics, HockeyStack, Cometly, Triple Whale, Rockerbox, Northbeam</v>
      </c>
      <c r="I392" s="11">
        <f>IFERROR(__xludf.DUMMYFUNCTION("""COMPUTED_VALUE"""),5.0)</f>
        <v>5</v>
      </c>
      <c r="J392" s="11">
        <f>IFERROR(__xludf.DUMMYFUNCTION("""COMPUTED_VALUE"""),0.0)</f>
        <v>0</v>
      </c>
      <c r="K392" s="11">
        <f>IFERROR(__xludf.DUMMYFUNCTION("""COMPUTED_VALUE"""),0.4)</f>
        <v>0.4</v>
      </c>
      <c r="L392" s="11"/>
    </row>
    <row r="393" ht="15.75" customHeight="1">
      <c r="A393" s="10" t="str">
        <f>IFERROR(__xludf.DUMMYFUNCTION("""COMPUTED_VALUE"""),"https://www.youtube.com/watch?v=uAp_SqhuvFg")</f>
        <v>https://www.youtube.com/watch?v=uAp_SqhuvFg</v>
      </c>
      <c r="B393" s="11" t="str">
        <f>IFERROR(__xludf.DUMMYFUNCTION("""COMPUTED_VALUE"""),"Top GEO Experts to Follow in 2026")</f>
        <v>Top GEO Experts to Follow in 2026</v>
      </c>
      <c r="C393" s="10" t="str">
        <f>IFERROR(__xludf.DUMMYFUNCTION("""COMPUTED_VALUE"""),"youtube.com")</f>
        <v>youtube.com</v>
      </c>
      <c r="D393" s="11" t="str">
        <f>IFERROR(__xludf.DUMMYFUNCTION("""COMPUTED_VALUE"""),"LISTICLE")</f>
        <v>LISTICLE</v>
      </c>
      <c r="E393" s="11" t="str">
        <f>IFERROR(__xludf.DUMMYFUNCTION("""COMPUTED_VALUE"""),"UGC")</f>
        <v>UGC</v>
      </c>
      <c r="F393" s="11" t="str">
        <f>IFERROR(__xludf.DUMMYFUNCTION("""COMPUTED_VALUE"""),"Listicle")</f>
        <v>Listicle</v>
      </c>
      <c r="G393" s="11" t="b">
        <f>IFERROR(__xludf.DUMMYFUNCTION("""COMPUTED_VALUE"""),FALSE)</f>
        <v>0</v>
      </c>
      <c r="H393" s="11"/>
      <c r="I393" s="11">
        <f>IFERROR(__xludf.DUMMYFUNCTION("""COMPUTED_VALUE"""),5.0)</f>
        <v>5</v>
      </c>
      <c r="J393" s="11">
        <f>IFERROR(__xludf.DUMMYFUNCTION("""COMPUTED_VALUE"""),0.0)</f>
        <v>0</v>
      </c>
      <c r="K393" s="11">
        <f>IFERROR(__xludf.DUMMYFUNCTION("""COMPUTED_VALUE"""),1.0)</f>
        <v>1</v>
      </c>
      <c r="L393" s="11"/>
    </row>
    <row r="394" ht="15.75" customHeight="1">
      <c r="A394" s="10" t="str">
        <f>IFERROR(__xludf.DUMMYFUNCTION("""COMPUTED_VALUE"""),"https://www.youtube.com/watch?v=wDQs41e1F_Y&amp;t=144")</f>
        <v>https://www.youtube.com/watch?v=wDQs41e1F_Y&amp;t=144</v>
      </c>
      <c r="B394" s="11" t="str">
        <f>IFERROR(__xludf.DUMMYFUNCTION("""COMPUTED_VALUE"""),"GEO + SEO = Your Agency's Best Option")</f>
        <v>GEO + SEO = Your Agency's Best Option</v>
      </c>
      <c r="C394" s="10" t="str">
        <f>IFERROR(__xludf.DUMMYFUNCTION("""COMPUTED_VALUE"""),"youtube.com")</f>
        <v>youtube.com</v>
      </c>
      <c r="D394" s="11" t="str">
        <f>IFERROR(__xludf.DUMMYFUNCTION("""COMPUTED_VALUE"""),"HOW_TO_GUIDE")</f>
        <v>HOW_TO_GUIDE</v>
      </c>
      <c r="E394" s="11" t="str">
        <f>IFERROR(__xludf.DUMMYFUNCTION("""COMPUTED_VALUE"""),"UGC")</f>
        <v>UGC</v>
      </c>
      <c r="F394" s="11" t="str">
        <f>IFERROR(__xludf.DUMMYFUNCTION("""COMPUTED_VALUE"""),"How-To Guide")</f>
        <v>How-To Guide</v>
      </c>
      <c r="G394" s="11" t="b">
        <f>IFERROR(__xludf.DUMMYFUNCTION("""COMPUTED_VALUE"""),FALSE)</f>
        <v>0</v>
      </c>
      <c r="H394" s="11" t="str">
        <f>IFERROR(__xludf.DUMMYFUNCTION("""COMPUTED_VALUE"""),"Huge")</f>
        <v>Huge</v>
      </c>
      <c r="I394" s="11">
        <f>IFERROR(__xludf.DUMMYFUNCTION("""COMPUTED_VALUE"""),5.0)</f>
        <v>5</v>
      </c>
      <c r="J394" s="11">
        <f>IFERROR(__xludf.DUMMYFUNCTION("""COMPUTED_VALUE"""),0.0)</f>
        <v>0</v>
      </c>
      <c r="K394" s="11">
        <f>IFERROR(__xludf.DUMMYFUNCTION("""COMPUTED_VALUE"""),1.4)</f>
        <v>1.4</v>
      </c>
      <c r="L394" s="11"/>
    </row>
    <row r="395" ht="15.75" customHeight="1">
      <c r="A395" s="10" t="str">
        <f>IFERROR(__xludf.DUMMYFUNCTION("""COMPUTED_VALUE"""),"https://www.50pros.com/hire/artificial-intelligence/ai-powered-search")</f>
        <v>https://www.50pros.com/hire/artificial-intelligence/ai-powered-search</v>
      </c>
      <c r="B395" s="11" t="str">
        <f>IFERROR(__xludf.DUMMYFUNCTION("""COMPUTED_VALUE"""),"Top AI-Powered Search Companies")</f>
        <v>Top AI-Powered Search Companies</v>
      </c>
      <c r="C395" s="10" t="str">
        <f>IFERROR(__xludf.DUMMYFUNCTION("""COMPUTED_VALUE"""),"50pros.com")</f>
        <v>50pros.com</v>
      </c>
      <c r="D395" s="11" t="str">
        <f>IFERROR(__xludf.DUMMYFUNCTION("""COMPUTED_VALUE"""),"CATEGORY_PAGE")</f>
        <v>CATEGORY_PAGE</v>
      </c>
      <c r="E395" s="11" t="str">
        <f>IFERROR(__xludf.DUMMYFUNCTION("""COMPUTED_VALUE"""),"REFERENCE")</f>
        <v>REFERENCE</v>
      </c>
      <c r="F395" s="11" t="str">
        <f>IFERROR(__xludf.DUMMYFUNCTION("""COMPUTED_VALUE"""),"Category Page")</f>
        <v>Category Page</v>
      </c>
      <c r="G395" s="11" t="b">
        <f>IFERROR(__xludf.DUMMYFUNCTION("""COMPUTED_VALUE"""),FALSE)</f>
        <v>0</v>
      </c>
      <c r="H395" s="11" t="str">
        <f>IFERROR(__xludf.DUMMYFUNCTION("""COMPUTED_VALUE"""),"Clutch")</f>
        <v>Clutch</v>
      </c>
      <c r="I395" s="11">
        <f>IFERROR(__xludf.DUMMYFUNCTION("""COMPUTED_VALUE"""),4.0)</f>
        <v>4</v>
      </c>
      <c r="J395" s="11">
        <f>IFERROR(__xludf.DUMMYFUNCTION("""COMPUTED_VALUE"""),0.0)</f>
        <v>0</v>
      </c>
      <c r="K395" s="11">
        <f>IFERROR(__xludf.DUMMYFUNCTION("""COMPUTED_VALUE"""),0.0)</f>
        <v>0</v>
      </c>
      <c r="L395" s="11"/>
    </row>
    <row r="396" ht="15.75" customHeight="1">
      <c r="A396" s="10" t="str">
        <f>IFERROR(__xludf.DUMMYFUNCTION("""COMPUTED_VALUE"""),"https://agencyvista.com/lists/top-25-performance-marketing-agencies/")</f>
        <v>https://agencyvista.com/lists/top-25-performance-marketing-agencies/</v>
      </c>
      <c r="B396" s="11" t="str">
        <f>IFERROR(__xludf.DUMMYFUNCTION("""COMPUTED_VALUE"""),"Top 25 Performance Marketing Agencies . May 2025 Reviews. | Agency Vista")</f>
        <v>Top 25 Performance Marketing Agencies . May 2025 Reviews. | Agency Vista</v>
      </c>
      <c r="C396" s="10" t="str">
        <f>IFERROR(__xludf.DUMMYFUNCTION("""COMPUTED_VALUE"""),"agencyvista.com")</f>
        <v>agencyvista.com</v>
      </c>
      <c r="D396" s="11" t="str">
        <f>IFERROR(__xludf.DUMMYFUNCTION("""COMPUTED_VALUE"""),"LISTICLE")</f>
        <v>LISTICLE</v>
      </c>
      <c r="E396" s="11" t="str">
        <f>IFERROR(__xludf.DUMMYFUNCTION("""COMPUTED_VALUE"""),"CORPORATE")</f>
        <v>CORPORATE</v>
      </c>
      <c r="F396" s="11" t="str">
        <f>IFERROR(__xludf.DUMMYFUNCTION("""COMPUTED_VALUE"""),"Listicle")</f>
        <v>Listicle</v>
      </c>
      <c r="G396" s="11" t="b">
        <f>IFERROR(__xludf.DUMMYFUNCTION("""COMPUTED_VALUE"""),FALSE)</f>
        <v>0</v>
      </c>
      <c r="H396" s="11" t="str">
        <f>IFERROR(__xludf.DUMMYFUNCTION("""COMPUTED_VALUE"""),"SmartSites")</f>
        <v>SmartSites</v>
      </c>
      <c r="I396" s="11">
        <f>IFERROR(__xludf.DUMMYFUNCTION("""COMPUTED_VALUE"""),4.0)</f>
        <v>4</v>
      </c>
      <c r="J396" s="11">
        <f>IFERROR(__xludf.DUMMYFUNCTION("""COMPUTED_VALUE"""),0.0)</f>
        <v>0</v>
      </c>
      <c r="K396" s="11">
        <f>IFERROR(__xludf.DUMMYFUNCTION("""COMPUTED_VALUE"""),0.0)</f>
        <v>0</v>
      </c>
      <c r="L396" s="11"/>
    </row>
    <row r="397" ht="15.75" customHeight="1">
      <c r="A397" s="10" t="str">
        <f>IFERROR(__xludf.DUMMYFUNCTION("""COMPUTED_VALUE"""),"https://www.ai-heroes.co/en-us/blog/best-ai-search-agencies-2026")</f>
        <v>https://www.ai-heroes.co/en-us/blog/best-ai-search-agencies-2026</v>
      </c>
      <c r="B397" s="11" t="str">
        <f>IFERROR(__xludf.DUMMYFUNCTION("""COMPUTED_VALUE"""),"Best AI Search Agencies 2026 (GEO and AEO) Compared | AI Heroes")</f>
        <v>Best AI Search Agencies 2026 (GEO and AEO) Compared | AI Heroes</v>
      </c>
      <c r="C397" s="10" t="str">
        <f>IFERROR(__xludf.DUMMYFUNCTION("""COMPUTED_VALUE"""),"ai-heroes.co")</f>
        <v>ai-heroes.co</v>
      </c>
      <c r="D397" s="11" t="str">
        <f>IFERROR(__xludf.DUMMYFUNCTION("""COMPUTED_VALUE"""),"LISTICLE")</f>
        <v>LISTICLE</v>
      </c>
      <c r="E397" s="11" t="str">
        <f>IFERROR(__xludf.DUMMYFUNCTION("""COMPUTED_VALUE"""),"CORPORATE")</f>
        <v>CORPORATE</v>
      </c>
      <c r="F397" s="11" t="str">
        <f>IFERROR(__xludf.DUMMYFUNCTION("""COMPUTED_VALUE"""),"Listicle")</f>
        <v>Listicle</v>
      </c>
      <c r="G397" s="11" t="b">
        <f>IFERROR(__xludf.DUMMYFUNCTION("""COMPUTED_VALUE"""),FALSE)</f>
        <v>0</v>
      </c>
      <c r="H397" s="11" t="str">
        <f>IFERROR(__xludf.DUMMYFUNCTION("""COMPUTED_VALUE"""),"Avenue Z, NoGood, Single Grain, Measured")</f>
        <v>Avenue Z, NoGood, Single Grain, Measured</v>
      </c>
      <c r="I397" s="11">
        <f>IFERROR(__xludf.DUMMYFUNCTION("""COMPUTED_VALUE"""),4.0)</f>
        <v>4</v>
      </c>
      <c r="J397" s="11">
        <f>IFERROR(__xludf.DUMMYFUNCTION("""COMPUTED_VALUE"""),0.0)</f>
        <v>0</v>
      </c>
      <c r="K397" s="11">
        <f>IFERROR(__xludf.DUMMYFUNCTION("""COMPUTED_VALUE"""),1.0)</f>
        <v>1</v>
      </c>
      <c r="L397" s="11"/>
    </row>
    <row r="398" ht="15.75" customHeight="1">
      <c r="A398" s="10" t="str">
        <f>IFERROR(__xludf.DUMMYFUNCTION("""COMPUTED_VALUE"""),"https://www.arcintermedia.com/knowledge-base/seo-and-organic-reach/what-are-the-top-answer-engine-optimization-aeo-agencies/")</f>
        <v>https://www.arcintermedia.com/knowledge-base/seo-and-organic-reach/what-are-the-top-answer-engine-optimization-aeo-agencies/</v>
      </c>
      <c r="B398" s="11" t="str">
        <f>IFERROR(__xludf.DUMMYFUNCTION("""COMPUTED_VALUE"""),"TOP Answer Engine Optimization (AEO) Agencies")</f>
        <v>TOP Answer Engine Optimization (AEO) Agencies</v>
      </c>
      <c r="C398" s="10" t="str">
        <f>IFERROR(__xludf.DUMMYFUNCTION("""COMPUTED_VALUE"""),"arcintermedia.com")</f>
        <v>arcintermedia.com</v>
      </c>
      <c r="D398" s="11" t="str">
        <f>IFERROR(__xludf.DUMMYFUNCTION("""COMPUTED_VALUE"""),"LISTICLE")</f>
        <v>LISTICLE</v>
      </c>
      <c r="E398" s="11" t="str">
        <f>IFERROR(__xludf.DUMMYFUNCTION("""COMPUTED_VALUE"""),"CORPORATE")</f>
        <v>CORPORATE</v>
      </c>
      <c r="F398" s="11" t="str">
        <f>IFERROR(__xludf.DUMMYFUNCTION("""COMPUTED_VALUE"""),"Listicle")</f>
        <v>Listicle</v>
      </c>
      <c r="G398" s="11" t="b">
        <f>IFERROR(__xludf.DUMMYFUNCTION("""COMPUTED_VALUE"""),FALSE)</f>
        <v>0</v>
      </c>
      <c r="H398" s="11" t="str">
        <f>IFERROR(__xludf.DUMMYFUNCTION("""COMPUTED_VALUE"""),"First Page Sage, NoGood, Intero Digital")</f>
        <v>First Page Sage, NoGood, Intero Digital</v>
      </c>
      <c r="I398" s="11">
        <f>IFERROR(__xludf.DUMMYFUNCTION("""COMPUTED_VALUE"""),4.0)</f>
        <v>4</v>
      </c>
      <c r="J398" s="11">
        <f>IFERROR(__xludf.DUMMYFUNCTION("""COMPUTED_VALUE"""),0.0)</f>
        <v>0</v>
      </c>
      <c r="K398" s="11">
        <f>IFERROR(__xludf.DUMMYFUNCTION("""COMPUTED_VALUE"""),1.0)</f>
        <v>1</v>
      </c>
      <c r="L398" s="11"/>
    </row>
    <row r="399" ht="15.75" customHeight="1">
      <c r="A399" s="10" t="str">
        <f>IFERROR(__xludf.DUMMYFUNCTION("""COMPUTED_VALUE"""),"https://www.b2bmarketing.net/top-10-us-b2b-marketing-agencies/")</f>
        <v>https://www.b2bmarketing.net/top-10-us-b2b-marketing-agencies/</v>
      </c>
      <c r="B399" s="11" t="str">
        <f>IFERROR(__xludf.DUMMYFUNCTION("""COMPUTED_VALUE"""),"Revealed: We Break Down The Top 10 B2B Marketing Agencies In The US - B2B Marketing")</f>
        <v>Revealed: We Break Down The Top 10 B2B Marketing Agencies In The US - B2B Marketing</v>
      </c>
      <c r="C399" s="10" t="str">
        <f>IFERROR(__xludf.DUMMYFUNCTION("""COMPUTED_VALUE"""),"b2bmarketing.net")</f>
        <v>b2bmarketing.net</v>
      </c>
      <c r="D399" s="11" t="str">
        <f>IFERROR(__xludf.DUMMYFUNCTION("""COMPUTED_VALUE"""),"LISTICLE")</f>
        <v>LISTICLE</v>
      </c>
      <c r="E399" s="11" t="str">
        <f>IFERROR(__xludf.DUMMYFUNCTION("""COMPUTED_VALUE"""),"INSTITUTIONAL")</f>
        <v>INSTITUTIONAL</v>
      </c>
      <c r="F399" s="11" t="str">
        <f>IFERROR(__xludf.DUMMYFUNCTION("""COMPUTED_VALUE"""),"Listicle")</f>
        <v>Listicle</v>
      </c>
      <c r="G399" s="11" t="b">
        <f>IFERROR(__xludf.DUMMYFUNCTION("""COMPUTED_VALUE"""),FALSE)</f>
        <v>0</v>
      </c>
      <c r="H399" s="11" t="str">
        <f>IFERROR(__xludf.DUMMYFUNCTION("""COMPUTED_VALUE"""),"Dentsu, Merkle")</f>
        <v>Dentsu, Merkle</v>
      </c>
      <c r="I399" s="11">
        <f>IFERROR(__xludf.DUMMYFUNCTION("""COMPUTED_VALUE"""),4.0)</f>
        <v>4</v>
      </c>
      <c r="J399" s="11">
        <f>IFERROR(__xludf.DUMMYFUNCTION("""COMPUTED_VALUE"""),0.0)</f>
        <v>0</v>
      </c>
      <c r="K399" s="11">
        <f>IFERROR(__xludf.DUMMYFUNCTION("""COMPUTED_VALUE"""),0.0)</f>
        <v>0</v>
      </c>
      <c r="L399" s="11"/>
    </row>
    <row r="400" ht="15.75" customHeight="1">
      <c r="A400" s="10" t="str">
        <f>IFERROR(__xludf.DUMMYFUNCTION("""COMPUTED_VALUE"""),"https://www.barchart.com/story/news/2450048/best-ai-search-agencies-in-2026-which-company-to-choose-for-building-brand-visibility-in-ai")</f>
        <v>https://www.barchart.com/story/news/2450048/best-ai-search-agencies-in-2026-which-company-to-choose-for-building-brand-visibility-in-ai</v>
      </c>
      <c r="B400" s="11" t="str">
        <f>IFERROR(__xludf.DUMMYFUNCTION("""COMPUTED_VALUE"""),"Best AI Search Agencies in 2026: Which Company to Choose for Building Brand Visibility in AI?")</f>
        <v>Best AI Search Agencies in 2026: Which Company to Choose for Building Brand Visibility in AI?</v>
      </c>
      <c r="C400" s="10" t="str">
        <f>IFERROR(__xludf.DUMMYFUNCTION("""COMPUTED_VALUE"""),"barchart.com")</f>
        <v>barchart.com</v>
      </c>
      <c r="D400" s="11" t="str">
        <f>IFERROR(__xludf.DUMMYFUNCTION("""COMPUTED_VALUE"""),"CATEGORY_PAGE")</f>
        <v>CATEGORY_PAGE</v>
      </c>
      <c r="E400" s="11" t="str">
        <f>IFERROR(__xludf.DUMMYFUNCTION("""COMPUTED_VALUE"""),"REFERENCE")</f>
        <v>REFERENCE</v>
      </c>
      <c r="F400" s="11" t="str">
        <f>IFERROR(__xludf.DUMMYFUNCTION("""COMPUTED_VALUE"""),"Category Page")</f>
        <v>Category Page</v>
      </c>
      <c r="G400" s="11" t="b">
        <f>IFERROR(__xludf.DUMMYFUNCTION("""COMPUTED_VALUE"""),FALSE)</f>
        <v>0</v>
      </c>
      <c r="H400" s="11" t="str">
        <f>IFERROR(__xludf.DUMMYFUNCTION("""COMPUTED_VALUE"""),"Momentum")</f>
        <v>Momentum</v>
      </c>
      <c r="I400" s="11">
        <f>IFERROR(__xludf.DUMMYFUNCTION("""COMPUTED_VALUE"""),4.0)</f>
        <v>4</v>
      </c>
      <c r="J400" s="11">
        <f>IFERROR(__xludf.DUMMYFUNCTION("""COMPUTED_VALUE"""),0.0)</f>
        <v>0</v>
      </c>
      <c r="K400" s="11">
        <f>IFERROR(__xludf.DUMMYFUNCTION("""COMPUTED_VALUE"""),0.0)</f>
        <v>0</v>
      </c>
      <c r="L400" s="11"/>
    </row>
    <row r="401" ht="15.75" customHeight="1">
      <c r="A401" s="10" t="str">
        <f>IFERROR(__xludf.DUMMYFUNCTION("""COMPUTED_VALUE"""),"https://www.bignewsnetwork.com/news/278956073/the-best-aeo-agencies-in-the-usa-for-2026")</f>
        <v>https://www.bignewsnetwork.com/news/278956073/the-best-aeo-agencies-in-the-usa-for-2026</v>
      </c>
      <c r="B401" s="11" t="str">
        <f>IFERROR(__xludf.DUMMYFUNCTION("""COMPUTED_VALUE"""),"The Best AEO Agencies in the USA for 2026")</f>
        <v>The Best AEO Agencies in the USA for 2026</v>
      </c>
      <c r="C401" s="10" t="str">
        <f>IFERROR(__xludf.DUMMYFUNCTION("""COMPUTED_VALUE"""),"bignewsnetwork.com")</f>
        <v>bignewsnetwork.com</v>
      </c>
      <c r="D401" s="11" t="str">
        <f>IFERROR(__xludf.DUMMYFUNCTION("""COMPUTED_VALUE"""),"LISTICLE")</f>
        <v>LISTICLE</v>
      </c>
      <c r="E401" s="11" t="str">
        <f>IFERROR(__xludf.DUMMYFUNCTION("""COMPUTED_VALUE"""),"EDITORIAL")</f>
        <v>EDITORIAL</v>
      </c>
      <c r="F401" s="11" t="str">
        <f>IFERROR(__xludf.DUMMYFUNCTION("""COMPUTED_VALUE"""),"Listicle")</f>
        <v>Listicle</v>
      </c>
      <c r="G401" s="11" t="b">
        <f>IFERROR(__xludf.DUMMYFUNCTION("""COMPUTED_VALUE"""),FALSE)</f>
        <v>0</v>
      </c>
      <c r="H401" s="11" t="str">
        <f>IFERROR(__xludf.DUMMYFUNCTION("""COMPUTED_VALUE"""),"Discovered Labs, WebFX, Measured, First Page Sage, Single Grain, Omniscient Digital, RevenueZen, Siege Media, NoGood, KlientBoost")</f>
        <v>Discovered Labs, WebFX, Measured, First Page Sage, Single Grain, Omniscient Digital, RevenueZen, Siege Media, NoGood, KlientBoost</v>
      </c>
      <c r="I401" s="11">
        <f>IFERROR(__xludf.DUMMYFUNCTION("""COMPUTED_VALUE"""),4.0)</f>
        <v>4</v>
      </c>
      <c r="J401" s="11">
        <f>IFERROR(__xludf.DUMMYFUNCTION("""COMPUTED_VALUE"""),0.0)</f>
        <v>0</v>
      </c>
      <c r="K401" s="11">
        <f>IFERROR(__xludf.DUMMYFUNCTION("""COMPUTED_VALUE"""),0.0)</f>
        <v>0</v>
      </c>
      <c r="L401" s="11"/>
    </row>
    <row r="402" ht="15.75" customHeight="1">
      <c r="A402" s="10" t="str">
        <f>IFERROR(__xludf.DUMMYFUNCTION("""COMPUTED_VALUE"""),"https://carvertise.com/top-advertising-agency/")</f>
        <v>https://carvertise.com/top-advertising-agency/</v>
      </c>
      <c r="B402" s="11" t="str">
        <f>IFERROR(__xludf.DUMMYFUNCTION("""COMPUTED_VALUE"""),"Top Advertising Agencies In The US: A Top 10 List")</f>
        <v>Top Advertising Agencies In The US: A Top 10 List</v>
      </c>
      <c r="C402" s="10" t="str">
        <f>IFERROR(__xludf.DUMMYFUNCTION("""COMPUTED_VALUE"""),"carvertise.com")</f>
        <v>carvertise.com</v>
      </c>
      <c r="D402" s="11" t="str">
        <f>IFERROR(__xludf.DUMMYFUNCTION("""COMPUTED_VALUE"""),"LISTICLE")</f>
        <v>LISTICLE</v>
      </c>
      <c r="E402" s="11" t="str">
        <f>IFERROR(__xludf.DUMMYFUNCTION("""COMPUTED_VALUE"""),"CORPORATE")</f>
        <v>CORPORATE</v>
      </c>
      <c r="F402" s="11" t="str">
        <f>IFERROR(__xludf.DUMMYFUNCTION("""COMPUTED_VALUE"""),"Listicle")</f>
        <v>Listicle</v>
      </c>
      <c r="G402" s="11" t="b">
        <f>IFERROR(__xludf.DUMMYFUNCTION("""COMPUTED_VALUE"""),FALSE)</f>
        <v>0</v>
      </c>
      <c r="H402" s="11" t="str">
        <f>IFERROR(__xludf.DUMMYFUNCTION("""COMPUTED_VALUE"""),"Wieden+Kennedy, Ogilvy, IBM, BBDO, Droga5, TBWA\Chiat\Day, VML")</f>
        <v>Wieden+Kennedy, Ogilvy, IBM, BBDO, Droga5, TBWA\Chiat\Day, VML</v>
      </c>
      <c r="I402" s="11">
        <f>IFERROR(__xludf.DUMMYFUNCTION("""COMPUTED_VALUE"""),4.0)</f>
        <v>4</v>
      </c>
      <c r="J402" s="11">
        <f>IFERROR(__xludf.DUMMYFUNCTION("""COMPUTED_VALUE"""),0.0)</f>
        <v>0</v>
      </c>
      <c r="K402" s="11">
        <f>IFERROR(__xludf.DUMMYFUNCTION("""COMPUTED_VALUE"""),0.5)</f>
        <v>0.5</v>
      </c>
      <c r="L402" s="11"/>
    </row>
    <row r="403" ht="15.75" customHeight="1">
      <c r="A403" s="10" t="str">
        <f>IFERROR(__xludf.DUMMYFUNCTION("""COMPUTED_VALUE"""),"https://clutch.co/us/agencies/social-media-marketing/facebook")</f>
        <v>https://clutch.co/us/agencies/social-media-marketing/facebook</v>
      </c>
      <c r="B403" s="11" t="str">
        <f>IFERROR(__xludf.DUMMYFUNCTION("""COMPUTED_VALUE"""),"Top Facebook Advertising Agencies in the United States - Jul 2026 Rankings \| Clutch.co")</f>
        <v>Top Facebook Advertising Agencies in the United States - Jul 2026 Rankings \| Clutch.co</v>
      </c>
      <c r="C403" s="10" t="str">
        <f>IFERROR(__xludf.DUMMYFUNCTION("""COMPUTED_VALUE"""),"clutch.co")</f>
        <v>clutch.co</v>
      </c>
      <c r="D403" s="11" t="str">
        <f>IFERROR(__xludf.DUMMYFUNCTION("""COMPUTED_VALUE"""),"CATEGORY_PAGE")</f>
        <v>CATEGORY_PAGE</v>
      </c>
      <c r="E403" s="11" t="str">
        <f>IFERROR(__xludf.DUMMYFUNCTION("""COMPUTED_VALUE"""),"COMPETITOR")</f>
        <v>COMPETITOR</v>
      </c>
      <c r="F403" s="11" t="str">
        <f>IFERROR(__xludf.DUMMYFUNCTION("""COMPUTED_VALUE"""),"Category Page")</f>
        <v>Category Page</v>
      </c>
      <c r="G403" s="11" t="b">
        <f>IFERROR(__xludf.DUMMYFUNCTION("""COMPUTED_VALUE"""),FALSE)</f>
        <v>0</v>
      </c>
      <c r="H403" s="11" t="str">
        <f>IFERROR(__xludf.DUMMYFUNCTION("""COMPUTED_VALUE"""),"Clutch, LYFE Marketing, SmartSites, Elit-Web, KlientBoost, AdVenture Media, Silverback Strategies, Sociallyin, Disruptive Advertising, HawkSEM, Brighter Click, Accelerated Digital Media, Acadia")</f>
        <v>Clutch, LYFE Marketing, SmartSites, Elit-Web, KlientBoost, AdVenture Media, Silverback Strategies, Sociallyin, Disruptive Advertising, HawkSEM, Brighter Click, Accelerated Digital Media, Acadia</v>
      </c>
      <c r="I403" s="11">
        <f>IFERROR(__xludf.DUMMYFUNCTION("""COMPUTED_VALUE"""),4.0)</f>
        <v>4</v>
      </c>
      <c r="J403" s="11">
        <f>IFERROR(__xludf.DUMMYFUNCTION("""COMPUTED_VALUE"""),0.0)</f>
        <v>0</v>
      </c>
      <c r="K403" s="11">
        <f>IFERROR(__xludf.DUMMYFUNCTION("""COMPUTED_VALUE"""),0.0)</f>
        <v>0</v>
      </c>
      <c r="L403" s="11"/>
    </row>
    <row r="404" ht="15.75" customHeight="1">
      <c r="A404" s="10" t="str">
        <f>IFERROR(__xludf.DUMMYFUNCTION("""COMPUTED_VALUE"""),"https://clutch.co/us/consulting/ai/strategy%3Fpage%3D3")</f>
        <v>https://clutch.co/us/consulting/ai/strategy%3Fpage%3D3</v>
      </c>
      <c r="B404" s="11" t="str">
        <f>IFERROR(__xludf.DUMMYFUNCTION("""COMPUTED_VALUE"""),"Top AI Strategy Companies in the United States - Jul 2026 Rankings | Clutch.co")</f>
        <v>Top AI Strategy Companies in the United States - Jul 2026 Rankings | Clutch.co</v>
      </c>
      <c r="C404" s="10" t="str">
        <f>IFERROR(__xludf.DUMMYFUNCTION("""COMPUTED_VALUE"""),"clutch.co")</f>
        <v>clutch.co</v>
      </c>
      <c r="D404" s="11" t="str">
        <f>IFERROR(__xludf.DUMMYFUNCTION("""COMPUTED_VALUE"""),"PROFILE")</f>
        <v>PROFILE</v>
      </c>
      <c r="E404" s="11" t="str">
        <f>IFERROR(__xludf.DUMMYFUNCTION("""COMPUTED_VALUE"""),"COMPETITOR")</f>
        <v>COMPETITOR</v>
      </c>
      <c r="F404" s="11" t="str">
        <f>IFERROR(__xludf.DUMMYFUNCTION("""COMPUTED_VALUE"""),"Profile")</f>
        <v>Profile</v>
      </c>
      <c r="G404" s="11" t="b">
        <f>IFERROR(__xludf.DUMMYFUNCTION("""COMPUTED_VALUE"""),FALSE)</f>
        <v>0</v>
      </c>
      <c r="H404" s="11" t="str">
        <f>IFERROR(__xludf.DUMMYFUNCTION("""COMPUTED_VALUE"""),"Clutch")</f>
        <v>Clutch</v>
      </c>
      <c r="I404" s="11">
        <f>IFERROR(__xludf.DUMMYFUNCTION("""COMPUTED_VALUE"""),4.0)</f>
        <v>4</v>
      </c>
      <c r="J404" s="11">
        <f>IFERROR(__xludf.DUMMYFUNCTION("""COMPUTED_VALUE"""),0.0)</f>
        <v>0</v>
      </c>
      <c r="K404" s="11">
        <f>IFERROR(__xludf.DUMMYFUNCTION("""COMPUTED_VALUE"""),0.0)</f>
        <v>0</v>
      </c>
      <c r="L404" s="11"/>
    </row>
    <row r="405" ht="15.75" customHeight="1">
      <c r="A405" s="10" t="str">
        <f>IFERROR(__xludf.DUMMYFUNCTION("""COMPUTED_VALUE"""),"https://www.cometly.com/post/marketing-attribution-consultant-services")</f>
        <v>https://www.cometly.com/post/marketing-attribution-consultant-services</v>
      </c>
      <c r="B405" s="11" t="str">
        <f>IFERROR(__xludf.DUMMYFUNCTION("""COMPUTED_VALUE"""),"Best Marketing Attribution Consultant Services 2026")</f>
        <v>Best Marketing Attribution Consultant Services 2026</v>
      </c>
      <c r="C405" s="10" t="str">
        <f>IFERROR(__xludf.DUMMYFUNCTION("""COMPUTED_VALUE"""),"cometly.com")</f>
        <v>cometly.com</v>
      </c>
      <c r="D405" s="11" t="str">
        <f>IFERROR(__xludf.DUMMYFUNCTION("""COMPUTED_VALUE"""),"LISTICLE")</f>
        <v>LISTICLE</v>
      </c>
      <c r="E405" s="11" t="str">
        <f>IFERROR(__xludf.DUMMYFUNCTION("""COMPUTED_VALUE"""),"COMPETITOR")</f>
        <v>COMPETITOR</v>
      </c>
      <c r="F405" s="11" t="str">
        <f>IFERROR(__xludf.DUMMYFUNCTION("""COMPUTED_VALUE"""),"Listicle")</f>
        <v>Listicle</v>
      </c>
      <c r="G405" s="11" t="b">
        <f>IFERROR(__xludf.DUMMYFUNCTION("""COMPUTED_VALUE"""),FALSE)</f>
        <v>0</v>
      </c>
      <c r="H405" s="11" t="str">
        <f>IFERROR(__xludf.DUMMYFUNCTION("""COMPUTED_VALUE"""),"Cometly, Measured, Rockerbox, Northbeam, Triple Whale, Ruler Analytics")</f>
        <v>Cometly, Measured, Rockerbox, Northbeam, Triple Whale, Ruler Analytics</v>
      </c>
      <c r="I405" s="11">
        <f>IFERROR(__xludf.DUMMYFUNCTION("""COMPUTED_VALUE"""),4.0)</f>
        <v>4</v>
      </c>
      <c r="J405" s="11">
        <f>IFERROR(__xludf.DUMMYFUNCTION("""COMPUTED_VALUE"""),0.0)</f>
        <v>0</v>
      </c>
      <c r="K405" s="11">
        <f>IFERROR(__xludf.DUMMYFUNCTION("""COMPUTED_VALUE"""),0.25)</f>
        <v>0.25</v>
      </c>
      <c r="L405" s="11"/>
    </row>
    <row r="406" ht="15.75" customHeight="1">
      <c r="A406" s="10" t="str">
        <f>IFERROR(__xludf.DUMMYFUNCTION("""COMPUTED_VALUE"""),"https://www.commercepundit.com/blog/best-ai-seo-agencies/")</f>
        <v>https://www.commercepundit.com/blog/best-ai-seo-agencies/</v>
      </c>
      <c r="B406" s="11" t="str">
        <f>IFERROR(__xludf.DUMMYFUNCTION("""COMPUTED_VALUE"""),"10 Best AI SEO Agencies in 2026 | Commerce Pundit")</f>
        <v>10 Best AI SEO Agencies in 2026 | Commerce Pundit</v>
      </c>
      <c r="C406" s="10" t="str">
        <f>IFERROR(__xludf.DUMMYFUNCTION("""COMPUTED_VALUE"""),"commercepundit.com")</f>
        <v>commercepundit.com</v>
      </c>
      <c r="D406" s="11" t="str">
        <f>IFERROR(__xludf.DUMMYFUNCTION("""COMPUTED_VALUE"""),"LISTICLE")</f>
        <v>LISTICLE</v>
      </c>
      <c r="E406" s="11" t="str">
        <f>IFERROR(__xludf.DUMMYFUNCTION("""COMPUTED_VALUE"""),"EDITORIAL")</f>
        <v>EDITORIAL</v>
      </c>
      <c r="F406" s="11" t="str">
        <f>IFERROR(__xludf.DUMMYFUNCTION("""COMPUTED_VALUE"""),"Listicle")</f>
        <v>Listicle</v>
      </c>
      <c r="G406" s="11" t="b">
        <f>IFERROR(__xludf.DUMMYFUNCTION("""COMPUTED_VALUE"""),FALSE)</f>
        <v>0</v>
      </c>
      <c r="H406" s="11" t="str">
        <f>IFERROR(__xludf.DUMMYFUNCTION("""COMPUTED_VALUE"""),"Measured, Thrive Internet Marketing Agency, First Page Sage, Directive, Siege Media, Victorious, WebFX, Intero Digital")</f>
        <v>Measured, Thrive Internet Marketing Agency, First Page Sage, Directive, Siege Media, Victorious, WebFX, Intero Digital</v>
      </c>
      <c r="I406" s="11">
        <f>IFERROR(__xludf.DUMMYFUNCTION("""COMPUTED_VALUE"""),4.0)</f>
        <v>4</v>
      </c>
      <c r="J406" s="11">
        <f>IFERROR(__xludf.DUMMYFUNCTION("""COMPUTED_VALUE"""),0.0)</f>
        <v>0</v>
      </c>
      <c r="K406" s="11">
        <f>IFERROR(__xludf.DUMMYFUNCTION("""COMPUTED_VALUE"""),1.5)</f>
        <v>1.5</v>
      </c>
      <c r="L406" s="11"/>
    </row>
    <row r="407" ht="15.75" customHeight="1">
      <c r="A407" s="10" t="str">
        <f>IFERROR(__xludf.DUMMYFUNCTION("""COMPUTED_VALUE"""),"https://delogostudio.com/blog/top-10-social-media-marketing-agencies-usa-2026/")</f>
        <v>https://delogostudio.com/blog/top-10-social-media-marketing-agencies-usa-2026/</v>
      </c>
      <c r="B407" s="11" t="str">
        <f>IFERROR(__xludf.DUMMYFUNCTION("""COMPUTED_VALUE"""),"Top 10 Social Media Marketing Agencies USA 2026")</f>
        <v>Top 10 Social Media Marketing Agencies USA 2026</v>
      </c>
      <c r="C407" s="10" t="str">
        <f>IFERROR(__xludf.DUMMYFUNCTION("""COMPUTED_VALUE"""),"delogostudio.com")</f>
        <v>delogostudio.com</v>
      </c>
      <c r="D407" s="11" t="str">
        <f>IFERROR(__xludf.DUMMYFUNCTION("""COMPUTED_VALUE"""),"LISTICLE")</f>
        <v>LISTICLE</v>
      </c>
      <c r="E407" s="11" t="str">
        <f>IFERROR(__xludf.DUMMYFUNCTION("""COMPUTED_VALUE"""),"CORPORATE")</f>
        <v>CORPORATE</v>
      </c>
      <c r="F407" s="11" t="str">
        <f>IFERROR(__xludf.DUMMYFUNCTION("""COMPUTED_VALUE"""),"Listicle")</f>
        <v>Listicle</v>
      </c>
      <c r="G407" s="11" t="b">
        <f>IFERROR(__xludf.DUMMYFUNCTION("""COMPUTED_VALUE"""),FALSE)</f>
        <v>0</v>
      </c>
      <c r="H407" s="11" t="str">
        <f>IFERROR(__xludf.DUMMYFUNCTION("""COMPUTED_VALUE"""),"Disruptive Advertising, Ignite Visibility, SmartSites, Thrive Internet Marketing Agency, WebFX, Power Digital, Measured")</f>
        <v>Disruptive Advertising, Ignite Visibility, SmartSites, Thrive Internet Marketing Agency, WebFX, Power Digital, Measured</v>
      </c>
      <c r="I407" s="11">
        <f>IFERROR(__xludf.DUMMYFUNCTION("""COMPUTED_VALUE"""),4.0)</f>
        <v>4</v>
      </c>
      <c r="J407" s="11">
        <f>IFERROR(__xludf.DUMMYFUNCTION("""COMPUTED_VALUE"""),0.0)</f>
        <v>0</v>
      </c>
      <c r="K407" s="11">
        <f>IFERROR(__xludf.DUMMYFUNCTION("""COMPUTED_VALUE"""),0.0)</f>
        <v>0</v>
      </c>
      <c r="L407" s="11"/>
    </row>
    <row r="408" ht="15.75" customHeight="1">
      <c r="A408" s="10" t="str">
        <f>IFERROR(__xludf.DUMMYFUNCTION("""COMPUTED_VALUE"""),"https://www.designrush.com/agency/paid-media-pay-per-click/google-adwords")</f>
        <v>https://www.designrush.com/agency/paid-media-pay-per-click/google-adwords</v>
      </c>
      <c r="B408" s="11" t="str">
        <f>IFERROR(__xludf.DUMMYFUNCTION("""COMPUTED_VALUE"""),"Top Google Ads Agencies in 2026")</f>
        <v>Top Google Ads Agencies in 2026</v>
      </c>
      <c r="C408" s="10" t="str">
        <f>IFERROR(__xludf.DUMMYFUNCTION("""COMPUTED_VALUE"""),"designrush.com")</f>
        <v>designrush.com</v>
      </c>
      <c r="D408" s="11" t="str">
        <f>IFERROR(__xludf.DUMMYFUNCTION("""COMPUTED_VALUE"""),"LISTICLE")</f>
        <v>LISTICLE</v>
      </c>
      <c r="E408" s="11" t="str">
        <f>IFERROR(__xludf.DUMMYFUNCTION("""COMPUTED_VALUE"""),"CORPORATE")</f>
        <v>CORPORATE</v>
      </c>
      <c r="F408" s="11" t="str">
        <f>IFERROR(__xludf.DUMMYFUNCTION("""COMPUTED_VALUE"""),"Listicle")</f>
        <v>Listicle</v>
      </c>
      <c r="G408" s="11" t="b">
        <f>IFERROR(__xludf.DUMMYFUNCTION("""COMPUTED_VALUE"""),FALSE)</f>
        <v>0</v>
      </c>
      <c r="H408" s="11" t="str">
        <f>IFERROR(__xludf.DUMMYFUNCTION("""COMPUTED_VALUE"""),"SmartSites, Searchbloom, Disruptive Advertising, Silverback Strategies, Funnel Boost Media, Huge, Intero Digital, KlientBoost, Elit-Web, Major Tom, IBM, Momentum")</f>
        <v>SmartSites, Searchbloom, Disruptive Advertising, Silverback Strategies, Funnel Boost Media, Huge, Intero Digital, KlientBoost, Elit-Web, Major Tom, IBM, Momentum</v>
      </c>
      <c r="I408" s="11">
        <f>IFERROR(__xludf.DUMMYFUNCTION("""COMPUTED_VALUE"""),4.0)</f>
        <v>4</v>
      </c>
      <c r="J408" s="11">
        <f>IFERROR(__xludf.DUMMYFUNCTION("""COMPUTED_VALUE"""),0.0)</f>
        <v>0</v>
      </c>
      <c r="K408" s="11">
        <f>IFERROR(__xludf.DUMMYFUNCTION("""COMPUTED_VALUE"""),0.75)</f>
        <v>0.75</v>
      </c>
      <c r="L408" s="11"/>
    </row>
    <row r="409" ht="15.75" customHeight="1">
      <c r="A409" s="10" t="str">
        <f>IFERROR(__xludf.DUMMYFUNCTION("""COMPUTED_VALUE"""),"https://digitalagencynetwork.com/agencies/usa/online-advertising/")</f>
        <v>https://digitalagencynetwork.com/agencies/usa/online-advertising/</v>
      </c>
      <c r="B409" s="11" t="str">
        <f>IFERROR(__xludf.DUMMYFUNCTION("""COMPUTED_VALUE"""),"Best Online Advertising Agencies in USA")</f>
        <v>Best Online Advertising Agencies in USA</v>
      </c>
      <c r="C409" s="10" t="str">
        <f>IFERROR(__xludf.DUMMYFUNCTION("""COMPUTED_VALUE"""),"digitalagencynetwork.com")</f>
        <v>digitalagencynetwork.com</v>
      </c>
      <c r="D409" s="11" t="str">
        <f>IFERROR(__xludf.DUMMYFUNCTION("""COMPUTED_VALUE"""),"CATEGORY_PAGE")</f>
        <v>CATEGORY_PAGE</v>
      </c>
      <c r="E409" s="11" t="str">
        <f>IFERROR(__xludf.DUMMYFUNCTION("""COMPUTED_VALUE"""),"REFERENCE")</f>
        <v>REFERENCE</v>
      </c>
      <c r="F409" s="11" t="str">
        <f>IFERROR(__xludf.DUMMYFUNCTION("""COMPUTED_VALUE"""),"Category Page")</f>
        <v>Category Page</v>
      </c>
      <c r="G409" s="11" t="b">
        <f>IFERROR(__xludf.DUMMYFUNCTION("""COMPUTED_VALUE"""),FALSE)</f>
        <v>0</v>
      </c>
      <c r="H409" s="11" t="str">
        <f>IFERROR(__xludf.DUMMYFUNCTION("""COMPUTED_VALUE"""),"Major Tom, Ignite Visibility, Brighter Click, Amsive, Measured, NoGood, SmartSites, PwC, Forthea, Intero Digital")</f>
        <v>Major Tom, Ignite Visibility, Brighter Click, Amsive, Measured, NoGood, SmartSites, PwC, Forthea, Intero Digital</v>
      </c>
      <c r="I409" s="11">
        <f>IFERROR(__xludf.DUMMYFUNCTION("""COMPUTED_VALUE"""),4.0)</f>
        <v>4</v>
      </c>
      <c r="J409" s="11">
        <f>IFERROR(__xludf.DUMMYFUNCTION("""COMPUTED_VALUE"""),0.0)</f>
        <v>0</v>
      </c>
      <c r="K409" s="11">
        <f>IFERROR(__xludf.DUMMYFUNCTION("""COMPUTED_VALUE"""),1.0)</f>
        <v>1</v>
      </c>
      <c r="L409" s="11"/>
    </row>
    <row r="410" ht="15.75" customHeight="1">
      <c r="A410" s="10" t="str">
        <f>IFERROR(__xludf.DUMMYFUNCTION("""COMPUTED_VALUE"""),"https://www.digitalreference.co/design-professionals/best-creative-agencies-in-the-usa")</f>
        <v>https://www.digitalreference.co/design-professionals/best-creative-agencies-in-the-usa</v>
      </c>
      <c r="B410" s="11" t="str">
        <f>IFERROR(__xludf.DUMMYFUNCTION("""COMPUTED_VALUE"""),"Best Creative Agencies in the USA")</f>
        <v>Best Creative Agencies in the USA</v>
      </c>
      <c r="C410" s="10" t="str">
        <f>IFERROR(__xludf.DUMMYFUNCTION("""COMPUTED_VALUE"""),"digitalreference.co")</f>
        <v>digitalreference.co</v>
      </c>
      <c r="D410" s="11" t="str">
        <f>IFERROR(__xludf.DUMMYFUNCTION("""COMPUTED_VALUE"""),"LISTICLE")</f>
        <v>LISTICLE</v>
      </c>
      <c r="E410" s="11" t="str">
        <f>IFERROR(__xludf.DUMMYFUNCTION("""COMPUTED_VALUE"""),"UGC")</f>
        <v>UGC</v>
      </c>
      <c r="F410" s="11" t="str">
        <f>IFERROR(__xludf.DUMMYFUNCTION("""COMPUTED_VALUE"""),"Listicle")</f>
        <v>Listicle</v>
      </c>
      <c r="G410" s="11" t="b">
        <f>IFERROR(__xludf.DUMMYFUNCTION("""COMPUTED_VALUE"""),FALSE)</f>
        <v>0</v>
      </c>
      <c r="H410" s="11"/>
      <c r="I410" s="11">
        <f>IFERROR(__xludf.DUMMYFUNCTION("""COMPUTED_VALUE"""),4.0)</f>
        <v>4</v>
      </c>
      <c r="J410" s="11">
        <f>IFERROR(__xludf.DUMMYFUNCTION("""COMPUTED_VALUE"""),0.0)</f>
        <v>0</v>
      </c>
      <c r="K410" s="11">
        <f>IFERROR(__xludf.DUMMYFUNCTION("""COMPUTED_VALUE"""),0.0)</f>
        <v>0</v>
      </c>
      <c r="L410" s="11"/>
    </row>
    <row r="411" ht="15.75" customHeight="1">
      <c r="A411" s="10" t="str">
        <f>IFERROR(__xludf.DUMMYFUNCTION("""COMPUTED_VALUE"""),"https://www.digitalreference.co/insights/marketing-professionals/best-digital-marketing-agencies-companies-in-the-usa")</f>
        <v>https://www.digitalreference.co/insights/marketing-professionals/best-digital-marketing-agencies-companies-in-the-usa</v>
      </c>
      <c r="B411" s="11" t="str">
        <f>IFERROR(__xludf.DUMMYFUNCTION("""COMPUTED_VALUE"""),"Best Digital Marketing Agencies &amp;amp; Digital Marketing Firms in the USA")</f>
        <v>Best Digital Marketing Agencies &amp;amp; Digital Marketing Firms in the USA</v>
      </c>
      <c r="C411" s="10" t="str">
        <f>IFERROR(__xludf.DUMMYFUNCTION("""COMPUTED_VALUE"""),"digitalreference.co")</f>
        <v>digitalreference.co</v>
      </c>
      <c r="D411" s="11" t="str">
        <f>IFERROR(__xludf.DUMMYFUNCTION("""COMPUTED_VALUE"""),"LISTICLE")</f>
        <v>LISTICLE</v>
      </c>
      <c r="E411" s="11" t="str">
        <f>IFERROR(__xludf.DUMMYFUNCTION("""COMPUTED_VALUE"""),"UGC")</f>
        <v>UGC</v>
      </c>
      <c r="F411" s="11" t="str">
        <f>IFERROR(__xludf.DUMMYFUNCTION("""COMPUTED_VALUE"""),"Listicle")</f>
        <v>Listicle</v>
      </c>
      <c r="G411" s="11" t="b">
        <f>IFERROR(__xludf.DUMMYFUNCTION("""COMPUTED_VALUE"""),FALSE)</f>
        <v>0</v>
      </c>
      <c r="H411" s="11"/>
      <c r="I411" s="11">
        <f>IFERROR(__xludf.DUMMYFUNCTION("""COMPUTED_VALUE"""),4.0)</f>
        <v>4</v>
      </c>
      <c r="J411" s="11">
        <f>IFERROR(__xludf.DUMMYFUNCTION("""COMPUTED_VALUE"""),0.0)</f>
        <v>0</v>
      </c>
      <c r="K411" s="11">
        <f>IFERROR(__xludf.DUMMYFUNCTION("""COMPUTED_VALUE"""),0.0)</f>
        <v>0</v>
      </c>
      <c r="L411" s="11"/>
    </row>
    <row r="412" ht="15.75" customHeight="1">
      <c r="A412" s="10" t="str">
        <f>IFERROR(__xludf.DUMMYFUNCTION("""COMPUTED_VALUE"""),"https://directiveconsulting.com/blog/20-best-paid-social-agencies-turning-scrolls-into-sales/#:~:text=Merkle%20B2B%20Merkle%20B2B%20specializes%20in%20enterprise%2Dgrade,complex%20buying%20committees%20across%20LinkedIn%20and%20Meta.")</f>
        <v>https://directiveconsulting.com/blog/20-best-paid-social-agencies-turning-scrolls-into-sales/#:~:text=Merkle%20B2B%20Merkle%20B2B%20specializes%20in%20enterprise%2Dgrade,complex%20buying%20committees%20across%20LinkedIn%20and%20Meta.</v>
      </c>
      <c r="B412" s="11" t="str">
        <f>IFERROR(__xludf.DUMMYFUNCTION("""COMPUTED_VALUE"""),"20 Best Paid Social Agencies For B2B - Directive")</f>
        <v>20 Best Paid Social Agencies For B2B - Directive</v>
      </c>
      <c r="C412" s="10" t="str">
        <f>IFERROR(__xludf.DUMMYFUNCTION("""COMPUTED_VALUE"""),"directiveconsulting.com")</f>
        <v>directiveconsulting.com</v>
      </c>
      <c r="D412" s="11" t="str">
        <f>IFERROR(__xludf.DUMMYFUNCTION("""COMPUTED_VALUE"""),"PRODUCT_PAGE")</f>
        <v>PRODUCT_PAGE</v>
      </c>
      <c r="E412" s="11" t="str">
        <f>IFERROR(__xludf.DUMMYFUNCTION("""COMPUTED_VALUE"""),"COMPETITOR")</f>
        <v>COMPETITOR</v>
      </c>
      <c r="F412" s="11" t="str">
        <f>IFERROR(__xludf.DUMMYFUNCTION("""COMPUTED_VALUE"""),"Product Page")</f>
        <v>Product Page</v>
      </c>
      <c r="G412" s="11" t="b">
        <f>IFERROR(__xludf.DUMMYFUNCTION("""COMPUTED_VALUE"""),FALSE)</f>
        <v>0</v>
      </c>
      <c r="H412" s="11" t="str">
        <f>IFERROR(__xludf.DUMMYFUNCTION("""COMPUTED_VALUE"""),"Directive, Wpromote, Ignite Visibility, Seer Interactive, Merkle, Disruptive Advertising, PMG, Hawke Media, Sociallyin, Jellyfish, KlientBoost, Viral Nation, Brainlabs, LYFE Marketing, Dentsu, TransUnion, IBM, Momentum, Clutch")</f>
        <v>Directive, Wpromote, Ignite Visibility, Seer Interactive, Merkle, Disruptive Advertising, PMG, Hawke Media, Sociallyin, Jellyfish, KlientBoost, Viral Nation, Brainlabs, LYFE Marketing, Dentsu, TransUnion, IBM, Momentum, Clutch</v>
      </c>
      <c r="I412" s="11">
        <f>IFERROR(__xludf.DUMMYFUNCTION("""COMPUTED_VALUE"""),4.0)</f>
        <v>4</v>
      </c>
      <c r="J412" s="11">
        <f>IFERROR(__xludf.DUMMYFUNCTION("""COMPUTED_VALUE"""),0.0)</f>
        <v>0</v>
      </c>
      <c r="K412" s="11">
        <f>IFERROR(__xludf.DUMMYFUNCTION("""COMPUTED_VALUE"""),1.25)</f>
        <v>1.25</v>
      </c>
      <c r="L412" s="11"/>
    </row>
    <row r="413" ht="15.75" customHeight="1">
      <c r="A413" s="10" t="str">
        <f>IFERROR(__xludf.DUMMYFUNCTION("""COMPUTED_VALUE"""),"https://directiveconsulting.com/blog/25-best-advertising-agencies-built-for-media-momentum/")</f>
        <v>https://directiveconsulting.com/blog/25-best-advertising-agencies-built-for-media-momentum/</v>
      </c>
      <c r="B413" s="11" t="str">
        <f>IFERROR(__xludf.DUMMYFUNCTION("""COMPUTED_VALUE"""),"25 Best Advertising Agencies For B2B - Directive")</f>
        <v>25 Best Advertising Agencies For B2B - Directive</v>
      </c>
      <c r="C413" s="10" t="str">
        <f>IFERROR(__xludf.DUMMYFUNCTION("""COMPUTED_VALUE"""),"directiveconsulting.com")</f>
        <v>directiveconsulting.com</v>
      </c>
      <c r="D413" s="11" t="str">
        <f>IFERROR(__xludf.DUMMYFUNCTION("""COMPUTED_VALUE"""),"LISTICLE")</f>
        <v>LISTICLE</v>
      </c>
      <c r="E413" s="11" t="str">
        <f>IFERROR(__xludf.DUMMYFUNCTION("""COMPUTED_VALUE"""),"COMPETITOR")</f>
        <v>COMPETITOR</v>
      </c>
      <c r="F413" s="11" t="str">
        <f>IFERROR(__xludf.DUMMYFUNCTION("""COMPUTED_VALUE"""),"Listicle")</f>
        <v>Listicle</v>
      </c>
      <c r="G413" s="11" t="b">
        <f>IFERROR(__xludf.DUMMYFUNCTION("""COMPUTED_VALUE"""),FALSE)</f>
        <v>0</v>
      </c>
      <c r="H413" s="11" t="str">
        <f>IFERROR(__xludf.DUMMYFUNCTION("""COMPUTED_VALUE"""),"Directive, Momentum, Refine Labs, Tinuiti, PMG, Seer Interactive, Jellyfish, Wpromote, Accelerated Digital Media, KlientBoost, Merkle, iProspect, Croud, R/GA, Monks, AKQA, Measured, IBM, Clutch")</f>
        <v>Directive, Momentum, Refine Labs, Tinuiti, PMG, Seer Interactive, Jellyfish, Wpromote, Accelerated Digital Media, KlientBoost, Merkle, iProspect, Croud, R/GA, Monks, AKQA, Measured, IBM, Clutch</v>
      </c>
      <c r="I413" s="11">
        <f>IFERROR(__xludf.DUMMYFUNCTION("""COMPUTED_VALUE"""),4.0)</f>
        <v>4</v>
      </c>
      <c r="J413" s="11">
        <f>IFERROR(__xludf.DUMMYFUNCTION("""COMPUTED_VALUE"""),0.0)</f>
        <v>0</v>
      </c>
      <c r="K413" s="11">
        <f>IFERROR(__xludf.DUMMYFUNCTION("""COMPUTED_VALUE"""),0.5)</f>
        <v>0.5</v>
      </c>
      <c r="L413" s="11"/>
    </row>
    <row r="414" ht="15.75" customHeight="1">
      <c r="A414" s="10" t="str">
        <f>IFERROR(__xludf.DUMMYFUNCTION("""COMPUTED_VALUE"""),"https://www.goodfirms.co/artificial-intelligence/ai-consulting")</f>
        <v>https://www.goodfirms.co/artificial-intelligence/ai-consulting</v>
      </c>
      <c r="B414" s="11" t="str">
        <f>IFERROR(__xludf.DUMMYFUNCTION("""COMPUTED_VALUE"""),"Top 10+ AI Consulting Companies - 2026 Reviews | Goodfirms")</f>
        <v>Top 10+ AI Consulting Companies - 2026 Reviews | Goodfirms</v>
      </c>
      <c r="C414" s="10" t="str">
        <f>IFERROR(__xludf.DUMMYFUNCTION("""COMPUTED_VALUE"""),"goodfirms.co")</f>
        <v>goodfirms.co</v>
      </c>
      <c r="D414" s="11" t="str">
        <f>IFERROR(__xludf.DUMMYFUNCTION("""COMPUTED_VALUE"""),"PROFILE")</f>
        <v>PROFILE</v>
      </c>
      <c r="E414" s="11" t="str">
        <f>IFERROR(__xludf.DUMMYFUNCTION("""COMPUTED_VALUE"""),"UGC")</f>
        <v>UGC</v>
      </c>
      <c r="F414" s="11" t="str">
        <f>IFERROR(__xludf.DUMMYFUNCTION("""COMPUTED_VALUE"""),"Profile")</f>
        <v>Profile</v>
      </c>
      <c r="G414" s="11" t="b">
        <f>IFERROR(__xludf.DUMMYFUNCTION("""COMPUTED_VALUE"""),FALSE)</f>
        <v>0</v>
      </c>
      <c r="H414" s="11" t="str">
        <f>IFERROR(__xludf.DUMMYFUNCTION("""COMPUTED_VALUE"""),"Clutch")</f>
        <v>Clutch</v>
      </c>
      <c r="I414" s="11">
        <f>IFERROR(__xludf.DUMMYFUNCTION("""COMPUTED_VALUE"""),4.0)</f>
        <v>4</v>
      </c>
      <c r="J414" s="11">
        <f>IFERROR(__xludf.DUMMYFUNCTION("""COMPUTED_VALUE"""),0.0)</f>
        <v>0</v>
      </c>
      <c r="K414" s="11">
        <f>IFERROR(__xludf.DUMMYFUNCTION("""COMPUTED_VALUE"""),0.0)</f>
        <v>0</v>
      </c>
      <c r="L414" s="11"/>
    </row>
    <row r="415" ht="15.75" customHeight="1">
      <c r="A415" s="10" t="str">
        <f>IFERROR(__xludf.DUMMYFUNCTION("""COMPUTED_VALUE"""),"https://www.growth-hackers.net/best-paid-social-media-agencies/")</f>
        <v>https://www.growth-hackers.net/best-paid-social-media-agencies/</v>
      </c>
      <c r="B415" s="11" t="str">
        <f>IFERROR(__xludf.DUMMYFUNCTION("""COMPUTED_VALUE"""),"Top 18 Paid Social Media Agencies in 2026 | Select the Best Paid Social Media Advertising Agency | Growth Hackers")</f>
        <v>Top 18 Paid Social Media Agencies in 2026 | Select the Best Paid Social Media Advertising Agency | Growth Hackers</v>
      </c>
      <c r="C415" s="10" t="str">
        <f>IFERROR(__xludf.DUMMYFUNCTION("""COMPUTED_VALUE"""),"growth-hackers.net")</f>
        <v>growth-hackers.net</v>
      </c>
      <c r="D415" s="11" t="str">
        <f>IFERROR(__xludf.DUMMYFUNCTION("""COMPUTED_VALUE"""),"LISTICLE")</f>
        <v>LISTICLE</v>
      </c>
      <c r="E415" s="11" t="str">
        <f>IFERROR(__xludf.DUMMYFUNCTION("""COMPUTED_VALUE"""),"CORPORATE")</f>
        <v>CORPORATE</v>
      </c>
      <c r="F415" s="11" t="str">
        <f>IFERROR(__xludf.DUMMYFUNCTION("""COMPUTED_VALUE"""),"Listicle")</f>
        <v>Listicle</v>
      </c>
      <c r="G415" s="11" t="b">
        <f>IFERROR(__xludf.DUMMYFUNCTION("""COMPUTED_VALUE"""),FALSE)</f>
        <v>0</v>
      </c>
      <c r="H415" s="11" t="str">
        <f>IFERROR(__xludf.DUMMYFUNCTION("""COMPUTED_VALUE"""),"Jellyfish, Marcel Digital, Tinuiti, iProspect")</f>
        <v>Jellyfish, Marcel Digital, Tinuiti, iProspect</v>
      </c>
      <c r="I415" s="11">
        <f>IFERROR(__xludf.DUMMYFUNCTION("""COMPUTED_VALUE"""),4.0)</f>
        <v>4</v>
      </c>
      <c r="J415" s="11">
        <f>IFERROR(__xludf.DUMMYFUNCTION("""COMPUTED_VALUE"""),0.0)</f>
        <v>0</v>
      </c>
      <c r="K415" s="11">
        <f>IFERROR(__xludf.DUMMYFUNCTION("""COMPUTED_VALUE"""),0.5)</f>
        <v>0.5</v>
      </c>
      <c r="L415" s="11"/>
    </row>
    <row r="416" ht="15.75" customHeight="1">
      <c r="A416" s="10" t="str">
        <f>IFERROR(__xludf.DUMMYFUNCTION("""COMPUTED_VALUE"""),"https://www.growthmarketingpro.com/best-geo-marketing-agencies/")</f>
        <v>https://www.growthmarketingpro.com/best-geo-marketing-agencies/</v>
      </c>
      <c r="B416" s="11" t="str">
        <f>IFERROR(__xludf.DUMMYFUNCTION("""COMPUTED_VALUE"""),"13 Best GEO marketing agencies | GMP")</f>
        <v>13 Best GEO marketing agencies | GMP</v>
      </c>
      <c r="C416" s="10" t="str">
        <f>IFERROR(__xludf.DUMMYFUNCTION("""COMPUTED_VALUE"""),"growthmarketingpro.com")</f>
        <v>growthmarketingpro.com</v>
      </c>
      <c r="D416" s="11" t="str">
        <f>IFERROR(__xludf.DUMMYFUNCTION("""COMPUTED_VALUE"""),"LISTICLE")</f>
        <v>LISTICLE</v>
      </c>
      <c r="E416" s="11" t="str">
        <f>IFERROR(__xludf.DUMMYFUNCTION("""COMPUTED_VALUE"""),"EDITORIAL")</f>
        <v>EDITORIAL</v>
      </c>
      <c r="F416" s="11" t="str">
        <f>IFERROR(__xludf.DUMMYFUNCTION("""COMPUTED_VALUE"""),"Listicle")</f>
        <v>Listicle</v>
      </c>
      <c r="G416" s="11" t="b">
        <f>IFERROR(__xludf.DUMMYFUNCTION("""COMPUTED_VALUE"""),FALSE)</f>
        <v>0</v>
      </c>
      <c r="H416" s="11" t="str">
        <f>IFERROR(__xludf.DUMMYFUNCTION("""COMPUTED_VALUE"""),"First Page Sage, Intero Digital, Victorious, Avenue Z, Siege Media, iPullRank, NoGood")</f>
        <v>First Page Sage, Intero Digital, Victorious, Avenue Z, Siege Media, iPullRank, NoGood</v>
      </c>
      <c r="I416" s="11">
        <f>IFERROR(__xludf.DUMMYFUNCTION("""COMPUTED_VALUE"""),4.0)</f>
        <v>4</v>
      </c>
      <c r="J416" s="11">
        <f>IFERROR(__xludf.DUMMYFUNCTION("""COMPUTED_VALUE"""),0.0)</f>
        <v>0</v>
      </c>
      <c r="K416" s="11">
        <f>IFERROR(__xludf.DUMMYFUNCTION("""COMPUTED_VALUE"""),0.0)</f>
        <v>0</v>
      </c>
      <c r="L416" s="11"/>
    </row>
    <row r="417" ht="15.75" customHeight="1">
      <c r="A417" s="10" t="str">
        <f>IFERROR(__xludf.DUMMYFUNCTION("""COMPUTED_VALUE"""),"https://www.hockeystack.com/blog-posts/best-marketing-analytics-platforms#:~:text=Enterprise%20plan%3A%20Starts%20at%20%E2%82%AC3%2C300%20per%20month%2C,standardize%20incoming%20data%20into%20one%20consistent%20format.")</f>
        <v>https://www.hockeystack.com/blog-posts/best-marketing-analytics-platforms#:~:text=Enterprise%20plan%3A%20Starts%20at%20%E2%82%AC3%2C300%20per%20month%2C,standardize%20incoming%20data%20into%20one%20consistent%20format.</v>
      </c>
      <c r="B417" s="11" t="str">
        <f>IFERROR(__xludf.DUMMYFUNCTION("""COMPUTED_VALUE"""),"12 Best Marketing Analytics Platforms for 2026 [According to Real Users]")</f>
        <v>12 Best Marketing Analytics Platforms for 2026 [According to Real Users]</v>
      </c>
      <c r="C417" s="10" t="str">
        <f>IFERROR(__xludf.DUMMYFUNCTION("""COMPUTED_VALUE"""),"hockeystack.com")</f>
        <v>hockeystack.com</v>
      </c>
      <c r="D417" s="11" t="str">
        <f>IFERROR(__xludf.DUMMYFUNCTION("""COMPUTED_VALUE"""),"LISTICLE")</f>
        <v>LISTICLE</v>
      </c>
      <c r="E417" s="11" t="str">
        <f>IFERROR(__xludf.DUMMYFUNCTION("""COMPUTED_VALUE"""),"COMPETITOR")</f>
        <v>COMPETITOR</v>
      </c>
      <c r="F417" s="11" t="str">
        <f>IFERROR(__xludf.DUMMYFUNCTION("""COMPUTED_VALUE"""),"Listicle")</f>
        <v>Listicle</v>
      </c>
      <c r="G417" s="11" t="b">
        <f>IFERROR(__xludf.DUMMYFUNCTION("""COMPUTED_VALUE"""),FALSE)</f>
        <v>0</v>
      </c>
      <c r="H417" s="11" t="str">
        <f>IFERROR(__xludf.DUMMYFUNCTION("""COMPUTED_VALUE"""),"HockeyStack, Ruler Analytics, Huge, Triple Whale")</f>
        <v>HockeyStack, Ruler Analytics, Huge, Triple Whale</v>
      </c>
      <c r="I417" s="11">
        <f>IFERROR(__xludf.DUMMYFUNCTION("""COMPUTED_VALUE"""),4.0)</f>
        <v>4</v>
      </c>
      <c r="J417" s="11">
        <f>IFERROR(__xludf.DUMMYFUNCTION("""COMPUTED_VALUE"""),0.0)</f>
        <v>0</v>
      </c>
      <c r="K417" s="11">
        <f>IFERROR(__xludf.DUMMYFUNCTION("""COMPUTED_VALUE"""),0.75)</f>
        <v>0.75</v>
      </c>
      <c r="L417" s="11"/>
    </row>
    <row r="418" ht="15.75" customHeight="1">
      <c r="A418" s="10" t="str">
        <f>IFERROR(__xludf.DUMMYFUNCTION("""COMPUTED_VALUE"""),"https://www.inbeat.co/articles/top-performance-marketing-agencies/")</f>
        <v>https://www.inbeat.co/articles/top-performance-marketing-agencies/</v>
      </c>
      <c r="B418" s="11" t="str">
        <f>IFERROR(__xludf.DUMMYFUNCTION("""COMPUTED_VALUE"""),"Top 30 Performance Marketing Agencies for 2026 and Beyond")</f>
        <v>Top 30 Performance Marketing Agencies for 2026 and Beyond</v>
      </c>
      <c r="C418" s="10" t="str">
        <f>IFERROR(__xludf.DUMMYFUNCTION("""COMPUTED_VALUE"""),"inbeat.co")</f>
        <v>inbeat.co</v>
      </c>
      <c r="D418" s="11" t="str">
        <f>IFERROR(__xludf.DUMMYFUNCTION("""COMPUTED_VALUE"""),"LISTICLE")</f>
        <v>LISTICLE</v>
      </c>
      <c r="E418" s="11" t="str">
        <f>IFERROR(__xludf.DUMMYFUNCTION("""COMPUTED_VALUE"""),"CORPORATE")</f>
        <v>CORPORATE</v>
      </c>
      <c r="F418" s="11" t="str">
        <f>IFERROR(__xludf.DUMMYFUNCTION("""COMPUTED_VALUE"""),"Listicle")</f>
        <v>Listicle</v>
      </c>
      <c r="G418" s="11" t="b">
        <f>IFERROR(__xludf.DUMMYFUNCTION("""COMPUTED_VALUE"""),FALSE)</f>
        <v>0</v>
      </c>
      <c r="H418" s="11" t="str">
        <f>IFERROR(__xludf.DUMMYFUNCTION("""COMPUTED_VALUE"""),"inBeat, Web Tonic, Momentum, Tinuiti, Bark London, Single Grain")</f>
        <v>inBeat, Web Tonic, Momentum, Tinuiti, Bark London, Single Grain</v>
      </c>
      <c r="I418" s="11">
        <f>IFERROR(__xludf.DUMMYFUNCTION("""COMPUTED_VALUE"""),4.0)</f>
        <v>4</v>
      </c>
      <c r="J418" s="11">
        <f>IFERROR(__xludf.DUMMYFUNCTION("""COMPUTED_VALUE"""),0.0)</f>
        <v>0</v>
      </c>
      <c r="K418" s="11">
        <f>IFERROR(__xludf.DUMMYFUNCTION("""COMPUTED_VALUE"""),0.25)</f>
        <v>0.25</v>
      </c>
      <c r="L418" s="11"/>
    </row>
    <row r="419" ht="15.75" customHeight="1">
      <c r="A419" s="10" t="str">
        <f>IFERROR(__xludf.DUMMYFUNCTION("""COMPUTED_VALUE"""),"https://indatalabs.com/blog/marketing-analytics-companies")</f>
        <v>https://indatalabs.com/blog/marketing-analytics-companies</v>
      </c>
      <c r="B419" s="11" t="str">
        <f>IFERROR(__xludf.DUMMYFUNCTION("""COMPUTED_VALUE"""),"Best Marketing Analytics Companies | InData Labs Blog")</f>
        <v>Best Marketing Analytics Companies | InData Labs Blog</v>
      </c>
      <c r="C419" s="10" t="str">
        <f>IFERROR(__xludf.DUMMYFUNCTION("""COMPUTED_VALUE"""),"indatalabs.com")</f>
        <v>indatalabs.com</v>
      </c>
      <c r="D419" s="11" t="str">
        <f>IFERROR(__xludf.DUMMYFUNCTION("""COMPUTED_VALUE"""),"LISTICLE")</f>
        <v>LISTICLE</v>
      </c>
      <c r="E419" s="11" t="str">
        <f>IFERROR(__xludf.DUMMYFUNCTION("""COMPUTED_VALUE"""),"CORPORATE")</f>
        <v>CORPORATE</v>
      </c>
      <c r="F419" s="11" t="str">
        <f>IFERROR(__xludf.DUMMYFUNCTION("""COMPUTED_VALUE"""),"Listicle")</f>
        <v>Listicle</v>
      </c>
      <c r="G419" s="11" t="b">
        <f>IFERROR(__xludf.DUMMYFUNCTION("""COMPUTED_VALUE"""),FALSE)</f>
        <v>0</v>
      </c>
      <c r="H419" s="11" t="str">
        <f>IFERROR(__xludf.DUMMYFUNCTION("""COMPUTED_VALUE"""),"Nielsen, Clutch, Fractal Analytics, IBM, Huge")</f>
        <v>Nielsen, Clutch, Fractal Analytics, IBM, Huge</v>
      </c>
      <c r="I419" s="11">
        <f>IFERROR(__xludf.DUMMYFUNCTION("""COMPUTED_VALUE"""),4.0)</f>
        <v>4</v>
      </c>
      <c r="J419" s="11">
        <f>IFERROR(__xludf.DUMMYFUNCTION("""COMPUTED_VALUE"""),0.0)</f>
        <v>0</v>
      </c>
      <c r="K419" s="11">
        <f>IFERROR(__xludf.DUMMYFUNCTION("""COMPUTED_VALUE"""),0.75)</f>
        <v>0.75</v>
      </c>
      <c r="L419" s="11"/>
    </row>
    <row r="420" ht="15.75" customHeight="1">
      <c r="A420" s="10" t="str">
        <f>IFERROR(__xludf.DUMMYFUNCTION("""COMPUTED_VALUE"""),"https://jake-jorgovan.com/blog/top-ai-marketing-agencies")</f>
        <v>https://jake-jorgovan.com/blog/top-ai-marketing-agencies</v>
      </c>
      <c r="B420" s="11" t="str">
        <f>IFERROR(__xludf.DUMMYFUNCTION("""COMPUTED_VALUE"""),"Top 32 AI Marketing Agencies in 2025 — Jake Jorgovan")</f>
        <v>Top 32 AI Marketing Agencies in 2025 — Jake Jorgovan</v>
      </c>
      <c r="C420" s="10" t="str">
        <f>IFERROR(__xludf.DUMMYFUNCTION("""COMPUTED_VALUE"""),"jake-jorgovan.com")</f>
        <v>jake-jorgovan.com</v>
      </c>
      <c r="D420" s="11" t="str">
        <f>IFERROR(__xludf.DUMMYFUNCTION("""COMPUTED_VALUE"""),"LISTICLE")</f>
        <v>LISTICLE</v>
      </c>
      <c r="E420" s="11" t="str">
        <f>IFERROR(__xludf.DUMMYFUNCTION("""COMPUTED_VALUE"""),"CORPORATE")</f>
        <v>CORPORATE</v>
      </c>
      <c r="F420" s="11" t="str">
        <f>IFERROR(__xludf.DUMMYFUNCTION("""COMPUTED_VALUE"""),"Listicle")</f>
        <v>Listicle</v>
      </c>
      <c r="G420" s="11" t="b">
        <f>IFERROR(__xludf.DUMMYFUNCTION("""COMPUTED_VALUE"""),FALSE)</f>
        <v>0</v>
      </c>
      <c r="H420" s="11" t="str">
        <f>IFERROR(__xludf.DUMMYFUNCTION("""COMPUTED_VALUE"""),"inBeat, IBM, Single Grain, Keenfolks")</f>
        <v>inBeat, IBM, Single Grain, Keenfolks</v>
      </c>
      <c r="I420" s="11">
        <f>IFERROR(__xludf.DUMMYFUNCTION("""COMPUTED_VALUE"""),4.0)</f>
        <v>4</v>
      </c>
      <c r="J420" s="11">
        <f>IFERROR(__xludf.DUMMYFUNCTION("""COMPUTED_VALUE"""),0.0)</f>
        <v>0</v>
      </c>
      <c r="K420" s="11">
        <f>IFERROR(__xludf.DUMMYFUNCTION("""COMPUTED_VALUE"""),0.0)</f>
        <v>0</v>
      </c>
      <c r="L420" s="11"/>
    </row>
    <row r="421" ht="15.75" customHeight="1">
      <c r="A421" s="10" t="str">
        <f>IFERROR(__xludf.DUMMYFUNCTION("""COMPUTED_VALUE"""),"https://www.linkedin.com/pulse/top-5-geo-agencies-usa-2026-yash-kumar-m4v6c")</f>
        <v>https://www.linkedin.com/pulse/top-5-geo-agencies-usa-2026-yash-kumar-m4v6c</v>
      </c>
      <c r="B421" s="11" t="str">
        <f>IFERROR(__xludf.DUMMYFUNCTION("""COMPUTED_VALUE"""),"Top 5 GEO Agencies in the USA (2026)")</f>
        <v>Top 5 GEO Agencies in the USA (2026)</v>
      </c>
      <c r="C421" s="10" t="str">
        <f>IFERROR(__xludf.DUMMYFUNCTION("""COMPUTED_VALUE"""),"linkedin.com")</f>
        <v>linkedin.com</v>
      </c>
      <c r="D421" s="11" t="str">
        <f>IFERROR(__xludf.DUMMYFUNCTION("""COMPUTED_VALUE"""),"LISTICLE")</f>
        <v>LISTICLE</v>
      </c>
      <c r="E421" s="11" t="str">
        <f>IFERROR(__xludf.DUMMYFUNCTION("""COMPUTED_VALUE"""),"UGC")</f>
        <v>UGC</v>
      </c>
      <c r="F421" s="11" t="str">
        <f>IFERROR(__xludf.DUMMYFUNCTION("""COMPUTED_VALUE"""),"Listicle")</f>
        <v>Listicle</v>
      </c>
      <c r="G421" s="11" t="b">
        <f>IFERROR(__xludf.DUMMYFUNCTION("""COMPUTED_VALUE"""),FALSE)</f>
        <v>0</v>
      </c>
      <c r="H421" s="11" t="str">
        <f>IFERROR(__xludf.DUMMYFUNCTION("""COMPUTED_VALUE"""),"iPullRank, Siege Media, First Page Sage")</f>
        <v>iPullRank, Siege Media, First Page Sage</v>
      </c>
      <c r="I421" s="11">
        <f>IFERROR(__xludf.DUMMYFUNCTION("""COMPUTED_VALUE"""),4.0)</f>
        <v>4</v>
      </c>
      <c r="J421" s="11">
        <f>IFERROR(__xludf.DUMMYFUNCTION("""COMPUTED_VALUE"""),0.0)</f>
        <v>0</v>
      </c>
      <c r="K421" s="11">
        <f>IFERROR(__xludf.DUMMYFUNCTION("""COMPUTED_VALUE"""),0.0)</f>
        <v>0</v>
      </c>
      <c r="L421" s="11"/>
    </row>
    <row r="422" ht="15.75" customHeight="1">
      <c r="A422" s="10"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422" s="11" t="str">
        <f>IFERROR(__xludf.DUMMYFUNCTION("""COMPUTED_VALUE"""),"15 Best Answer Engine Optimization Agencies: AEO Insights Company Rankings for 2026")</f>
        <v>15 Best Answer Engine Optimization Agencies: AEO Insights Company Rankings for 2026</v>
      </c>
      <c r="C422" s="10" t="str">
        <f>IFERROR(__xludf.DUMMYFUNCTION("""COMPUTED_VALUE"""),"modernmarketingpartners.com")</f>
        <v>modernmarketingpartners.com</v>
      </c>
      <c r="D422" s="11" t="str">
        <f>IFERROR(__xludf.DUMMYFUNCTION("""COMPUTED_VALUE"""),"LISTICLE")</f>
        <v>LISTICLE</v>
      </c>
      <c r="E422" s="11" t="str">
        <f>IFERROR(__xludf.DUMMYFUNCTION("""COMPUTED_VALUE"""),"CORPORATE")</f>
        <v>CORPORATE</v>
      </c>
      <c r="F422" s="11" t="str">
        <f>IFERROR(__xludf.DUMMYFUNCTION("""COMPUTED_VALUE"""),"Listicle")</f>
        <v>Listicle</v>
      </c>
      <c r="G422" s="11" t="b">
        <f>IFERROR(__xludf.DUMMYFUNCTION("""COMPUTED_VALUE"""),FALSE)</f>
        <v>0</v>
      </c>
      <c r="H422" s="11" t="str">
        <f>IFERROR(__xludf.DUMMYFUNCTION("""COMPUTED_VALUE"""),"First Page Sage, Clutch, iPullRank, Siege Media, Single Grain, Omniscient Digital, Avenue Z, NoGood")</f>
        <v>First Page Sage, Clutch, iPullRank, Siege Media, Single Grain, Omniscient Digital, Avenue Z, NoGood</v>
      </c>
      <c r="I422" s="11">
        <f>IFERROR(__xludf.DUMMYFUNCTION("""COMPUTED_VALUE"""),4.0)</f>
        <v>4</v>
      </c>
      <c r="J422" s="11">
        <f>IFERROR(__xludf.DUMMYFUNCTION("""COMPUTED_VALUE"""),0.0)</f>
        <v>0</v>
      </c>
      <c r="K422" s="11">
        <f>IFERROR(__xludf.DUMMYFUNCTION("""COMPUTED_VALUE"""),0.0)</f>
        <v>0</v>
      </c>
      <c r="L422" s="11"/>
    </row>
    <row r="423" ht="15.75" customHeight="1">
      <c r="A423" s="10" t="str">
        <f>IFERROR(__xludf.DUMMYFUNCTION("""COMPUTED_VALUE"""),"https://www.modernmarketingpartners.com/2026/03/19/15-best-answer-engine-optimization-agencies-aeo-insights-company-rankings-for-2026/")</f>
        <v>https://www.modernmarketingpartners.com/2026/03/19/15-best-answer-engine-optimization-agencies-aeo-insights-company-rankings-for-2026/</v>
      </c>
      <c r="B423" s="11" t="str">
        <f>IFERROR(__xludf.DUMMYFUNCTION("""COMPUTED_VALUE"""),"15 Best Answer Engine Optimization Agencies: AEO Insights Company Rankings for 2026")</f>
        <v>15 Best Answer Engine Optimization Agencies: AEO Insights Company Rankings for 2026</v>
      </c>
      <c r="C423" s="10" t="str">
        <f>IFERROR(__xludf.DUMMYFUNCTION("""COMPUTED_VALUE"""),"modernmarketingpartners.com")</f>
        <v>modernmarketingpartners.com</v>
      </c>
      <c r="D423" s="11" t="str">
        <f>IFERROR(__xludf.DUMMYFUNCTION("""COMPUTED_VALUE"""),"LISTICLE")</f>
        <v>LISTICLE</v>
      </c>
      <c r="E423" s="11" t="str">
        <f>IFERROR(__xludf.DUMMYFUNCTION("""COMPUTED_VALUE"""),"CORPORATE")</f>
        <v>CORPORATE</v>
      </c>
      <c r="F423" s="11" t="str">
        <f>IFERROR(__xludf.DUMMYFUNCTION("""COMPUTED_VALUE"""),"Listicle")</f>
        <v>Listicle</v>
      </c>
      <c r="G423" s="11" t="b">
        <f>IFERROR(__xludf.DUMMYFUNCTION("""COMPUTED_VALUE"""),FALSE)</f>
        <v>0</v>
      </c>
      <c r="H423" s="11" t="str">
        <f>IFERROR(__xludf.DUMMYFUNCTION("""COMPUTED_VALUE"""),"First Page Sage, Clutch, iPullRank, Siege Media, Single Grain, Omniscient Digital, Avenue Z, NoGood")</f>
        <v>First Page Sage, Clutch, iPullRank, Siege Media, Single Grain, Omniscient Digital, Avenue Z, NoGood</v>
      </c>
      <c r="I423" s="11">
        <f>IFERROR(__xludf.DUMMYFUNCTION("""COMPUTED_VALUE"""),4.0)</f>
        <v>4</v>
      </c>
      <c r="J423" s="11">
        <f>IFERROR(__xludf.DUMMYFUNCTION("""COMPUTED_VALUE"""),0.0)</f>
        <v>0</v>
      </c>
      <c r="K423" s="11">
        <f>IFERROR(__xludf.DUMMYFUNCTION("""COMPUTED_VALUE"""),0.0)</f>
        <v>0</v>
      </c>
      <c r="L423" s="11"/>
    </row>
    <row r="424" ht="15.75" customHeight="1">
      <c r="A424" s="10" t="str">
        <f>IFERROR(__xludf.DUMMYFUNCTION("""COMPUTED_VALUE"""),"https://nuoptima.com/ai-search-answer-engine-optimization-companies-usa")</f>
        <v>https://nuoptima.com/ai-search-answer-engine-optimization-companies-usa</v>
      </c>
      <c r="B424" s="11" t="str">
        <f>IFERROR(__xludf.DUMMYFUNCTION("""COMPUTED_VALUE"""),"Top Answer Engine Optimization Companies in the USA")</f>
        <v>Top Answer Engine Optimization Companies in the USA</v>
      </c>
      <c r="C424" s="10" t="str">
        <f>IFERROR(__xludf.DUMMYFUNCTION("""COMPUTED_VALUE"""),"nuoptima.com")</f>
        <v>nuoptima.com</v>
      </c>
      <c r="D424" s="11" t="str">
        <f>IFERROR(__xludf.DUMMYFUNCTION("""COMPUTED_VALUE"""),"LISTICLE")</f>
        <v>LISTICLE</v>
      </c>
      <c r="E424" s="11" t="str">
        <f>IFERROR(__xludf.DUMMYFUNCTION("""COMPUTED_VALUE"""),"CORPORATE")</f>
        <v>CORPORATE</v>
      </c>
      <c r="F424" s="11" t="str">
        <f>IFERROR(__xludf.DUMMYFUNCTION("""COMPUTED_VALUE"""),"Listicle")</f>
        <v>Listicle</v>
      </c>
      <c r="G424" s="11" t="b">
        <f>IFERROR(__xludf.DUMMYFUNCTION("""COMPUTED_VALUE"""),FALSE)</f>
        <v>0</v>
      </c>
      <c r="H424" s="11" t="str">
        <f>IFERROR(__xludf.DUMMYFUNCTION("""COMPUTED_VALUE"""),"Siege Media, RevenueZen, Avenue Z, Omniscient Digital, iPullRank, WebFX, First Page Sage")</f>
        <v>Siege Media, RevenueZen, Avenue Z, Omniscient Digital, iPullRank, WebFX, First Page Sage</v>
      </c>
      <c r="I424" s="11">
        <f>IFERROR(__xludf.DUMMYFUNCTION("""COMPUTED_VALUE"""),4.0)</f>
        <v>4</v>
      </c>
      <c r="J424" s="11">
        <f>IFERROR(__xludf.DUMMYFUNCTION("""COMPUTED_VALUE"""),0.0)</f>
        <v>0</v>
      </c>
      <c r="K424" s="11">
        <f>IFERROR(__xludf.DUMMYFUNCTION("""COMPUTED_VALUE"""),0.25)</f>
        <v>0.25</v>
      </c>
      <c r="L424" s="11"/>
    </row>
    <row r="425" ht="15.75" customHeight="1">
      <c r="A425" s="10" t="str">
        <f>IFERROR(__xludf.DUMMYFUNCTION("""COMPUTED_VALUE"""),"https://www.o8.agency/blog/ai/best-ai-marketing-agencies-2026-honest-comparison#:~:text=Keenfolks%20describes%20itself%20as%20%22the%20first%20AI%2Dnative,The%20Drum's%20Transformation%20Agency%20of%20the%20Year.")</f>
        <v>https://www.o8.agency/blog/ai/best-ai-marketing-agencies-2026-honest-comparison#:~:text=Keenfolks%20describes%20itself%20as%20%22the%20first%20AI%2Dnative,The%20Drum's%20Transformation%20Agency%20of%20the%20Year.</v>
      </c>
      <c r="B425" s="11" t="str">
        <f>IFERROR(__xludf.DUMMYFUNCTION("""COMPUTED_VALUE"""),"Best AI Marketing Agencies in 2026: An Honest Comparison | O8")</f>
        <v>Best AI Marketing Agencies in 2026: An Honest Comparison | O8</v>
      </c>
      <c r="C425" s="11" t="str">
        <f>IFERROR(__xludf.DUMMYFUNCTION("""COMPUTED_VALUE"""),"o8.agency")</f>
        <v>o8.agency</v>
      </c>
      <c r="D425" s="11" t="str">
        <f>IFERROR(__xludf.DUMMYFUNCTION("""COMPUTED_VALUE"""),"LISTICLE")</f>
        <v>LISTICLE</v>
      </c>
      <c r="E425" s="11" t="str">
        <f>IFERROR(__xludf.DUMMYFUNCTION("""COMPUTED_VALUE"""),"CORPORATE")</f>
        <v>CORPORATE</v>
      </c>
      <c r="F425" s="11" t="str">
        <f>IFERROR(__xludf.DUMMYFUNCTION("""COMPUTED_VALUE"""),"Listicle")</f>
        <v>Listicle</v>
      </c>
      <c r="G425" s="11" t="b">
        <f>IFERROR(__xludf.DUMMYFUNCTION("""COMPUTED_VALUE"""),FALSE)</f>
        <v>0</v>
      </c>
      <c r="H425" s="11" t="str">
        <f>IFERROR(__xludf.DUMMYFUNCTION("""COMPUTED_VALUE"""),"Keenfolks, NinjaPromo, Measured")</f>
        <v>Keenfolks, NinjaPromo, Measured</v>
      </c>
      <c r="I425" s="11">
        <f>IFERROR(__xludf.DUMMYFUNCTION("""COMPUTED_VALUE"""),4.0)</f>
        <v>4</v>
      </c>
      <c r="J425" s="11">
        <f>IFERROR(__xludf.DUMMYFUNCTION("""COMPUTED_VALUE"""),0.0)</f>
        <v>0</v>
      </c>
      <c r="K425" s="11">
        <f>IFERROR(__xludf.DUMMYFUNCTION("""COMPUTED_VALUE"""),2.5)</f>
        <v>2.5</v>
      </c>
      <c r="L425" s="11"/>
    </row>
    <row r="426" ht="15.75" customHeight="1">
      <c r="A426" s="10" t="str">
        <f>IFERROR(__xludf.DUMMYFUNCTION("""COMPUTED_VALUE"""),"https://www.onely.com/blog/best-digital-marketing-agencies/#:~:text=Key%20Features%20*%20Proprietary%20nova%20analytics%20platform,and%20eCommerce%20vertical%20specialization%20with%20ROAS%2Dbased%20accountability.")</f>
        <v>https://www.onely.com/blog/best-digital-marketing-agencies/#:~:text=Key%20Features%20*%20Proprietary%20nova%20analytics%20platform,and%20eCommerce%20vertical%20specialization%20with%20ROAS%2Dbased%20accountability.</v>
      </c>
      <c r="B426" s="11"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426" s="10" t="str">
        <f>IFERROR(__xludf.DUMMYFUNCTION("""COMPUTED_VALUE"""),"onely.com")</f>
        <v>onely.com</v>
      </c>
      <c r="D426" s="11" t="str">
        <f>IFERROR(__xludf.DUMMYFUNCTION("""COMPUTED_VALUE"""),"LISTICLE")</f>
        <v>LISTICLE</v>
      </c>
      <c r="E426" s="11" t="str">
        <f>IFERROR(__xludf.DUMMYFUNCTION("""COMPUTED_VALUE"""),"CORPORATE")</f>
        <v>CORPORATE</v>
      </c>
      <c r="F426" s="11" t="str">
        <f>IFERROR(__xludf.DUMMYFUNCTION("""COMPUTED_VALUE"""),"Listicle")</f>
        <v>Listicle</v>
      </c>
      <c r="G426" s="11" t="b">
        <f>IFERROR(__xludf.DUMMYFUNCTION("""COMPUTED_VALUE"""),FALSE)</f>
        <v>0</v>
      </c>
      <c r="H426" s="11" t="str">
        <f>IFERROR(__xludf.DUMMYFUNCTION("""COMPUTED_VALUE"""),"Clutch, Directive, Siege Media, Power Digital, Disruptive Advertising, Single Grain, NP Digital, WebFX, Ignite Visibility, SmartSites, KlientBoost, NinjaPromo, IBM")</f>
        <v>Clutch, Directive, Siege Media, Power Digital, Disruptive Advertising, Single Grain, NP Digital, WebFX, Ignite Visibility, SmartSites, KlientBoost, NinjaPromo, IBM</v>
      </c>
      <c r="I426" s="11">
        <f>IFERROR(__xludf.DUMMYFUNCTION("""COMPUTED_VALUE"""),4.0)</f>
        <v>4</v>
      </c>
      <c r="J426" s="11">
        <f>IFERROR(__xludf.DUMMYFUNCTION("""COMPUTED_VALUE"""),0.0)</f>
        <v>0</v>
      </c>
      <c r="K426" s="11">
        <f>IFERROR(__xludf.DUMMYFUNCTION("""COMPUTED_VALUE"""),1.5)</f>
        <v>1.5</v>
      </c>
      <c r="L426" s="11"/>
    </row>
    <row r="427" ht="15.75" customHeight="1">
      <c r="A427" s="10" t="str">
        <f>IFERROR(__xludf.DUMMYFUNCTION("""COMPUTED_VALUE"""),"https://pearllemon.com/top-performance-marketing-agencies-usa/")</f>
        <v>https://pearllemon.com/top-performance-marketing-agencies-usa/</v>
      </c>
      <c r="B427" s="11" t="str">
        <f>IFERROR(__xludf.DUMMYFUNCTION("""COMPUTED_VALUE"""),"Top 10 Performance Marketing Agencies In USA (2025)")</f>
        <v>Top 10 Performance Marketing Agencies In USA (2025)</v>
      </c>
      <c r="C427" s="10" t="str">
        <f>IFERROR(__xludf.DUMMYFUNCTION("""COMPUTED_VALUE"""),"pearllemon.com")</f>
        <v>pearllemon.com</v>
      </c>
      <c r="D427" s="11" t="str">
        <f>IFERROR(__xludf.DUMMYFUNCTION("""COMPUTED_VALUE"""),"LISTICLE")</f>
        <v>LISTICLE</v>
      </c>
      <c r="E427" s="11" t="str">
        <f>IFERROR(__xludf.DUMMYFUNCTION("""COMPUTED_VALUE"""),"CORPORATE")</f>
        <v>CORPORATE</v>
      </c>
      <c r="F427" s="11" t="str">
        <f>IFERROR(__xludf.DUMMYFUNCTION("""COMPUTED_VALUE"""),"Listicle")</f>
        <v>Listicle</v>
      </c>
      <c r="G427" s="11" t="b">
        <f>IFERROR(__xludf.DUMMYFUNCTION("""COMPUTED_VALUE"""),FALSE)</f>
        <v>0</v>
      </c>
      <c r="H427" s="11" t="str">
        <f>IFERROR(__xludf.DUMMYFUNCTION("""COMPUTED_VALUE"""),"SmartSites, Intero Digital, Ignite Visibility")</f>
        <v>SmartSites, Intero Digital, Ignite Visibility</v>
      </c>
      <c r="I427" s="11">
        <f>IFERROR(__xludf.DUMMYFUNCTION("""COMPUTED_VALUE"""),4.0)</f>
        <v>4</v>
      </c>
      <c r="J427" s="11">
        <f>IFERROR(__xludf.DUMMYFUNCTION("""COMPUTED_VALUE"""),0.0)</f>
        <v>0</v>
      </c>
      <c r="K427" s="11">
        <f>IFERROR(__xludf.DUMMYFUNCTION("""COMPUTED_VALUE"""),0.0)</f>
        <v>0</v>
      </c>
      <c r="L427" s="11"/>
    </row>
    <row r="428" ht="15.75" customHeight="1">
      <c r="A428" s="10" t="str">
        <f>IFERROR(__xludf.DUMMYFUNCTION("""COMPUTED_VALUE"""),"https://www.phable.io/top-creative-agencies/top-creative-agencies-in-the-world-masters-of-branding-content-creation-and-innovation")</f>
        <v>https://www.phable.io/top-creative-agencies/top-creative-agencies-in-the-world-masters-of-branding-content-creation-and-innovation</v>
      </c>
      <c r="B428" s="11" t="str">
        <f>IFERROR(__xludf.DUMMYFUNCTION("""COMPUTED_VALUE"""),"Top Creative Agencies in the World | Leaders in Branding, Content Creation, and Innovation — Branding And Content Marketing For Technology")</f>
        <v>Top Creative Agencies in the World | Leaders in Branding, Content Creation, and Innovation — Branding And Content Marketing For Technology</v>
      </c>
      <c r="C428" s="10" t="str">
        <f>IFERROR(__xludf.DUMMYFUNCTION("""COMPUTED_VALUE"""),"phable.io")</f>
        <v>phable.io</v>
      </c>
      <c r="D428" s="11" t="str">
        <f>IFERROR(__xludf.DUMMYFUNCTION("""COMPUTED_VALUE"""),"LISTICLE")</f>
        <v>LISTICLE</v>
      </c>
      <c r="E428" s="11" t="str">
        <f>IFERROR(__xludf.DUMMYFUNCTION("""COMPUTED_VALUE"""),"CORPORATE")</f>
        <v>CORPORATE</v>
      </c>
      <c r="F428" s="11" t="str">
        <f>IFERROR(__xludf.DUMMYFUNCTION("""COMPUTED_VALUE"""),"Listicle")</f>
        <v>Listicle</v>
      </c>
      <c r="G428" s="11" t="b">
        <f>IFERROR(__xludf.DUMMYFUNCTION("""COMPUTED_VALUE"""),FALSE)</f>
        <v>0</v>
      </c>
      <c r="H428" s="11" t="str">
        <f>IFERROR(__xludf.DUMMYFUNCTION("""COMPUTED_VALUE"""),"Ogilvy, IBM, Wieden+Kennedy, Droga5, AKQA, BBDO, R/GA, VML")</f>
        <v>Ogilvy, IBM, Wieden+Kennedy, Droga5, AKQA, BBDO, R/GA, VML</v>
      </c>
      <c r="I428" s="11">
        <f>IFERROR(__xludf.DUMMYFUNCTION("""COMPUTED_VALUE"""),4.0)</f>
        <v>4</v>
      </c>
      <c r="J428" s="11">
        <f>IFERROR(__xludf.DUMMYFUNCTION("""COMPUTED_VALUE"""),0.0)</f>
        <v>0</v>
      </c>
      <c r="K428" s="11">
        <f>IFERROR(__xludf.DUMMYFUNCTION("""COMPUTED_VALUE"""),0.5)</f>
        <v>0.5</v>
      </c>
      <c r="L428" s="11"/>
    </row>
    <row r="429" ht="15.75" customHeight="1">
      <c r="A429" s="10" t="str">
        <f>IFERROR(__xludf.DUMMYFUNCTION("""COMPUTED_VALUE"""),"https://prescientai.com/blog/top-marketing-attribution-software-solutions")</f>
        <v>https://prescientai.com/blog/top-marketing-attribution-software-solutions</v>
      </c>
      <c r="B429" s="11" t="str">
        <f>IFERROR(__xludf.DUMMYFUNCTION("""COMPUTED_VALUE"""),"12 top marketing attribution software solutions: 2026 comparison guide | Prescient AI")</f>
        <v>12 top marketing attribution software solutions: 2026 comparison guide | Prescient AI</v>
      </c>
      <c r="C429" s="10" t="str">
        <f>IFERROR(__xludf.DUMMYFUNCTION("""COMPUTED_VALUE"""),"prescientai.com")</f>
        <v>prescientai.com</v>
      </c>
      <c r="D429" s="11" t="str">
        <f>IFERROR(__xludf.DUMMYFUNCTION("""COMPUTED_VALUE"""),"COMPARISON")</f>
        <v>COMPARISON</v>
      </c>
      <c r="E429" s="11" t="str">
        <f>IFERROR(__xludf.DUMMYFUNCTION("""COMPUTED_VALUE"""),"CORPORATE")</f>
        <v>CORPORATE</v>
      </c>
      <c r="F429" s="11" t="str">
        <f>IFERROR(__xludf.DUMMYFUNCTION("""COMPUTED_VALUE"""),"Comparison")</f>
        <v>Comparison</v>
      </c>
      <c r="G429" s="11" t="b">
        <f>IFERROR(__xludf.DUMMYFUNCTION("""COMPUTED_VALUE"""),FALSE)</f>
        <v>0</v>
      </c>
      <c r="H429" s="11" t="str">
        <f>IFERROR(__xludf.DUMMYFUNCTION("""COMPUTED_VALUE"""),"Nielsen, Ruler Analytics, HockeyStack, Triple Whale")</f>
        <v>Nielsen, Ruler Analytics, HockeyStack, Triple Whale</v>
      </c>
      <c r="I429" s="11">
        <f>IFERROR(__xludf.DUMMYFUNCTION("""COMPUTED_VALUE"""),4.0)</f>
        <v>4</v>
      </c>
      <c r="J429" s="11">
        <f>IFERROR(__xludf.DUMMYFUNCTION("""COMPUTED_VALUE"""),0.0)</f>
        <v>0</v>
      </c>
      <c r="K429" s="11">
        <f>IFERROR(__xludf.DUMMYFUNCTION("""COMPUTED_VALUE"""),0.25)</f>
        <v>0.25</v>
      </c>
      <c r="L429" s="11"/>
    </row>
    <row r="430" ht="15.75" customHeight="1">
      <c r="A430" s="10" t="str">
        <f>IFERROR(__xludf.DUMMYFUNCTION("""COMPUTED_VALUE"""),"https://www.reddit.com/r/Superframeworks/comments/1twfxf1/10_best_ai_seo_geoaeo_agencies_for_2026_no/")</f>
        <v>https://www.reddit.com/r/Superframeworks/comments/1twfxf1/10_best_ai_seo_geoaeo_agencies_for_2026_no/</v>
      </c>
      <c r="B430" s="11" t="str">
        <f>IFERROR(__xludf.DUMMYFUNCTION("""COMPUTED_VALUE"""),"10 Best AI SEO (GEO/AEO) Agencies for 2026: No Self-Ranking, Verified by Clutch Reviews and Real AI-Citation Proof")</f>
        <v>10 Best AI SEO (GEO/AEO) Agencies for 2026: No Self-Ranking, Verified by Clutch Reviews and Real AI-Citation Proof</v>
      </c>
      <c r="C430" s="10" t="str">
        <f>IFERROR(__xludf.DUMMYFUNCTION("""COMPUTED_VALUE"""),"reddit.com")</f>
        <v>reddit.com</v>
      </c>
      <c r="D430" s="11" t="str">
        <f>IFERROR(__xludf.DUMMYFUNCTION("""COMPUTED_VALUE"""),"DISCUSSION")</f>
        <v>DISCUSSION</v>
      </c>
      <c r="E430" s="11" t="str">
        <f>IFERROR(__xludf.DUMMYFUNCTION("""COMPUTED_VALUE"""),"UGC")</f>
        <v>UGC</v>
      </c>
      <c r="F430" s="11" t="str">
        <f>IFERROR(__xludf.DUMMYFUNCTION("""COMPUTED_VALUE"""),"Discussion")</f>
        <v>Discussion</v>
      </c>
      <c r="G430" s="11" t="b">
        <f>IFERROR(__xludf.DUMMYFUNCTION("""COMPUTED_VALUE"""),FALSE)</f>
        <v>0</v>
      </c>
      <c r="H430" s="11" t="str">
        <f>IFERROR(__xludf.DUMMYFUNCTION("""COMPUTED_VALUE"""),"First Page Sage, Single Grain, Clutch, NoGood, iPullRank, Victorious")</f>
        <v>First Page Sage, Single Grain, Clutch, NoGood, iPullRank, Victorious</v>
      </c>
      <c r="I430" s="11">
        <f>IFERROR(__xludf.DUMMYFUNCTION("""COMPUTED_VALUE"""),4.0)</f>
        <v>4</v>
      </c>
      <c r="J430" s="11">
        <f>IFERROR(__xludf.DUMMYFUNCTION("""COMPUTED_VALUE"""),0.0)</f>
        <v>0</v>
      </c>
      <c r="K430" s="11">
        <f>IFERROR(__xludf.DUMMYFUNCTION("""COMPUTED_VALUE"""),1.25)</f>
        <v>1.25</v>
      </c>
      <c r="L430" s="11"/>
    </row>
    <row r="431" ht="15.75" customHeight="1">
      <c r="A431" s="10" t="str">
        <f>IFERROR(__xludf.DUMMYFUNCTION("""COMPUTED_VALUE"""),"https://rtslabs.com/top-ai-consulting-firms/")</f>
        <v>https://rtslabs.com/top-ai-consulting-firms/</v>
      </c>
      <c r="B431" s="11" t="str">
        <f>IFERROR(__xludf.DUMMYFUNCTION("""COMPUTED_VALUE"""),"9 Best AI Consulting Firms in 2026 Review + Comparison")</f>
        <v>9 Best AI Consulting Firms in 2026 Review + Comparison</v>
      </c>
      <c r="C431" s="10" t="str">
        <f>IFERROR(__xludf.DUMMYFUNCTION("""COMPUTED_VALUE"""),"rtslabs.com")</f>
        <v>rtslabs.com</v>
      </c>
      <c r="D431" s="11" t="str">
        <f>IFERROR(__xludf.DUMMYFUNCTION("""COMPUTED_VALUE"""),"LISTICLE")</f>
        <v>LISTICLE</v>
      </c>
      <c r="E431" s="11" t="str">
        <f>IFERROR(__xludf.DUMMYFUNCTION("""COMPUTED_VALUE"""),"CORPORATE")</f>
        <v>CORPORATE</v>
      </c>
      <c r="F431" s="11" t="str">
        <f>IFERROR(__xludf.DUMMYFUNCTION("""COMPUTED_VALUE"""),"Listicle")</f>
        <v>Listicle</v>
      </c>
      <c r="G431" s="11" t="b">
        <f>IFERROR(__xludf.DUMMYFUNCTION("""COMPUTED_VALUE"""),FALSE)</f>
        <v>0</v>
      </c>
      <c r="H431" s="11" t="str">
        <f>IFERROR(__xludf.DUMMYFUNCTION("""COMPUTED_VALUE"""),"Fractal Analytics, Slalom, IBM, Measured")</f>
        <v>Fractal Analytics, Slalom, IBM, Measured</v>
      </c>
      <c r="I431" s="11">
        <f>IFERROR(__xludf.DUMMYFUNCTION("""COMPUTED_VALUE"""),4.0)</f>
        <v>4</v>
      </c>
      <c r="J431" s="11">
        <f>IFERROR(__xludf.DUMMYFUNCTION("""COMPUTED_VALUE"""),0.0)</f>
        <v>0</v>
      </c>
      <c r="K431" s="11">
        <f>IFERROR(__xludf.DUMMYFUNCTION("""COMPUTED_VALUE"""),0.5)</f>
        <v>0.5</v>
      </c>
      <c r="L431" s="11"/>
    </row>
    <row r="432" ht="15.75" customHeight="1">
      <c r="A432" s="10" t="str">
        <f>IFERROR(__xludf.DUMMYFUNCTION("""COMPUTED_VALUE"""),"https://scopicstudios.com/blog/top-performance-marketing-agencies/")</f>
        <v>https://scopicstudios.com/blog/top-performance-marketing-agencies/</v>
      </c>
      <c r="B432" s="11" t="str">
        <f>IFERROR(__xludf.DUMMYFUNCTION("""COMPUTED_VALUE"""),"Top 10 Performance Marketing Agencies for ROI in 2025")</f>
        <v>Top 10 Performance Marketing Agencies for ROI in 2025</v>
      </c>
      <c r="C432" s="10" t="str">
        <f>IFERROR(__xludf.DUMMYFUNCTION("""COMPUTED_VALUE"""),"scopicstudios.com")</f>
        <v>scopicstudios.com</v>
      </c>
      <c r="D432" s="11" t="str">
        <f>IFERROR(__xludf.DUMMYFUNCTION("""COMPUTED_VALUE"""),"LISTICLE")</f>
        <v>LISTICLE</v>
      </c>
      <c r="E432" s="11" t="str">
        <f>IFERROR(__xludf.DUMMYFUNCTION("""COMPUTED_VALUE"""),"CORPORATE")</f>
        <v>CORPORATE</v>
      </c>
      <c r="F432" s="11" t="str">
        <f>IFERROR(__xludf.DUMMYFUNCTION("""COMPUTED_VALUE"""),"Listicle")</f>
        <v>Listicle</v>
      </c>
      <c r="G432" s="11" t="b">
        <f>IFERROR(__xludf.DUMMYFUNCTION("""COMPUTED_VALUE"""),FALSE)</f>
        <v>0</v>
      </c>
      <c r="H432" s="11" t="str">
        <f>IFERROR(__xludf.DUMMYFUNCTION("""COMPUTED_VALUE"""),"Clutch, Measured")</f>
        <v>Clutch, Measured</v>
      </c>
      <c r="I432" s="11">
        <f>IFERROR(__xludf.DUMMYFUNCTION("""COMPUTED_VALUE"""),4.0)</f>
        <v>4</v>
      </c>
      <c r="J432" s="11">
        <f>IFERROR(__xludf.DUMMYFUNCTION("""COMPUTED_VALUE"""),0.0)</f>
        <v>0</v>
      </c>
      <c r="K432" s="11">
        <f>IFERROR(__xludf.DUMMYFUNCTION("""COMPUTED_VALUE"""),0.0)</f>
        <v>0</v>
      </c>
      <c r="L432" s="11"/>
    </row>
    <row r="433" ht="15.75" customHeight="1">
      <c r="A433" s="10" t="str">
        <f>IFERROR(__xludf.DUMMYFUNCTION("""COMPUTED_VALUE"""),"https://segmentstream.com/blog/articles/best-attribution-tools")</f>
        <v>https://segmentstream.com/blog/articles/best-attribution-tools</v>
      </c>
      <c r="B433" s="11" t="str">
        <f>IFERROR(__xludf.DUMMYFUNCTION("""COMPUTED_VALUE"""),"10 Best Marketing Attribution Tools &amp;amp; Platforms (2026) — SegmentStream")</f>
        <v>10 Best Marketing Attribution Tools &amp;amp; Platforms (2026) — SegmentStream</v>
      </c>
      <c r="C433" s="10" t="str">
        <f>IFERROR(__xludf.DUMMYFUNCTION("""COMPUTED_VALUE"""),"segmentstream.com")</f>
        <v>segmentstream.com</v>
      </c>
      <c r="D433" s="11" t="str">
        <f>IFERROR(__xludf.DUMMYFUNCTION("""COMPUTED_VALUE"""),"LISTICLE")</f>
        <v>LISTICLE</v>
      </c>
      <c r="E433" s="11" t="str">
        <f>IFERROR(__xludf.DUMMYFUNCTION("""COMPUTED_VALUE"""),"COMPETITOR")</f>
        <v>COMPETITOR</v>
      </c>
      <c r="F433" s="11" t="str">
        <f>IFERROR(__xludf.DUMMYFUNCTION("""COMPUTED_VALUE"""),"Listicle")</f>
        <v>Listicle</v>
      </c>
      <c r="G433" s="11" t="b">
        <f>IFERROR(__xludf.DUMMYFUNCTION("""COMPUTED_VALUE"""),FALSE)</f>
        <v>0</v>
      </c>
      <c r="H433" s="11" t="str">
        <f>IFERROR(__xludf.DUMMYFUNCTION("""COMPUTED_VALUE"""),"SegmentStream, Triple Whale, Northbeam, Measured, Rockerbox, Ruler Analytics, Anomaly")</f>
        <v>SegmentStream, Triple Whale, Northbeam, Measured, Rockerbox, Ruler Analytics, Anomaly</v>
      </c>
      <c r="I433" s="11">
        <f>IFERROR(__xludf.DUMMYFUNCTION("""COMPUTED_VALUE"""),4.0)</f>
        <v>4</v>
      </c>
      <c r="J433" s="11">
        <f>IFERROR(__xludf.DUMMYFUNCTION("""COMPUTED_VALUE"""),0.0)</f>
        <v>0</v>
      </c>
      <c r="K433" s="11">
        <f>IFERROR(__xludf.DUMMYFUNCTION("""COMPUTED_VALUE"""),0.5)</f>
        <v>0.5</v>
      </c>
      <c r="L433" s="11"/>
    </row>
    <row r="434" ht="15.75" customHeight="1">
      <c r="A434" s="10" t="str">
        <f>IFERROR(__xludf.DUMMYFUNCTION("""COMPUTED_VALUE"""),"https://www.semfirms.com/digital-marketing-firms")</f>
        <v>https://www.semfirms.com/digital-marketing-firms</v>
      </c>
      <c r="B434" s="11" t="str">
        <f>IFERROR(__xludf.DUMMYFUNCTION("""COMPUTED_VALUE"""),"Top Digital Marketing Firms in United States | Reviews &amp;amp; Rating")</f>
        <v>Top Digital Marketing Firms in United States | Reviews &amp;amp; Rating</v>
      </c>
      <c r="C434" s="10" t="str">
        <f>IFERROR(__xludf.DUMMYFUNCTION("""COMPUTED_VALUE"""),"semfirms.com")</f>
        <v>semfirms.com</v>
      </c>
      <c r="D434" s="11" t="str">
        <f>IFERROR(__xludf.DUMMYFUNCTION("""COMPUTED_VALUE"""),"PROFILE")</f>
        <v>PROFILE</v>
      </c>
      <c r="E434" s="11" t="str">
        <f>IFERROR(__xludf.DUMMYFUNCTION("""COMPUTED_VALUE"""),"REFERENCE")</f>
        <v>REFERENCE</v>
      </c>
      <c r="F434" s="11" t="str">
        <f>IFERROR(__xludf.DUMMYFUNCTION("""COMPUTED_VALUE"""),"Profile")</f>
        <v>Profile</v>
      </c>
      <c r="G434" s="11" t="b">
        <f>IFERROR(__xludf.DUMMYFUNCTION("""COMPUTED_VALUE"""),FALSE)</f>
        <v>0</v>
      </c>
      <c r="H434" s="11" t="str">
        <f>IFERROR(__xludf.DUMMYFUNCTION("""COMPUTED_VALUE"""),"Intero Digital, Funnel Boost Media")</f>
        <v>Intero Digital, Funnel Boost Media</v>
      </c>
      <c r="I434" s="11">
        <f>IFERROR(__xludf.DUMMYFUNCTION("""COMPUTED_VALUE"""),4.0)</f>
        <v>4</v>
      </c>
      <c r="J434" s="11">
        <f>IFERROR(__xludf.DUMMYFUNCTION("""COMPUTED_VALUE"""),0.0)</f>
        <v>0</v>
      </c>
      <c r="K434" s="11">
        <f>IFERROR(__xludf.DUMMYFUNCTION("""COMPUTED_VALUE"""),0.0)</f>
        <v>0</v>
      </c>
      <c r="L434" s="11"/>
    </row>
    <row r="435" ht="15.75" customHeight="1">
      <c r="A435" s="10" t="str">
        <f>IFERROR(__xludf.DUMMYFUNCTION("""COMPUTED_VALUE"""),"https://www.seoworks.com/lists/top-b2b-geo-and-aeo-agencies/")</f>
        <v>https://www.seoworks.com/lists/top-b2b-geo-and-aeo-agencies/</v>
      </c>
      <c r="B435" s="11" t="str">
        <f>IFERROR(__xludf.DUMMYFUNCTION("""COMPUTED_VALUE"""),"Top 20 B2B GEO and AEO Agencies (2026) | The SEO Works")</f>
        <v>Top 20 B2B GEO and AEO Agencies (2026) | The SEO Works</v>
      </c>
      <c r="C435" s="10" t="str">
        <f>IFERROR(__xludf.DUMMYFUNCTION("""COMPUTED_VALUE"""),"seoworks.com")</f>
        <v>seoworks.com</v>
      </c>
      <c r="D435" s="11" t="str">
        <f>IFERROR(__xludf.DUMMYFUNCTION("""COMPUTED_VALUE"""),"LISTICLE")</f>
        <v>LISTICLE</v>
      </c>
      <c r="E435" s="11" t="str">
        <f>IFERROR(__xludf.DUMMYFUNCTION("""COMPUTED_VALUE"""),"CORPORATE")</f>
        <v>CORPORATE</v>
      </c>
      <c r="F435" s="11" t="str">
        <f>IFERROR(__xludf.DUMMYFUNCTION("""COMPUTED_VALUE"""),"Listicle")</f>
        <v>Listicle</v>
      </c>
      <c r="G435" s="11" t="b">
        <f>IFERROR(__xludf.DUMMYFUNCTION("""COMPUTED_VALUE"""),FALSE)</f>
        <v>0</v>
      </c>
      <c r="H435" s="11" t="str">
        <f>IFERROR(__xludf.DUMMYFUNCTION("""COMPUTED_VALUE"""),"The SEO Works, Discovered Labs, Animalz, Directive, WebFX, Victorious")</f>
        <v>The SEO Works, Discovered Labs, Animalz, Directive, WebFX, Victorious</v>
      </c>
      <c r="I435" s="11">
        <f>IFERROR(__xludf.DUMMYFUNCTION("""COMPUTED_VALUE"""),4.0)</f>
        <v>4</v>
      </c>
      <c r="J435" s="11">
        <f>IFERROR(__xludf.DUMMYFUNCTION("""COMPUTED_VALUE"""),0.0)</f>
        <v>0</v>
      </c>
      <c r="K435" s="11">
        <f>IFERROR(__xludf.DUMMYFUNCTION("""COMPUTED_VALUE"""),0.0)</f>
        <v>0</v>
      </c>
      <c r="L435" s="11"/>
    </row>
    <row r="436" ht="15.75" customHeight="1">
      <c r="A436" s="10" t="str">
        <f>IFERROR(__xludf.DUMMYFUNCTION("""COMPUTED_VALUE"""),"https://www.silverbackstrategies.com/lists/best-digital-marketing-agencies-in-the-us-rank-reviewed/")</f>
        <v>https://www.silverbackstrategies.com/lists/best-digital-marketing-agencies-in-the-us-rank-reviewed/</v>
      </c>
      <c r="B436" s="11" t="str">
        <f>IFERROR(__xludf.DUMMYFUNCTION("""COMPUTED_VALUE"""),"Best Digital Marketing Agencies in the U.S. in 2026 (Ranked &amp;amp; Reviewed) | Silverback Strategies")</f>
        <v>Best Digital Marketing Agencies in the U.S. in 2026 (Ranked &amp;amp; Reviewed) | Silverback Strategies</v>
      </c>
      <c r="C436" s="10" t="str">
        <f>IFERROR(__xludf.DUMMYFUNCTION("""COMPUTED_VALUE"""),"silverbackstrategies.com")</f>
        <v>silverbackstrategies.com</v>
      </c>
      <c r="D436" s="11" t="str">
        <f>IFERROR(__xludf.DUMMYFUNCTION("""COMPUTED_VALUE"""),"LISTICLE")</f>
        <v>LISTICLE</v>
      </c>
      <c r="E436" s="11" t="str">
        <f>IFERROR(__xludf.DUMMYFUNCTION("""COMPUTED_VALUE"""),"COMPETITOR")</f>
        <v>COMPETITOR</v>
      </c>
      <c r="F436" s="11" t="str">
        <f>IFERROR(__xludf.DUMMYFUNCTION("""COMPUTED_VALUE"""),"Listicle")</f>
        <v>Listicle</v>
      </c>
      <c r="G436" s="11" t="b">
        <f>IFERROR(__xludf.DUMMYFUNCTION("""COMPUTED_VALUE"""),FALSE)</f>
        <v>0</v>
      </c>
      <c r="H436" s="11" t="str">
        <f>IFERROR(__xludf.DUMMYFUNCTION("""COMPUTED_VALUE"""),"Silverback Strategies, Clutch, Disruptive Advertising, Elit-Web, Accelerated Digital Media")</f>
        <v>Silverback Strategies, Clutch, Disruptive Advertising, Elit-Web, Accelerated Digital Media</v>
      </c>
      <c r="I436" s="11">
        <f>IFERROR(__xludf.DUMMYFUNCTION("""COMPUTED_VALUE"""),4.0)</f>
        <v>4</v>
      </c>
      <c r="J436" s="11">
        <f>IFERROR(__xludf.DUMMYFUNCTION("""COMPUTED_VALUE"""),0.0)</f>
        <v>0</v>
      </c>
      <c r="K436" s="11">
        <f>IFERROR(__xludf.DUMMYFUNCTION("""COMPUTED_VALUE"""),0.5)</f>
        <v>0.5</v>
      </c>
      <c r="L436" s="11"/>
    </row>
    <row r="437" ht="15.75" customHeight="1">
      <c r="A437" s="10" t="str">
        <f>IFERROR(__xludf.DUMMYFUNCTION("""COMPUTED_VALUE"""),"https://www.sortlist.com/advertising/united-states-us")</f>
        <v>https://www.sortlist.com/advertising/united-states-us</v>
      </c>
      <c r="B437" s="11" t="str">
        <f>IFERROR(__xludf.DUMMYFUNCTION("""COMPUTED_VALUE"""),"The 10 Best Advertising Agencies in the United States - 2026 Reviews")</f>
        <v>The 10 Best Advertising Agencies in the United States - 2026 Reviews</v>
      </c>
      <c r="C437" s="10" t="str">
        <f>IFERROR(__xludf.DUMMYFUNCTION("""COMPUTED_VALUE"""),"sortlist.com")</f>
        <v>sortlist.com</v>
      </c>
      <c r="D437" s="11" t="str">
        <f>IFERROR(__xludf.DUMMYFUNCTION("""COMPUTED_VALUE"""),"CATEGORY_PAGE")</f>
        <v>CATEGORY_PAGE</v>
      </c>
      <c r="E437" s="11" t="str">
        <f>IFERROR(__xludf.DUMMYFUNCTION("""COMPUTED_VALUE"""),"CORPORATE")</f>
        <v>CORPORATE</v>
      </c>
      <c r="F437" s="11" t="str">
        <f>IFERROR(__xludf.DUMMYFUNCTION("""COMPUTED_VALUE"""),"Category Page")</f>
        <v>Category Page</v>
      </c>
      <c r="G437" s="11" t="b">
        <f>IFERROR(__xludf.DUMMYFUNCTION("""COMPUTED_VALUE"""),FALSE)</f>
        <v>0</v>
      </c>
      <c r="H437" s="11" t="str">
        <f>IFERROR(__xludf.DUMMYFUNCTION("""COMPUTED_VALUE"""),"NinjaPromo, Publicis Groupe, Clutch")</f>
        <v>NinjaPromo, Publicis Groupe, Clutch</v>
      </c>
      <c r="I437" s="11">
        <f>IFERROR(__xludf.DUMMYFUNCTION("""COMPUTED_VALUE"""),4.0)</f>
        <v>4</v>
      </c>
      <c r="J437" s="11">
        <f>IFERROR(__xludf.DUMMYFUNCTION("""COMPUTED_VALUE"""),0.0)</f>
        <v>0</v>
      </c>
      <c r="K437" s="11">
        <f>IFERROR(__xludf.DUMMYFUNCTION("""COMPUTED_VALUE"""),0.25)</f>
        <v>0.25</v>
      </c>
      <c r="L437" s="11"/>
    </row>
    <row r="438" ht="15.75" customHeight="1">
      <c r="A438" s="10" t="str">
        <f>IFERROR(__xludf.DUMMYFUNCTION("""COMPUTED_VALUE"""),"https://www.strategyeye.com/top-13-performance-marketing-agencies/")</f>
        <v>https://www.strategyeye.com/top-13-performance-marketing-agencies/</v>
      </c>
      <c r="B438" s="11" t="str">
        <f>IFERROR(__xludf.DUMMYFUNCTION("""COMPUTED_VALUE"""),"Top 13 Performance Marketing Agencies - StrategyEye")</f>
        <v>Top 13 Performance Marketing Agencies - StrategyEye</v>
      </c>
      <c r="C438" s="10" t="str">
        <f>IFERROR(__xludf.DUMMYFUNCTION("""COMPUTED_VALUE"""),"strategyeye.com")</f>
        <v>strategyeye.com</v>
      </c>
      <c r="D438" s="11" t="str">
        <f>IFERROR(__xludf.DUMMYFUNCTION("""COMPUTED_VALUE"""),"LISTICLE")</f>
        <v>LISTICLE</v>
      </c>
      <c r="E438" s="11" t="str">
        <f>IFERROR(__xludf.DUMMYFUNCTION("""COMPUTED_VALUE"""),"EDITORIAL")</f>
        <v>EDITORIAL</v>
      </c>
      <c r="F438" s="11" t="str">
        <f>IFERROR(__xludf.DUMMYFUNCTION("""COMPUTED_VALUE"""),"Listicle")</f>
        <v>Listicle</v>
      </c>
      <c r="G438" s="11" t="b">
        <f>IFERROR(__xludf.DUMMYFUNCTION("""COMPUTED_VALUE"""),FALSE)</f>
        <v>0</v>
      </c>
      <c r="H438" s="11" t="str">
        <f>IFERROR(__xludf.DUMMYFUNCTION("""COMPUTED_VALUE"""),"Merkle, Tinuiti, Wpromote, Metric Theory, iProspect, Brainlabs, PMG")</f>
        <v>Merkle, Tinuiti, Wpromote, Metric Theory, iProspect, Brainlabs, PMG</v>
      </c>
      <c r="I438" s="11">
        <f>IFERROR(__xludf.DUMMYFUNCTION("""COMPUTED_VALUE"""),4.0)</f>
        <v>4</v>
      </c>
      <c r="J438" s="11">
        <f>IFERROR(__xludf.DUMMYFUNCTION("""COMPUTED_VALUE"""),0.0)</f>
        <v>0</v>
      </c>
      <c r="K438" s="11">
        <f>IFERROR(__xludf.DUMMYFUNCTION("""COMPUTED_VALUE"""),0.5)</f>
        <v>0.5</v>
      </c>
      <c r="L438" s="11"/>
    </row>
    <row r="439" ht="15.75" customHeight="1">
      <c r="A439" s="10" t="str">
        <f>IFERROR(__xludf.DUMMYFUNCTION("""COMPUTED_VALUE"""),"https://www.thegrowthsyndicate.com/agencies/best-b2b-google-ads-agencies-us")</f>
        <v>https://www.thegrowthsyndicate.com/agencies/best-b2b-google-ads-agencies-us</v>
      </c>
      <c r="B439" s="11" t="str">
        <f>IFERROR(__xludf.DUMMYFUNCTION("""COMPUTED_VALUE"""),"15 Best B2B Google Ads Agencies in the US in 2026")</f>
        <v>15 Best B2B Google Ads Agencies in the US in 2026</v>
      </c>
      <c r="C439" s="10" t="str">
        <f>IFERROR(__xludf.DUMMYFUNCTION("""COMPUTED_VALUE"""),"thegrowthsyndicate.com")</f>
        <v>thegrowthsyndicate.com</v>
      </c>
      <c r="D439" s="11" t="str">
        <f>IFERROR(__xludf.DUMMYFUNCTION("""COMPUTED_VALUE"""),"LISTICLE")</f>
        <v>LISTICLE</v>
      </c>
      <c r="E439" s="11" t="str">
        <f>IFERROR(__xludf.DUMMYFUNCTION("""COMPUTED_VALUE"""),"CORPORATE")</f>
        <v>CORPORATE</v>
      </c>
      <c r="F439" s="11" t="str">
        <f>IFERROR(__xludf.DUMMYFUNCTION("""COMPUTED_VALUE"""),"Listicle")</f>
        <v>Listicle</v>
      </c>
      <c r="G439" s="11" t="b">
        <f>IFERROR(__xludf.DUMMYFUNCTION("""COMPUTED_VALUE"""),FALSE)</f>
        <v>0</v>
      </c>
      <c r="H439" s="11" t="str">
        <f>IFERROR(__xludf.DUMMYFUNCTION("""COMPUTED_VALUE"""),"Directive, Disruptive Advertising, KlientBoost, Single Grain, Tinuiti, Brainlabs, HawkSEM, AdVenture Media, Silverback Strategies, Clutch, Seer Interactive, Metric Theory, Monks")</f>
        <v>Directive, Disruptive Advertising, KlientBoost, Single Grain, Tinuiti, Brainlabs, HawkSEM, AdVenture Media, Silverback Strategies, Clutch, Seer Interactive, Metric Theory, Monks</v>
      </c>
      <c r="I439" s="11">
        <f>IFERROR(__xludf.DUMMYFUNCTION("""COMPUTED_VALUE"""),4.0)</f>
        <v>4</v>
      </c>
      <c r="J439" s="11">
        <f>IFERROR(__xludf.DUMMYFUNCTION("""COMPUTED_VALUE"""),0.0)</f>
        <v>0</v>
      </c>
      <c r="K439" s="11">
        <f>IFERROR(__xludf.DUMMYFUNCTION("""COMPUTED_VALUE"""),0.25)</f>
        <v>0.25</v>
      </c>
      <c r="L439" s="11"/>
    </row>
    <row r="440" ht="15.75" customHeight="1">
      <c r="A440" s="10" t="str">
        <f>IFERROR(__xludf.DUMMYFUNCTION("""COMPUTED_VALUE"""),"https://theinklusive.com/blog/best-creative-marketing-agency-partners-for-your-brand/")</f>
        <v>https://theinklusive.com/blog/best-creative-marketing-agency-partners-for-your-brand/</v>
      </c>
      <c r="B440" s="11" t="str">
        <f>IFERROR(__xludf.DUMMYFUNCTION("""COMPUTED_VALUE"""),"15 BEST Creative Marketing Agencies for 2026 (W+K, Ogilvy, Mischief)")</f>
        <v>15 BEST Creative Marketing Agencies for 2026 (W+K, Ogilvy, Mischief)</v>
      </c>
      <c r="C440" s="10" t="str">
        <f>IFERROR(__xludf.DUMMYFUNCTION("""COMPUTED_VALUE"""),"theinklusive.com")</f>
        <v>theinklusive.com</v>
      </c>
      <c r="D440" s="11" t="str">
        <f>IFERROR(__xludf.DUMMYFUNCTION("""COMPUTED_VALUE"""),"LISTICLE")</f>
        <v>LISTICLE</v>
      </c>
      <c r="E440" s="11" t="str">
        <f>IFERROR(__xludf.DUMMYFUNCTION("""COMPUTED_VALUE"""),"CORPORATE")</f>
        <v>CORPORATE</v>
      </c>
      <c r="F440" s="11" t="str">
        <f>IFERROR(__xludf.DUMMYFUNCTION("""COMPUTED_VALUE"""),"Listicle")</f>
        <v>Listicle</v>
      </c>
      <c r="G440" s="11" t="b">
        <f>IFERROR(__xludf.DUMMYFUNCTION("""COMPUTED_VALUE"""),FALSE)</f>
        <v>0</v>
      </c>
      <c r="H440" s="11" t="str">
        <f>IFERROR(__xludf.DUMMYFUNCTION("""COMPUTED_VALUE"""),"Momentum, Wieden+Kennedy, Ogilvy, Giant Spoon")</f>
        <v>Momentum, Wieden+Kennedy, Ogilvy, Giant Spoon</v>
      </c>
      <c r="I440" s="11">
        <f>IFERROR(__xludf.DUMMYFUNCTION("""COMPUTED_VALUE"""),4.0)</f>
        <v>4</v>
      </c>
      <c r="J440" s="11">
        <f>IFERROR(__xludf.DUMMYFUNCTION("""COMPUTED_VALUE"""),0.0)</f>
        <v>0</v>
      </c>
      <c r="K440" s="11">
        <f>IFERROR(__xludf.DUMMYFUNCTION("""COMPUTED_VALUE"""),0.75)</f>
        <v>0.75</v>
      </c>
      <c r="L440" s="11"/>
    </row>
    <row r="441" ht="15.75" customHeight="1">
      <c r="A441" s="10" t="str">
        <f>IFERROR(__xludf.DUMMYFUNCTION("""COMPUTED_VALUE"""),"https://www.thekeenfolks.com/blog-article/best-performance-marketing-agencies#:~:text=Best%20For%3A%20Mid%2Dmarket%20to%20enterprise%20companies%20focused,clients%20a%20concrete%20baseline%20for%20evaluating%20performance.")</f>
        <v>https://www.thekeenfolks.com/blog-article/best-performance-marketing-agencies#:~:text=Best%20For%3A%20Mid%2Dmarket%20to%20enterprise%20companies%20focused,clients%20a%20concrete%20baseline%20for%20evaluating%20performance.</v>
      </c>
      <c r="B441" s="11" t="str">
        <f>IFERROR(__xludf.DUMMYFUNCTION("""COMPUTED_VALUE"""),"The Best Performance Marketing Agencies for Enterprise Growth")</f>
        <v>The Best Performance Marketing Agencies for Enterprise Growth</v>
      </c>
      <c r="C441" s="10" t="str">
        <f>IFERROR(__xludf.DUMMYFUNCTION("""COMPUTED_VALUE"""),"thekeenfolks.com")</f>
        <v>thekeenfolks.com</v>
      </c>
      <c r="D441" s="11" t="str">
        <f>IFERROR(__xludf.DUMMYFUNCTION("""COMPUTED_VALUE"""),"LISTICLE")</f>
        <v>LISTICLE</v>
      </c>
      <c r="E441" s="11" t="str">
        <f>IFERROR(__xludf.DUMMYFUNCTION("""COMPUTED_VALUE"""),"COMPETITOR")</f>
        <v>COMPETITOR</v>
      </c>
      <c r="F441" s="11" t="str">
        <f>IFERROR(__xludf.DUMMYFUNCTION("""COMPUTED_VALUE"""),"Listicle")</f>
        <v>Listicle</v>
      </c>
      <c r="G441" s="11" t="b">
        <f>IFERROR(__xludf.DUMMYFUNCTION("""COMPUTED_VALUE"""),FALSE)</f>
        <v>0</v>
      </c>
      <c r="H441" s="11" t="str">
        <f>IFERROR(__xludf.DUMMYFUNCTION("""COMPUTED_VALUE"""),"Keenfolks, Tinuiti, DEPT, Croud, Ignite Visibility, Disruptive Advertising, WebFX")</f>
        <v>Keenfolks, Tinuiti, DEPT, Croud, Ignite Visibility, Disruptive Advertising, WebFX</v>
      </c>
      <c r="I441" s="11">
        <f>IFERROR(__xludf.DUMMYFUNCTION("""COMPUTED_VALUE"""),4.0)</f>
        <v>4</v>
      </c>
      <c r="J441" s="11">
        <f>IFERROR(__xludf.DUMMYFUNCTION("""COMPUTED_VALUE"""),0.0)</f>
        <v>0</v>
      </c>
      <c r="K441" s="11">
        <f>IFERROR(__xludf.DUMMYFUNCTION("""COMPUTED_VALUE"""),1.5)</f>
        <v>1.5</v>
      </c>
      <c r="L441" s="11"/>
    </row>
    <row r="442" ht="15.75" customHeight="1">
      <c r="A442" s="10" t="str">
        <f>IFERROR(__xludf.DUMMYFUNCTION("""COMPUTED_VALUE"""),"https://themanifest.com/us/ppc/agencies")</f>
        <v>https://themanifest.com/us/ppc/agencies</v>
      </c>
      <c r="B442" s="11" t="str">
        <f>IFERROR(__xludf.DUMMYFUNCTION("""COMPUTED_VALUE"""),"The Best PPC Companies in United States - Jul 2026 | The Manifest")</f>
        <v>The Best PPC Companies in United States - Jul 2026 | The Manifest</v>
      </c>
      <c r="C442" s="10" t="str">
        <f>IFERROR(__xludf.DUMMYFUNCTION("""COMPUTED_VALUE"""),"themanifest.com")</f>
        <v>themanifest.com</v>
      </c>
      <c r="D442" s="11" t="str">
        <f>IFERROR(__xludf.DUMMYFUNCTION("""COMPUTED_VALUE"""),"CATEGORY_PAGE")</f>
        <v>CATEGORY_PAGE</v>
      </c>
      <c r="E442" s="11" t="str">
        <f>IFERROR(__xludf.DUMMYFUNCTION("""COMPUTED_VALUE"""),"REFERENCE")</f>
        <v>REFERENCE</v>
      </c>
      <c r="F442" s="11" t="str">
        <f>IFERROR(__xludf.DUMMYFUNCTION("""COMPUTED_VALUE"""),"Category Page")</f>
        <v>Category Page</v>
      </c>
      <c r="G442" s="11" t="b">
        <f>IFERROR(__xludf.DUMMYFUNCTION("""COMPUTED_VALUE"""),FALSE)</f>
        <v>0</v>
      </c>
      <c r="H442" s="11" t="str">
        <f>IFERROR(__xludf.DUMMYFUNCTION("""COMPUTED_VALUE"""),"Clutch, KlientBoost, Disruptive Advertising, AdVenture Media, HawkSEM, SmartSites, Intero Digital, Elit-Web, NinjaPromo, Funnel Boost Media, LYFE Marketing")</f>
        <v>Clutch, KlientBoost, Disruptive Advertising, AdVenture Media, HawkSEM, SmartSites, Intero Digital, Elit-Web, NinjaPromo, Funnel Boost Media, LYFE Marketing</v>
      </c>
      <c r="I442" s="11">
        <f>IFERROR(__xludf.DUMMYFUNCTION("""COMPUTED_VALUE"""),4.0)</f>
        <v>4</v>
      </c>
      <c r="J442" s="11">
        <f>IFERROR(__xludf.DUMMYFUNCTION("""COMPUTED_VALUE"""),0.0)</f>
        <v>0</v>
      </c>
      <c r="K442" s="11">
        <f>IFERROR(__xludf.DUMMYFUNCTION("""COMPUTED_VALUE"""),0.0)</f>
        <v>0</v>
      </c>
      <c r="L442" s="11"/>
    </row>
    <row r="443" ht="15.75" customHeight="1">
      <c r="A443" s="10" t="str">
        <f>IFERROR(__xludf.DUMMYFUNCTION("""COMPUTED_VALUE"""),"https://www.todaymade.com/blog/top-creative-agencies#:~:text=Core%20services%3A%20%2D%20Brand%20strategy%20%26%20positioning.,Ogilvy%2C%20with%20today's%20smartest%20data%20and%20technology.")</f>
        <v>https://www.todaymade.com/blog/top-creative-agencies#:~:text=Core%20services%3A%20%2D%20Brand%20strategy%20%26%20positioning.,Ogilvy%2C%20with%20today's%20smartest%20data%20and%20technology.</v>
      </c>
      <c r="B443" s="11" t="str">
        <f>IFERROR(__xludf.DUMMYFUNCTION("""COMPUTED_VALUE"""),"Top Creative Agencies in 2025. Ranked &amp;amp; Matched to Your Goals")</f>
        <v>Top Creative Agencies in 2025. Ranked &amp;amp; Matched to Your Goals</v>
      </c>
      <c r="C443" s="10" t="str">
        <f>IFERROR(__xludf.DUMMYFUNCTION("""COMPUTED_VALUE"""),"todaymade.com")</f>
        <v>todaymade.com</v>
      </c>
      <c r="D443" s="11" t="str">
        <f>IFERROR(__xludf.DUMMYFUNCTION("""COMPUTED_VALUE"""),"OTHER")</f>
        <v>OTHER</v>
      </c>
      <c r="E443" s="11" t="str">
        <f>IFERROR(__xludf.DUMMYFUNCTION("""COMPUTED_VALUE"""),"CORPORATE")</f>
        <v>CORPORATE</v>
      </c>
      <c r="F443" s="11" t="str">
        <f>IFERROR(__xludf.DUMMYFUNCTION("""COMPUTED_VALUE"""),"Other")</f>
        <v>Other</v>
      </c>
      <c r="G443" s="11" t="b">
        <f>IFERROR(__xludf.DUMMYFUNCTION("""COMPUTED_VALUE"""),FALSE)</f>
        <v>0</v>
      </c>
      <c r="H443" s="11" t="str">
        <f>IFERROR(__xludf.DUMMYFUNCTION("""COMPUTED_VALUE"""),"Wieden+Kennedy, Ogilvy, WPP, BBDO, Huge, Superside, R/GA, AKQA, Droga5, Accenture Song, Graphite, TBWA\Chiat\Day, Publicis Groupe, Dentsu, Pentagram, Monks, Clay, Momentum")</f>
        <v>Wieden+Kennedy, Ogilvy, WPP, BBDO, Huge, Superside, R/GA, AKQA, Droga5, Accenture Song, Graphite, TBWA\Chiat\Day, Publicis Groupe, Dentsu, Pentagram, Monks, Clay, Momentum</v>
      </c>
      <c r="I443" s="11">
        <f>IFERROR(__xludf.DUMMYFUNCTION("""COMPUTED_VALUE"""),4.0)</f>
        <v>4</v>
      </c>
      <c r="J443" s="11">
        <f>IFERROR(__xludf.DUMMYFUNCTION("""COMPUTED_VALUE"""),0.0)</f>
        <v>0</v>
      </c>
      <c r="K443" s="11">
        <f>IFERROR(__xludf.DUMMYFUNCTION("""COMPUTED_VALUE"""),2.0)</f>
        <v>2</v>
      </c>
      <c r="L443" s="11"/>
    </row>
    <row r="444" ht="15.75" customHeight="1">
      <c r="A444" s="10" t="str">
        <f>IFERROR(__xludf.DUMMYFUNCTION("""COMPUTED_VALUE"""),"https://www.uforocks.com/blog/top-ppc-agencies-in-the-u-s/")</f>
        <v>https://www.uforocks.com/blog/top-ppc-agencies-in-the-u-s/</v>
      </c>
      <c r="B444" s="11" t="str">
        <f>IFERROR(__xludf.DUMMYFUNCTION("""COMPUTED_VALUE"""),"Top PPC Agencies in the U.S. - UFO Digital Marketing Agency")</f>
        <v>Top PPC Agencies in the U.S. - UFO Digital Marketing Agency</v>
      </c>
      <c r="C444" s="10" t="str">
        <f>IFERROR(__xludf.DUMMYFUNCTION("""COMPUTED_VALUE"""),"uforocks.com")</f>
        <v>uforocks.com</v>
      </c>
      <c r="D444" s="11" t="str">
        <f>IFERROR(__xludf.DUMMYFUNCTION("""COMPUTED_VALUE"""),"LISTICLE")</f>
        <v>LISTICLE</v>
      </c>
      <c r="E444" s="11" t="str">
        <f>IFERROR(__xludf.DUMMYFUNCTION("""COMPUTED_VALUE"""),"CORPORATE")</f>
        <v>CORPORATE</v>
      </c>
      <c r="F444" s="11" t="str">
        <f>IFERROR(__xludf.DUMMYFUNCTION("""COMPUTED_VALUE"""),"Listicle")</f>
        <v>Listicle</v>
      </c>
      <c r="G444" s="11" t="b">
        <f>IFERROR(__xludf.DUMMYFUNCTION("""COMPUTED_VALUE"""),FALSE)</f>
        <v>0</v>
      </c>
      <c r="H444" s="11" t="str">
        <f>IFERROR(__xludf.DUMMYFUNCTION("""COMPUTED_VALUE"""),"AdVenture Media, Directive, Disruptive Advertising, Ignite Visibility, KlientBoost, MuteSix, Dentsu, NP Digital, Seer Interactive, Silverback Strategies, SmartSites, Thrive Internet Marketing Agency, Tinuiti, WebFX, Wpromote")</f>
        <v>AdVenture Media, Directive, Disruptive Advertising, Ignite Visibility, KlientBoost, MuteSix, Dentsu, NP Digital, Seer Interactive, Silverback Strategies, SmartSites, Thrive Internet Marketing Agency, Tinuiti, WebFX, Wpromote</v>
      </c>
      <c r="I444" s="11">
        <f>IFERROR(__xludf.DUMMYFUNCTION("""COMPUTED_VALUE"""),4.0)</f>
        <v>4</v>
      </c>
      <c r="J444" s="11">
        <f>IFERROR(__xludf.DUMMYFUNCTION("""COMPUTED_VALUE"""),0.0)</f>
        <v>0</v>
      </c>
      <c r="K444" s="11">
        <f>IFERROR(__xludf.DUMMYFUNCTION("""COMPUTED_VALUE"""),0.0)</f>
        <v>0</v>
      </c>
      <c r="L444" s="11"/>
    </row>
    <row r="445" ht="15.75" customHeight="1">
      <c r="A445" s="10" t="str">
        <f>IFERROR(__xludf.DUMMYFUNCTION("""COMPUTED_VALUE"""),"https://www.webtonic.io/blog/top-enterprise-digital-marketing-agencies#:~:text=Their%20capabilities%20include%20advanced%20analytics%2C%20marketing%20automation,Columbia%20(Maryland)%2C%20New%20York%2C%20London%2C%20Global%20offices.")</f>
        <v>https://www.webtonic.io/blog/top-enterprise-digital-marketing-agencies#:~:text=Their%20capabilities%20include%20advanced%20analytics%2C%20marketing%20automation,Columbia%20(Maryland)%2C%20New%20York%2C%20London%2C%20Global%20offices.</v>
      </c>
      <c r="B445" s="11" t="str">
        <f>IFERROR(__xludf.DUMMYFUNCTION("""COMPUTED_VALUE"""),"40 Top Enterprise Digital Marketing Agencies for 2026")</f>
        <v>40 Top Enterprise Digital Marketing Agencies for 2026</v>
      </c>
      <c r="C445" s="10" t="str">
        <f>IFERROR(__xludf.DUMMYFUNCTION("""COMPUTED_VALUE"""),"webtonic.io")</f>
        <v>webtonic.io</v>
      </c>
      <c r="D445" s="11" t="str">
        <f>IFERROR(__xludf.DUMMYFUNCTION("""COMPUTED_VALUE"""),"LISTICLE")</f>
        <v>LISTICLE</v>
      </c>
      <c r="E445" s="11" t="str">
        <f>IFERROR(__xludf.DUMMYFUNCTION("""COMPUTED_VALUE"""),"COMPETITOR")</f>
        <v>COMPETITOR</v>
      </c>
      <c r="F445" s="11" t="str">
        <f>IFERROR(__xludf.DUMMYFUNCTION("""COMPUTED_VALUE"""),"Listicle")</f>
        <v>Listicle</v>
      </c>
      <c r="G445" s="11" t="b">
        <f>IFERROR(__xludf.DUMMYFUNCTION("""COMPUTED_VALUE"""),FALSE)</f>
        <v>0</v>
      </c>
      <c r="H445" s="11" t="str">
        <f>IFERROR(__xludf.DUMMYFUNCTION("""COMPUTED_VALUE"""),"Web Tonic, Publicis Sapient, Merkle, Dentsu, Accenture Song, VML, Deloitte Digital, iProspect, R/GA, Huge, Digitas, Epsilon, PwC, Ogilvy, IBM, GroupM, DEPT, WPP")</f>
        <v>Web Tonic, Publicis Sapient, Merkle, Dentsu, Accenture Song, VML, Deloitte Digital, iProspect, R/GA, Huge, Digitas, Epsilon, PwC, Ogilvy, IBM, GroupM, DEPT, WPP</v>
      </c>
      <c r="I445" s="11">
        <f>IFERROR(__xludf.DUMMYFUNCTION("""COMPUTED_VALUE"""),4.0)</f>
        <v>4</v>
      </c>
      <c r="J445" s="11">
        <f>IFERROR(__xludf.DUMMYFUNCTION("""COMPUTED_VALUE"""),0.0)</f>
        <v>0</v>
      </c>
      <c r="K445" s="11">
        <f>IFERROR(__xludf.DUMMYFUNCTION("""COMPUTED_VALUE"""),1.75)</f>
        <v>1.75</v>
      </c>
      <c r="L445" s="11"/>
    </row>
    <row r="446" ht="15.75" customHeight="1">
      <c r="A446" s="10" t="str">
        <f>IFERROR(__xludf.DUMMYFUNCTION("""COMPUTED_VALUE"""),"https://www.webtonic.io/blog/top-paid-media-agencies")</f>
        <v>https://www.webtonic.io/blog/top-paid-media-agencies</v>
      </c>
      <c r="B446" s="11" t="str">
        <f>IFERROR(__xludf.DUMMYFUNCTION("""COMPUTED_VALUE"""),"The 51 Top Paid Media Agencies as of 2026")</f>
        <v>The 51 Top Paid Media Agencies as of 2026</v>
      </c>
      <c r="C446" s="10" t="str">
        <f>IFERROR(__xludf.DUMMYFUNCTION("""COMPUTED_VALUE"""),"webtonic.io")</f>
        <v>webtonic.io</v>
      </c>
      <c r="D446" s="11" t="str">
        <f>IFERROR(__xludf.DUMMYFUNCTION("""COMPUTED_VALUE"""),"LISTICLE")</f>
        <v>LISTICLE</v>
      </c>
      <c r="E446" s="11" t="str">
        <f>IFERROR(__xludf.DUMMYFUNCTION("""COMPUTED_VALUE"""),"COMPETITOR")</f>
        <v>COMPETITOR</v>
      </c>
      <c r="F446" s="11" t="str">
        <f>IFERROR(__xludf.DUMMYFUNCTION("""COMPUTED_VALUE"""),"Listicle")</f>
        <v>Listicle</v>
      </c>
      <c r="G446" s="11" t="b">
        <f>IFERROR(__xludf.DUMMYFUNCTION("""COMPUTED_VALUE"""),TRUE)</f>
        <v>1</v>
      </c>
      <c r="H446" s="11" t="str">
        <f>IFERROR(__xludf.DUMMYFUNCTION("""COMPUTED_VALUE"""),"Web Tonic, Tinuiti, Wpromote, TransUnion, Jellyfish, Merkle, Dentsu, Brainlabs, DEPT, GroupM, Metric Theory, KlientBoost, Power Digital, Disruptive Advertising, AdVenture Media, PMG, Directive, Incubeta, Hawke Media, MuteSix, Amsive")</f>
        <v>Web Tonic, Tinuiti, Wpromote, TransUnion, Jellyfish, Merkle, Dentsu, Brainlabs, DEPT, GroupM, Metric Theory, KlientBoost, Power Digital, Disruptive Advertising, AdVenture Media, PMG, Directive, Incubeta, Hawke Media, MuteSix, Amsive</v>
      </c>
      <c r="I446" s="11">
        <f>IFERROR(__xludf.DUMMYFUNCTION("""COMPUTED_VALUE"""),4.0)</f>
        <v>4</v>
      </c>
      <c r="J446" s="11">
        <f>IFERROR(__xludf.DUMMYFUNCTION("""COMPUTED_VALUE"""),0.0)</f>
        <v>0</v>
      </c>
      <c r="K446" s="11">
        <f>IFERROR(__xludf.DUMMYFUNCTION("""COMPUTED_VALUE"""),1.75)</f>
        <v>1.75</v>
      </c>
      <c r="L446" s="11"/>
    </row>
    <row r="447" ht="15.75" customHeight="1">
      <c r="A447" s="10" t="str">
        <f>IFERROR(__xludf.DUMMYFUNCTION("""COMPUTED_VALUE"""),"https://www.youtube.com/watch?v=Zyd_x8Z9J7I&amp;t=92")</f>
        <v>https://www.youtube.com/watch?v=Zyd_x8Z9J7I&amp;t=92</v>
      </c>
      <c r="B447" s="11" t="str">
        <f>IFERROR(__xludf.DUMMYFUNCTION("""COMPUTED_VALUE"""),"Best Digital Performance Marketing Companies")</f>
        <v>Best Digital Performance Marketing Companies</v>
      </c>
      <c r="C447" s="10" t="str">
        <f>IFERROR(__xludf.DUMMYFUNCTION("""COMPUTED_VALUE"""),"youtube.com")</f>
        <v>youtube.com</v>
      </c>
      <c r="D447" s="11" t="str">
        <f>IFERROR(__xludf.DUMMYFUNCTION("""COMPUTED_VALUE"""),"LISTICLE")</f>
        <v>LISTICLE</v>
      </c>
      <c r="E447" s="11" t="str">
        <f>IFERROR(__xludf.DUMMYFUNCTION("""COMPUTED_VALUE"""),"UGC")</f>
        <v>UGC</v>
      </c>
      <c r="F447" s="11" t="str">
        <f>IFERROR(__xludf.DUMMYFUNCTION("""COMPUTED_VALUE"""),"Listicle")</f>
        <v>Listicle</v>
      </c>
      <c r="G447" s="11" t="b">
        <f>IFERROR(__xludf.DUMMYFUNCTION("""COMPUTED_VALUE"""),FALSE)</f>
        <v>0</v>
      </c>
      <c r="H447" s="11" t="str">
        <f>IFERROR(__xludf.DUMMYFUNCTION("""COMPUTED_VALUE"""),"Tinuiti, Wpromote, Single Grain, Right Side Up")</f>
        <v>Tinuiti, Wpromote, Single Grain, Right Side Up</v>
      </c>
      <c r="I447" s="11">
        <f>IFERROR(__xludf.DUMMYFUNCTION("""COMPUTED_VALUE"""),4.0)</f>
        <v>4</v>
      </c>
      <c r="J447" s="11">
        <f>IFERROR(__xludf.DUMMYFUNCTION("""COMPUTED_VALUE"""),0.0)</f>
        <v>0</v>
      </c>
      <c r="K447" s="11">
        <f>IFERROR(__xludf.DUMMYFUNCTION("""COMPUTED_VALUE"""),1.0)</f>
        <v>1</v>
      </c>
      <c r="L447" s="11"/>
    </row>
    <row r="448" ht="15.75" customHeight="1">
      <c r="A448" s="10" t="str">
        <f>IFERROR(__xludf.DUMMYFUNCTION("""COMPUTED_VALUE"""),"https://zipdo.co/service/display-advertising/")</f>
        <v>https://zipdo.co/service/display-advertising/</v>
      </c>
      <c r="B448" s="11" t="str">
        <f>IFERROR(__xludf.DUMMYFUNCTION("""COMPUTED_VALUE"""),"Top 10 Best Display Advertising Services | Tested in 2026")</f>
        <v>Top 10 Best Display Advertising Services | Tested in 2026</v>
      </c>
      <c r="C448" s="10" t="str">
        <f>IFERROR(__xludf.DUMMYFUNCTION("""COMPUTED_VALUE"""),"zipdo.co")</f>
        <v>zipdo.co</v>
      </c>
      <c r="D448" s="11" t="str">
        <f>IFERROR(__xludf.DUMMYFUNCTION("""COMPUTED_VALUE"""),"OTHER")</f>
        <v>OTHER</v>
      </c>
      <c r="E448" s="11" t="str">
        <f>IFERROR(__xludf.DUMMYFUNCTION("""COMPUTED_VALUE"""),"REFERENCE")</f>
        <v>REFERENCE</v>
      </c>
      <c r="F448" s="11" t="str">
        <f>IFERROR(__xludf.DUMMYFUNCTION("""COMPUTED_VALUE"""),"Other")</f>
        <v>Other</v>
      </c>
      <c r="G448" s="11" t="b">
        <f>IFERROR(__xludf.DUMMYFUNCTION("""COMPUTED_VALUE"""),FALSE)</f>
        <v>0</v>
      </c>
      <c r="H448" s="11" t="str">
        <f>IFERROR(__xludf.DUMMYFUNCTION("""COMPUTED_VALUE"""),"Merkle, Dentsu, WPP, Publicis Groupe, GroupM, Jellyfish, Clutch")</f>
        <v>Merkle, Dentsu, WPP, Publicis Groupe, GroupM, Jellyfish, Clutch</v>
      </c>
      <c r="I448" s="11">
        <f>IFERROR(__xludf.DUMMYFUNCTION("""COMPUTED_VALUE"""),4.0)</f>
        <v>4</v>
      </c>
      <c r="J448" s="11">
        <f>IFERROR(__xludf.DUMMYFUNCTION("""COMPUTED_VALUE"""),0.0)</f>
        <v>0</v>
      </c>
      <c r="K448" s="11">
        <f>IFERROR(__xludf.DUMMYFUNCTION("""COMPUTED_VALUE"""),0.0)</f>
        <v>0</v>
      </c>
      <c r="L448" s="11"/>
    </row>
    <row r="449" ht="15.75" customHeight="1">
      <c r="A449" s="10" t="str">
        <f>IFERROR(__xludf.DUMMYFUNCTION("""COMPUTED_VALUE"""),"https://www.accuracast.com/articles/multilingual-7471/top-10-international-digital-marketing-agencies-2026/")</f>
        <v>https://www.accuracast.com/articles/multilingual-7471/top-10-international-digital-marketing-agencies-2026/</v>
      </c>
      <c r="B449" s="11" t="str">
        <f>IFERROR(__xludf.DUMMYFUNCTION("""COMPUTED_VALUE"""),"Top 10 International Digital Marketing Agencies 2026 - Accuracast")</f>
        <v>Top 10 International Digital Marketing Agencies 2026 - Accuracast</v>
      </c>
      <c r="C449" s="10" t="str">
        <f>IFERROR(__xludf.DUMMYFUNCTION("""COMPUTED_VALUE"""),"accuracast.com")</f>
        <v>accuracast.com</v>
      </c>
      <c r="D449" s="11" t="str">
        <f>IFERROR(__xludf.DUMMYFUNCTION("""COMPUTED_VALUE"""),"LISTICLE")</f>
        <v>LISTICLE</v>
      </c>
      <c r="E449" s="11" t="str">
        <f>IFERROR(__xludf.DUMMYFUNCTION("""COMPUTED_VALUE"""),"CORPORATE")</f>
        <v>CORPORATE</v>
      </c>
      <c r="F449" s="11" t="str">
        <f>IFERROR(__xludf.DUMMYFUNCTION("""COMPUTED_VALUE"""),"Listicle")</f>
        <v>Listicle</v>
      </c>
      <c r="G449" s="11" t="b">
        <f>IFERROR(__xludf.DUMMYFUNCTION("""COMPUTED_VALUE"""),FALSE)</f>
        <v>0</v>
      </c>
      <c r="H449" s="11" t="str">
        <f>IFERROR(__xludf.DUMMYFUNCTION("""COMPUTED_VALUE"""),"WebFX, Disruptive Advertising, iProspect, Ignite Visibility, SmartSites, Jellyfish, Accenture Song, Thrive Internet Marketing Agency, NoGood")</f>
        <v>WebFX, Disruptive Advertising, iProspect, Ignite Visibility, SmartSites, Jellyfish, Accenture Song, Thrive Internet Marketing Agency, NoGood</v>
      </c>
      <c r="I449" s="11">
        <f>IFERROR(__xludf.DUMMYFUNCTION("""COMPUTED_VALUE"""),3.0)</f>
        <v>3</v>
      </c>
      <c r="J449" s="11">
        <f>IFERROR(__xludf.DUMMYFUNCTION("""COMPUTED_VALUE"""),0.0)</f>
        <v>0</v>
      </c>
      <c r="K449" s="11">
        <f>IFERROR(__xludf.DUMMYFUNCTION("""COMPUTED_VALUE"""),0.0)</f>
        <v>0</v>
      </c>
      <c r="L449" s="11"/>
    </row>
    <row r="450" ht="15.75" customHeight="1">
      <c r="A450" s="10" t="str">
        <f>IFERROR(__xludf.DUMMYFUNCTION("""COMPUTED_VALUE"""),"https://www.adogy.com/the-top-generative-engine-optimization-geo-agencies/")</f>
        <v>https://www.adogy.com/the-top-generative-engine-optimization-geo-agencies/</v>
      </c>
      <c r="B450" s="11" t="str">
        <f>IFERROR(__xludf.DUMMYFUNCTION("""COMPUTED_VALUE"""),"Best Generative Engine Optimization (GEO) Agencies of 2026")</f>
        <v>Best Generative Engine Optimization (GEO) Agencies of 2026</v>
      </c>
      <c r="C450" s="10" t="str">
        <f>IFERROR(__xludf.DUMMYFUNCTION("""COMPUTED_VALUE"""),"adogy.com")</f>
        <v>adogy.com</v>
      </c>
      <c r="D450" s="11" t="str">
        <f>IFERROR(__xludf.DUMMYFUNCTION("""COMPUTED_VALUE"""),"LISTICLE")</f>
        <v>LISTICLE</v>
      </c>
      <c r="E450" s="11" t="str">
        <f>IFERROR(__xludf.DUMMYFUNCTION("""COMPUTED_VALUE"""),"CORPORATE")</f>
        <v>CORPORATE</v>
      </c>
      <c r="F450" s="11" t="str">
        <f>IFERROR(__xludf.DUMMYFUNCTION("""COMPUTED_VALUE"""),"Listicle")</f>
        <v>Listicle</v>
      </c>
      <c r="G450" s="11" t="b">
        <f>IFERROR(__xludf.DUMMYFUNCTION("""COMPUTED_VALUE"""),FALSE)</f>
        <v>0</v>
      </c>
      <c r="H450" s="11" t="str">
        <f>IFERROR(__xludf.DUMMYFUNCTION("""COMPUTED_VALUE"""),"NoGood, Intero Digital, Avenue Z, Omniscient Digital, First Page Sage")</f>
        <v>NoGood, Intero Digital, Avenue Z, Omniscient Digital, First Page Sage</v>
      </c>
      <c r="I450" s="11">
        <f>IFERROR(__xludf.DUMMYFUNCTION("""COMPUTED_VALUE"""),3.0)</f>
        <v>3</v>
      </c>
      <c r="J450" s="11">
        <f>IFERROR(__xludf.DUMMYFUNCTION("""COMPUTED_VALUE"""),0.0)</f>
        <v>0</v>
      </c>
      <c r="K450" s="11">
        <f>IFERROR(__xludf.DUMMYFUNCTION("""COMPUTED_VALUE"""),1.33)</f>
        <v>1.33</v>
      </c>
      <c r="L450" s="11"/>
    </row>
    <row r="451" ht="15.75" customHeight="1">
      <c r="A451" s="10" t="str">
        <f>IFERROR(__xludf.DUMMYFUNCTION("""COMPUTED_VALUE"""),"https://agencies.semrush.com/list/analytics-data-science/business-professional-services/united-states/")</f>
        <v>https://agencies.semrush.com/list/analytics-data-science/business-professional-services/united-states/</v>
      </c>
      <c r="B451" s="11" t="str">
        <f>IFERROR(__xludf.DUMMYFUNCTION("""COMPUTED_VALUE"""),"Best B2B Services Data Analytics Services in United States 2026 | Semrush")</f>
        <v>Best B2B Services Data Analytics Services in United States 2026 | Semrush</v>
      </c>
      <c r="C451" s="10" t="str">
        <f>IFERROR(__xludf.DUMMYFUNCTION("""COMPUTED_VALUE"""),"semrush.com")</f>
        <v>semrush.com</v>
      </c>
      <c r="D451" s="11" t="str">
        <f>IFERROR(__xludf.DUMMYFUNCTION("""COMPUTED_VALUE"""),"CATEGORY_PAGE")</f>
        <v>CATEGORY_PAGE</v>
      </c>
      <c r="E451" s="11" t="str">
        <f>IFERROR(__xludf.DUMMYFUNCTION("""COMPUTED_VALUE"""),"CORPORATE")</f>
        <v>CORPORATE</v>
      </c>
      <c r="F451" s="11" t="str">
        <f>IFERROR(__xludf.DUMMYFUNCTION("""COMPUTED_VALUE"""),"Category Page")</f>
        <v>Category Page</v>
      </c>
      <c r="G451" s="11" t="b">
        <f>IFERROR(__xludf.DUMMYFUNCTION("""COMPUTED_VALUE"""),FALSE)</f>
        <v>0</v>
      </c>
      <c r="H451" s="11" t="str">
        <f>IFERROR(__xludf.DUMMYFUNCTION("""COMPUTED_VALUE"""),"LYFE Marketing, Elit-Web, Silverback Strategies, WebFX")</f>
        <v>LYFE Marketing, Elit-Web, Silverback Strategies, WebFX</v>
      </c>
      <c r="I451" s="11">
        <f>IFERROR(__xludf.DUMMYFUNCTION("""COMPUTED_VALUE"""),3.0)</f>
        <v>3</v>
      </c>
      <c r="J451" s="11">
        <f>IFERROR(__xludf.DUMMYFUNCTION("""COMPUTED_VALUE"""),0.0)</f>
        <v>0</v>
      </c>
      <c r="K451" s="11">
        <f>IFERROR(__xludf.DUMMYFUNCTION("""COMPUTED_VALUE"""),0.0)</f>
        <v>0</v>
      </c>
      <c r="L451" s="11"/>
    </row>
    <row r="452" ht="15.75" customHeight="1">
      <c r="A452" s="10" t="str">
        <f>IFERROR(__xludf.DUMMYFUNCTION("""COMPUTED_VALUE"""),"https://agencies.semrush.com/list/display-advertising/ecommerce/united-states/")</f>
        <v>https://agencies.semrush.com/list/display-advertising/ecommerce/united-states/</v>
      </c>
      <c r="B452" s="11" t="str">
        <f>IFERROR(__xludf.DUMMYFUNCTION("""COMPUTED_VALUE"""),"Best Ecommerce Display Ads Agencies in United States 2026 | Semrush")</f>
        <v>Best Ecommerce Display Ads Agencies in United States 2026 | Semrush</v>
      </c>
      <c r="C452" s="10" t="str">
        <f>IFERROR(__xludf.DUMMYFUNCTION("""COMPUTED_VALUE"""),"semrush.com")</f>
        <v>semrush.com</v>
      </c>
      <c r="D452" s="11" t="str">
        <f>IFERROR(__xludf.DUMMYFUNCTION("""COMPUTED_VALUE"""),"CATEGORY_PAGE")</f>
        <v>CATEGORY_PAGE</v>
      </c>
      <c r="E452" s="11" t="str">
        <f>IFERROR(__xludf.DUMMYFUNCTION("""COMPUTED_VALUE"""),"CORPORATE")</f>
        <v>CORPORATE</v>
      </c>
      <c r="F452" s="11" t="str">
        <f>IFERROR(__xludf.DUMMYFUNCTION("""COMPUTED_VALUE"""),"Category Page")</f>
        <v>Category Page</v>
      </c>
      <c r="G452" s="11" t="b">
        <f>IFERROR(__xludf.DUMMYFUNCTION("""COMPUTED_VALUE"""),FALSE)</f>
        <v>0</v>
      </c>
      <c r="H452" s="11" t="str">
        <f>IFERROR(__xludf.DUMMYFUNCTION("""COMPUTED_VALUE"""),"SmartSites, Elit-Web, Brighter Click, Silverback Strategies")</f>
        <v>SmartSites, Elit-Web, Brighter Click, Silverback Strategies</v>
      </c>
      <c r="I452" s="11">
        <f>IFERROR(__xludf.DUMMYFUNCTION("""COMPUTED_VALUE"""),3.0)</f>
        <v>3</v>
      </c>
      <c r="J452" s="11">
        <f>IFERROR(__xludf.DUMMYFUNCTION("""COMPUTED_VALUE"""),0.0)</f>
        <v>0</v>
      </c>
      <c r="K452" s="11">
        <f>IFERROR(__xludf.DUMMYFUNCTION("""COMPUTED_VALUE"""),0.0)</f>
        <v>0</v>
      </c>
      <c r="L452" s="11"/>
    </row>
    <row r="453" ht="15.75" customHeight="1">
      <c r="A453" s="10" t="str">
        <f>IFERROR(__xludf.DUMMYFUNCTION("""COMPUTED_VALUE"""),"https://aiinsiderdaily.com/ai-tools-reviews/ai-agency-guide-2025/")</f>
        <v>https://aiinsiderdaily.com/ai-tools-reviews/ai-agency-guide-2025/</v>
      </c>
      <c r="B453" s="11" t="str">
        <f>IFERROR(__xludf.DUMMYFUNCTION("""COMPUTED_VALUE"""),"AI Agency Guide 2025: Top 20 Best AI Agent Companies in the USA | AI Insider Daily")</f>
        <v>AI Agency Guide 2025: Top 20 Best AI Agent Companies in the USA | AI Insider Daily</v>
      </c>
      <c r="C453" s="10" t="str">
        <f>IFERROR(__xludf.DUMMYFUNCTION("""COMPUTED_VALUE"""),"aiinsiderdaily.com")</f>
        <v>aiinsiderdaily.com</v>
      </c>
      <c r="D453" s="11" t="str">
        <f>IFERROR(__xludf.DUMMYFUNCTION("""COMPUTED_VALUE"""),"LISTICLE")</f>
        <v>LISTICLE</v>
      </c>
      <c r="E453" s="11" t="str">
        <f>IFERROR(__xludf.DUMMYFUNCTION("""COMPUTED_VALUE"""),"EDITORIAL")</f>
        <v>EDITORIAL</v>
      </c>
      <c r="F453" s="11" t="str">
        <f>IFERROR(__xludf.DUMMYFUNCTION("""COMPUTED_VALUE"""),"Listicle")</f>
        <v>Listicle</v>
      </c>
      <c r="G453" s="11" t="b">
        <f>IFERROR(__xludf.DUMMYFUNCTION("""COMPUTED_VALUE"""),FALSE)</f>
        <v>0</v>
      </c>
      <c r="H453" s="11" t="str">
        <f>IFERROR(__xludf.DUMMYFUNCTION("""COMPUTED_VALUE"""),"IBM")</f>
        <v>IBM</v>
      </c>
      <c r="I453" s="11">
        <f>IFERROR(__xludf.DUMMYFUNCTION("""COMPUTED_VALUE"""),3.0)</f>
        <v>3</v>
      </c>
      <c r="J453" s="11">
        <f>IFERROR(__xludf.DUMMYFUNCTION("""COMPUTED_VALUE"""),0.0)</f>
        <v>0</v>
      </c>
      <c r="K453" s="11">
        <f>IFERROR(__xludf.DUMMYFUNCTION("""COMPUTED_VALUE"""),0.0)</f>
        <v>0</v>
      </c>
      <c r="L453" s="11"/>
    </row>
    <row r="454" ht="15.75" customHeight="1">
      <c r="A454" s="10" t="str">
        <f>IFERROR(__xludf.DUMMYFUNCTION("""COMPUTED_VALUE"""),"https://avenuez.com/blog/top-answer-engine-optimization-aeo-agencies/")</f>
        <v>https://avenuez.com/blog/top-answer-engine-optimization-aeo-agencies/</v>
      </c>
      <c r="B454" s="11" t="str">
        <f>IFERROR(__xludf.DUMMYFUNCTION("""COMPUTED_VALUE"""),"Top Answer Engine Optimization (AEO) Agencies of 2025 - Avenue Z")</f>
        <v>Top Answer Engine Optimization (AEO) Agencies of 2025 - Avenue Z</v>
      </c>
      <c r="C454" s="10" t="str">
        <f>IFERROR(__xludf.DUMMYFUNCTION("""COMPUTED_VALUE"""),"avenuez.com")</f>
        <v>avenuez.com</v>
      </c>
      <c r="D454" s="11" t="str">
        <f>IFERROR(__xludf.DUMMYFUNCTION("""COMPUTED_VALUE"""),"LISTICLE")</f>
        <v>LISTICLE</v>
      </c>
      <c r="E454" s="11" t="str">
        <f>IFERROR(__xludf.DUMMYFUNCTION("""COMPUTED_VALUE"""),"COMPETITOR")</f>
        <v>COMPETITOR</v>
      </c>
      <c r="F454" s="11" t="str">
        <f>IFERROR(__xludf.DUMMYFUNCTION("""COMPUTED_VALUE"""),"Listicle")</f>
        <v>Listicle</v>
      </c>
      <c r="G454" s="11" t="b">
        <f>IFERROR(__xludf.DUMMYFUNCTION("""COMPUTED_VALUE"""),FALSE)</f>
        <v>0</v>
      </c>
      <c r="H454" s="11" t="str">
        <f>IFERROR(__xludf.DUMMYFUNCTION("""COMPUTED_VALUE"""),"Avenue Z, First Page Sage, Siege Media, NoGood, Thrive Internet Marketing Agency")</f>
        <v>Avenue Z, First Page Sage, Siege Media, NoGood, Thrive Internet Marketing Agency</v>
      </c>
      <c r="I454" s="11">
        <f>IFERROR(__xludf.DUMMYFUNCTION("""COMPUTED_VALUE"""),3.0)</f>
        <v>3</v>
      </c>
      <c r="J454" s="11">
        <f>IFERROR(__xludf.DUMMYFUNCTION("""COMPUTED_VALUE"""),0.0)</f>
        <v>0</v>
      </c>
      <c r="K454" s="11">
        <f>IFERROR(__xludf.DUMMYFUNCTION("""COMPUTED_VALUE"""),1.67)</f>
        <v>1.67</v>
      </c>
      <c r="L454" s="11"/>
    </row>
    <row r="455" ht="15.75" customHeight="1">
      <c r="A455" s="10" t="str">
        <f>IFERROR(__xludf.DUMMYFUNCTION("""COMPUTED_VALUE"""),"https://avenuez.com/blog/top-paid-ads-agencies-in-the-u-s/")</f>
        <v>https://avenuez.com/blog/top-paid-ads-agencies-in-the-u-s/</v>
      </c>
      <c r="B455" s="11" t="str">
        <f>IFERROR(__xludf.DUMMYFUNCTION("""COMPUTED_VALUE"""),"Top Paid Ads Agencies in the U.S. - Avenue Z")</f>
        <v>Top Paid Ads Agencies in the U.S. - Avenue Z</v>
      </c>
      <c r="C455" s="10" t="str">
        <f>IFERROR(__xludf.DUMMYFUNCTION("""COMPUTED_VALUE"""),"avenuez.com")</f>
        <v>avenuez.com</v>
      </c>
      <c r="D455" s="11" t="str">
        <f>IFERROR(__xludf.DUMMYFUNCTION("""COMPUTED_VALUE"""),"LISTICLE")</f>
        <v>LISTICLE</v>
      </c>
      <c r="E455" s="11" t="str">
        <f>IFERROR(__xludf.DUMMYFUNCTION("""COMPUTED_VALUE"""),"COMPETITOR")</f>
        <v>COMPETITOR</v>
      </c>
      <c r="F455" s="11" t="str">
        <f>IFERROR(__xludf.DUMMYFUNCTION("""COMPUTED_VALUE"""),"Listicle")</f>
        <v>Listicle</v>
      </c>
      <c r="G455" s="11" t="b">
        <f>IFERROR(__xludf.DUMMYFUNCTION("""COMPUTED_VALUE"""),FALSE)</f>
        <v>0</v>
      </c>
      <c r="H455" s="11" t="str">
        <f>IFERROR(__xludf.DUMMYFUNCTION("""COMPUTED_VALUE"""),"Avenue Z, Disruptive Advertising, NoGood, Wpromote, Marcel Digital, IBM, Power Digital")</f>
        <v>Avenue Z, Disruptive Advertising, NoGood, Wpromote, Marcel Digital, IBM, Power Digital</v>
      </c>
      <c r="I455" s="11">
        <f>IFERROR(__xludf.DUMMYFUNCTION("""COMPUTED_VALUE"""),3.0)</f>
        <v>3</v>
      </c>
      <c r="J455" s="11">
        <f>IFERROR(__xludf.DUMMYFUNCTION("""COMPUTED_VALUE"""),0.0)</f>
        <v>0</v>
      </c>
      <c r="K455" s="11">
        <f>IFERROR(__xludf.DUMMYFUNCTION("""COMPUTED_VALUE"""),0.0)</f>
        <v>0</v>
      </c>
      <c r="L455" s="11"/>
    </row>
    <row r="456" ht="15.75" customHeight="1">
      <c r="A456" s="10" t="str">
        <f>IFERROR(__xludf.DUMMYFUNCTION("""COMPUTED_VALUE"""),"https://www.cleverly.co/blog/best-marketing-attribution-software")</f>
        <v>https://www.cleverly.co/blog/best-marketing-attribution-software</v>
      </c>
      <c r="B456" s="11" t="str">
        <f>IFERROR(__xludf.DUMMYFUNCTION("""COMPUTED_VALUE"""),"9 BEST Marketing Attribution Software in 2026 (We Use #1 Personally)")</f>
        <v>9 BEST Marketing Attribution Software in 2026 (We Use #1 Personally)</v>
      </c>
      <c r="C456" s="10" t="str">
        <f>IFERROR(__xludf.DUMMYFUNCTION("""COMPUTED_VALUE"""),"cleverly.co")</f>
        <v>cleverly.co</v>
      </c>
      <c r="D456" s="11" t="str">
        <f>IFERROR(__xludf.DUMMYFUNCTION("""COMPUTED_VALUE"""),"LISTICLE")</f>
        <v>LISTICLE</v>
      </c>
      <c r="E456" s="11" t="str">
        <f>IFERROR(__xludf.DUMMYFUNCTION("""COMPUTED_VALUE"""),"CORPORATE")</f>
        <v>CORPORATE</v>
      </c>
      <c r="F456" s="11" t="str">
        <f>IFERROR(__xludf.DUMMYFUNCTION("""COMPUTED_VALUE"""),"Listicle")</f>
        <v>Listicle</v>
      </c>
      <c r="G456" s="11" t="b">
        <f>IFERROR(__xludf.DUMMYFUNCTION("""COMPUTED_VALUE"""),FALSE)</f>
        <v>0</v>
      </c>
      <c r="H456" s="11" t="str">
        <f>IFERROR(__xludf.DUMMYFUNCTION("""COMPUTED_VALUE"""),"Cometly, Ruler Analytics, Triple Whale")</f>
        <v>Cometly, Ruler Analytics, Triple Whale</v>
      </c>
      <c r="I456" s="11">
        <f>IFERROR(__xludf.DUMMYFUNCTION("""COMPUTED_VALUE"""),3.0)</f>
        <v>3</v>
      </c>
      <c r="J456" s="11">
        <f>IFERROR(__xludf.DUMMYFUNCTION("""COMPUTED_VALUE"""),0.0)</f>
        <v>0</v>
      </c>
      <c r="K456" s="11">
        <f>IFERROR(__xludf.DUMMYFUNCTION("""COMPUTED_VALUE"""),1.0)</f>
        <v>1</v>
      </c>
      <c r="L456" s="11"/>
    </row>
    <row r="457" ht="15.75" customHeight="1">
      <c r="A457" s="10" t="str">
        <f>IFERROR(__xludf.DUMMYFUNCTION("""COMPUTED_VALUE"""),"https://clutch.co/agencies/ppc/display/indiana")</f>
        <v>https://clutch.co/agencies/ppc/display/indiana</v>
      </c>
      <c r="B457" s="11" t="str">
        <f>IFERROR(__xludf.DUMMYFUNCTION("""COMPUTED_VALUE"""),"Top Display Advertising Agencies in the United States - Jul 2026 Rankings \| Clutch.co")</f>
        <v>Top Display Advertising Agencies in the United States - Jul 2026 Rankings \| Clutch.co</v>
      </c>
      <c r="C457" s="10" t="str">
        <f>IFERROR(__xludf.DUMMYFUNCTION("""COMPUTED_VALUE"""),"clutch.co")</f>
        <v>clutch.co</v>
      </c>
      <c r="D457" s="11" t="str">
        <f>IFERROR(__xludf.DUMMYFUNCTION("""COMPUTED_VALUE"""),"CATEGORY_PAGE")</f>
        <v>CATEGORY_PAGE</v>
      </c>
      <c r="E457" s="11" t="str">
        <f>IFERROR(__xludf.DUMMYFUNCTION("""COMPUTED_VALUE"""),"COMPETITOR")</f>
        <v>COMPETITOR</v>
      </c>
      <c r="F457" s="11" t="str">
        <f>IFERROR(__xludf.DUMMYFUNCTION("""COMPUTED_VALUE"""),"Category Page")</f>
        <v>Category Page</v>
      </c>
      <c r="G457" s="11" t="b">
        <f>IFERROR(__xludf.DUMMYFUNCTION("""COMPUTED_VALUE"""),FALSE)</f>
        <v>0</v>
      </c>
      <c r="H457" s="11" t="str">
        <f>IFERROR(__xludf.DUMMYFUNCTION("""COMPUTED_VALUE"""),"Clutch, Elit-Web, AdVenture Media, Storm Brain, Huge")</f>
        <v>Clutch, Elit-Web, AdVenture Media, Storm Brain, Huge</v>
      </c>
      <c r="I457" s="11">
        <f>IFERROR(__xludf.DUMMYFUNCTION("""COMPUTED_VALUE"""),3.0)</f>
        <v>3</v>
      </c>
      <c r="J457" s="11">
        <f>IFERROR(__xludf.DUMMYFUNCTION("""COMPUTED_VALUE"""),0.0)</f>
        <v>0</v>
      </c>
      <c r="K457" s="11">
        <f>IFERROR(__xludf.DUMMYFUNCTION("""COMPUTED_VALUE"""),0.0)</f>
        <v>0</v>
      </c>
      <c r="L457" s="11"/>
    </row>
    <row r="458" ht="15.75" customHeight="1">
      <c r="A458" s="10" t="str">
        <f>IFERROR(__xludf.DUMMYFUNCTION("""COMPUTED_VALUE"""),"https://clutch.co/agencies/ppc?geona_id=47171&amp;page=1")</f>
        <v>https://clutch.co/agencies/ppc?geona_id=47171&amp;page=1</v>
      </c>
      <c r="B458" s="11" t="str">
        <f>IFERROR(__xludf.DUMMYFUNCTION("""COMPUTED_VALUE"""),"Page 2 - Top PPC Agencies - Jul 2026 Rankings \| Clutch.co")</f>
        <v>Page 2 - Top PPC Agencies - Jul 2026 Rankings \| Clutch.co</v>
      </c>
      <c r="C458" s="10" t="str">
        <f>IFERROR(__xludf.DUMMYFUNCTION("""COMPUTED_VALUE"""),"clutch.co")</f>
        <v>clutch.co</v>
      </c>
      <c r="D458" s="11" t="str">
        <f>IFERROR(__xludf.DUMMYFUNCTION("""COMPUTED_VALUE"""),"CATEGORY_PAGE")</f>
        <v>CATEGORY_PAGE</v>
      </c>
      <c r="E458" s="11" t="str">
        <f>IFERROR(__xludf.DUMMYFUNCTION("""COMPUTED_VALUE"""),"COMPETITOR")</f>
        <v>COMPETITOR</v>
      </c>
      <c r="F458" s="11" t="str">
        <f>IFERROR(__xludf.DUMMYFUNCTION("""COMPUTED_VALUE"""),"Category Page")</f>
        <v>Category Page</v>
      </c>
      <c r="G458" s="11" t="b">
        <f>IFERROR(__xludf.DUMMYFUNCTION("""COMPUTED_VALUE"""),FALSE)</f>
        <v>0</v>
      </c>
      <c r="H458" s="11" t="str">
        <f>IFERROR(__xludf.DUMMYFUNCTION("""COMPUTED_VALUE"""),"Clutch, Disruptive Advertising, AdVenture Media, KlientBoost, Single Grain, SmartSites, HawkSEM, NinjaPromo, Intero Digital, Elit-Web")</f>
        <v>Clutch, Disruptive Advertising, AdVenture Media, KlientBoost, Single Grain, SmartSites, HawkSEM, NinjaPromo, Intero Digital, Elit-Web</v>
      </c>
      <c r="I458" s="11">
        <f>IFERROR(__xludf.DUMMYFUNCTION("""COMPUTED_VALUE"""),3.0)</f>
        <v>3</v>
      </c>
      <c r="J458" s="11">
        <f>IFERROR(__xludf.DUMMYFUNCTION("""COMPUTED_VALUE"""),0.0)</f>
        <v>0</v>
      </c>
      <c r="K458" s="11">
        <f>IFERROR(__xludf.DUMMYFUNCTION("""COMPUTED_VALUE"""),0.67)</f>
        <v>0.67</v>
      </c>
      <c r="L458" s="11"/>
    </row>
    <row r="459" ht="15.75" customHeight="1">
      <c r="A459" s="10" t="str">
        <f>IFERROR(__xludf.DUMMYFUNCTION("""COMPUTED_VALUE"""),"https://clutch.co/us/agencies/branding/corporate")</f>
        <v>https://clutch.co/us/agencies/branding/corporate</v>
      </c>
      <c r="B459" s="11" t="str">
        <f>IFERROR(__xludf.DUMMYFUNCTION("""COMPUTED_VALUE"""),"Top Corporate Branding Agencies in the United States - Jul 2026 Rankings \| Clutch.co")</f>
        <v>Top Corporate Branding Agencies in the United States - Jul 2026 Rankings \| Clutch.co</v>
      </c>
      <c r="C459" s="10" t="str">
        <f>IFERROR(__xludf.DUMMYFUNCTION("""COMPUTED_VALUE"""),"clutch.co")</f>
        <v>clutch.co</v>
      </c>
      <c r="D459" s="11" t="str">
        <f>IFERROR(__xludf.DUMMYFUNCTION("""COMPUTED_VALUE"""),"CATEGORY_PAGE")</f>
        <v>CATEGORY_PAGE</v>
      </c>
      <c r="E459" s="11" t="str">
        <f>IFERROR(__xludf.DUMMYFUNCTION("""COMPUTED_VALUE"""),"COMPETITOR")</f>
        <v>COMPETITOR</v>
      </c>
      <c r="F459" s="11" t="str">
        <f>IFERROR(__xludf.DUMMYFUNCTION("""COMPUTED_VALUE"""),"Category Page")</f>
        <v>Category Page</v>
      </c>
      <c r="G459" s="11" t="b">
        <f>IFERROR(__xludf.DUMMYFUNCTION("""COMPUTED_VALUE"""),FALSE)</f>
        <v>0</v>
      </c>
      <c r="H459" s="11" t="str">
        <f>IFERROR(__xludf.DUMMYFUNCTION("""COMPUTED_VALUE"""),"Clutch, Momentum, Clay")</f>
        <v>Clutch, Momentum, Clay</v>
      </c>
      <c r="I459" s="11">
        <f>IFERROR(__xludf.DUMMYFUNCTION("""COMPUTED_VALUE"""),3.0)</f>
        <v>3</v>
      </c>
      <c r="J459" s="11">
        <f>IFERROR(__xludf.DUMMYFUNCTION("""COMPUTED_VALUE"""),0.0)</f>
        <v>0</v>
      </c>
      <c r="K459" s="11">
        <f>IFERROR(__xludf.DUMMYFUNCTION("""COMPUTED_VALUE"""),0.0)</f>
        <v>0</v>
      </c>
      <c r="L459" s="11"/>
    </row>
    <row r="460" ht="15.75" customHeight="1">
      <c r="A460" s="10" t="str">
        <f>IFERROR(__xludf.DUMMYFUNCTION("""COMPUTED_VALUE"""),"https://clutch.co/us/agencies/ppc/display?page=6")</f>
        <v>https://clutch.co/us/agencies/ppc/display?page=6</v>
      </c>
      <c r="B460" s="11" t="str">
        <f>IFERROR(__xludf.DUMMYFUNCTION("""COMPUTED_VALUE"""),"Page 6 - Top Display Advertising Agencies in the United States - Jul 2026 Rankings | Clutch.co")</f>
        <v>Page 6 - Top Display Advertising Agencies in the United States - Jul 2026 Rankings | Clutch.co</v>
      </c>
      <c r="C460" s="10" t="str">
        <f>IFERROR(__xludf.DUMMYFUNCTION("""COMPUTED_VALUE"""),"clutch.co")</f>
        <v>clutch.co</v>
      </c>
      <c r="D460" s="11" t="str">
        <f>IFERROR(__xludf.DUMMYFUNCTION("""COMPUTED_VALUE"""),"CATEGORY_PAGE")</f>
        <v>CATEGORY_PAGE</v>
      </c>
      <c r="E460" s="11" t="str">
        <f>IFERROR(__xludf.DUMMYFUNCTION("""COMPUTED_VALUE"""),"COMPETITOR")</f>
        <v>COMPETITOR</v>
      </c>
      <c r="F460" s="11" t="str">
        <f>IFERROR(__xludf.DUMMYFUNCTION("""COMPUTED_VALUE"""),"Category Page")</f>
        <v>Category Page</v>
      </c>
      <c r="G460" s="11" t="b">
        <f>IFERROR(__xludf.DUMMYFUNCTION("""COMPUTED_VALUE"""),FALSE)</f>
        <v>0</v>
      </c>
      <c r="H460" s="11" t="str">
        <f>IFERROR(__xludf.DUMMYFUNCTION("""COMPUTED_VALUE"""),"Clutch, Elit-Web, AdVenture Media, Go Fish Digital, Storm Brain, NoGood, Tinuiti")</f>
        <v>Clutch, Elit-Web, AdVenture Media, Go Fish Digital, Storm Brain, NoGood, Tinuiti</v>
      </c>
      <c r="I460" s="11">
        <f>IFERROR(__xludf.DUMMYFUNCTION("""COMPUTED_VALUE"""),3.0)</f>
        <v>3</v>
      </c>
      <c r="J460" s="11">
        <f>IFERROR(__xludf.DUMMYFUNCTION("""COMPUTED_VALUE"""),0.0)</f>
        <v>0</v>
      </c>
      <c r="K460" s="11">
        <f>IFERROR(__xludf.DUMMYFUNCTION("""COMPUTED_VALUE"""),0.0)</f>
        <v>0</v>
      </c>
      <c r="L460" s="11"/>
    </row>
    <row r="461" ht="15.75" customHeight="1">
      <c r="A461" s="10" t="str">
        <f>IFERROR(__xludf.DUMMYFUNCTION("""COMPUTED_VALUE"""),"https://www.cometly.com/post/attribution-tools-for-digital-marketing-agencies")</f>
        <v>https://www.cometly.com/post/attribution-tools-for-digital-marketing-agencies</v>
      </c>
      <c r="B461" s="11" t="str">
        <f>IFERROR(__xludf.DUMMYFUNCTION("""COMPUTED_VALUE"""),"9 Best Attribution Tools For Digital Marketing Agencies")</f>
        <v>9 Best Attribution Tools For Digital Marketing Agencies</v>
      </c>
      <c r="C461" s="10" t="str">
        <f>IFERROR(__xludf.DUMMYFUNCTION("""COMPUTED_VALUE"""),"cometly.com")</f>
        <v>cometly.com</v>
      </c>
      <c r="D461" s="11" t="str">
        <f>IFERROR(__xludf.DUMMYFUNCTION("""COMPUTED_VALUE"""),"LISTICLE")</f>
        <v>LISTICLE</v>
      </c>
      <c r="E461" s="11" t="str">
        <f>IFERROR(__xludf.DUMMYFUNCTION("""COMPUTED_VALUE"""),"COMPETITOR")</f>
        <v>COMPETITOR</v>
      </c>
      <c r="F461" s="11" t="str">
        <f>IFERROR(__xludf.DUMMYFUNCTION("""COMPUTED_VALUE"""),"Listicle")</f>
        <v>Listicle</v>
      </c>
      <c r="G461" s="11" t="b">
        <f>IFERROR(__xludf.DUMMYFUNCTION("""COMPUTED_VALUE"""),FALSE)</f>
        <v>0</v>
      </c>
      <c r="H461" s="11" t="str">
        <f>IFERROR(__xludf.DUMMYFUNCTION("""COMPUTED_VALUE"""),"Cometly, Triple Whale, Northbeam, Rockerbox, Ruler Analytics")</f>
        <v>Cometly, Triple Whale, Northbeam, Rockerbox, Ruler Analytics</v>
      </c>
      <c r="I461" s="11">
        <f>IFERROR(__xludf.DUMMYFUNCTION("""COMPUTED_VALUE"""),3.0)</f>
        <v>3</v>
      </c>
      <c r="J461" s="11">
        <f>IFERROR(__xludf.DUMMYFUNCTION("""COMPUTED_VALUE"""),0.0)</f>
        <v>0</v>
      </c>
      <c r="K461" s="11">
        <f>IFERROR(__xludf.DUMMYFUNCTION("""COMPUTED_VALUE"""),1.33)</f>
        <v>1.33</v>
      </c>
      <c r="L461" s="11"/>
    </row>
    <row r="462" ht="15.75" customHeight="1">
      <c r="A462" s="10" t="str">
        <f>IFERROR(__xludf.DUMMYFUNCTION("""COMPUTED_VALUE"""),"https://www.cometly.com/post/marketing-attribution-platform-for-agencies#:~:text=1.,full%20customer%20journey%20in%20real")</f>
        <v>https://www.cometly.com/post/marketing-attribution-platform-for-agencies#:~:text=1.,full%20customer%20journey%20in%20real</v>
      </c>
      <c r="B462" s="11" t="str">
        <f>IFERROR(__xludf.DUMMYFUNCTION("""COMPUTED_VALUE"""),"Best Marketing Attribution Platform For Agencies 2026")</f>
        <v>Best Marketing Attribution Platform For Agencies 2026</v>
      </c>
      <c r="C462" s="10" t="str">
        <f>IFERROR(__xludf.DUMMYFUNCTION("""COMPUTED_VALUE"""),"cometly.com")</f>
        <v>cometly.com</v>
      </c>
      <c r="D462" s="11" t="str">
        <f>IFERROR(__xludf.DUMMYFUNCTION("""COMPUTED_VALUE"""),"LISTICLE")</f>
        <v>LISTICLE</v>
      </c>
      <c r="E462" s="11" t="str">
        <f>IFERROR(__xludf.DUMMYFUNCTION("""COMPUTED_VALUE"""),"COMPETITOR")</f>
        <v>COMPETITOR</v>
      </c>
      <c r="F462" s="11" t="str">
        <f>IFERROR(__xludf.DUMMYFUNCTION("""COMPUTED_VALUE"""),"Listicle")</f>
        <v>Listicle</v>
      </c>
      <c r="G462" s="11" t="b">
        <f>IFERROR(__xludf.DUMMYFUNCTION("""COMPUTED_VALUE"""),FALSE)</f>
        <v>0</v>
      </c>
      <c r="H462" s="11" t="str">
        <f>IFERROR(__xludf.DUMMYFUNCTION("""COMPUTED_VALUE"""),"Cometly, Triple Whale, Rockerbox, Northbeam, HockeyStack, Ruler Analytics")</f>
        <v>Cometly, Triple Whale, Rockerbox, Northbeam, HockeyStack, Ruler Analytics</v>
      </c>
      <c r="I462" s="11">
        <f>IFERROR(__xludf.DUMMYFUNCTION("""COMPUTED_VALUE"""),3.0)</f>
        <v>3</v>
      </c>
      <c r="J462" s="11">
        <f>IFERROR(__xludf.DUMMYFUNCTION("""COMPUTED_VALUE"""),0.0)</f>
        <v>0</v>
      </c>
      <c r="K462" s="11">
        <f>IFERROR(__xludf.DUMMYFUNCTION("""COMPUTED_VALUE"""),1.33)</f>
        <v>1.33</v>
      </c>
      <c r="L462" s="11"/>
    </row>
    <row r="463" ht="15.75" customHeight="1">
      <c r="A463" s="10" t="str">
        <f>IFERROR(__xludf.DUMMYFUNCTION("""COMPUTED_VALUE"""),"https://www.commercepundit.com/blog/top-10-ai-consulting-companies-in-2026/")</f>
        <v>https://www.commercepundit.com/blog/top-10-ai-consulting-companies-in-2026/</v>
      </c>
      <c r="B463" s="11" t="str">
        <f>IFERROR(__xludf.DUMMYFUNCTION("""COMPUTED_VALUE"""),"Top 10 AI Consulting Companies in 2026 for Businesses")</f>
        <v>Top 10 AI Consulting Companies in 2026 for Businesses</v>
      </c>
      <c r="C463" s="10" t="str">
        <f>IFERROR(__xludf.DUMMYFUNCTION("""COMPUTED_VALUE"""),"commercepundit.com")</f>
        <v>commercepundit.com</v>
      </c>
      <c r="D463" s="11" t="str">
        <f>IFERROR(__xludf.DUMMYFUNCTION("""COMPUTED_VALUE"""),"LISTICLE")</f>
        <v>LISTICLE</v>
      </c>
      <c r="E463" s="11" t="str">
        <f>IFERROR(__xludf.DUMMYFUNCTION("""COMPUTED_VALUE"""),"EDITORIAL")</f>
        <v>EDITORIAL</v>
      </c>
      <c r="F463" s="11" t="str">
        <f>IFERROR(__xludf.DUMMYFUNCTION("""COMPUTED_VALUE"""),"Listicle")</f>
        <v>Listicle</v>
      </c>
      <c r="G463" s="11" t="b">
        <f>IFERROR(__xludf.DUMMYFUNCTION("""COMPUTED_VALUE"""),FALSE)</f>
        <v>0</v>
      </c>
      <c r="H463" s="11" t="str">
        <f>IFERROR(__xludf.DUMMYFUNCTION("""COMPUTED_VALUE"""),"McKinsey, QuantumBlack, IBM, BCG, PwC, Clutch")</f>
        <v>McKinsey, QuantumBlack, IBM, BCG, PwC, Clutch</v>
      </c>
      <c r="I463" s="11">
        <f>IFERROR(__xludf.DUMMYFUNCTION("""COMPUTED_VALUE"""),3.0)</f>
        <v>3</v>
      </c>
      <c r="J463" s="11">
        <f>IFERROR(__xludf.DUMMYFUNCTION("""COMPUTED_VALUE"""),0.0)</f>
        <v>0</v>
      </c>
      <c r="K463" s="11">
        <f>IFERROR(__xludf.DUMMYFUNCTION("""COMPUTED_VALUE"""),0.0)</f>
        <v>0</v>
      </c>
      <c r="L463" s="11"/>
    </row>
    <row r="464" ht="15.75" customHeight="1">
      <c r="A464" s="10" t="str">
        <f>IFERROR(__xludf.DUMMYFUNCTION("""COMPUTED_VALUE"""),"https://coolnerdsmarketing.com/best-creative-marketing-agencies-2025/#:~:text=Best%20overall%3A%20Cool%20Nerds%20Marketing.%20Best%20for,and%20Viral%20Marketing%3A%20Crispin%20Porter%20%2B%20Bogusky.")</f>
        <v>https://coolnerdsmarketing.com/best-creative-marketing-agencies-2025/#:~:text=Best%20overall%3A%20Cool%20Nerds%20Marketing.%20Best%20for,and%20Viral%20Marketing%3A%20Crispin%20Porter%20%2B%20Bogusky.</v>
      </c>
      <c r="B464" s="11" t="str">
        <f>IFERROR(__xludf.DUMMYFUNCTION("""COMPUTED_VALUE"""),"Top 20 Best Creative Marketing Agencies in 2026 | Expert List")</f>
        <v>Top 20 Best Creative Marketing Agencies in 2026 | Expert List</v>
      </c>
      <c r="C464" s="10" t="str">
        <f>IFERROR(__xludf.DUMMYFUNCTION("""COMPUTED_VALUE"""),"coolnerdsmarketing.com")</f>
        <v>coolnerdsmarketing.com</v>
      </c>
      <c r="D464" s="11" t="str">
        <f>IFERROR(__xludf.DUMMYFUNCTION("""COMPUTED_VALUE"""),"LISTICLE")</f>
        <v>LISTICLE</v>
      </c>
      <c r="E464" s="11" t="str">
        <f>IFERROR(__xludf.DUMMYFUNCTION("""COMPUTED_VALUE"""),"CORPORATE")</f>
        <v>CORPORATE</v>
      </c>
      <c r="F464" s="11" t="str">
        <f>IFERROR(__xludf.DUMMYFUNCTION("""COMPUTED_VALUE"""),"Listicle")</f>
        <v>Listicle</v>
      </c>
      <c r="G464" s="11" t="b">
        <f>IFERROR(__xludf.DUMMYFUNCTION("""COMPUTED_VALUE"""),FALSE)</f>
        <v>0</v>
      </c>
      <c r="H464" s="11" t="str">
        <f>IFERROR(__xludf.DUMMYFUNCTION("""COMPUTED_VALUE"""),"Ogilvy, Wieden+Kennedy, BBDO, VML, Droga5, R/GA, Huge, Disruptive Advertising, 72andSunny, Dentsu, Anomaly, AKQA")</f>
        <v>Ogilvy, Wieden+Kennedy, BBDO, VML, Droga5, R/GA, Huge, Disruptive Advertising, 72andSunny, Dentsu, Anomaly, AKQA</v>
      </c>
      <c r="I464" s="11">
        <f>IFERROR(__xludf.DUMMYFUNCTION("""COMPUTED_VALUE"""),3.0)</f>
        <v>3</v>
      </c>
      <c r="J464" s="11">
        <f>IFERROR(__xludf.DUMMYFUNCTION("""COMPUTED_VALUE"""),0.0)</f>
        <v>0</v>
      </c>
      <c r="K464" s="11">
        <f>IFERROR(__xludf.DUMMYFUNCTION("""COMPUTED_VALUE"""),2.0)</f>
        <v>2</v>
      </c>
      <c r="L464" s="11"/>
    </row>
    <row r="465" ht="15.75" customHeight="1">
      <c r="A465" s="10" t="str">
        <f>IFERROR(__xludf.DUMMYFUNCTION("""COMPUTED_VALUE"""),"https://deployflow.co/blog/top-ai-consulting-companies-worldwide/#:~:text=Check%3A%20Confirm%20the%20current%20scope,paired%20with%20real%20build%20muscle.")</f>
        <v>https://deployflow.co/blog/top-ai-consulting-companies-worldwide/#:~:text=Check%3A%20Confirm%20the%20current%20scope,paired%20with%20real%20build%20muscle.</v>
      </c>
      <c r="B465" s="11" t="str">
        <f>IFERROR(__xludf.DUMMYFUNCTION("""COMPUTED_VALUE"""),"Top AI Consulting Companies in 2026 – CTO’s Ultimate Guide")</f>
        <v>Top AI Consulting Companies in 2026 – CTO’s Ultimate Guide</v>
      </c>
      <c r="C465" s="10" t="str">
        <f>IFERROR(__xludf.DUMMYFUNCTION("""COMPUTED_VALUE"""),"deployflow.co")</f>
        <v>deployflow.co</v>
      </c>
      <c r="D465" s="11" t="str">
        <f>IFERROR(__xludf.DUMMYFUNCTION("""COMPUTED_VALUE"""),"LISTICLE")</f>
        <v>LISTICLE</v>
      </c>
      <c r="E465" s="11" t="str">
        <f>IFERROR(__xludf.DUMMYFUNCTION("""COMPUTED_VALUE"""),"CORPORATE")</f>
        <v>CORPORATE</v>
      </c>
      <c r="F465" s="11" t="str">
        <f>IFERROR(__xludf.DUMMYFUNCTION("""COMPUTED_VALUE"""),"Listicle")</f>
        <v>Listicle</v>
      </c>
      <c r="G465" s="11" t="b">
        <f>IFERROR(__xludf.DUMMYFUNCTION("""COMPUTED_VALUE"""),FALSE)</f>
        <v>0</v>
      </c>
      <c r="H465" s="11" t="str">
        <f>IFERROR(__xludf.DUMMYFUNCTION("""COMPUTED_VALUE"""),"QuantumBlack, McKinsey, BCG, Momentum")</f>
        <v>QuantumBlack, McKinsey, BCG, Momentum</v>
      </c>
      <c r="I465" s="11">
        <f>IFERROR(__xludf.DUMMYFUNCTION("""COMPUTED_VALUE"""),3.0)</f>
        <v>3</v>
      </c>
      <c r="J465" s="11">
        <f>IFERROR(__xludf.DUMMYFUNCTION("""COMPUTED_VALUE"""),0.0)</f>
        <v>0</v>
      </c>
      <c r="K465" s="11">
        <f>IFERROR(__xludf.DUMMYFUNCTION("""COMPUTED_VALUE"""),1.0)</f>
        <v>1</v>
      </c>
      <c r="L465" s="11"/>
    </row>
    <row r="466" ht="15.75" customHeight="1">
      <c r="A466" s="10" t="str">
        <f>IFERROR(__xludf.DUMMYFUNCTION("""COMPUTED_VALUE"""),"https://www.designrush.com/agency/creative-agencies")</f>
        <v>https://www.designrush.com/agency/creative-agencies</v>
      </c>
      <c r="B466" s="11" t="str">
        <f>IFERROR(__xludf.DUMMYFUNCTION("""COMPUTED_VALUE"""),"Top Creative Agencies in 2026")</f>
        <v>Top Creative Agencies in 2026</v>
      </c>
      <c r="C466" s="10" t="str">
        <f>IFERROR(__xludf.DUMMYFUNCTION("""COMPUTED_VALUE"""),"designrush.com")</f>
        <v>designrush.com</v>
      </c>
      <c r="D466" s="11" t="str">
        <f>IFERROR(__xludf.DUMMYFUNCTION("""COMPUTED_VALUE"""),"PROFILE")</f>
        <v>PROFILE</v>
      </c>
      <c r="E466" s="11" t="str">
        <f>IFERROR(__xludf.DUMMYFUNCTION("""COMPUTED_VALUE"""),"CORPORATE")</f>
        <v>CORPORATE</v>
      </c>
      <c r="F466" s="11" t="str">
        <f>IFERROR(__xludf.DUMMYFUNCTION("""COMPUTED_VALUE"""),"Profile")</f>
        <v>Profile</v>
      </c>
      <c r="G466" s="11" t="b">
        <f>IFERROR(__xludf.DUMMYFUNCTION("""COMPUTED_VALUE"""),FALSE)</f>
        <v>0</v>
      </c>
      <c r="H466" s="11" t="str">
        <f>IFERROR(__xludf.DUMMYFUNCTION("""COMPUTED_VALUE"""),"Huge, IBM, Disruptive Advertising, Major Tom, McKinsey, Measured, Nielsen")</f>
        <v>Huge, IBM, Disruptive Advertising, Major Tom, McKinsey, Measured, Nielsen</v>
      </c>
      <c r="I466" s="11">
        <f>IFERROR(__xludf.DUMMYFUNCTION("""COMPUTED_VALUE"""),3.0)</f>
        <v>3</v>
      </c>
      <c r="J466" s="11">
        <f>IFERROR(__xludf.DUMMYFUNCTION("""COMPUTED_VALUE"""),0.0)</f>
        <v>0</v>
      </c>
      <c r="K466" s="11">
        <f>IFERROR(__xludf.DUMMYFUNCTION("""COMPUTED_VALUE"""),0.0)</f>
        <v>0</v>
      </c>
      <c r="L466" s="11"/>
    </row>
    <row r="467" ht="15.75" customHeight="1">
      <c r="A467" s="10" t="str">
        <f>IFERROR(__xludf.DUMMYFUNCTION("""COMPUTED_VALUE"""),"https://digitalstrategyforce.com/top-10-aeo-agencies-2026/")</f>
        <v>https://digitalstrategyforce.com/top-10-aeo-agencies-2026/</v>
      </c>
      <c r="B467" s="11" t="str">
        <f>IFERROR(__xludf.DUMMYFUNCTION("""COMPUTED_VALUE"""),"Top 10 AEO Agencies in 2026: Best AEO Agencies Ranked | Digital Strategy Force")</f>
        <v>Top 10 AEO Agencies in 2026: Best AEO Agencies Ranked | Digital Strategy Force</v>
      </c>
      <c r="C467" s="10" t="str">
        <f>IFERROR(__xludf.DUMMYFUNCTION("""COMPUTED_VALUE"""),"digitalstrategyforce.com")</f>
        <v>digitalstrategyforce.com</v>
      </c>
      <c r="D467" s="11" t="str">
        <f>IFERROR(__xludf.DUMMYFUNCTION("""COMPUTED_VALUE"""),"LISTICLE")</f>
        <v>LISTICLE</v>
      </c>
      <c r="E467" s="11" t="str">
        <f>IFERROR(__xludf.DUMMYFUNCTION("""COMPUTED_VALUE"""),"CORPORATE")</f>
        <v>CORPORATE</v>
      </c>
      <c r="F467" s="11" t="str">
        <f>IFERROR(__xludf.DUMMYFUNCTION("""COMPUTED_VALUE"""),"Listicle")</f>
        <v>Listicle</v>
      </c>
      <c r="G467" s="11" t="b">
        <f>IFERROR(__xludf.DUMMYFUNCTION("""COMPUTED_VALUE"""),FALSE)</f>
        <v>0</v>
      </c>
      <c r="H467" s="11" t="str">
        <f>IFERROR(__xludf.DUMMYFUNCTION("""COMPUTED_VALUE"""),"iPullRank, NoGood, First Page Sage, Omniscient Digital, Siege Media, Tinuiti, Searchbloom, Digital Authority Partners, Amsive, Measured, McKinsey")</f>
        <v>iPullRank, NoGood, First Page Sage, Omniscient Digital, Siege Media, Tinuiti, Searchbloom, Digital Authority Partners, Amsive, Measured, McKinsey</v>
      </c>
      <c r="I467" s="11">
        <f>IFERROR(__xludf.DUMMYFUNCTION("""COMPUTED_VALUE"""),3.0)</f>
        <v>3</v>
      </c>
      <c r="J467" s="11">
        <f>IFERROR(__xludf.DUMMYFUNCTION("""COMPUTED_VALUE"""),0.0)</f>
        <v>0</v>
      </c>
      <c r="K467" s="11">
        <f>IFERROR(__xludf.DUMMYFUNCTION("""COMPUTED_VALUE"""),0.67)</f>
        <v>0.67</v>
      </c>
      <c r="L467" s="11"/>
    </row>
    <row r="468" ht="15.75" customHeight="1">
      <c r="A468" s="10" t="str">
        <f>IFERROR(__xludf.DUMMYFUNCTION("""COMPUTED_VALUE"""),"https://directiveconsulting.com/blog/best-programmatic-ad-agencies/")</f>
        <v>https://directiveconsulting.com/blog/best-programmatic-ad-agencies/</v>
      </c>
      <c r="B468" s="11" t="str">
        <f>IFERROR(__xludf.DUMMYFUNCTION("""COMPUTED_VALUE"""),"17 Best Programmatic Advertising Agencies For B2B - Directive")</f>
        <v>17 Best Programmatic Advertising Agencies For B2B - Directive</v>
      </c>
      <c r="C468" s="10" t="str">
        <f>IFERROR(__xludf.DUMMYFUNCTION("""COMPUTED_VALUE"""),"directiveconsulting.com")</f>
        <v>directiveconsulting.com</v>
      </c>
      <c r="D468" s="11" t="str">
        <f>IFERROR(__xludf.DUMMYFUNCTION("""COMPUTED_VALUE"""),"LISTICLE")</f>
        <v>LISTICLE</v>
      </c>
      <c r="E468" s="11" t="str">
        <f>IFERROR(__xludf.DUMMYFUNCTION("""COMPUTED_VALUE"""),"COMPETITOR")</f>
        <v>COMPETITOR</v>
      </c>
      <c r="F468" s="11" t="str">
        <f>IFERROR(__xludf.DUMMYFUNCTION("""COMPUTED_VALUE"""),"Listicle")</f>
        <v>Listicle</v>
      </c>
      <c r="G468" s="11" t="b">
        <f>IFERROR(__xludf.DUMMYFUNCTION("""COMPUTED_VALUE"""),FALSE)</f>
        <v>0</v>
      </c>
      <c r="H468" s="11" t="str">
        <f>IFERROR(__xludf.DUMMYFUNCTION("""COMPUTED_VALUE"""),"Directive, Tinuiti, Merkle, Wpromote, Monks, Brainlabs, PMG, Jellyfish, Croud, iProspect, Kepler Group, TransUnion, IBM, Clutch")</f>
        <v>Directive, Tinuiti, Merkle, Wpromote, Monks, Brainlabs, PMG, Jellyfish, Croud, iProspect, Kepler Group, TransUnion, IBM, Clutch</v>
      </c>
      <c r="I468" s="11">
        <f>IFERROR(__xludf.DUMMYFUNCTION("""COMPUTED_VALUE"""),3.0)</f>
        <v>3</v>
      </c>
      <c r="J468" s="11">
        <f>IFERROR(__xludf.DUMMYFUNCTION("""COMPUTED_VALUE"""),0.0)</f>
        <v>0</v>
      </c>
      <c r="K468" s="11">
        <f>IFERROR(__xludf.DUMMYFUNCTION("""COMPUTED_VALUE"""),0.67)</f>
        <v>0.67</v>
      </c>
      <c r="L468" s="11"/>
    </row>
    <row r="469" ht="15.75" customHeight="1">
      <c r="A469" s="10" t="str">
        <f>IFERROR(__xludf.DUMMYFUNCTION("""COMPUTED_VALUE"""),"https://directiveconsulting.com/blog/the-best-b2b-marketing-agencies-for-technology-companies-in-2026/")</f>
        <v>https://directiveconsulting.com/blog/the-best-b2b-marketing-agencies-for-technology-companies-in-2026/</v>
      </c>
      <c r="B469" s="11" t="str">
        <f>IFERROR(__xludf.DUMMYFUNCTION("""COMPUTED_VALUE"""),"25 Best B2B Marketing Agencies For B2B Technology Companies")</f>
        <v>25 Best B2B Marketing Agencies For B2B Technology Companies</v>
      </c>
      <c r="C469" s="10" t="str">
        <f>IFERROR(__xludf.DUMMYFUNCTION("""COMPUTED_VALUE"""),"directiveconsulting.com")</f>
        <v>directiveconsulting.com</v>
      </c>
      <c r="D469" s="11" t="str">
        <f>IFERROR(__xludf.DUMMYFUNCTION("""COMPUTED_VALUE"""),"LISTICLE")</f>
        <v>LISTICLE</v>
      </c>
      <c r="E469" s="11" t="str">
        <f>IFERROR(__xludf.DUMMYFUNCTION("""COMPUTED_VALUE"""),"COMPETITOR")</f>
        <v>COMPETITOR</v>
      </c>
      <c r="F469" s="11" t="str">
        <f>IFERROR(__xludf.DUMMYFUNCTION("""COMPUTED_VALUE"""),"Listicle")</f>
        <v>Listicle</v>
      </c>
      <c r="G469" s="11" t="b">
        <f>IFERROR(__xludf.DUMMYFUNCTION("""COMPUTED_VALUE"""),FALSE)</f>
        <v>0</v>
      </c>
      <c r="H469" s="11" t="str">
        <f>IFERROR(__xludf.DUMMYFUNCTION("""COMPUTED_VALUE"""),"Directive, Refine Labs, Merkle, Jellyfish, AKQA, R/GA, Monks, DEPT, Bounteous, Seer Interactive, Wpromote, iProspect, Tinuiti, Victorious, PMG, WebFX, Croud, Measured, Momentum, IBM, Clutch")</f>
        <v>Directive, Refine Labs, Merkle, Jellyfish, AKQA, R/GA, Monks, DEPT, Bounteous, Seer Interactive, Wpromote, iProspect, Tinuiti, Victorious, PMG, WebFX, Croud, Measured, Momentum, IBM, Clutch</v>
      </c>
      <c r="I469" s="11">
        <f>IFERROR(__xludf.DUMMYFUNCTION("""COMPUTED_VALUE"""),3.0)</f>
        <v>3</v>
      </c>
      <c r="J469" s="11">
        <f>IFERROR(__xludf.DUMMYFUNCTION("""COMPUTED_VALUE"""),0.0)</f>
        <v>0</v>
      </c>
      <c r="K469" s="11">
        <f>IFERROR(__xludf.DUMMYFUNCTION("""COMPUTED_VALUE"""),0.67)</f>
        <v>0.67</v>
      </c>
      <c r="L469" s="11"/>
    </row>
    <row r="470" ht="15.75" customHeight="1">
      <c r="A470" s="10" t="str">
        <f>IFERROR(__xludf.DUMMYFUNCTION("""COMPUTED_VALUE"""),"https://www.equinoxitsol.com/blog/top-10-performance-marketing-agencies-in-the-us/")</f>
        <v>https://www.equinoxitsol.com/blog/top-10-performance-marketing-agencies-in-the-us/</v>
      </c>
      <c r="B470" s="11" t="str">
        <f>IFERROR(__xludf.DUMMYFUNCTION("""COMPUTED_VALUE"""),"Top Performance Marketing Agencies US")</f>
        <v>Top Performance Marketing Agencies US</v>
      </c>
      <c r="C470" s="10" t="str">
        <f>IFERROR(__xludf.DUMMYFUNCTION("""COMPUTED_VALUE"""),"equinoxitsol.com")</f>
        <v>equinoxitsol.com</v>
      </c>
      <c r="D470" s="11" t="str">
        <f>IFERROR(__xludf.DUMMYFUNCTION("""COMPUTED_VALUE"""),"LISTICLE")</f>
        <v>LISTICLE</v>
      </c>
      <c r="E470" s="11" t="str">
        <f>IFERROR(__xludf.DUMMYFUNCTION("""COMPUTED_VALUE"""),"CORPORATE")</f>
        <v>CORPORATE</v>
      </c>
      <c r="F470" s="11" t="str">
        <f>IFERROR(__xludf.DUMMYFUNCTION("""COMPUTED_VALUE"""),"Listicle")</f>
        <v>Listicle</v>
      </c>
      <c r="G470" s="11" t="b">
        <f>IFERROR(__xludf.DUMMYFUNCTION("""COMPUTED_VALUE"""),FALSE)</f>
        <v>0</v>
      </c>
      <c r="H470" s="11" t="str">
        <f>IFERROR(__xludf.DUMMYFUNCTION("""COMPUTED_VALUE"""),"Disruptive Advertising, Thrive Internet Marketing Agency, Power Digital, Tinuiti, WebFX, Ignite Visibility, KlientBoost, Metric Theory, NoGood")</f>
        <v>Disruptive Advertising, Thrive Internet Marketing Agency, Power Digital, Tinuiti, WebFX, Ignite Visibility, KlientBoost, Metric Theory, NoGood</v>
      </c>
      <c r="I470" s="11">
        <f>IFERROR(__xludf.DUMMYFUNCTION("""COMPUTED_VALUE"""),3.0)</f>
        <v>3</v>
      </c>
      <c r="J470" s="11">
        <f>IFERROR(__xludf.DUMMYFUNCTION("""COMPUTED_VALUE"""),0.0)</f>
        <v>0</v>
      </c>
      <c r="K470" s="11">
        <f>IFERROR(__xludf.DUMMYFUNCTION("""COMPUTED_VALUE"""),1.33)</f>
        <v>1.33</v>
      </c>
      <c r="L470" s="11"/>
    </row>
    <row r="471" ht="15.75" customHeight="1">
      <c r="A471" s="10" t="str">
        <f>IFERROR(__xludf.DUMMYFUNCTION("""COMPUTED_VALUE"""),"https://www.goodfirms.co/directory/country/top-digital-marketing-companies/us?sid=3931")</f>
        <v>https://www.goodfirms.co/directory/country/top-digital-marketing-companies/us?sid=3931</v>
      </c>
      <c r="B471" s="11" t="str">
        <f>IFERROR(__xludf.DUMMYFUNCTION("""COMPUTED_VALUE"""),"Top Digital Marketing Agencies in USA - 2026 Reviews | Goodfirms")</f>
        <v>Top Digital Marketing Agencies in USA - 2026 Reviews | Goodfirms</v>
      </c>
      <c r="C471" s="10" t="str">
        <f>IFERROR(__xludf.DUMMYFUNCTION("""COMPUTED_VALUE"""),"goodfirms.co")</f>
        <v>goodfirms.co</v>
      </c>
      <c r="D471" s="11" t="str">
        <f>IFERROR(__xludf.DUMMYFUNCTION("""COMPUTED_VALUE"""),"OTHER")</f>
        <v>OTHER</v>
      </c>
      <c r="E471" s="11" t="str">
        <f>IFERROR(__xludf.DUMMYFUNCTION("""COMPUTED_VALUE"""),"UGC")</f>
        <v>UGC</v>
      </c>
      <c r="F471" s="11" t="str">
        <f>IFERROR(__xludf.DUMMYFUNCTION("""COMPUTED_VALUE"""),"Other")</f>
        <v>Other</v>
      </c>
      <c r="G471" s="11" t="b">
        <f>IFERROR(__xludf.DUMMYFUNCTION("""COMPUTED_VALUE"""),FALSE)</f>
        <v>0</v>
      </c>
      <c r="H471" s="11" t="str">
        <f>IFERROR(__xludf.DUMMYFUNCTION("""COMPUTED_VALUE"""),"WebFX, Searchbloom, Funnel Boost Media, Momentum, Bounteous, LYFE Marketing, Elit-Web, Storm Brain")</f>
        <v>WebFX, Searchbloom, Funnel Boost Media, Momentum, Bounteous, LYFE Marketing, Elit-Web, Storm Brain</v>
      </c>
      <c r="I471" s="11">
        <f>IFERROR(__xludf.DUMMYFUNCTION("""COMPUTED_VALUE"""),3.0)</f>
        <v>3</v>
      </c>
      <c r="J471" s="11">
        <f>IFERROR(__xludf.DUMMYFUNCTION("""COMPUTED_VALUE"""),0.0)</f>
        <v>0</v>
      </c>
      <c r="K471" s="11">
        <f>IFERROR(__xludf.DUMMYFUNCTION("""COMPUTED_VALUE"""),0.0)</f>
        <v>0</v>
      </c>
      <c r="L471" s="11"/>
    </row>
    <row r="472" ht="15.75" customHeight="1">
      <c r="A472" s="10" t="str">
        <f>IFERROR(__xludf.DUMMYFUNCTION("""COMPUTED_VALUE"""),"https://www.goodfirms.co/directory/country/top-digital-marketing-companies/us?sid=3943")</f>
        <v>https://www.goodfirms.co/directory/country/top-digital-marketing-companies/us?sid=3943</v>
      </c>
      <c r="B472" s="11" t="str">
        <f>IFERROR(__xludf.DUMMYFUNCTION("""COMPUTED_VALUE"""),"Top Digital Marketing Agencies in USA - 2026 Reviews | Goodfirms")</f>
        <v>Top Digital Marketing Agencies in USA - 2026 Reviews | Goodfirms</v>
      </c>
      <c r="C472" s="10" t="str">
        <f>IFERROR(__xludf.DUMMYFUNCTION("""COMPUTED_VALUE"""),"goodfirms.co")</f>
        <v>goodfirms.co</v>
      </c>
      <c r="D472" s="11" t="str">
        <f>IFERROR(__xludf.DUMMYFUNCTION("""COMPUTED_VALUE"""),"OTHER")</f>
        <v>OTHER</v>
      </c>
      <c r="E472" s="11" t="str">
        <f>IFERROR(__xludf.DUMMYFUNCTION("""COMPUTED_VALUE"""),"UGC")</f>
        <v>UGC</v>
      </c>
      <c r="F472" s="11" t="str">
        <f>IFERROR(__xludf.DUMMYFUNCTION("""COMPUTED_VALUE"""),"Other")</f>
        <v>Other</v>
      </c>
      <c r="G472" s="11" t="b">
        <f>IFERROR(__xludf.DUMMYFUNCTION("""COMPUTED_VALUE"""),FALSE)</f>
        <v>0</v>
      </c>
      <c r="H472" s="11" t="str">
        <f>IFERROR(__xludf.DUMMYFUNCTION("""COMPUTED_VALUE"""),"WebFX, Searchbloom, IBM, Elit-Web, Storm Brain")</f>
        <v>WebFX, Searchbloom, IBM, Elit-Web, Storm Brain</v>
      </c>
      <c r="I472" s="11">
        <f>IFERROR(__xludf.DUMMYFUNCTION("""COMPUTED_VALUE"""),3.0)</f>
        <v>3</v>
      </c>
      <c r="J472" s="11">
        <f>IFERROR(__xludf.DUMMYFUNCTION("""COMPUTED_VALUE"""),0.0)</f>
        <v>0</v>
      </c>
      <c r="K472" s="11">
        <f>IFERROR(__xludf.DUMMYFUNCTION("""COMPUTED_VALUE"""),0.0)</f>
        <v>0</v>
      </c>
      <c r="L472" s="11"/>
    </row>
    <row r="473" ht="15.75" customHeight="1">
      <c r="A473" s="10" t="str">
        <f>IFERROR(__xludf.DUMMYFUNCTION("""COMPUTED_VALUE"""),"https://www.growthspreeofficial.com/blogs/top-5-agencies-best-for-large-scale-b2b-demand-generation#:~:text=Senior%20operators%20run%20creation%2C%20capture%2C%20ABM%2C%20and,SaaS%20companies)%2C%20with%20no%20junior%20account%2Dmanager%20handoffs.")</f>
        <v>https://www.growthspreeofficial.com/blogs/top-5-agencies-best-for-large-scale-b2b-demand-generation#:~:text=Senior%20operators%20run%20creation%2C%20capture%2C%20ABM%2C%20and,SaaS%20companies)%2C%20with%20no%20junior%20account%2Dmanager%20handoffs.</v>
      </c>
      <c r="B473" s="11" t="str">
        <f>IFERROR(__xludf.DUMMYFUNCTION("""COMPUTED_VALUE"""),"Top 5 Agencies for Large-Scale B2B Demand Generation (2026)")</f>
        <v>Top 5 Agencies for Large-Scale B2B Demand Generation (2026)</v>
      </c>
      <c r="C473" s="10" t="str">
        <f>IFERROR(__xludf.DUMMYFUNCTION("""COMPUTED_VALUE"""),"growthspreeofficial.com")</f>
        <v>growthspreeofficial.com</v>
      </c>
      <c r="D473" s="11" t="str">
        <f>IFERROR(__xludf.DUMMYFUNCTION("""COMPUTED_VALUE"""),"LISTICLE")</f>
        <v>LISTICLE</v>
      </c>
      <c r="E473" s="11" t="str">
        <f>IFERROR(__xludf.DUMMYFUNCTION("""COMPUTED_VALUE"""),"CORPORATE")</f>
        <v>CORPORATE</v>
      </c>
      <c r="F473" s="11" t="str">
        <f>IFERROR(__xludf.DUMMYFUNCTION("""COMPUTED_VALUE"""),"Listicle")</f>
        <v>Listicle</v>
      </c>
      <c r="G473" s="11" t="b">
        <f>IFERROR(__xludf.DUMMYFUNCTION("""COMPUTED_VALUE"""),FALSE)</f>
        <v>0</v>
      </c>
      <c r="H473" s="11" t="str">
        <f>IFERROR(__xludf.DUMMYFUNCTION("""COMPUTED_VALUE"""),"GrowthSpree, Directive, Refine Labs, Measured, NoGood, Bain &amp; Company")</f>
        <v>GrowthSpree, Directive, Refine Labs, Measured, NoGood, Bain &amp; Company</v>
      </c>
      <c r="I473" s="11">
        <f>IFERROR(__xludf.DUMMYFUNCTION("""COMPUTED_VALUE"""),3.0)</f>
        <v>3</v>
      </c>
      <c r="J473" s="11">
        <f>IFERROR(__xludf.DUMMYFUNCTION("""COMPUTED_VALUE"""),0.0)</f>
        <v>0</v>
      </c>
      <c r="K473" s="11">
        <f>IFERROR(__xludf.DUMMYFUNCTION("""COMPUTED_VALUE"""),3.0)</f>
        <v>3</v>
      </c>
      <c r="L473" s="11"/>
    </row>
    <row r="474" ht="15.75" customHeight="1">
      <c r="A474" s="10" t="str">
        <f>IFERROR(__xludf.DUMMYFUNCTION("""COMPUTED_VALUE"""),"https://growwithvysta.com/blog/best-youtube-ads-agencies-in-the-us-2026/")</f>
        <v>https://growwithvysta.com/blog/best-youtube-ads-agencies-in-the-us-2026/</v>
      </c>
      <c r="B474" s="11" t="str">
        <f>IFERROR(__xludf.DUMMYFUNCTION("""COMPUTED_VALUE"""),"Best YouTube Ads Agencies in the US (2026)")</f>
        <v>Best YouTube Ads Agencies in the US (2026)</v>
      </c>
      <c r="C474" s="10" t="str">
        <f>IFERROR(__xludf.DUMMYFUNCTION("""COMPUTED_VALUE"""),"growwithvysta.com")</f>
        <v>growwithvysta.com</v>
      </c>
      <c r="D474" s="11" t="str">
        <f>IFERROR(__xludf.DUMMYFUNCTION("""COMPUTED_VALUE"""),"LISTICLE")</f>
        <v>LISTICLE</v>
      </c>
      <c r="E474" s="11" t="str">
        <f>IFERROR(__xludf.DUMMYFUNCTION("""COMPUTED_VALUE"""),"CORPORATE")</f>
        <v>CORPORATE</v>
      </c>
      <c r="F474" s="11" t="str">
        <f>IFERROR(__xludf.DUMMYFUNCTION("""COMPUTED_VALUE"""),"Listicle")</f>
        <v>Listicle</v>
      </c>
      <c r="G474" s="11" t="b">
        <f>IFERROR(__xludf.DUMMYFUNCTION("""COMPUTED_VALUE"""),FALSE)</f>
        <v>0</v>
      </c>
      <c r="H474" s="11" t="str">
        <f>IFERROR(__xludf.DUMMYFUNCTION("""COMPUTED_VALUE"""),"Disruptive Advertising, KlientBoost, Tinuiti, Common Thread Collective")</f>
        <v>Disruptive Advertising, KlientBoost, Tinuiti, Common Thread Collective</v>
      </c>
      <c r="I474" s="11">
        <f>IFERROR(__xludf.DUMMYFUNCTION("""COMPUTED_VALUE"""),3.0)</f>
        <v>3</v>
      </c>
      <c r="J474" s="11">
        <f>IFERROR(__xludf.DUMMYFUNCTION("""COMPUTED_VALUE"""),0.0)</f>
        <v>0</v>
      </c>
      <c r="K474" s="11">
        <f>IFERROR(__xludf.DUMMYFUNCTION("""COMPUTED_VALUE"""),3.0)</f>
        <v>3</v>
      </c>
      <c r="L474" s="11"/>
    </row>
    <row r="475" ht="15.75" customHeight="1">
      <c r="A475" s="10" t="str">
        <f>IFERROR(__xludf.DUMMYFUNCTION("""COMPUTED_VALUE"""),"https://hashmeta.com/blog/10-best-aeo-geo-agencies-for-ai-search-optimization/")</f>
        <v>https://hashmeta.com/blog/10-best-aeo-geo-agencies-for-ai-search-optimization/</v>
      </c>
      <c r="B475" s="11" t="str">
        <f>IFERROR(__xludf.DUMMYFUNCTION("""COMPUTED_VALUE"""),"10 Best AEO/GEO Agencies for AI Search Optimization | Hashmeta")</f>
        <v>10 Best AEO/GEO Agencies for AI Search Optimization | Hashmeta</v>
      </c>
      <c r="C475" s="10" t="str">
        <f>IFERROR(__xludf.DUMMYFUNCTION("""COMPUTED_VALUE"""),"hashmeta.com")</f>
        <v>hashmeta.com</v>
      </c>
      <c r="D475" s="11" t="str">
        <f>IFERROR(__xludf.DUMMYFUNCTION("""COMPUTED_VALUE"""),"LISTICLE")</f>
        <v>LISTICLE</v>
      </c>
      <c r="E475" s="11" t="str">
        <f>IFERROR(__xludf.DUMMYFUNCTION("""COMPUTED_VALUE"""),"CORPORATE")</f>
        <v>CORPORATE</v>
      </c>
      <c r="F475" s="11" t="str">
        <f>IFERROR(__xludf.DUMMYFUNCTION("""COMPUTED_VALUE"""),"Listicle")</f>
        <v>Listicle</v>
      </c>
      <c r="G475" s="11" t="b">
        <f>IFERROR(__xludf.DUMMYFUNCTION("""COMPUTED_VALUE"""),FALSE)</f>
        <v>0</v>
      </c>
      <c r="H475" s="11" t="str">
        <f>IFERROR(__xludf.DUMMYFUNCTION("""COMPUTED_VALUE"""),"iPullRank, Go Fish Digital, Amsive, Siege Media, Measured")</f>
        <v>iPullRank, Go Fish Digital, Amsive, Siege Media, Measured</v>
      </c>
      <c r="I475" s="11">
        <f>IFERROR(__xludf.DUMMYFUNCTION("""COMPUTED_VALUE"""),3.0)</f>
        <v>3</v>
      </c>
      <c r="J475" s="11">
        <f>IFERROR(__xludf.DUMMYFUNCTION("""COMPUTED_VALUE"""),0.0)</f>
        <v>0</v>
      </c>
      <c r="K475" s="11">
        <f>IFERROR(__xludf.DUMMYFUNCTION("""COMPUTED_VALUE"""),0.33)</f>
        <v>0.33</v>
      </c>
      <c r="L475" s="11"/>
    </row>
    <row r="476" ht="15.75" customHeight="1">
      <c r="A476" s="10" t="str">
        <f>IFERROR(__xludf.DUMMYFUNCTION("""COMPUTED_VALUE"""),"https://improvado.io/blog/marketing-mix-modeling-providers")</f>
        <v>https://improvado.io/blog/marketing-mix-modeling-providers</v>
      </c>
      <c r="B476" s="11" t="str">
        <f>IFERROR(__xludf.DUMMYFUNCTION("""COMPUTED_VALUE"""),"12 Best Marketing Mix Modeling Tools 2026 | Provider Guide")</f>
        <v>12 Best Marketing Mix Modeling Tools 2026 | Provider Guide</v>
      </c>
      <c r="C476" s="10" t="str">
        <f>IFERROR(__xludf.DUMMYFUNCTION("""COMPUTED_VALUE"""),"improvado.io")</f>
        <v>improvado.io</v>
      </c>
      <c r="D476" s="11" t="str">
        <f>IFERROR(__xludf.DUMMYFUNCTION("""COMPUTED_VALUE"""),"LISTICLE")</f>
        <v>LISTICLE</v>
      </c>
      <c r="E476" s="11" t="str">
        <f>IFERROR(__xludf.DUMMYFUNCTION("""COMPUTED_VALUE"""),"CORPORATE")</f>
        <v>CORPORATE</v>
      </c>
      <c r="F476" s="11" t="str">
        <f>IFERROR(__xludf.DUMMYFUNCTION("""COMPUTED_VALUE"""),"Listicle")</f>
        <v>Listicle</v>
      </c>
      <c r="G476" s="11" t="b">
        <f>IFERROR(__xludf.DUMMYFUNCTION("""COMPUTED_VALUE"""),FALSE)</f>
        <v>0</v>
      </c>
      <c r="H476" s="11" t="str">
        <f>IFERROR(__xludf.DUMMYFUNCTION("""COMPUTED_VALUE"""),"Analytic Partners, Measured, Recast, Cometly, SegmentStream, LifeSight, Triple Whale, HockeyStack")</f>
        <v>Analytic Partners, Measured, Recast, Cometly, SegmentStream, LifeSight, Triple Whale, HockeyStack</v>
      </c>
      <c r="I476" s="11">
        <f>IFERROR(__xludf.DUMMYFUNCTION("""COMPUTED_VALUE"""),3.0)</f>
        <v>3</v>
      </c>
      <c r="J476" s="11">
        <f>IFERROR(__xludf.DUMMYFUNCTION("""COMPUTED_VALUE"""),0.0)</f>
        <v>0</v>
      </c>
      <c r="K476" s="11">
        <f>IFERROR(__xludf.DUMMYFUNCTION("""COMPUTED_VALUE"""),0.33)</f>
        <v>0.33</v>
      </c>
      <c r="L476" s="11"/>
    </row>
    <row r="477" ht="15.75" customHeight="1">
      <c r="A477" s="10" t="str">
        <f>IFERROR(__xludf.DUMMYFUNCTION("""COMPUTED_VALUE"""),"https://iternal.ai/best-ai-consulting-firms")</f>
        <v>https://iternal.ai/best-ai-consulting-firms</v>
      </c>
      <c r="B477" s="11" t="str">
        <f>IFERROR(__xludf.DUMMYFUNCTION("""COMPUTED_VALUE"""),"Best AI Consulting Firms for Enterprise (2026)")</f>
        <v>Best AI Consulting Firms for Enterprise (2026)</v>
      </c>
      <c r="C477" s="10" t="str">
        <f>IFERROR(__xludf.DUMMYFUNCTION("""COMPUTED_VALUE"""),"iternal.ai")</f>
        <v>iternal.ai</v>
      </c>
      <c r="D477" s="11" t="str">
        <f>IFERROR(__xludf.DUMMYFUNCTION("""COMPUTED_VALUE"""),"LISTICLE")</f>
        <v>LISTICLE</v>
      </c>
      <c r="E477" s="11" t="str">
        <f>IFERROR(__xludf.DUMMYFUNCTION("""COMPUTED_VALUE"""),"CORPORATE")</f>
        <v>CORPORATE</v>
      </c>
      <c r="F477" s="11" t="str">
        <f>IFERROR(__xludf.DUMMYFUNCTION("""COMPUTED_VALUE"""),"Listicle")</f>
        <v>Listicle</v>
      </c>
      <c r="G477" s="11" t="b">
        <f>IFERROR(__xludf.DUMMYFUNCTION("""COMPUTED_VALUE"""),FALSE)</f>
        <v>0</v>
      </c>
      <c r="H477" s="11" t="str">
        <f>IFERROR(__xludf.DUMMYFUNCTION("""COMPUTED_VALUE"""),"McKinsey, QuantumBlack, BCG, Bain &amp; Company, PwC, IBM, Momentum")</f>
        <v>McKinsey, QuantumBlack, BCG, Bain &amp; Company, PwC, IBM, Momentum</v>
      </c>
      <c r="I477" s="11">
        <f>IFERROR(__xludf.DUMMYFUNCTION("""COMPUTED_VALUE"""),3.0)</f>
        <v>3</v>
      </c>
      <c r="J477" s="11">
        <f>IFERROR(__xludf.DUMMYFUNCTION("""COMPUTED_VALUE"""),0.0)</f>
        <v>0</v>
      </c>
      <c r="K477" s="11">
        <f>IFERROR(__xludf.DUMMYFUNCTION("""COMPUTED_VALUE"""),0.67)</f>
        <v>0.67</v>
      </c>
      <c r="L477" s="11"/>
    </row>
    <row r="478" ht="15.75" customHeight="1">
      <c r="A478" s="10" t="str">
        <f>IFERROR(__xludf.DUMMYFUNCTION("""COMPUTED_VALUE"""),"https://www.lyfemarketing.com/blog/top-advertising-agencies-us/")</f>
        <v>https://www.lyfemarketing.com/blog/top-advertising-agencies-us/</v>
      </c>
      <c r="B478" s="11" t="str">
        <f>IFERROR(__xludf.DUMMYFUNCTION("""COMPUTED_VALUE"""),"Top 32 Advertising Agencies In The US 2026")</f>
        <v>Top 32 Advertising Agencies In The US 2026</v>
      </c>
      <c r="C478" s="10" t="str">
        <f>IFERROR(__xludf.DUMMYFUNCTION("""COMPUTED_VALUE"""),"lyfemarketing.com")</f>
        <v>lyfemarketing.com</v>
      </c>
      <c r="D478" s="11" t="str">
        <f>IFERROR(__xludf.DUMMYFUNCTION("""COMPUTED_VALUE"""),"LISTICLE")</f>
        <v>LISTICLE</v>
      </c>
      <c r="E478" s="11" t="str">
        <f>IFERROR(__xludf.DUMMYFUNCTION("""COMPUTED_VALUE"""),"CORPORATE")</f>
        <v>CORPORATE</v>
      </c>
      <c r="F478" s="11" t="str">
        <f>IFERROR(__xludf.DUMMYFUNCTION("""COMPUTED_VALUE"""),"Listicle")</f>
        <v>Listicle</v>
      </c>
      <c r="G478" s="11" t="b">
        <f>IFERROR(__xludf.DUMMYFUNCTION("""COMPUTED_VALUE"""),FALSE)</f>
        <v>0</v>
      </c>
      <c r="H478" s="11" t="str">
        <f>IFERROR(__xludf.DUMMYFUNCTION("""COMPUTED_VALUE"""),"LYFE Marketing, Refine Labs, Kobe Digital, Disruptive Advertising, Ogilvy, Wieden+Kennedy")</f>
        <v>LYFE Marketing, Refine Labs, Kobe Digital, Disruptive Advertising, Ogilvy, Wieden+Kennedy</v>
      </c>
      <c r="I478" s="11">
        <f>IFERROR(__xludf.DUMMYFUNCTION("""COMPUTED_VALUE"""),3.0)</f>
        <v>3</v>
      </c>
      <c r="J478" s="11">
        <f>IFERROR(__xludf.DUMMYFUNCTION("""COMPUTED_VALUE"""),0.0)</f>
        <v>0</v>
      </c>
      <c r="K478" s="11">
        <f>IFERROR(__xludf.DUMMYFUNCTION("""COMPUTED_VALUE"""),0.33)</f>
        <v>0.33</v>
      </c>
      <c r="L478" s="11"/>
    </row>
    <row r="479" ht="15.75" customHeight="1">
      <c r="A479" s="10" t="str">
        <f>IFERROR(__xludf.DUMMYFUNCTION("""COMPUTED_VALUE"""),"https://www.lyfemarketing.com/blog/top-google-ads-agencies-us/")</f>
        <v>https://www.lyfemarketing.com/blog/top-google-ads-agencies-us/</v>
      </c>
      <c r="B479" s="11" t="str">
        <f>IFERROR(__xludf.DUMMYFUNCTION("""COMPUTED_VALUE"""),"Top 25 Google Ads Agencies In The U.S. 2026")</f>
        <v>Top 25 Google Ads Agencies In The U.S. 2026</v>
      </c>
      <c r="C479" s="10" t="str">
        <f>IFERROR(__xludf.DUMMYFUNCTION("""COMPUTED_VALUE"""),"lyfemarketing.com")</f>
        <v>lyfemarketing.com</v>
      </c>
      <c r="D479" s="11" t="str">
        <f>IFERROR(__xludf.DUMMYFUNCTION("""COMPUTED_VALUE"""),"LISTICLE")</f>
        <v>LISTICLE</v>
      </c>
      <c r="E479" s="11" t="str">
        <f>IFERROR(__xludf.DUMMYFUNCTION("""COMPUTED_VALUE"""),"CORPORATE")</f>
        <v>CORPORATE</v>
      </c>
      <c r="F479" s="11" t="str">
        <f>IFERROR(__xludf.DUMMYFUNCTION("""COMPUTED_VALUE"""),"Listicle")</f>
        <v>Listicle</v>
      </c>
      <c r="G479" s="11" t="b">
        <f>IFERROR(__xludf.DUMMYFUNCTION("""COMPUTED_VALUE"""),FALSE)</f>
        <v>0</v>
      </c>
      <c r="H479" s="11" t="str">
        <f>IFERROR(__xludf.DUMMYFUNCTION("""COMPUTED_VALUE"""),"LYFE Marketing, Directive, NinjaPromo, KlientBoost, AdVenture Media, Intero Digital, Single Grain")</f>
        <v>LYFE Marketing, Directive, NinjaPromo, KlientBoost, AdVenture Media, Intero Digital, Single Grain</v>
      </c>
      <c r="I479" s="11">
        <f>IFERROR(__xludf.DUMMYFUNCTION("""COMPUTED_VALUE"""),3.0)</f>
        <v>3</v>
      </c>
      <c r="J479" s="11">
        <f>IFERROR(__xludf.DUMMYFUNCTION("""COMPUTED_VALUE"""),0.0)</f>
        <v>0</v>
      </c>
      <c r="K479" s="11">
        <f>IFERROR(__xludf.DUMMYFUNCTION("""COMPUTED_VALUE"""),0.67)</f>
        <v>0.67</v>
      </c>
      <c r="L479" s="11"/>
    </row>
    <row r="480" ht="15.75" customHeight="1">
      <c r="A480" s="10" t="str">
        <f>IFERROR(__xludf.DUMMYFUNCTION("""COMPUTED_VALUE"""),"https://www.magier.com/blog/best-creative-agency")</f>
        <v>https://www.magier.com/blog/best-creative-agency</v>
      </c>
      <c r="B480" s="11" t="str">
        <f>IFERROR(__xludf.DUMMYFUNCTION("""COMPUTED_VALUE"""),"15 Best Creative Agencies for Branding, Ads, and UX (2026)")</f>
        <v>15 Best Creative Agencies for Branding, Ads, and UX (2026)</v>
      </c>
      <c r="C480" s="10" t="str">
        <f>IFERROR(__xludf.DUMMYFUNCTION("""COMPUTED_VALUE"""),"magier.com")</f>
        <v>magier.com</v>
      </c>
      <c r="D480" s="11" t="str">
        <f>IFERROR(__xludf.DUMMYFUNCTION("""COMPUTED_VALUE"""),"LISTICLE")</f>
        <v>LISTICLE</v>
      </c>
      <c r="E480" s="11" t="str">
        <f>IFERROR(__xludf.DUMMYFUNCTION("""COMPUTED_VALUE"""),"OTHER")</f>
        <v>OTHER</v>
      </c>
      <c r="F480" s="11" t="str">
        <f>IFERROR(__xludf.DUMMYFUNCTION("""COMPUTED_VALUE"""),"Listicle")</f>
        <v>Listicle</v>
      </c>
      <c r="G480" s="11" t="b">
        <f>IFERROR(__xludf.DUMMYFUNCTION("""COMPUTED_VALUE"""),FALSE)</f>
        <v>0</v>
      </c>
      <c r="H480" s="11" t="str">
        <f>IFERROR(__xludf.DUMMYFUNCTION("""COMPUTED_VALUE"""),"Pentagram, Wolff Olins, Wieden+Kennedy, BBDO, R/GA, AKQA, Ogilvy, Droga5, WPP, Giant Spoon, Clutch, Accenture Song, Momentum, 72andSunny, Clay, Huge, Superside")</f>
        <v>Pentagram, Wolff Olins, Wieden+Kennedy, BBDO, R/GA, AKQA, Ogilvy, Droga5, WPP, Giant Spoon, Clutch, Accenture Song, Momentum, 72andSunny, Clay, Huge, Superside</v>
      </c>
      <c r="I480" s="11">
        <f>IFERROR(__xludf.DUMMYFUNCTION("""COMPUTED_VALUE"""),3.0)</f>
        <v>3</v>
      </c>
      <c r="J480" s="11">
        <f>IFERROR(__xludf.DUMMYFUNCTION("""COMPUTED_VALUE"""),0.0)</f>
        <v>0</v>
      </c>
      <c r="K480" s="11">
        <f>IFERROR(__xludf.DUMMYFUNCTION("""COMPUTED_VALUE"""),0.67)</f>
        <v>0.67</v>
      </c>
      <c r="L480" s="11"/>
    </row>
    <row r="481" ht="15.75" customHeight="1">
      <c r="A481" s="10" t="str">
        <f>IFERROR(__xludf.DUMMYFUNCTION("""COMPUTED_VALUE"""),"https://marketerhire.com/blog/ai-marketing-agencies")</f>
        <v>https://marketerhire.com/blog/ai-marketing-agencies</v>
      </c>
      <c r="B481" s="11" t="str">
        <f>IFERROR(__xludf.DUMMYFUNCTION("""COMPUTED_VALUE"""),"Ultimate Guide to the Best AI Marketing Agencies for Your Business")</f>
        <v>Ultimate Guide to the Best AI Marketing Agencies for Your Business</v>
      </c>
      <c r="C481" s="10" t="str">
        <f>IFERROR(__xludf.DUMMYFUNCTION("""COMPUTED_VALUE"""),"marketerhire.com")</f>
        <v>marketerhire.com</v>
      </c>
      <c r="D481" s="11" t="str">
        <f>IFERROR(__xludf.DUMMYFUNCTION("""COMPUTED_VALUE"""),"LISTICLE")</f>
        <v>LISTICLE</v>
      </c>
      <c r="E481" s="11" t="str">
        <f>IFERROR(__xludf.DUMMYFUNCTION("""COMPUTED_VALUE"""),"CORPORATE")</f>
        <v>CORPORATE</v>
      </c>
      <c r="F481" s="11" t="str">
        <f>IFERROR(__xludf.DUMMYFUNCTION("""COMPUTED_VALUE"""),"Listicle")</f>
        <v>Listicle</v>
      </c>
      <c r="G481" s="11" t="b">
        <f>IFERROR(__xludf.DUMMYFUNCTION("""COMPUTED_VALUE"""),FALSE)</f>
        <v>0</v>
      </c>
      <c r="H481" s="11" t="str">
        <f>IFERROR(__xludf.DUMMYFUNCTION("""COMPUTED_VALUE"""),"NoGood")</f>
        <v>NoGood</v>
      </c>
      <c r="I481" s="11">
        <f>IFERROR(__xludf.DUMMYFUNCTION("""COMPUTED_VALUE"""),3.0)</f>
        <v>3</v>
      </c>
      <c r="J481" s="11">
        <f>IFERROR(__xludf.DUMMYFUNCTION("""COMPUTED_VALUE"""),0.0)</f>
        <v>0</v>
      </c>
      <c r="K481" s="11">
        <f>IFERROR(__xludf.DUMMYFUNCTION("""COMPUTED_VALUE"""),0.67)</f>
        <v>0.67</v>
      </c>
      <c r="L481" s="11"/>
    </row>
    <row r="482" ht="15.75" customHeight="1">
      <c r="A482" s="10" t="str">
        <f>IFERROR(__xludf.DUMMYFUNCTION("""COMPUTED_VALUE"""),"https://metaflow.life/blog/best-paid-media-agencies-2026")</f>
        <v>https://metaflow.life/blog/best-paid-media-agencies-2026</v>
      </c>
      <c r="B482" s="11" t="str">
        <f>IFERROR(__xludf.DUMMYFUNCTION("""COMPUTED_VALUE"""),"11 Best paid media Agencies for 2026")</f>
        <v>11 Best paid media Agencies for 2026</v>
      </c>
      <c r="C482" s="11" t="str">
        <f>IFERROR(__xludf.DUMMYFUNCTION("""COMPUTED_VALUE"""),"metaflow.life")</f>
        <v>metaflow.life</v>
      </c>
      <c r="D482" s="11" t="str">
        <f>IFERROR(__xludf.DUMMYFUNCTION("""COMPUTED_VALUE"""),"LISTICLE")</f>
        <v>LISTICLE</v>
      </c>
      <c r="E482" s="11" t="str">
        <f>IFERROR(__xludf.DUMMYFUNCTION("""COMPUTED_VALUE"""),"OTHER")</f>
        <v>OTHER</v>
      </c>
      <c r="F482" s="11" t="str">
        <f>IFERROR(__xludf.DUMMYFUNCTION("""COMPUTED_VALUE"""),"Listicle")</f>
        <v>Listicle</v>
      </c>
      <c r="G482" s="11" t="b">
        <f>IFERROR(__xludf.DUMMYFUNCTION("""COMPUTED_VALUE"""),FALSE)</f>
        <v>0</v>
      </c>
      <c r="H482" s="11" t="str">
        <f>IFERROR(__xludf.DUMMYFUNCTION("""COMPUTED_VALUE"""),"Power Digital, NoGood, Ignite Visibility, Victorious, Amsive")</f>
        <v>Power Digital, NoGood, Ignite Visibility, Victorious, Amsive</v>
      </c>
      <c r="I482" s="11">
        <f>IFERROR(__xludf.DUMMYFUNCTION("""COMPUTED_VALUE"""),3.0)</f>
        <v>3</v>
      </c>
      <c r="J482" s="11">
        <f>IFERROR(__xludf.DUMMYFUNCTION("""COMPUTED_VALUE"""),0.0)</f>
        <v>0</v>
      </c>
      <c r="K482" s="11">
        <f>IFERROR(__xludf.DUMMYFUNCTION("""COMPUTED_VALUE"""),0.33)</f>
        <v>0.33</v>
      </c>
      <c r="L482" s="11"/>
    </row>
    <row r="483" ht="15.75" customHeight="1">
      <c r="A483" s="10" t="str">
        <f>IFERROR(__xludf.DUMMYFUNCTION("""COMPUTED_VALUE"""),"https://www.miniloop.ai/blog/best-geo-agencies")</f>
        <v>https://www.miniloop.ai/blog/best-geo-agencies</v>
      </c>
      <c r="B483" s="11" t="str">
        <f>IFERROR(__xludf.DUMMYFUNCTION("""COMPUTED_VALUE"""),"Best GEO Agencies 2026: Generative Engine Optimization Companies")</f>
        <v>Best GEO Agencies 2026: Generative Engine Optimization Companies</v>
      </c>
      <c r="C483" s="10" t="str">
        <f>IFERROR(__xludf.DUMMYFUNCTION("""COMPUTED_VALUE"""),"miniloop.ai")</f>
        <v>miniloop.ai</v>
      </c>
      <c r="D483" s="11" t="str">
        <f>IFERROR(__xludf.DUMMYFUNCTION("""COMPUTED_VALUE"""),"LISTICLE")</f>
        <v>LISTICLE</v>
      </c>
      <c r="E483" s="11" t="str">
        <f>IFERROR(__xludf.DUMMYFUNCTION("""COMPUTED_VALUE"""),"CORPORATE")</f>
        <v>CORPORATE</v>
      </c>
      <c r="F483" s="11" t="str">
        <f>IFERROR(__xludf.DUMMYFUNCTION("""COMPUTED_VALUE"""),"Listicle")</f>
        <v>Listicle</v>
      </c>
      <c r="G483" s="11" t="b">
        <f>IFERROR(__xludf.DUMMYFUNCTION("""COMPUTED_VALUE"""),FALSE)</f>
        <v>0</v>
      </c>
      <c r="H483" s="11" t="str">
        <f>IFERROR(__xludf.DUMMYFUNCTION("""COMPUTED_VALUE"""),"Omniscient Digital, Animalz, Siege Media, Go Fish Digital, Intero Digital")</f>
        <v>Omniscient Digital, Animalz, Siege Media, Go Fish Digital, Intero Digital</v>
      </c>
      <c r="I483" s="11">
        <f>IFERROR(__xludf.DUMMYFUNCTION("""COMPUTED_VALUE"""),3.0)</f>
        <v>3</v>
      </c>
      <c r="J483" s="11">
        <f>IFERROR(__xludf.DUMMYFUNCTION("""COMPUTED_VALUE"""),0.0)</f>
        <v>0</v>
      </c>
      <c r="K483" s="11">
        <f>IFERROR(__xludf.DUMMYFUNCTION("""COMPUTED_VALUE"""),3.67)</f>
        <v>3.67</v>
      </c>
      <c r="L483" s="11"/>
    </row>
    <row r="484" ht="15.75" customHeight="1">
      <c r="A484" s="10" t="str">
        <f>IFERROR(__xludf.DUMMYFUNCTION("""COMPUTED_VALUE"""),"https://www.munro.agency/marketing-agencies-in-the-usa/")</f>
        <v>https://www.munro.agency/marketing-agencies-in-the-usa/</v>
      </c>
      <c r="B484" s="11" t="str">
        <f>IFERROR(__xludf.DUMMYFUNCTION("""COMPUTED_VALUE"""),"Top 15 Marketing Agencies in the USA for 2026")</f>
        <v>Top 15 Marketing Agencies in the USA for 2026</v>
      </c>
      <c r="C484" s="11" t="str">
        <f>IFERROR(__xludf.DUMMYFUNCTION("""COMPUTED_VALUE"""),"munro.agency")</f>
        <v>munro.agency</v>
      </c>
      <c r="D484" s="11" t="str">
        <f>IFERROR(__xludf.DUMMYFUNCTION("""COMPUTED_VALUE"""),"LISTICLE")</f>
        <v>LISTICLE</v>
      </c>
      <c r="E484" s="11" t="str">
        <f>IFERROR(__xludf.DUMMYFUNCTION("""COMPUTED_VALUE"""),"CORPORATE")</f>
        <v>CORPORATE</v>
      </c>
      <c r="F484" s="11" t="str">
        <f>IFERROR(__xludf.DUMMYFUNCTION("""COMPUTED_VALUE"""),"Listicle")</f>
        <v>Listicle</v>
      </c>
      <c r="G484" s="11" t="b">
        <f>IFERROR(__xludf.DUMMYFUNCTION("""COMPUTED_VALUE"""),FALSE)</f>
        <v>0</v>
      </c>
      <c r="H484" s="11" t="str">
        <f>IFERROR(__xludf.DUMMYFUNCTION("""COMPUTED_VALUE"""),"LYFE Marketing, Wieden+Kennedy, Disruptive Advertising, Dentsu, Digitas, BBDO, Major Tom, Funnel Boost Media, 72andSunny, Ignite Visibility")</f>
        <v>LYFE Marketing, Wieden+Kennedy, Disruptive Advertising, Dentsu, Digitas, BBDO, Major Tom, Funnel Boost Media, 72andSunny, Ignite Visibility</v>
      </c>
      <c r="I484" s="11">
        <f>IFERROR(__xludf.DUMMYFUNCTION("""COMPUTED_VALUE"""),3.0)</f>
        <v>3</v>
      </c>
      <c r="J484" s="11">
        <f>IFERROR(__xludf.DUMMYFUNCTION("""COMPUTED_VALUE"""),0.0)</f>
        <v>0</v>
      </c>
      <c r="K484" s="11">
        <f>IFERROR(__xludf.DUMMYFUNCTION("""COMPUTED_VALUE"""),1.0)</f>
        <v>1</v>
      </c>
      <c r="L484" s="11"/>
    </row>
    <row r="485" ht="15.75" customHeight="1">
      <c r="A485" s="10" t="str">
        <f>IFERROR(__xludf.DUMMYFUNCTION("""COMPUTED_VALUE"""),"https://nationalmarketingawards.com/agency/")</f>
        <v>https://nationalmarketingawards.com/agency/</v>
      </c>
      <c r="B485" s="11" t="str">
        <f>IFERROR(__xludf.DUMMYFUNCTION("""COMPUTED_VALUE"""),"Top Marketing Agencies 2026 | National Marketing Awards")</f>
        <v>Top Marketing Agencies 2026 | National Marketing Awards</v>
      </c>
      <c r="C485" s="10" t="str">
        <f>IFERROR(__xludf.DUMMYFUNCTION("""COMPUTED_VALUE"""),"nationalmarketingawards.com")</f>
        <v>nationalmarketingawards.com</v>
      </c>
      <c r="D485" s="11" t="str">
        <f>IFERROR(__xludf.DUMMYFUNCTION("""COMPUTED_VALUE"""),"LISTICLE")</f>
        <v>LISTICLE</v>
      </c>
      <c r="E485" s="11" t="str">
        <f>IFERROR(__xludf.DUMMYFUNCTION("""COMPUTED_VALUE"""),"REFERENCE")</f>
        <v>REFERENCE</v>
      </c>
      <c r="F485" s="11" t="str">
        <f>IFERROR(__xludf.DUMMYFUNCTION("""COMPUTED_VALUE"""),"Listicle")</f>
        <v>Listicle</v>
      </c>
      <c r="G485" s="11" t="b">
        <f>IFERROR(__xludf.DUMMYFUNCTION("""COMPUTED_VALUE"""),FALSE)</f>
        <v>0</v>
      </c>
      <c r="H485" s="11" t="str">
        <f>IFERROR(__xludf.DUMMYFUNCTION("""COMPUTED_VALUE"""),"WebFX, VML, WPP, Ignite Visibility, Wieden+Kennedy, SmartSites, Anomaly, HawkSEM, Disruptive Advertising, R/GA, LYFE Marketing, Intero Digital, Noble Studios, NP Digital, Marcel Digital, Directive, Seer Interactive, Silverback Strategies, Publicis Groupe,"&amp;" Power Digital, Victorious, Huge, 72andSunny, Searchbloom, Wpromote, Siege Media, Droga5, Accenture Song, Horizon Media, KlientBoost, Single Grain, PMG, Bounteous, BBDO, Sociallyin, First Page Sage, Viral Nation, Clay, Tinuiti, Hawke Media, NoGood, Clutch"&amp;", Measured")</f>
        <v>WebFX, VML, WPP, Ignite Visibility, Wieden+Kennedy, SmartSites, Anomaly, HawkSEM, Disruptive Advertising, R/GA, LYFE Marketing, Intero Digital, Noble Studios, NP Digital, Marcel Digital, Directive, Seer Interactive, Silverback Strategies, Publicis Groupe, Power Digital, Victorious, Huge, 72andSunny, Searchbloom, Wpromote, Siege Media, Droga5, Accenture Song, Horizon Media, KlientBoost, Single Grain, PMG, Bounteous, BBDO, Sociallyin, First Page Sage, Viral Nation, Clay, Tinuiti, Hawke Media, NoGood, Clutch, Measured</v>
      </c>
      <c r="I485" s="11">
        <f>IFERROR(__xludf.DUMMYFUNCTION("""COMPUTED_VALUE"""),3.0)</f>
        <v>3</v>
      </c>
      <c r="J485" s="11">
        <f>IFERROR(__xludf.DUMMYFUNCTION("""COMPUTED_VALUE"""),0.0)</f>
        <v>0</v>
      </c>
      <c r="K485" s="11">
        <f>IFERROR(__xludf.DUMMYFUNCTION("""COMPUTED_VALUE"""),0.0)</f>
        <v>0</v>
      </c>
      <c r="L485" s="11"/>
    </row>
    <row r="486" ht="15.75" customHeight="1">
      <c r="A486" s="10" t="str">
        <f>IFERROR(__xludf.DUMMYFUNCTION("""COMPUTED_VALUE"""),"https://www.nine.am/insights/best-performance-marketing-agencies-nyc")</f>
        <v>https://www.nine.am/insights/best-performance-marketing-agencies-nyc</v>
      </c>
      <c r="B486" s="11" t="str">
        <f>IFERROR(__xludf.DUMMYFUNCTION("""COMPUTED_VALUE"""),"10 Best Performance Marketing Agencies in NYC (2026 Edition)")</f>
        <v>10 Best Performance Marketing Agencies in NYC (2026 Edition)</v>
      </c>
      <c r="C486" s="10" t="str">
        <f>IFERROR(__xludf.DUMMYFUNCTION("""COMPUTED_VALUE"""),"nine.am")</f>
        <v>nine.am</v>
      </c>
      <c r="D486" s="11" t="str">
        <f>IFERROR(__xludf.DUMMYFUNCTION("""COMPUTED_VALUE"""),"LISTICLE")</f>
        <v>LISTICLE</v>
      </c>
      <c r="E486" s="11" t="str">
        <f>IFERROR(__xludf.DUMMYFUNCTION("""COMPUTED_VALUE"""),"CORPORATE")</f>
        <v>CORPORATE</v>
      </c>
      <c r="F486" s="11" t="str">
        <f>IFERROR(__xludf.DUMMYFUNCTION("""COMPUTED_VALUE"""),"Listicle")</f>
        <v>Listicle</v>
      </c>
      <c r="G486" s="11" t="b">
        <f>IFERROR(__xludf.DUMMYFUNCTION("""COMPUTED_VALUE"""),FALSE)</f>
        <v>0</v>
      </c>
      <c r="H486" s="11" t="str">
        <f>IFERROR(__xludf.DUMMYFUNCTION("""COMPUTED_VALUE"""),"NoGood, Clutch, Tinuiti, Power Digital, Amsive, VaynerMedia, inBeat")</f>
        <v>NoGood, Clutch, Tinuiti, Power Digital, Amsive, VaynerMedia, inBeat</v>
      </c>
      <c r="I486" s="11">
        <f>IFERROR(__xludf.DUMMYFUNCTION("""COMPUTED_VALUE"""),3.0)</f>
        <v>3</v>
      </c>
      <c r="J486" s="11">
        <f>IFERROR(__xludf.DUMMYFUNCTION("""COMPUTED_VALUE"""),0.0)</f>
        <v>0</v>
      </c>
      <c r="K486" s="11">
        <f>IFERROR(__xludf.DUMMYFUNCTION("""COMPUTED_VALUE"""),1.0)</f>
        <v>1</v>
      </c>
      <c r="L486" s="11"/>
    </row>
    <row r="487" ht="15.75" customHeight="1">
      <c r="A487" s="10" t="str">
        <f>IFERROR(__xludf.DUMMYFUNCTION("""COMPUTED_VALUE"""),"https://www.outrightcrm.com/blog/roi-focused-digital-marketing-agencies/")</f>
        <v>https://www.outrightcrm.com/blog/roi-focused-digital-marketing-agencies/</v>
      </c>
      <c r="B487" s="11" t="str">
        <f>IFERROR(__xludf.DUMMYFUNCTION("""COMPUTED_VALUE"""),"15 Best ROI-Focused Digital Marketing Firms in 2026 | OutrightCRM")</f>
        <v>15 Best ROI-Focused Digital Marketing Firms in 2026 | OutrightCRM</v>
      </c>
      <c r="C487" s="10" t="str">
        <f>IFERROR(__xludf.DUMMYFUNCTION("""COMPUTED_VALUE"""),"outrightcrm.com")</f>
        <v>outrightcrm.com</v>
      </c>
      <c r="D487" s="11" t="str">
        <f>IFERROR(__xludf.DUMMYFUNCTION("""COMPUTED_VALUE"""),"LISTICLE")</f>
        <v>LISTICLE</v>
      </c>
      <c r="E487" s="11" t="str">
        <f>IFERROR(__xludf.DUMMYFUNCTION("""COMPUTED_VALUE"""),"CORPORATE")</f>
        <v>CORPORATE</v>
      </c>
      <c r="F487" s="11" t="str">
        <f>IFERROR(__xludf.DUMMYFUNCTION("""COMPUTED_VALUE"""),"Listicle")</f>
        <v>Listicle</v>
      </c>
      <c r="G487" s="11" t="b">
        <f>IFERROR(__xludf.DUMMYFUNCTION("""COMPUTED_VALUE"""),FALSE)</f>
        <v>0</v>
      </c>
      <c r="H487" s="11" t="str">
        <f>IFERROR(__xludf.DUMMYFUNCTION("""COMPUTED_VALUE"""),"Disruptive Advertising, KlientBoost, SmartSites, Power Digital, Wpromote, Ignite Visibility, Seer Interactive, Directive, Jellyfish, Merkle, VaynerMedia, NP Digital, Thrive Internet Marketing Agency, LYFE Marketing, Clutch, Huge")</f>
        <v>Disruptive Advertising, KlientBoost, SmartSites, Power Digital, Wpromote, Ignite Visibility, Seer Interactive, Directive, Jellyfish, Merkle, VaynerMedia, NP Digital, Thrive Internet Marketing Agency, LYFE Marketing, Clutch, Huge</v>
      </c>
      <c r="I487" s="11">
        <f>IFERROR(__xludf.DUMMYFUNCTION("""COMPUTED_VALUE"""),3.0)</f>
        <v>3</v>
      </c>
      <c r="J487" s="11">
        <f>IFERROR(__xludf.DUMMYFUNCTION("""COMPUTED_VALUE"""),0.0)</f>
        <v>0</v>
      </c>
      <c r="K487" s="11">
        <f>IFERROR(__xludf.DUMMYFUNCTION("""COMPUTED_VALUE"""),0.0)</f>
        <v>0</v>
      </c>
      <c r="L487" s="11"/>
    </row>
    <row r="488" ht="15.75" customHeight="1">
      <c r="A488" s="10" t="str">
        <f>IFERROR(__xludf.DUMMYFUNCTION("""COMPUTED_VALUE"""),"https://oxdpr.com/creative-strategy-agencies/")</f>
        <v>https://oxdpr.com/creative-strategy-agencies/</v>
      </c>
      <c r="B488" s="11" t="str">
        <f>IFERROR(__xludf.DUMMYFUNCTION("""COMPUTED_VALUE"""),"Top 7 Creative Strategy Agencies Shaping Brands in 2026 - OXDPR - Digital Marketing")</f>
        <v>Top 7 Creative Strategy Agencies Shaping Brands in 2026 - OXDPR - Digital Marketing</v>
      </c>
      <c r="C488" s="10" t="str">
        <f>IFERROR(__xludf.DUMMYFUNCTION("""COMPUTED_VALUE"""),"oxdpr.com")</f>
        <v>oxdpr.com</v>
      </c>
      <c r="D488" s="11" t="str">
        <f>IFERROR(__xludf.DUMMYFUNCTION("""COMPUTED_VALUE"""),"LISTICLE")</f>
        <v>LISTICLE</v>
      </c>
      <c r="E488" s="11" t="str">
        <f>IFERROR(__xludf.DUMMYFUNCTION("""COMPUTED_VALUE"""),"CORPORATE")</f>
        <v>CORPORATE</v>
      </c>
      <c r="F488" s="11" t="str">
        <f>IFERROR(__xludf.DUMMYFUNCTION("""COMPUTED_VALUE"""),"Listicle")</f>
        <v>Listicle</v>
      </c>
      <c r="G488" s="11" t="b">
        <f>IFERROR(__xludf.DUMMYFUNCTION("""COMPUTED_VALUE"""),FALSE)</f>
        <v>0</v>
      </c>
      <c r="H488" s="11" t="str">
        <f>IFERROR(__xludf.DUMMYFUNCTION("""COMPUTED_VALUE"""),"McKinsey, Superside, inBeat, Ogilvy, IBM, Wieden+Kennedy, Accenture Song, Measured")</f>
        <v>McKinsey, Superside, inBeat, Ogilvy, IBM, Wieden+Kennedy, Accenture Song, Measured</v>
      </c>
      <c r="I488" s="11">
        <f>IFERROR(__xludf.DUMMYFUNCTION("""COMPUTED_VALUE"""),3.0)</f>
        <v>3</v>
      </c>
      <c r="J488" s="11">
        <f>IFERROR(__xludf.DUMMYFUNCTION("""COMPUTED_VALUE"""),0.0)</f>
        <v>0</v>
      </c>
      <c r="K488" s="11">
        <f>IFERROR(__xludf.DUMMYFUNCTION("""COMPUTED_VALUE"""),0.33)</f>
        <v>0.33</v>
      </c>
      <c r="L488" s="11"/>
    </row>
    <row r="489" ht="15.75" customHeight="1">
      <c r="A489" s="10" t="str">
        <f>IFERROR(__xludf.DUMMYFUNCTION("""COMPUTED_VALUE"""),"https://parallel365.com/best-ai-search-optimization-agencies-for-b2b-companies/")</f>
        <v>https://parallel365.com/best-ai-search-optimization-agencies-for-b2b-companies/</v>
      </c>
      <c r="B489" s="11" t="str">
        <f>IFERROR(__xludf.DUMMYFUNCTION("""COMPUTED_VALUE"""),"Best AI Search Optimization Agencies for B2B Companies in 2026")</f>
        <v>Best AI Search Optimization Agencies for B2B Companies in 2026</v>
      </c>
      <c r="C489" s="10" t="str">
        <f>IFERROR(__xludf.DUMMYFUNCTION("""COMPUTED_VALUE"""),"parallel365.com")</f>
        <v>parallel365.com</v>
      </c>
      <c r="D489" s="11" t="str">
        <f>IFERROR(__xludf.DUMMYFUNCTION("""COMPUTED_VALUE"""),"LISTICLE")</f>
        <v>LISTICLE</v>
      </c>
      <c r="E489" s="11" t="str">
        <f>IFERROR(__xludf.DUMMYFUNCTION("""COMPUTED_VALUE"""),"CORPORATE")</f>
        <v>CORPORATE</v>
      </c>
      <c r="F489" s="11" t="str">
        <f>IFERROR(__xludf.DUMMYFUNCTION("""COMPUTED_VALUE"""),"Listicle")</f>
        <v>Listicle</v>
      </c>
      <c r="G489" s="11" t="b">
        <f>IFERROR(__xludf.DUMMYFUNCTION("""COMPUTED_VALUE"""),FALSE)</f>
        <v>0</v>
      </c>
      <c r="H489" s="11" t="str">
        <f>IFERROR(__xludf.DUMMYFUNCTION("""COMPUTED_VALUE"""),"McKinsey, Omniscient Digital, Directive, NoGood, Single Grain, Disruptive Advertising, Power Digital, WebFX, Thrive Internet Marketing Agency, Searchbloom")</f>
        <v>McKinsey, Omniscient Digital, Directive, NoGood, Single Grain, Disruptive Advertising, Power Digital, WebFX, Thrive Internet Marketing Agency, Searchbloom</v>
      </c>
      <c r="I489" s="11">
        <f>IFERROR(__xludf.DUMMYFUNCTION("""COMPUTED_VALUE"""),3.0)</f>
        <v>3</v>
      </c>
      <c r="J489" s="11">
        <f>IFERROR(__xludf.DUMMYFUNCTION("""COMPUTED_VALUE"""),0.0)</f>
        <v>0</v>
      </c>
      <c r="K489" s="11">
        <f>IFERROR(__xludf.DUMMYFUNCTION("""COMPUTED_VALUE"""),0.0)</f>
        <v>0</v>
      </c>
      <c r="L489" s="11"/>
    </row>
    <row r="490" ht="15.75" customHeight="1">
      <c r="A490" s="10" t="str">
        <f>IFERROR(__xludf.DUMMYFUNCTION("""COMPUTED_VALUE"""),"https://piperocket.digital/list/best-paid-social-agencies/")</f>
        <v>https://piperocket.digital/list/best-paid-social-agencies/</v>
      </c>
      <c r="B490" s="11" t="str">
        <f>IFERROR(__xludf.DUMMYFUNCTION("""COMPUTED_VALUE"""),"9 Best Paid Social Agencies for 2026 (Honest Review)")</f>
        <v>9 Best Paid Social Agencies for 2026 (Honest Review)</v>
      </c>
      <c r="C490" s="11" t="str">
        <f>IFERROR(__xludf.DUMMYFUNCTION("""COMPUTED_VALUE"""),"piperocket.digital")</f>
        <v>piperocket.digital</v>
      </c>
      <c r="D490" s="11" t="str">
        <f>IFERROR(__xludf.DUMMYFUNCTION("""COMPUTED_VALUE"""),"LISTICLE")</f>
        <v>LISTICLE</v>
      </c>
      <c r="E490" s="11" t="str">
        <f>IFERROR(__xludf.DUMMYFUNCTION("""COMPUTED_VALUE"""),"CORPORATE")</f>
        <v>CORPORATE</v>
      </c>
      <c r="F490" s="11" t="str">
        <f>IFERROR(__xludf.DUMMYFUNCTION("""COMPUTED_VALUE"""),"Listicle")</f>
        <v>Listicle</v>
      </c>
      <c r="G490" s="11" t="b">
        <f>IFERROR(__xludf.DUMMYFUNCTION("""COMPUTED_VALUE"""),FALSE)</f>
        <v>0</v>
      </c>
      <c r="H490" s="11" t="str">
        <f>IFERROR(__xludf.DUMMYFUNCTION("""COMPUTED_VALUE"""),"Clutch, Directive, Hey Digital, KlientBoost, NoGood, Measured")</f>
        <v>Clutch, Directive, Hey Digital, KlientBoost, NoGood, Measured</v>
      </c>
      <c r="I490" s="11">
        <f>IFERROR(__xludf.DUMMYFUNCTION("""COMPUTED_VALUE"""),3.0)</f>
        <v>3</v>
      </c>
      <c r="J490" s="11">
        <f>IFERROR(__xludf.DUMMYFUNCTION("""COMPUTED_VALUE"""),0.0)</f>
        <v>0</v>
      </c>
      <c r="K490" s="11">
        <f>IFERROR(__xludf.DUMMYFUNCTION("""COMPUTED_VALUE"""),0.33)</f>
        <v>0.33</v>
      </c>
      <c r="L490" s="11"/>
    </row>
    <row r="491" ht="15.75" customHeight="1">
      <c r="A491" s="10" t="str">
        <f>IFERROR(__xludf.DUMMYFUNCTION("""COMPUTED_VALUE"""),"https://www.pixelmojo.io/best-ai-visibility-agencies")</f>
        <v>https://www.pixelmojo.io/best-ai-visibility-agencies</v>
      </c>
      <c r="B491" s="11" t="str">
        <f>IFERROR(__xludf.DUMMYFUNCTION("""COMPUTED_VALUE"""),"Best AI Visibility Agencies in 2026 | GEO and AEO Agencies Compared")</f>
        <v>Best AI Visibility Agencies in 2026 | GEO and AEO Agencies Compared</v>
      </c>
      <c r="C491" s="10" t="str">
        <f>IFERROR(__xludf.DUMMYFUNCTION("""COMPUTED_VALUE"""),"pixelmojo.io")</f>
        <v>pixelmojo.io</v>
      </c>
      <c r="D491" s="11" t="str">
        <f>IFERROR(__xludf.DUMMYFUNCTION("""COMPUTED_VALUE"""),"PROFILE")</f>
        <v>PROFILE</v>
      </c>
      <c r="E491" s="11" t="str">
        <f>IFERROR(__xludf.DUMMYFUNCTION("""COMPUTED_VALUE"""),"CORPORATE")</f>
        <v>CORPORATE</v>
      </c>
      <c r="F491" s="11" t="str">
        <f>IFERROR(__xludf.DUMMYFUNCTION("""COMPUTED_VALUE"""),"Profile")</f>
        <v>Profile</v>
      </c>
      <c r="G491" s="11" t="b">
        <f>IFERROR(__xludf.DUMMYFUNCTION("""COMPUTED_VALUE"""),FALSE)</f>
        <v>0</v>
      </c>
      <c r="H491" s="11" t="str">
        <f>IFERROR(__xludf.DUMMYFUNCTION("""COMPUTED_VALUE"""),"WebFX, Seer Interactive, iPullRank, NoGood, Siege Media, Directive, Measured")</f>
        <v>WebFX, Seer Interactive, iPullRank, NoGood, Siege Media, Directive, Measured</v>
      </c>
      <c r="I491" s="11">
        <f>IFERROR(__xludf.DUMMYFUNCTION("""COMPUTED_VALUE"""),3.0)</f>
        <v>3</v>
      </c>
      <c r="J491" s="11">
        <f>IFERROR(__xludf.DUMMYFUNCTION("""COMPUTED_VALUE"""),0.0)</f>
        <v>0</v>
      </c>
      <c r="K491" s="11">
        <f>IFERROR(__xludf.DUMMYFUNCTION("""COMPUTED_VALUE"""),0.0)</f>
        <v>0</v>
      </c>
      <c r="L491" s="11"/>
    </row>
    <row r="492" ht="15.75" customHeight="1">
      <c r="A492" s="10" t="str">
        <f>IFERROR(__xludf.DUMMYFUNCTION("""COMPUTED_VALUE"""),"https://www.redseo.io/compare/best-ai-seo-agency")</f>
        <v>https://www.redseo.io/compare/best-ai-seo-agency</v>
      </c>
      <c r="B492" s="11" t="str">
        <f>IFERROR(__xludf.DUMMYFUNCTION("""COMPUTED_VALUE"""),"The 10 Best AI SEO Agencies of 2026 (AEO &amp;amp; GEO Specialists)")</f>
        <v>The 10 Best AI SEO Agencies of 2026 (AEO &amp;amp; GEO Specialists)</v>
      </c>
      <c r="C492" s="10" t="str">
        <f>IFERROR(__xludf.DUMMYFUNCTION("""COMPUTED_VALUE"""),"redseo.io")</f>
        <v>redseo.io</v>
      </c>
      <c r="D492" s="11" t="str">
        <f>IFERROR(__xludf.DUMMYFUNCTION("""COMPUTED_VALUE"""),"LISTICLE")</f>
        <v>LISTICLE</v>
      </c>
      <c r="E492" s="11" t="str">
        <f>IFERROR(__xludf.DUMMYFUNCTION("""COMPUTED_VALUE"""),"CORPORATE")</f>
        <v>CORPORATE</v>
      </c>
      <c r="F492" s="11" t="str">
        <f>IFERROR(__xludf.DUMMYFUNCTION("""COMPUTED_VALUE"""),"Listicle")</f>
        <v>Listicle</v>
      </c>
      <c r="G492" s="11" t="b">
        <f>IFERROR(__xludf.DUMMYFUNCTION("""COMPUTED_VALUE"""),FALSE)</f>
        <v>0</v>
      </c>
      <c r="H492" s="11" t="str">
        <f>IFERROR(__xludf.DUMMYFUNCTION("""COMPUTED_VALUE"""),"iPullRank, Graphite, Animalz, Brainlabs, NoGood, Victorious, Seer Interactive, Siege Media, Omniscient Digital, Clutch, Measured")</f>
        <v>iPullRank, Graphite, Animalz, Brainlabs, NoGood, Victorious, Seer Interactive, Siege Media, Omniscient Digital, Clutch, Measured</v>
      </c>
      <c r="I492" s="11">
        <f>IFERROR(__xludf.DUMMYFUNCTION("""COMPUTED_VALUE"""),3.0)</f>
        <v>3</v>
      </c>
      <c r="J492" s="11">
        <f>IFERROR(__xludf.DUMMYFUNCTION("""COMPUTED_VALUE"""),0.0)</f>
        <v>0</v>
      </c>
      <c r="K492" s="11">
        <f>IFERROR(__xludf.DUMMYFUNCTION("""COMPUTED_VALUE"""),0.0)</f>
        <v>0</v>
      </c>
      <c r="L492" s="11"/>
    </row>
    <row r="493" ht="15.75" customHeight="1">
      <c r="A493" s="10" t="str">
        <f>IFERROR(__xludf.DUMMYFUNCTION("""COMPUTED_VALUE"""),"https://ritzherald.com/best-marketing-agencies-ai-search-optimization/#:~:text=The%20B2B%20AI%20search%20specialist%20connecting%20AI,earliest%20dedicated%20AI%20Search%20and%20Visibility%20programs.")</f>
        <v>https://ritzherald.com/best-marketing-agencies-ai-search-optimization/#:~:text=The%20B2B%20AI%20search%20specialist%20connecting%20AI,earliest%20dedicated%20AI%20Search%20and%20Visibility%20programs.</v>
      </c>
      <c r="B493" s="11" t="str">
        <f>IFERROR(__xludf.DUMMYFUNCTION("""COMPUTED_VALUE"""),"7 Best Marketing Agencies for AI Search Optimization in 2026")</f>
        <v>7 Best Marketing Agencies for AI Search Optimization in 2026</v>
      </c>
      <c r="C493" s="10" t="str">
        <f>IFERROR(__xludf.DUMMYFUNCTION("""COMPUTED_VALUE"""),"ritzherald.com")</f>
        <v>ritzherald.com</v>
      </c>
      <c r="D493" s="11" t="str">
        <f>IFERROR(__xludf.DUMMYFUNCTION("""COMPUTED_VALUE"""),"LISTICLE")</f>
        <v>LISTICLE</v>
      </c>
      <c r="E493" s="11" t="str">
        <f>IFERROR(__xludf.DUMMYFUNCTION("""COMPUTED_VALUE"""),"EDITORIAL")</f>
        <v>EDITORIAL</v>
      </c>
      <c r="F493" s="11" t="str">
        <f>IFERROR(__xludf.DUMMYFUNCTION("""COMPUTED_VALUE"""),"Listicle")</f>
        <v>Listicle</v>
      </c>
      <c r="G493" s="11" t="b">
        <f>IFERROR(__xludf.DUMMYFUNCTION("""COMPUTED_VALUE"""),FALSE)</f>
        <v>0</v>
      </c>
      <c r="H493" s="11" t="str">
        <f>IFERROR(__xludf.DUMMYFUNCTION("""COMPUTED_VALUE"""),"Measured, Ogilvy, Jellyfish, Brandtech, NP Digital, iProspect, Dentsu, Wpromote, Merkle")</f>
        <v>Measured, Ogilvy, Jellyfish, Brandtech, NP Digital, iProspect, Dentsu, Wpromote, Merkle</v>
      </c>
      <c r="I493" s="11">
        <f>IFERROR(__xludf.DUMMYFUNCTION("""COMPUTED_VALUE"""),3.0)</f>
        <v>3</v>
      </c>
      <c r="J493" s="11">
        <f>IFERROR(__xludf.DUMMYFUNCTION("""COMPUTED_VALUE"""),0.0)</f>
        <v>0</v>
      </c>
      <c r="K493" s="11">
        <f>IFERROR(__xludf.DUMMYFUNCTION("""COMPUTED_VALUE"""),1.0)</f>
        <v>1</v>
      </c>
      <c r="L493" s="11"/>
    </row>
    <row r="494" ht="15.75" customHeight="1">
      <c r="A494" s="10" t="str">
        <f>IFERROR(__xludf.DUMMYFUNCTION("""COMPUTED_VALUE"""),"https://rtslabs.com/ai-consulting-company-in-usa")</f>
        <v>https://rtslabs.com/ai-consulting-company-in-usa</v>
      </c>
      <c r="B494" s="11" t="str">
        <f>IFERROR(__xludf.DUMMYFUNCTION("""COMPUTED_VALUE"""),"10 Best AI Consulting Companies in USA for 2026")</f>
        <v>10 Best AI Consulting Companies in USA for 2026</v>
      </c>
      <c r="C494" s="10" t="str">
        <f>IFERROR(__xludf.DUMMYFUNCTION("""COMPUTED_VALUE"""),"rtslabs.com")</f>
        <v>rtslabs.com</v>
      </c>
      <c r="D494" s="11" t="str">
        <f>IFERROR(__xludf.DUMMYFUNCTION("""COMPUTED_VALUE"""),"LISTICLE")</f>
        <v>LISTICLE</v>
      </c>
      <c r="E494" s="11" t="str">
        <f>IFERROR(__xludf.DUMMYFUNCTION("""COMPUTED_VALUE"""),"CORPORATE")</f>
        <v>CORPORATE</v>
      </c>
      <c r="F494" s="11" t="str">
        <f>IFERROR(__xludf.DUMMYFUNCTION("""COMPUTED_VALUE"""),"Listicle")</f>
        <v>Listicle</v>
      </c>
      <c r="G494" s="11" t="b">
        <f>IFERROR(__xludf.DUMMYFUNCTION("""COMPUTED_VALUE"""),FALSE)</f>
        <v>0</v>
      </c>
      <c r="H494" s="11" t="str">
        <f>IFERROR(__xludf.DUMMYFUNCTION("""COMPUTED_VALUE"""),"Slalom, Artefact, Fractal Analytics, McKinsey, QuantumBlack, IBM")</f>
        <v>Slalom, Artefact, Fractal Analytics, McKinsey, QuantumBlack, IBM</v>
      </c>
      <c r="I494" s="11">
        <f>IFERROR(__xludf.DUMMYFUNCTION("""COMPUTED_VALUE"""),3.0)</f>
        <v>3</v>
      </c>
      <c r="J494" s="11">
        <f>IFERROR(__xludf.DUMMYFUNCTION("""COMPUTED_VALUE"""),0.0)</f>
        <v>0</v>
      </c>
      <c r="K494" s="11">
        <f>IFERROR(__xludf.DUMMYFUNCTION("""COMPUTED_VALUE"""),1.0)</f>
        <v>1</v>
      </c>
      <c r="L494" s="11"/>
    </row>
    <row r="495" ht="15.75" customHeight="1">
      <c r="A495" s="10" t="str">
        <f>IFERROR(__xludf.DUMMYFUNCTION("""COMPUTED_VALUE"""),"https://www.semfirms.com/display-advertising-firms?page=1")</f>
        <v>https://www.semfirms.com/display-advertising-firms?page=1</v>
      </c>
      <c r="B495" s="11" t="str">
        <f>IFERROR(__xludf.DUMMYFUNCTION("""COMPUTED_VALUE"""),"Top Display Advertising Firms in United States | SEM Firms")</f>
        <v>Top Display Advertising Firms in United States | SEM Firms</v>
      </c>
      <c r="C495" s="10" t="str">
        <f>IFERROR(__xludf.DUMMYFUNCTION("""COMPUTED_VALUE"""),"semfirms.com")</f>
        <v>semfirms.com</v>
      </c>
      <c r="D495" s="11" t="str">
        <f>IFERROR(__xludf.DUMMYFUNCTION("""COMPUTED_VALUE"""),"OTHER")</f>
        <v>OTHER</v>
      </c>
      <c r="E495" s="11" t="str">
        <f>IFERROR(__xludf.DUMMYFUNCTION("""COMPUTED_VALUE"""),"REFERENCE")</f>
        <v>REFERENCE</v>
      </c>
      <c r="F495" s="11" t="str">
        <f>IFERROR(__xludf.DUMMYFUNCTION("""COMPUTED_VALUE"""),"Other")</f>
        <v>Other</v>
      </c>
      <c r="G495" s="11" t="b">
        <f>IFERROR(__xludf.DUMMYFUNCTION("""COMPUTED_VALUE"""),FALSE)</f>
        <v>0</v>
      </c>
      <c r="H495" s="11" t="str">
        <f>IFERROR(__xludf.DUMMYFUNCTION("""COMPUTED_VALUE"""),"Ignite Visibility, Disruptive Advertising, Intero Digital, Momentum")</f>
        <v>Ignite Visibility, Disruptive Advertising, Intero Digital, Momentum</v>
      </c>
      <c r="I495" s="11">
        <f>IFERROR(__xludf.DUMMYFUNCTION("""COMPUTED_VALUE"""),3.0)</f>
        <v>3</v>
      </c>
      <c r="J495" s="11">
        <f>IFERROR(__xludf.DUMMYFUNCTION("""COMPUTED_VALUE"""),0.0)</f>
        <v>0</v>
      </c>
      <c r="K495" s="11">
        <f>IFERROR(__xludf.DUMMYFUNCTION("""COMPUTED_VALUE"""),0.0)</f>
        <v>0</v>
      </c>
      <c r="L495" s="11"/>
    </row>
    <row r="496" ht="15.75" customHeight="1">
      <c r="A496" s="10" t="str">
        <f>IFERROR(__xludf.DUMMYFUNCTION("""COMPUTED_VALUE"""),"https://sociallyin.com/resources/top-performance-marketing-agencies-us/")</f>
        <v>https://sociallyin.com/resources/top-performance-marketing-agencies-us/</v>
      </c>
      <c r="B496" s="11" t="str">
        <f>IFERROR(__xludf.DUMMYFUNCTION("""COMPUTED_VALUE"""),"Top 5 Performance Marketing Agencies in the US for 2026")</f>
        <v>Top 5 Performance Marketing Agencies in the US for 2026</v>
      </c>
      <c r="C496" s="10" t="str">
        <f>IFERROR(__xludf.DUMMYFUNCTION("""COMPUTED_VALUE"""),"sociallyin.com")</f>
        <v>sociallyin.com</v>
      </c>
      <c r="D496" s="11" t="str">
        <f>IFERROR(__xludf.DUMMYFUNCTION("""COMPUTED_VALUE"""),"LISTICLE")</f>
        <v>LISTICLE</v>
      </c>
      <c r="E496" s="11" t="str">
        <f>IFERROR(__xludf.DUMMYFUNCTION("""COMPUTED_VALUE"""),"COMPETITOR")</f>
        <v>COMPETITOR</v>
      </c>
      <c r="F496" s="11" t="str">
        <f>IFERROR(__xludf.DUMMYFUNCTION("""COMPUTED_VALUE"""),"Listicle")</f>
        <v>Listicle</v>
      </c>
      <c r="G496" s="11" t="b">
        <f>IFERROR(__xludf.DUMMYFUNCTION("""COMPUTED_VALUE"""),FALSE)</f>
        <v>0</v>
      </c>
      <c r="H496" s="11" t="str">
        <f>IFERROR(__xludf.DUMMYFUNCTION("""COMPUTED_VALUE"""),"Sociallyin, Wpromote, TransUnion, Tinuiti, Disruptive Advertising, Merkle, Clutch, Measured, McKinsey")</f>
        <v>Sociallyin, Wpromote, TransUnion, Tinuiti, Disruptive Advertising, Merkle, Clutch, Measured, McKinsey</v>
      </c>
      <c r="I496" s="11">
        <f>IFERROR(__xludf.DUMMYFUNCTION("""COMPUTED_VALUE"""),3.0)</f>
        <v>3</v>
      </c>
      <c r="J496" s="11">
        <f>IFERROR(__xludf.DUMMYFUNCTION("""COMPUTED_VALUE"""),0.0)</f>
        <v>0</v>
      </c>
      <c r="K496" s="11">
        <f>IFERROR(__xludf.DUMMYFUNCTION("""COMPUTED_VALUE"""),3.33)</f>
        <v>3.33</v>
      </c>
      <c r="L496" s="11"/>
    </row>
    <row r="497" ht="15.75" customHeight="1">
      <c r="A497" s="10" t="str">
        <f>IFERROR(__xludf.DUMMYFUNCTION("""COMPUTED_VALUE"""),"https://www.sortlist.com/display-advertising")</f>
        <v>https://www.sortlist.com/display-advertising</v>
      </c>
      <c r="B497" s="11" t="str">
        <f>IFERROR(__xludf.DUMMYFUNCTION("""COMPUTED_VALUE"""),"The 100 Best Display Advertising Agencies - 2026 Reviews")</f>
        <v>The 100 Best Display Advertising Agencies - 2026 Reviews</v>
      </c>
      <c r="C497" s="10" t="str">
        <f>IFERROR(__xludf.DUMMYFUNCTION("""COMPUTED_VALUE"""),"sortlist.com")</f>
        <v>sortlist.com</v>
      </c>
      <c r="D497" s="11" t="str">
        <f>IFERROR(__xludf.DUMMYFUNCTION("""COMPUTED_VALUE"""),"LISTICLE")</f>
        <v>LISTICLE</v>
      </c>
      <c r="E497" s="11" t="str">
        <f>IFERROR(__xludf.DUMMYFUNCTION("""COMPUTED_VALUE"""),"CORPORATE")</f>
        <v>CORPORATE</v>
      </c>
      <c r="F497" s="11" t="str">
        <f>IFERROR(__xludf.DUMMYFUNCTION("""COMPUTED_VALUE"""),"Listicle")</f>
        <v>Listicle</v>
      </c>
      <c r="G497" s="11" t="b">
        <f>IFERROR(__xludf.DUMMYFUNCTION("""COMPUTED_VALUE"""),FALSE)</f>
        <v>0</v>
      </c>
      <c r="H497" s="11"/>
      <c r="I497" s="11">
        <f>IFERROR(__xludf.DUMMYFUNCTION("""COMPUTED_VALUE"""),3.0)</f>
        <v>3</v>
      </c>
      <c r="J497" s="11">
        <f>IFERROR(__xludf.DUMMYFUNCTION("""COMPUTED_VALUE"""),0.0)</f>
        <v>0</v>
      </c>
      <c r="K497" s="11">
        <f>IFERROR(__xludf.DUMMYFUNCTION("""COMPUTED_VALUE"""),0.0)</f>
        <v>0</v>
      </c>
      <c r="L497" s="11"/>
    </row>
    <row r="498" ht="15.75" customHeight="1">
      <c r="A498" s="10" t="str">
        <f>IFERROR(__xludf.DUMMYFUNCTION("""COMPUTED_VALUE"""),"https://www.sortlist.com/marketing-analytics")</f>
        <v>https://www.sortlist.com/marketing-analytics</v>
      </c>
      <c r="B498" s="11" t="str">
        <f>IFERROR(__xludf.DUMMYFUNCTION("""COMPUTED_VALUE"""),"The 100 Best Marketing Analytics Companies - 2026 Reviews")</f>
        <v>The 100 Best Marketing Analytics Companies - 2026 Reviews</v>
      </c>
      <c r="C498" s="10" t="str">
        <f>IFERROR(__xludf.DUMMYFUNCTION("""COMPUTED_VALUE"""),"sortlist.com")</f>
        <v>sortlist.com</v>
      </c>
      <c r="D498" s="11" t="str">
        <f>IFERROR(__xludf.DUMMYFUNCTION("""COMPUTED_VALUE"""),"CATEGORY_PAGE")</f>
        <v>CATEGORY_PAGE</v>
      </c>
      <c r="E498" s="11" t="str">
        <f>IFERROR(__xludf.DUMMYFUNCTION("""COMPUTED_VALUE"""),"CORPORATE")</f>
        <v>CORPORATE</v>
      </c>
      <c r="F498" s="11" t="str">
        <f>IFERROR(__xludf.DUMMYFUNCTION("""COMPUTED_VALUE"""),"Category Page")</f>
        <v>Category Page</v>
      </c>
      <c r="G498" s="11" t="b">
        <f>IFERROR(__xludf.DUMMYFUNCTION("""COMPUTED_VALUE"""),FALSE)</f>
        <v>0</v>
      </c>
      <c r="H498" s="11" t="str">
        <f>IFERROR(__xludf.DUMMYFUNCTION("""COMPUTED_VALUE"""),"NinjaPromo")</f>
        <v>NinjaPromo</v>
      </c>
      <c r="I498" s="11">
        <f>IFERROR(__xludf.DUMMYFUNCTION("""COMPUTED_VALUE"""),3.0)</f>
        <v>3</v>
      </c>
      <c r="J498" s="11">
        <f>IFERROR(__xludf.DUMMYFUNCTION("""COMPUTED_VALUE"""),0.0)</f>
        <v>0</v>
      </c>
      <c r="K498" s="11">
        <f>IFERROR(__xludf.DUMMYFUNCTION("""COMPUTED_VALUE"""),0.0)</f>
        <v>0</v>
      </c>
      <c r="L498" s="11"/>
    </row>
    <row r="499" ht="15.75" customHeight="1">
      <c r="A499" s="10" t="str">
        <f>IFERROR(__xludf.DUMMYFUNCTION("""COMPUTED_VALUE"""),"https://www.sortlist.com/s/data-driven-marketing/united-states-us")</f>
        <v>https://www.sortlist.com/s/data-driven-marketing/united-states-us</v>
      </c>
      <c r="B499" s="11" t="str">
        <f>IFERROR(__xludf.DUMMYFUNCTION("""COMPUTED_VALUE"""),"The 10 Best Data Driven Marketing Agencies in the United States - 2026 Reviews")</f>
        <v>The 10 Best Data Driven Marketing Agencies in the United States - 2026 Reviews</v>
      </c>
      <c r="C499" s="10" t="str">
        <f>IFERROR(__xludf.DUMMYFUNCTION("""COMPUTED_VALUE"""),"sortlist.com")</f>
        <v>sortlist.com</v>
      </c>
      <c r="D499" s="11" t="str">
        <f>IFERROR(__xludf.DUMMYFUNCTION("""COMPUTED_VALUE"""),"PROFILE")</f>
        <v>PROFILE</v>
      </c>
      <c r="E499" s="11" t="str">
        <f>IFERROR(__xludf.DUMMYFUNCTION("""COMPUTED_VALUE"""),"CORPORATE")</f>
        <v>CORPORATE</v>
      </c>
      <c r="F499" s="11" t="str">
        <f>IFERROR(__xludf.DUMMYFUNCTION("""COMPUTED_VALUE"""),"Profile")</f>
        <v>Profile</v>
      </c>
      <c r="G499" s="11" t="b">
        <f>IFERROR(__xludf.DUMMYFUNCTION("""COMPUTED_VALUE"""),FALSE)</f>
        <v>0</v>
      </c>
      <c r="H499" s="11" t="str">
        <f>IFERROR(__xludf.DUMMYFUNCTION("""COMPUTED_VALUE"""),"NinjaPromo, IBM, Clutch, Measured")</f>
        <v>NinjaPromo, IBM, Clutch, Measured</v>
      </c>
      <c r="I499" s="11">
        <f>IFERROR(__xludf.DUMMYFUNCTION("""COMPUTED_VALUE"""),3.0)</f>
        <v>3</v>
      </c>
      <c r="J499" s="11">
        <f>IFERROR(__xludf.DUMMYFUNCTION("""COMPUTED_VALUE"""),0.0)</f>
        <v>0</v>
      </c>
      <c r="K499" s="11">
        <f>IFERROR(__xludf.DUMMYFUNCTION("""COMPUTED_VALUE"""),0.0)</f>
        <v>0</v>
      </c>
      <c r="L499" s="11"/>
    </row>
    <row r="500" ht="15.75" customHeight="1">
      <c r="A500" s="10" t="str">
        <f>IFERROR(__xludf.DUMMYFUNCTION("""COMPUTED_VALUE"""),"https://www.superside.com/blog/creative-agencies-new-york")</f>
        <v>https://www.superside.com/blog/creative-agencies-new-york</v>
      </c>
      <c r="B500" s="11" t="str">
        <f>IFERROR(__xludf.DUMMYFUNCTION("""COMPUTED_VALUE"""),"15 Top Creative Agencies in New York City for 2026")</f>
        <v>15 Top Creative Agencies in New York City for 2026</v>
      </c>
      <c r="C500" s="10" t="str">
        <f>IFERROR(__xludf.DUMMYFUNCTION("""COMPUTED_VALUE"""),"superside.com")</f>
        <v>superside.com</v>
      </c>
      <c r="D500" s="11" t="str">
        <f>IFERROR(__xludf.DUMMYFUNCTION("""COMPUTED_VALUE"""),"LISTICLE")</f>
        <v>LISTICLE</v>
      </c>
      <c r="E500" s="11" t="str">
        <f>IFERROR(__xludf.DUMMYFUNCTION("""COMPUTED_VALUE"""),"COMPETITOR")</f>
        <v>COMPETITOR</v>
      </c>
      <c r="F500" s="11" t="str">
        <f>IFERROR(__xludf.DUMMYFUNCTION("""COMPUTED_VALUE"""),"Listicle")</f>
        <v>Listicle</v>
      </c>
      <c r="G500" s="11" t="b">
        <f>IFERROR(__xludf.DUMMYFUNCTION("""COMPUTED_VALUE"""),FALSE)</f>
        <v>0</v>
      </c>
      <c r="H500" s="11" t="str">
        <f>IFERROR(__xludf.DUMMYFUNCTION("""COMPUTED_VALUE"""),"Superside")</f>
        <v>Superside</v>
      </c>
      <c r="I500" s="11">
        <f>IFERROR(__xludf.DUMMYFUNCTION("""COMPUTED_VALUE"""),3.0)</f>
        <v>3</v>
      </c>
      <c r="J500" s="11">
        <f>IFERROR(__xludf.DUMMYFUNCTION("""COMPUTED_VALUE"""),0.0)</f>
        <v>0</v>
      </c>
      <c r="K500" s="11">
        <f>IFERROR(__xludf.DUMMYFUNCTION("""COMPUTED_VALUE"""),0.67)</f>
        <v>0.67</v>
      </c>
      <c r="L500" s="11"/>
    </row>
    <row r="501" ht="15.75" customHeight="1">
      <c r="A501" s="10" t="str">
        <f>IFERROR(__xludf.DUMMYFUNCTION("""COMPUTED_VALUE"""),"https://sweatpantsagency.com/best-meta-ad-agencies")</f>
        <v>https://sweatpantsagency.com/best-meta-ad-agencies</v>
      </c>
      <c r="B501" s="11" t="str">
        <f>IFERROR(__xludf.DUMMYFUNCTION("""COMPUTED_VALUE"""),"Best Meta Ad Agencies for DTC Brands (2026) | Sweat Pants Agency")</f>
        <v>Best Meta Ad Agencies for DTC Brands (2026) | Sweat Pants Agency</v>
      </c>
      <c r="C501" s="10" t="str">
        <f>IFERROR(__xludf.DUMMYFUNCTION("""COMPUTED_VALUE"""),"sweatpantsagency.com")</f>
        <v>sweatpantsagency.com</v>
      </c>
      <c r="D501" s="11" t="str">
        <f>IFERROR(__xludf.DUMMYFUNCTION("""COMPUTED_VALUE"""),"LISTICLE")</f>
        <v>LISTICLE</v>
      </c>
      <c r="E501" s="11" t="str">
        <f>IFERROR(__xludf.DUMMYFUNCTION("""COMPUTED_VALUE"""),"CORPORATE")</f>
        <v>CORPORATE</v>
      </c>
      <c r="F501" s="11" t="str">
        <f>IFERROR(__xludf.DUMMYFUNCTION("""COMPUTED_VALUE"""),"Listicle")</f>
        <v>Listicle</v>
      </c>
      <c r="G501" s="11" t="b">
        <f>IFERROR(__xludf.DUMMYFUNCTION("""COMPUTED_VALUE"""),FALSE)</f>
        <v>0</v>
      </c>
      <c r="H501" s="11" t="str">
        <f>IFERROR(__xludf.DUMMYFUNCTION("""COMPUTED_VALUE"""),"Tinuiti, KlientBoost, MuteSix")</f>
        <v>Tinuiti, KlientBoost, MuteSix</v>
      </c>
      <c r="I501" s="11">
        <f>IFERROR(__xludf.DUMMYFUNCTION("""COMPUTED_VALUE"""),3.0)</f>
        <v>3</v>
      </c>
      <c r="J501" s="11">
        <f>IFERROR(__xludf.DUMMYFUNCTION("""COMPUTED_VALUE"""),0.0)</f>
        <v>0</v>
      </c>
      <c r="K501" s="11">
        <f>IFERROR(__xludf.DUMMYFUNCTION("""COMPUTED_VALUE"""),0.67)</f>
        <v>0.67</v>
      </c>
      <c r="L501" s="11"/>
    </row>
    <row r="502" ht="15.75" customHeight="1">
      <c r="A502" s="10" t="str">
        <f>IFERROR(__xludf.DUMMYFUNCTION("""COMPUTED_VALUE"""),"https://teamai.com/blog/generative-ai-and-business/top-geo-agencies-for-ai-visibility/")</f>
        <v>https://teamai.com/blog/generative-ai-and-business/top-geo-agencies-for-ai-visibility/</v>
      </c>
      <c r="B502" s="11" t="str">
        <f>IFERROR(__xludf.DUMMYFUNCTION("""COMPUTED_VALUE"""),"The Best GEO Agencies to Explore in 2026")</f>
        <v>The Best GEO Agencies to Explore in 2026</v>
      </c>
      <c r="C502" s="10" t="str">
        <f>IFERROR(__xludf.DUMMYFUNCTION("""COMPUTED_VALUE"""),"teamai.com")</f>
        <v>teamai.com</v>
      </c>
      <c r="D502" s="11" t="str">
        <f>IFERROR(__xludf.DUMMYFUNCTION("""COMPUTED_VALUE"""),"LISTICLE")</f>
        <v>LISTICLE</v>
      </c>
      <c r="E502" s="11" t="str">
        <f>IFERROR(__xludf.DUMMYFUNCTION("""COMPUTED_VALUE"""),"CORPORATE")</f>
        <v>CORPORATE</v>
      </c>
      <c r="F502" s="11" t="str">
        <f>IFERROR(__xludf.DUMMYFUNCTION("""COMPUTED_VALUE"""),"Listicle")</f>
        <v>Listicle</v>
      </c>
      <c r="G502" s="11" t="b">
        <f>IFERROR(__xludf.DUMMYFUNCTION("""COMPUTED_VALUE"""),FALSE)</f>
        <v>0</v>
      </c>
      <c r="H502" s="11" t="str">
        <f>IFERROR(__xludf.DUMMYFUNCTION("""COMPUTED_VALUE"""),"Clutch, WebFX, Victorious, Siege Media, Major Tom, The SEO Works")</f>
        <v>Clutch, WebFX, Victorious, Siege Media, Major Tom, The SEO Works</v>
      </c>
      <c r="I502" s="11">
        <f>IFERROR(__xludf.DUMMYFUNCTION("""COMPUTED_VALUE"""),3.0)</f>
        <v>3</v>
      </c>
      <c r="J502" s="11">
        <f>IFERROR(__xludf.DUMMYFUNCTION("""COMPUTED_VALUE"""),0.0)</f>
        <v>0</v>
      </c>
      <c r="K502" s="11">
        <f>IFERROR(__xludf.DUMMYFUNCTION("""COMPUTED_VALUE"""),0.67)</f>
        <v>0.67</v>
      </c>
      <c r="L502" s="11"/>
    </row>
    <row r="503" ht="15.75" customHeight="1">
      <c r="A503" s="10" t="str">
        <f>IFERROR(__xludf.DUMMYFUNCTION("""COMPUTED_VALUE"""),"https://thatware.co/10-best-geo-companies-in-usa/")</f>
        <v>https://thatware.co/10-best-geo-companies-in-usa/</v>
      </c>
      <c r="B503" s="11" t="str">
        <f>IFERROR(__xludf.DUMMYFUNCTION("""COMPUTED_VALUE"""),"10 Best GEO-Listing Companies in USA - Top GEO Agencies")</f>
        <v>10 Best GEO-Listing Companies in USA - Top GEO Agencies</v>
      </c>
      <c r="C503" s="10" t="str">
        <f>IFERROR(__xludf.DUMMYFUNCTION("""COMPUTED_VALUE"""),"thatware.co")</f>
        <v>thatware.co</v>
      </c>
      <c r="D503" s="11" t="str">
        <f>IFERROR(__xludf.DUMMYFUNCTION("""COMPUTED_VALUE"""),"LISTICLE")</f>
        <v>LISTICLE</v>
      </c>
      <c r="E503" s="11" t="str">
        <f>IFERROR(__xludf.DUMMYFUNCTION("""COMPUTED_VALUE"""),"CORPORATE")</f>
        <v>CORPORATE</v>
      </c>
      <c r="F503" s="11" t="str">
        <f>IFERROR(__xludf.DUMMYFUNCTION("""COMPUTED_VALUE"""),"Listicle")</f>
        <v>Listicle</v>
      </c>
      <c r="G503" s="11" t="b">
        <f>IFERROR(__xludf.DUMMYFUNCTION("""COMPUTED_VALUE"""),FALSE)</f>
        <v>0</v>
      </c>
      <c r="H503" s="11" t="str">
        <f>IFERROR(__xludf.DUMMYFUNCTION("""COMPUTED_VALUE"""),"Momentum, Clutch")</f>
        <v>Momentum, Clutch</v>
      </c>
      <c r="I503" s="11">
        <f>IFERROR(__xludf.DUMMYFUNCTION("""COMPUTED_VALUE"""),3.0)</f>
        <v>3</v>
      </c>
      <c r="J503" s="11">
        <f>IFERROR(__xludf.DUMMYFUNCTION("""COMPUTED_VALUE"""),0.0)</f>
        <v>0</v>
      </c>
      <c r="K503" s="11">
        <f>IFERROR(__xludf.DUMMYFUNCTION("""COMPUTED_VALUE"""),0.0)</f>
        <v>0</v>
      </c>
      <c r="L503" s="11"/>
    </row>
    <row r="504" ht="15.75" customHeight="1">
      <c r="A504" s="10" t="str">
        <f>IFERROR(__xludf.DUMMYFUNCTION("""COMPUTED_VALUE"""),"https://thatware.co/best-ai-search-optimization-services-usa/")</f>
        <v>https://thatware.co/best-ai-search-optimization-services-usa/</v>
      </c>
      <c r="B504" s="11" t="str">
        <f>IFERROR(__xludf.DUMMYFUNCTION("""COMPUTED_VALUE"""),"Best AI Search Optimization Services in USA – Trusted Provider")</f>
        <v>Best AI Search Optimization Services in USA – Trusted Provider</v>
      </c>
      <c r="C504" s="10" t="str">
        <f>IFERROR(__xludf.DUMMYFUNCTION("""COMPUTED_VALUE"""),"thatware.co")</f>
        <v>thatware.co</v>
      </c>
      <c r="D504" s="11" t="str">
        <f>IFERROR(__xludf.DUMMYFUNCTION("""COMPUTED_VALUE"""),"LISTICLE")</f>
        <v>LISTICLE</v>
      </c>
      <c r="E504" s="11" t="str">
        <f>IFERROR(__xludf.DUMMYFUNCTION("""COMPUTED_VALUE"""),"CORPORATE")</f>
        <v>CORPORATE</v>
      </c>
      <c r="F504" s="11" t="str">
        <f>IFERROR(__xludf.DUMMYFUNCTION("""COMPUTED_VALUE"""),"Listicle")</f>
        <v>Listicle</v>
      </c>
      <c r="G504" s="11" t="b">
        <f>IFERROR(__xludf.DUMMYFUNCTION("""COMPUTED_VALUE"""),FALSE)</f>
        <v>0</v>
      </c>
      <c r="H504" s="11" t="str">
        <f>IFERROR(__xludf.DUMMYFUNCTION("""COMPUTED_VALUE"""),"Anomaly, Clutch")</f>
        <v>Anomaly, Clutch</v>
      </c>
      <c r="I504" s="11">
        <f>IFERROR(__xludf.DUMMYFUNCTION("""COMPUTED_VALUE"""),3.0)</f>
        <v>3</v>
      </c>
      <c r="J504" s="11">
        <f>IFERROR(__xludf.DUMMYFUNCTION("""COMPUTED_VALUE"""),0.0)</f>
        <v>0</v>
      </c>
      <c r="K504" s="11">
        <f>IFERROR(__xludf.DUMMYFUNCTION("""COMPUTED_VALUE"""),0.33)</f>
        <v>0.33</v>
      </c>
      <c r="L504" s="11"/>
    </row>
    <row r="505" ht="15.75" customHeight="1">
      <c r="A505" s="10" t="str">
        <f>IFERROR(__xludf.DUMMYFUNCTION("""COMPUTED_VALUE"""),"https://themanifest.com/us/media-buying/agencies?page=1")</f>
        <v>https://themanifest.com/us/media-buying/agencies?page=1</v>
      </c>
      <c r="B505" s="11" t="str">
        <f>IFERROR(__xludf.DUMMYFUNCTION("""COMPUTED_VALUE"""),"The Best Media Planning and Buying Companies in United States - Jul 2026 | The Manifest")</f>
        <v>The Best Media Planning and Buying Companies in United States - Jul 2026 | The Manifest</v>
      </c>
      <c r="C505" s="10" t="str">
        <f>IFERROR(__xludf.DUMMYFUNCTION("""COMPUTED_VALUE"""),"themanifest.com")</f>
        <v>themanifest.com</v>
      </c>
      <c r="D505" s="11" t="str">
        <f>IFERROR(__xludf.DUMMYFUNCTION("""COMPUTED_VALUE"""),"LISTICLE")</f>
        <v>LISTICLE</v>
      </c>
      <c r="E505" s="11" t="str">
        <f>IFERROR(__xludf.DUMMYFUNCTION("""COMPUTED_VALUE"""),"REFERENCE")</f>
        <v>REFERENCE</v>
      </c>
      <c r="F505" s="11" t="str">
        <f>IFERROR(__xludf.DUMMYFUNCTION("""COMPUTED_VALUE"""),"Listicle")</f>
        <v>Listicle</v>
      </c>
      <c r="G505" s="11" t="b">
        <f>IFERROR(__xludf.DUMMYFUNCTION("""COMPUTED_VALUE"""),FALSE)</f>
        <v>0</v>
      </c>
      <c r="H505" s="11" t="str">
        <f>IFERROR(__xludf.DUMMYFUNCTION("""COMPUTED_VALUE"""),"Clutch, DEPT, Amsive, Accelerated Digital Media")</f>
        <v>Clutch, DEPT, Amsive, Accelerated Digital Media</v>
      </c>
      <c r="I505" s="11">
        <f>IFERROR(__xludf.DUMMYFUNCTION("""COMPUTED_VALUE"""),3.0)</f>
        <v>3</v>
      </c>
      <c r="J505" s="11">
        <f>IFERROR(__xludf.DUMMYFUNCTION("""COMPUTED_VALUE"""),0.0)</f>
        <v>0</v>
      </c>
      <c r="K505" s="11">
        <f>IFERROR(__xludf.DUMMYFUNCTION("""COMPUTED_VALUE"""),0.0)</f>
        <v>0</v>
      </c>
      <c r="L505" s="11"/>
    </row>
    <row r="506" ht="15.75" customHeight="1">
      <c r="A506" s="10" t="str">
        <f>IFERROR(__xludf.DUMMYFUNCTION("""COMPUTED_VALUE"""),"https://themarketingagency.ca/blog/performance-marketing-agencies/#:~:text=thesocialshepherd.com.%20Features.%20Paid%20Social%20(Meta%2C%20TikTok%2C%20Pinterest).,complex%20B2B%20enterprise%20lead%20gen%2C%20look%20elsewhere.")</f>
        <v>https://themarketingagency.ca/blog/performance-marketing-agencies/#:~:text=thesocialshepherd.com.%20Features.%20Paid%20Social%20(Meta%2C%20TikTok%2C%20Pinterest).,complex%20B2B%20enterprise%20lead%20gen%2C%20look%20elsewhere.</v>
      </c>
      <c r="B506" s="11" t="str">
        <f>IFERROR(__xludf.DUMMYFUNCTION("""COMPUTED_VALUE"""),"11 Best Performance Marketing Agencies in 2026")</f>
        <v>11 Best Performance Marketing Agencies in 2026</v>
      </c>
      <c r="C506" s="10" t="str">
        <f>IFERROR(__xludf.DUMMYFUNCTION("""COMPUTED_VALUE"""),"themarketingagency.ca")</f>
        <v>themarketingagency.ca</v>
      </c>
      <c r="D506" s="11" t="str">
        <f>IFERROR(__xludf.DUMMYFUNCTION("""COMPUTED_VALUE"""),"LISTICLE")</f>
        <v>LISTICLE</v>
      </c>
      <c r="E506" s="11" t="str">
        <f>IFERROR(__xludf.DUMMYFUNCTION("""COMPUTED_VALUE"""),"CORPORATE")</f>
        <v>CORPORATE</v>
      </c>
      <c r="F506" s="11" t="str">
        <f>IFERROR(__xludf.DUMMYFUNCTION("""COMPUTED_VALUE"""),"Listicle")</f>
        <v>Listicle</v>
      </c>
      <c r="G506" s="11" t="b">
        <f>IFERROR(__xludf.DUMMYFUNCTION("""COMPUTED_VALUE"""),FALSE)</f>
        <v>0</v>
      </c>
      <c r="H506" s="11" t="str">
        <f>IFERROR(__xludf.DUMMYFUNCTION("""COMPUTED_VALUE"""),"NoGood, Tinuiti, Disruptive Advertising, The Social Shepherd, WebFX, MuteSix, Directive, Ignite Visibility, Viral Nation, Measured, Clutch, IBM, Single Grain, Power Digital, Publicis Groupe, Momentum")</f>
        <v>NoGood, Tinuiti, Disruptive Advertising, The Social Shepherd, WebFX, MuteSix, Directive, Ignite Visibility, Viral Nation, Measured, Clutch, IBM, Single Grain, Power Digital, Publicis Groupe, Momentum</v>
      </c>
      <c r="I506" s="11">
        <f>IFERROR(__xludf.DUMMYFUNCTION("""COMPUTED_VALUE"""),3.0)</f>
        <v>3</v>
      </c>
      <c r="J506" s="11">
        <f>IFERROR(__xludf.DUMMYFUNCTION("""COMPUTED_VALUE"""),0.0)</f>
        <v>0</v>
      </c>
      <c r="K506" s="11">
        <f>IFERROR(__xludf.DUMMYFUNCTION("""COMPUTED_VALUE"""),1.67)</f>
        <v>1.67</v>
      </c>
      <c r="L506" s="11"/>
    </row>
    <row r="507" ht="15.75" customHeight="1">
      <c r="A507" s="10" t="str">
        <f>IFERROR(__xludf.DUMMYFUNCTION("""COMPUTED_VALUE"""),"https://university.tenten.co/t/top-30-ai-powered-marketing-agencies/2295#:~:text=9%20%7C%20360i%20%7C%20New%20York%2C%20USA,Creative%20innovation%20%7C%20Advanced%20AI%20brand%20systems")</f>
        <v>https://university.tenten.co/t/top-30-ai-powered-marketing-agencies/2295#:~:text=9%20%7C%20360i%20%7C%20New%20York%2C%20USA,Creative%20innovation%20%7C%20Advanced%20AI%20brand%20systems</v>
      </c>
      <c r="B507" s="11" t="str">
        <f>IFERROR(__xludf.DUMMYFUNCTION("""COMPUTED_VALUE"""),"Top 30 AI-Powered Marketing Agencies - Tenten AI")</f>
        <v>Top 30 AI-Powered Marketing Agencies - Tenten AI</v>
      </c>
      <c r="C507" s="10" t="str">
        <f>IFERROR(__xludf.DUMMYFUNCTION("""COMPUTED_VALUE"""),"tenten.co")</f>
        <v>tenten.co</v>
      </c>
      <c r="D507" s="11" t="str">
        <f>IFERROR(__xludf.DUMMYFUNCTION("""COMPUTED_VALUE"""),"LISTICLE")</f>
        <v>LISTICLE</v>
      </c>
      <c r="E507" s="11" t="str">
        <f>IFERROR(__xludf.DUMMYFUNCTION("""COMPUTED_VALUE"""),"CORPORATE")</f>
        <v>CORPORATE</v>
      </c>
      <c r="F507" s="11" t="str">
        <f>IFERROR(__xludf.DUMMYFUNCTION("""COMPUTED_VALUE"""),"Listicle")</f>
        <v>Listicle</v>
      </c>
      <c r="G507" s="11" t="b">
        <f>IFERROR(__xludf.DUMMYFUNCTION("""COMPUTED_VALUE"""),FALSE)</f>
        <v>0</v>
      </c>
      <c r="H507" s="11" t="str">
        <f>IFERROR(__xludf.DUMMYFUNCTION("""COMPUTED_VALUE"""),"Web Tonic, WebFX, Disruptive Advertising, Sociallyin, Ignite Visibility, Merkle, iProspect, Jellyfish, Publicis Sapient, Huge, R/GA, Accenture Song, Hawke Media, Wpromote, Tinuiti, Brainlabs, VaynerMedia, Seer Interactive, SmartSites, Power Digital")</f>
        <v>Web Tonic, WebFX, Disruptive Advertising, Sociallyin, Ignite Visibility, Merkle, iProspect, Jellyfish, Publicis Sapient, Huge, R/GA, Accenture Song, Hawke Media, Wpromote, Tinuiti, Brainlabs, VaynerMedia, Seer Interactive, SmartSites, Power Digital</v>
      </c>
      <c r="I507" s="11">
        <f>IFERROR(__xludf.DUMMYFUNCTION("""COMPUTED_VALUE"""),3.0)</f>
        <v>3</v>
      </c>
      <c r="J507" s="11">
        <f>IFERROR(__xludf.DUMMYFUNCTION("""COMPUTED_VALUE"""),0.0)</f>
        <v>0</v>
      </c>
      <c r="K507" s="11">
        <f>IFERROR(__xludf.DUMMYFUNCTION("""COMPUTED_VALUE"""),1.0)</f>
        <v>1</v>
      </c>
      <c r="L507" s="11"/>
    </row>
    <row r="508" ht="15.75" customHeight="1">
      <c r="A508" s="10" t="str">
        <f>IFERROR(__xludf.DUMMYFUNCTION("""COMPUTED_VALUE"""),"https://wamdigital.com/blog/top-5-creative-and-web-development-agencies-for-scalable-production-in-2026")</f>
        <v>https://wamdigital.com/blog/top-5-creative-and-web-development-agencies-for-scalable-production-in-2026</v>
      </c>
      <c r="B508" s="11" t="str">
        <f>IFERROR(__xludf.DUMMYFUNCTION("""COMPUTED_VALUE"""),"Top Creative &amp;amp; Web Development Agencies for Scalable Production in 2026")</f>
        <v>Top Creative &amp;amp; Web Development Agencies for Scalable Production in 2026</v>
      </c>
      <c r="C508" s="10" t="str">
        <f>IFERROR(__xludf.DUMMYFUNCTION("""COMPUTED_VALUE"""),"wamdigital.com")</f>
        <v>wamdigital.com</v>
      </c>
      <c r="D508" s="11" t="str">
        <f>IFERROR(__xludf.DUMMYFUNCTION("""COMPUTED_VALUE"""),"LISTICLE")</f>
        <v>LISTICLE</v>
      </c>
      <c r="E508" s="11" t="str">
        <f>IFERROR(__xludf.DUMMYFUNCTION("""COMPUTED_VALUE"""),"CORPORATE")</f>
        <v>CORPORATE</v>
      </c>
      <c r="F508" s="11" t="str">
        <f>IFERROR(__xludf.DUMMYFUNCTION("""COMPUTED_VALUE"""),"Listicle")</f>
        <v>Listicle</v>
      </c>
      <c r="G508" s="11" t="b">
        <f>IFERROR(__xludf.DUMMYFUNCTION("""COMPUTED_VALUE"""),FALSE)</f>
        <v>0</v>
      </c>
      <c r="H508" s="11" t="str">
        <f>IFERROR(__xludf.DUMMYFUNCTION("""COMPUTED_VALUE"""),"Superside, DEPT")</f>
        <v>Superside, DEPT</v>
      </c>
      <c r="I508" s="11">
        <f>IFERROR(__xludf.DUMMYFUNCTION("""COMPUTED_VALUE"""),3.0)</f>
        <v>3</v>
      </c>
      <c r="J508" s="11">
        <f>IFERROR(__xludf.DUMMYFUNCTION("""COMPUTED_VALUE"""),0.0)</f>
        <v>0</v>
      </c>
      <c r="K508" s="11">
        <f>IFERROR(__xludf.DUMMYFUNCTION("""COMPUTED_VALUE"""),0.67)</f>
        <v>0.67</v>
      </c>
      <c r="L508" s="11"/>
    </row>
    <row r="509" ht="15.75" customHeight="1">
      <c r="A509" s="10" t="str">
        <f>IFERROR(__xludf.DUMMYFUNCTION("""COMPUTED_VALUE"""),"https://www.webtonic.io/blog/best-ai-marketing-agencies")</f>
        <v>https://www.webtonic.io/blog/best-ai-marketing-agencies</v>
      </c>
      <c r="B509" s="11" t="str">
        <f>IFERROR(__xludf.DUMMYFUNCTION("""COMPUTED_VALUE"""),"34 Best AI Marketing Agencies for 2026")</f>
        <v>34 Best AI Marketing Agencies for 2026</v>
      </c>
      <c r="C509" s="10" t="str">
        <f>IFERROR(__xludf.DUMMYFUNCTION("""COMPUTED_VALUE"""),"webtonic.io")</f>
        <v>webtonic.io</v>
      </c>
      <c r="D509" s="11" t="str">
        <f>IFERROR(__xludf.DUMMYFUNCTION("""COMPUTED_VALUE"""),"LISTICLE")</f>
        <v>LISTICLE</v>
      </c>
      <c r="E509" s="11" t="str">
        <f>IFERROR(__xludf.DUMMYFUNCTION("""COMPUTED_VALUE"""),"COMPETITOR")</f>
        <v>COMPETITOR</v>
      </c>
      <c r="F509" s="11" t="str">
        <f>IFERROR(__xludf.DUMMYFUNCTION("""COMPUTED_VALUE"""),"Listicle")</f>
        <v>Listicle</v>
      </c>
      <c r="G509" s="11" t="b">
        <f>IFERROR(__xludf.DUMMYFUNCTION("""COMPUTED_VALUE"""),FALSE)</f>
        <v>0</v>
      </c>
      <c r="H509" s="11" t="str">
        <f>IFERROR(__xludf.DUMMYFUNCTION("""COMPUTED_VALUE"""),"Web Tonic, Anomaly, IBM, Ogilvy")</f>
        <v>Web Tonic, Anomaly, IBM, Ogilvy</v>
      </c>
      <c r="I509" s="11">
        <f>IFERROR(__xludf.DUMMYFUNCTION("""COMPUTED_VALUE"""),3.0)</f>
        <v>3</v>
      </c>
      <c r="J509" s="11">
        <f>IFERROR(__xludf.DUMMYFUNCTION("""COMPUTED_VALUE"""),0.0)</f>
        <v>0</v>
      </c>
      <c r="K509" s="11">
        <f>IFERROR(__xludf.DUMMYFUNCTION("""COMPUTED_VALUE"""),0.33)</f>
        <v>0.33</v>
      </c>
      <c r="L509" s="11"/>
    </row>
    <row r="510" ht="15.75" customHeight="1">
      <c r="A510" s="10" t="str">
        <f>IFERROR(__xludf.DUMMYFUNCTION("""COMPUTED_VALUE"""),"https://www.webtonic.io/blog/best-data-driven-marketing-agencies#:~:text=Industries%20Served%3A%20Retail%2C%20Financial%20Services%2C%20Healthcare%2C%20Travel,and%20personalization%20at%20scale.%20%2D%203.%20Jellyfish.")</f>
        <v>https://www.webtonic.io/blog/best-data-driven-marketing-agencies#:~:text=Industries%20Served%3A%20Retail%2C%20Financial%20Services%2C%20Healthcare%2C%20Travel,and%20personalization%20at%20scale.%20%2D%203.%20Jellyfish.</v>
      </c>
      <c r="B510" s="11" t="str">
        <f>IFERROR(__xludf.DUMMYFUNCTION("""COMPUTED_VALUE"""),"35 Best Data-Driven Marketing Agencies for 2026")</f>
        <v>35 Best Data-Driven Marketing Agencies for 2026</v>
      </c>
      <c r="C510" s="10" t="str">
        <f>IFERROR(__xludf.DUMMYFUNCTION("""COMPUTED_VALUE"""),"webtonic.io")</f>
        <v>webtonic.io</v>
      </c>
      <c r="D510" s="11" t="str">
        <f>IFERROR(__xludf.DUMMYFUNCTION("""COMPUTED_VALUE"""),"LISTICLE")</f>
        <v>LISTICLE</v>
      </c>
      <c r="E510" s="11" t="str">
        <f>IFERROR(__xludf.DUMMYFUNCTION("""COMPUTED_VALUE"""),"COMPETITOR")</f>
        <v>COMPETITOR</v>
      </c>
      <c r="F510" s="11" t="str">
        <f>IFERROR(__xludf.DUMMYFUNCTION("""COMPUTED_VALUE"""),"Listicle")</f>
        <v>Listicle</v>
      </c>
      <c r="G510" s="11" t="b">
        <f>IFERROR(__xludf.DUMMYFUNCTION("""COMPUTED_VALUE"""),TRUE)</f>
        <v>1</v>
      </c>
      <c r="H510" s="11" t="str">
        <f>IFERROR(__xludf.DUMMYFUNCTION("""COMPUTED_VALUE"""),"Web Tonic, Merkle, Dentsu, Jellyfish, Wpromote, TransUnion, Tinuiti, Ignite Visibility, KlientBoost, Metric Theory, Power Digital, Brainlabs, Hawke Media, Directive, iProspect, Seer Interactive, Amsive, Rockerbox, Incubeta, GroupM, Measured")</f>
        <v>Web Tonic, Merkle, Dentsu, Jellyfish, Wpromote, TransUnion, Tinuiti, Ignite Visibility, KlientBoost, Metric Theory, Power Digital, Brainlabs, Hawke Media, Directive, iProspect, Seer Interactive, Amsive, Rockerbox, Incubeta, GroupM, Measured</v>
      </c>
      <c r="I510" s="11">
        <f>IFERROR(__xludf.DUMMYFUNCTION("""COMPUTED_VALUE"""),3.0)</f>
        <v>3</v>
      </c>
      <c r="J510" s="11">
        <f>IFERROR(__xludf.DUMMYFUNCTION("""COMPUTED_VALUE"""),0.0)</f>
        <v>0</v>
      </c>
      <c r="K510" s="11">
        <f>IFERROR(__xludf.DUMMYFUNCTION("""COMPUTED_VALUE"""),1.33)</f>
        <v>1.33</v>
      </c>
      <c r="L510" s="11"/>
    </row>
    <row r="511" ht="15.75" customHeight="1">
      <c r="A511" s="10" t="str">
        <f>IFERROR(__xludf.DUMMYFUNCTION("""COMPUTED_VALUE"""),"https://www.webtonic.io/blog/best-google-ads-agencies-us")</f>
        <v>https://www.webtonic.io/blog/best-google-ads-agencies-us</v>
      </c>
      <c r="B511" s="11" t="str">
        <f>IFERROR(__xludf.DUMMYFUNCTION("""COMPUTED_VALUE"""),"Top 32 Google Ads Agencies in the US (2026 Edition)")</f>
        <v>Top 32 Google Ads Agencies in the US (2026 Edition)</v>
      </c>
      <c r="C511" s="10" t="str">
        <f>IFERROR(__xludf.DUMMYFUNCTION("""COMPUTED_VALUE"""),"webtonic.io")</f>
        <v>webtonic.io</v>
      </c>
      <c r="D511" s="11" t="str">
        <f>IFERROR(__xludf.DUMMYFUNCTION("""COMPUTED_VALUE"""),"LISTICLE")</f>
        <v>LISTICLE</v>
      </c>
      <c r="E511" s="11" t="str">
        <f>IFERROR(__xludf.DUMMYFUNCTION("""COMPUTED_VALUE"""),"COMPETITOR")</f>
        <v>COMPETITOR</v>
      </c>
      <c r="F511" s="11" t="str">
        <f>IFERROR(__xludf.DUMMYFUNCTION("""COMPUTED_VALUE"""),"Listicle")</f>
        <v>Listicle</v>
      </c>
      <c r="G511" s="11" t="b">
        <f>IFERROR(__xludf.DUMMYFUNCTION("""COMPUTED_VALUE"""),FALSE)</f>
        <v>0</v>
      </c>
      <c r="H511" s="11" t="str">
        <f>IFERROR(__xludf.DUMMYFUNCTION("""COMPUTED_VALUE"""),"Web Tonic, KlientBoost, SmartSites, Disruptive Advertising, Ignite Visibility, Clutch, Tinuiti, Wpromote, TransUnion, WebFX, HawkSEM, Directive, Thrive Internet Marketing Agency, LYFE Marketing, NP Digital, Power Digital, Seer Interactive, AdVenture Media"&amp;", Metric Theory, Silverback Strategies, Searchbloom, Hawke Media, MuteSix, Dentsu, Superside, NoGood")</f>
        <v>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v>
      </c>
      <c r="I511" s="11">
        <f>IFERROR(__xludf.DUMMYFUNCTION("""COMPUTED_VALUE"""),3.0)</f>
        <v>3</v>
      </c>
      <c r="J511" s="11">
        <f>IFERROR(__xludf.DUMMYFUNCTION("""COMPUTED_VALUE"""),0.0)</f>
        <v>0</v>
      </c>
      <c r="K511" s="11">
        <f>IFERROR(__xludf.DUMMYFUNCTION("""COMPUTED_VALUE"""),1.33)</f>
        <v>1.33</v>
      </c>
      <c r="L511" s="11"/>
    </row>
    <row r="512" ht="15.75" customHeight="1">
      <c r="A512" s="10" t="str">
        <f>IFERROR(__xludf.DUMMYFUNCTION("""COMPUTED_VALUE"""),"https://www.webtonic.io/blog/top-advertising-agencies-us#:~:text=MullenLowe,Zulu%20Alpha")</f>
        <v>https://www.webtonic.io/blog/top-advertising-agencies-us#:~:text=MullenLowe,Zulu%20Alpha</v>
      </c>
      <c r="B512" s="11" t="str">
        <f>IFERROR(__xludf.DUMMYFUNCTION("""COMPUTED_VALUE"""),"42 Top Advertising Agencies in the US for 2026")</f>
        <v>42 Top Advertising Agencies in the US for 2026</v>
      </c>
      <c r="C512" s="10" t="str">
        <f>IFERROR(__xludf.DUMMYFUNCTION("""COMPUTED_VALUE"""),"webtonic.io")</f>
        <v>webtonic.io</v>
      </c>
      <c r="D512" s="11" t="str">
        <f>IFERROR(__xludf.DUMMYFUNCTION("""COMPUTED_VALUE"""),"LISTICLE")</f>
        <v>LISTICLE</v>
      </c>
      <c r="E512" s="11" t="str">
        <f>IFERROR(__xludf.DUMMYFUNCTION("""COMPUTED_VALUE"""),"COMPETITOR")</f>
        <v>COMPETITOR</v>
      </c>
      <c r="F512" s="11" t="str">
        <f>IFERROR(__xludf.DUMMYFUNCTION("""COMPUTED_VALUE"""),"Listicle")</f>
        <v>Listicle</v>
      </c>
      <c r="G512" s="11" t="b">
        <f>IFERROR(__xludf.DUMMYFUNCTION("""COMPUTED_VALUE"""),FALSE)</f>
        <v>0</v>
      </c>
      <c r="H512" s="11" t="str">
        <f>IFERROR(__xludf.DUMMYFUNCTION("""COMPUTED_VALUE"""),"Web Tonic, 72andSunny, AKQA, Anomaly, BBDO, Dentsu, Droga5, Momentum, Ogilvy, IBM, Publicis Groupe, R/GA, TBWA\Chiat\Day, Wieden+Kennedy, Wpromote, VML")</f>
        <v>Web Tonic, 72andSunny, AKQA, Anomaly, BBDO, Dentsu, Droga5, Momentum, Ogilvy, IBM, Publicis Groupe, R/GA, TBWA\Chiat\Day, Wieden+Kennedy, Wpromote, VML</v>
      </c>
      <c r="I512" s="11">
        <f>IFERROR(__xludf.DUMMYFUNCTION("""COMPUTED_VALUE"""),3.0)</f>
        <v>3</v>
      </c>
      <c r="J512" s="11">
        <f>IFERROR(__xludf.DUMMYFUNCTION("""COMPUTED_VALUE"""),0.0)</f>
        <v>0</v>
      </c>
      <c r="K512" s="11">
        <f>IFERROR(__xludf.DUMMYFUNCTION("""COMPUTED_VALUE"""),1.33)</f>
        <v>1.33</v>
      </c>
      <c r="L512" s="11"/>
    </row>
    <row r="513" ht="15.75" customHeight="1">
      <c r="A513" s="10" t="str">
        <f>IFERROR(__xludf.DUMMYFUNCTION("""COMPUTED_VALUE"""),"https://whyflagshalfmasttoday.com/best-u-s-aeo-agencies-for-answer-engine-optimization-2026/")</f>
        <v>https://whyflagshalfmasttoday.com/best-u-s-aeo-agencies-for-answer-engine-optimization-2026/</v>
      </c>
      <c r="B513" s="11" t="str">
        <f>IFERROR(__xludf.DUMMYFUNCTION("""COMPUTED_VALUE"""),"Best U.S. AEO Agencies for Answer Engine Optimization (2026)")</f>
        <v>Best U.S. AEO Agencies for Answer Engine Optimization (2026)</v>
      </c>
      <c r="C513" s="10" t="str">
        <f>IFERROR(__xludf.DUMMYFUNCTION("""COMPUTED_VALUE"""),"whyflagshalfmasttoday.com")</f>
        <v>whyflagshalfmasttoday.com</v>
      </c>
      <c r="D513" s="11" t="str">
        <f>IFERROR(__xludf.DUMMYFUNCTION("""COMPUTED_VALUE"""),"LISTICLE")</f>
        <v>LISTICLE</v>
      </c>
      <c r="E513" s="11" t="str">
        <f>IFERROR(__xludf.DUMMYFUNCTION("""COMPUTED_VALUE"""),"EDITORIAL")</f>
        <v>EDITORIAL</v>
      </c>
      <c r="F513" s="11" t="str">
        <f>IFERROR(__xludf.DUMMYFUNCTION("""COMPUTED_VALUE"""),"Listicle")</f>
        <v>Listicle</v>
      </c>
      <c r="G513" s="11" t="b">
        <f>IFERROR(__xludf.DUMMYFUNCTION("""COMPUTED_VALUE"""),FALSE)</f>
        <v>0</v>
      </c>
      <c r="H513" s="11" t="str">
        <f>IFERROR(__xludf.DUMMYFUNCTION("""COMPUTED_VALUE"""),"iPullRank, Seer Interactive, Go Fish Digital, Momentum, Siege Media, Victorious")</f>
        <v>iPullRank, Seer Interactive, Go Fish Digital, Momentum, Siege Media, Victorious</v>
      </c>
      <c r="I513" s="11">
        <f>IFERROR(__xludf.DUMMYFUNCTION("""COMPUTED_VALUE"""),3.0)</f>
        <v>3</v>
      </c>
      <c r="J513" s="11">
        <f>IFERROR(__xludf.DUMMYFUNCTION("""COMPUTED_VALUE"""),0.0)</f>
        <v>0</v>
      </c>
      <c r="K513" s="11">
        <f>IFERROR(__xludf.DUMMYFUNCTION("""COMPUTED_VALUE"""),0.0)</f>
        <v>0</v>
      </c>
      <c r="L513" s="11"/>
    </row>
    <row r="514" ht="15.75" customHeight="1">
      <c r="A514" s="10" t="str">
        <f>IFERROR(__xludf.DUMMYFUNCTION("""COMPUTED_VALUE"""),"https://wifitalents.com/service/display-advertising/")</f>
        <v>https://wifitalents.com/service/display-advertising/</v>
      </c>
      <c r="B514" s="11" t="str">
        <f>IFERROR(__xludf.DUMMYFUNCTION("""COMPUTED_VALUE"""),"Display Advertising Services: Best Picks (2026)")</f>
        <v>Display Advertising Services: Best Picks (2026)</v>
      </c>
      <c r="C514" s="10" t="str">
        <f>IFERROR(__xludf.DUMMYFUNCTION("""COMPUTED_VALUE"""),"wifitalents.com")</f>
        <v>wifitalents.com</v>
      </c>
      <c r="D514" s="11" t="str">
        <f>IFERROR(__xludf.DUMMYFUNCTION("""COMPUTED_VALUE"""),"LISTICLE")</f>
        <v>LISTICLE</v>
      </c>
      <c r="E514" s="11" t="str">
        <f>IFERROR(__xludf.DUMMYFUNCTION("""COMPUTED_VALUE"""),"REFERENCE")</f>
        <v>REFERENCE</v>
      </c>
      <c r="F514" s="11" t="str">
        <f>IFERROR(__xludf.DUMMYFUNCTION("""COMPUTED_VALUE"""),"Listicle")</f>
        <v>Listicle</v>
      </c>
      <c r="G514" s="11" t="b">
        <f>IFERROR(__xludf.DUMMYFUNCTION("""COMPUTED_VALUE"""),FALSE)</f>
        <v>0</v>
      </c>
      <c r="H514" s="11" t="str">
        <f>IFERROR(__xludf.DUMMYFUNCTION("""COMPUTED_VALUE"""),"WPP, GroupM, Dentsu, Publicis Groupe, Accenture Song, Tinuiti, Clutch")</f>
        <v>WPP, GroupM, Dentsu, Publicis Groupe, Accenture Song, Tinuiti, Clutch</v>
      </c>
      <c r="I514" s="11">
        <f>IFERROR(__xludf.DUMMYFUNCTION("""COMPUTED_VALUE"""),3.0)</f>
        <v>3</v>
      </c>
      <c r="J514" s="11">
        <f>IFERROR(__xludf.DUMMYFUNCTION("""COMPUTED_VALUE"""),0.0)</f>
        <v>0</v>
      </c>
      <c r="K514" s="11">
        <f>IFERROR(__xludf.DUMMYFUNCTION("""COMPUTED_VALUE"""),0.0)</f>
        <v>0</v>
      </c>
      <c r="L514" s="11"/>
    </row>
    <row r="515" ht="15.75" customHeight="1">
      <c r="A515" s="10" t="str">
        <f>IFERROR(__xludf.DUMMYFUNCTION("""COMPUTED_VALUE"""),"https://www.yall.co/post/top-dtc-performance-creative-agencies-in-2026")</f>
        <v>https://www.yall.co/post/top-dtc-performance-creative-agencies-in-2026</v>
      </c>
      <c r="B515" s="11" t="str">
        <f>IFERROR(__xludf.DUMMYFUNCTION("""COMPUTED_VALUE"""),"Top DTC Performance Creative Agencies in 2026 (Updated June 2026) | Y’all, A Performance Creative Agency")</f>
        <v>Top DTC Performance Creative Agencies in 2026 (Updated June 2026) | Y’all, A Performance Creative Agency</v>
      </c>
      <c r="C515" s="10" t="str">
        <f>IFERROR(__xludf.DUMMYFUNCTION("""COMPUTED_VALUE"""),"yall.co")</f>
        <v>yall.co</v>
      </c>
      <c r="D515" s="11" t="str">
        <f>IFERROR(__xludf.DUMMYFUNCTION("""COMPUTED_VALUE"""),"LISTICLE")</f>
        <v>LISTICLE</v>
      </c>
      <c r="E515" s="11" t="str">
        <f>IFERROR(__xludf.DUMMYFUNCTION("""COMPUTED_VALUE"""),"CORPORATE")</f>
        <v>CORPORATE</v>
      </c>
      <c r="F515" s="11" t="str">
        <f>IFERROR(__xludf.DUMMYFUNCTION("""COMPUTED_VALUE"""),"Listicle")</f>
        <v>Listicle</v>
      </c>
      <c r="G515" s="11" t="b">
        <f>IFERROR(__xludf.DUMMYFUNCTION("""COMPUTED_VALUE"""),FALSE)</f>
        <v>0</v>
      </c>
      <c r="H515" s="11" t="str">
        <f>IFERROR(__xludf.DUMMYFUNCTION("""COMPUTED_VALUE"""),"Hawke Media, Darkroom, Common Thread Collective, MuteSix, Power Digital, DEPT")</f>
        <v>Hawke Media, Darkroom, Common Thread Collective, MuteSix, Power Digital, DEPT</v>
      </c>
      <c r="I515" s="11">
        <f>IFERROR(__xludf.DUMMYFUNCTION("""COMPUTED_VALUE"""),3.0)</f>
        <v>3</v>
      </c>
      <c r="J515" s="11">
        <f>IFERROR(__xludf.DUMMYFUNCTION("""COMPUTED_VALUE"""),0.0)</f>
        <v>0</v>
      </c>
      <c r="K515" s="11">
        <f>IFERROR(__xludf.DUMMYFUNCTION("""COMPUTED_VALUE"""),1.0)</f>
        <v>1</v>
      </c>
      <c r="L515" s="11"/>
    </row>
    <row r="516" ht="15.75" customHeight="1">
      <c r="A516" s="10" t="str">
        <f>IFERROR(__xludf.DUMMYFUNCTION("""COMPUTED_VALUE"""),"https://www.youtube.com/watch?v=YFmHk-nNoNg&amp;t=46")</f>
        <v>https://www.youtube.com/watch?v=YFmHk-nNoNg&amp;t=46</v>
      </c>
      <c r="B516" s="11" t="str">
        <f>IFERROR(__xludf.DUMMYFUNCTION("""COMPUTED_VALUE"""),"Top 6 AI-Powered B2B SaaS Marketing Agencies in the US (2026 Real Ranking)")</f>
        <v>Top 6 AI-Powered B2B SaaS Marketing Agencies in the US (2026 Real Ranking)</v>
      </c>
      <c r="C516" s="10" t="str">
        <f>IFERROR(__xludf.DUMMYFUNCTION("""COMPUTED_VALUE"""),"youtube.com")</f>
        <v>youtube.com</v>
      </c>
      <c r="D516" s="11" t="str">
        <f>IFERROR(__xludf.DUMMYFUNCTION("""COMPUTED_VALUE"""),"LISTICLE")</f>
        <v>LISTICLE</v>
      </c>
      <c r="E516" s="11" t="str">
        <f>IFERROR(__xludf.DUMMYFUNCTION("""COMPUTED_VALUE"""),"UGC")</f>
        <v>UGC</v>
      </c>
      <c r="F516" s="11" t="str">
        <f>IFERROR(__xludf.DUMMYFUNCTION("""COMPUTED_VALUE"""),"Listicle")</f>
        <v>Listicle</v>
      </c>
      <c r="G516" s="11" t="b">
        <f>IFERROR(__xludf.DUMMYFUNCTION("""COMPUTED_VALUE"""),FALSE)</f>
        <v>0</v>
      </c>
      <c r="H516" s="11" t="str">
        <f>IFERROR(__xludf.DUMMYFUNCTION("""COMPUTED_VALUE"""),"Clutch, GrowthSpree, Refine Labs, NoGood, Single Grain, AdVenture Media")</f>
        <v>Clutch, GrowthSpree, Refine Labs, NoGood, Single Grain, AdVenture Media</v>
      </c>
      <c r="I516" s="11">
        <f>IFERROR(__xludf.DUMMYFUNCTION("""COMPUTED_VALUE"""),3.0)</f>
        <v>3</v>
      </c>
      <c r="J516" s="11">
        <f>IFERROR(__xludf.DUMMYFUNCTION("""COMPUTED_VALUE"""),0.0)</f>
        <v>0</v>
      </c>
      <c r="K516" s="11">
        <f>IFERROR(__xludf.DUMMYFUNCTION("""COMPUTED_VALUE"""),1.33)</f>
        <v>1.33</v>
      </c>
      <c r="L516" s="11"/>
    </row>
    <row r="517" ht="15.75" customHeight="1">
      <c r="A517" s="10" t="str">
        <f>IFERROR(__xludf.DUMMYFUNCTION("""COMPUTED_VALUE"""),"https://www.youtube.com/watch?v=fdPFLXFJlwo&amp;t=30")</f>
        <v>https://www.youtube.com/watch?v=fdPFLXFJlwo&amp;t=30</v>
      </c>
      <c r="B517" s="11" t="str">
        <f>IFERROR(__xludf.DUMMYFUNCTION("""COMPUTED_VALUE"""),"6 Best Revenue Attribution Agencies for B2B SaaS in 2026")</f>
        <v>6 Best Revenue Attribution Agencies for B2B SaaS in 2026</v>
      </c>
      <c r="C517" s="10" t="str">
        <f>IFERROR(__xludf.DUMMYFUNCTION("""COMPUTED_VALUE"""),"youtube.com")</f>
        <v>youtube.com</v>
      </c>
      <c r="D517" s="11" t="str">
        <f>IFERROR(__xludf.DUMMYFUNCTION("""COMPUTED_VALUE"""),"LISTICLE")</f>
        <v>LISTICLE</v>
      </c>
      <c r="E517" s="11" t="str">
        <f>IFERROR(__xludf.DUMMYFUNCTION("""COMPUTED_VALUE"""),"UGC")</f>
        <v>UGC</v>
      </c>
      <c r="F517" s="11" t="str">
        <f>IFERROR(__xludf.DUMMYFUNCTION("""COMPUTED_VALUE"""),"Listicle")</f>
        <v>Listicle</v>
      </c>
      <c r="G517" s="11" t="b">
        <f>IFERROR(__xludf.DUMMYFUNCTION("""COMPUTED_VALUE"""),FALSE)</f>
        <v>0</v>
      </c>
      <c r="H517" s="11" t="str">
        <f>IFERROR(__xludf.DUMMYFUNCTION("""COMPUTED_VALUE"""),"Clutch, GrowthSpree, Refine Labs, NoGood, Single Grain, Disruptive Advertising, Wpromote")</f>
        <v>Clutch, GrowthSpree, Refine Labs, NoGood, Single Grain, Disruptive Advertising, Wpromote</v>
      </c>
      <c r="I517" s="11">
        <f>IFERROR(__xludf.DUMMYFUNCTION("""COMPUTED_VALUE"""),3.0)</f>
        <v>3</v>
      </c>
      <c r="J517" s="11">
        <f>IFERROR(__xludf.DUMMYFUNCTION("""COMPUTED_VALUE"""),0.0)</f>
        <v>0</v>
      </c>
      <c r="K517" s="11">
        <f>IFERROR(__xludf.DUMMYFUNCTION("""COMPUTED_VALUE"""),1.33)</f>
        <v>1.33</v>
      </c>
      <c r="L517" s="11"/>
    </row>
    <row r="518" ht="15.75" customHeight="1">
      <c r="A518" s="10" t="str">
        <f>IFERROR(__xludf.DUMMYFUNCTION("""COMPUTED_VALUE"""),"https://www.youtube.com/watch?v=jA6Bn5bI298&amp;t=242")</f>
        <v>https://www.youtube.com/watch?v=jA6Bn5bI298&amp;t=242</v>
      </c>
      <c r="B518" s="11" t="str">
        <f>IFERROR(__xludf.DUMMYFUNCTION("""COMPUTED_VALUE"""),"Best Performance Marketing Agency? What Actually Matters")</f>
        <v>Best Performance Marketing Agency? What Actually Matters</v>
      </c>
      <c r="C518" s="10" t="str">
        <f>IFERROR(__xludf.DUMMYFUNCTION("""COMPUTED_VALUE"""),"youtube.com")</f>
        <v>youtube.com</v>
      </c>
      <c r="D518" s="11" t="str">
        <f>IFERROR(__xludf.DUMMYFUNCTION("""COMPUTED_VALUE"""),"COMPARISON")</f>
        <v>COMPARISON</v>
      </c>
      <c r="E518" s="11" t="str">
        <f>IFERROR(__xludf.DUMMYFUNCTION("""COMPUTED_VALUE"""),"UGC")</f>
        <v>UGC</v>
      </c>
      <c r="F518" s="11" t="str">
        <f>IFERROR(__xludf.DUMMYFUNCTION("""COMPUTED_VALUE"""),"Comparison")</f>
        <v>Comparison</v>
      </c>
      <c r="G518" s="11" t="b">
        <f>IFERROR(__xludf.DUMMYFUNCTION("""COMPUTED_VALUE"""),FALSE)</f>
        <v>0</v>
      </c>
      <c r="H518" s="11" t="str">
        <f>IFERROR(__xludf.DUMMYFUNCTION("""COMPUTED_VALUE"""),"Right Side Up")</f>
        <v>Right Side Up</v>
      </c>
      <c r="I518" s="11">
        <f>IFERROR(__xludf.DUMMYFUNCTION("""COMPUTED_VALUE"""),3.0)</f>
        <v>3</v>
      </c>
      <c r="J518" s="11">
        <f>IFERROR(__xludf.DUMMYFUNCTION("""COMPUTED_VALUE"""),0.0)</f>
        <v>0</v>
      </c>
      <c r="K518" s="11">
        <f>IFERROR(__xludf.DUMMYFUNCTION("""COMPUTED_VALUE"""),1.0)</f>
        <v>1</v>
      </c>
      <c r="L518" s="11"/>
    </row>
    <row r="519" ht="15.75" customHeight="1">
      <c r="A519" s="10" t="str">
        <f>IFERROR(__xludf.DUMMYFUNCTION("""COMPUTED_VALUE"""),"https://zipdo.co/service/global-digital-marketing/")</f>
        <v>https://zipdo.co/service/global-digital-marketing/</v>
      </c>
      <c r="B519" s="11" t="str">
        <f>IFERROR(__xludf.DUMMYFUNCTION("""COMPUTED_VALUE"""),"Top 10 Best Global Digital Marketing Services | 2026 Edition")</f>
        <v>Top 10 Best Global Digital Marketing Services | 2026 Edition</v>
      </c>
      <c r="C519" s="10" t="str">
        <f>IFERROR(__xludf.DUMMYFUNCTION("""COMPUTED_VALUE"""),"zipdo.co")</f>
        <v>zipdo.co</v>
      </c>
      <c r="D519" s="11" t="str">
        <f>IFERROR(__xludf.DUMMYFUNCTION("""COMPUTED_VALUE"""),"LISTICLE")</f>
        <v>LISTICLE</v>
      </c>
      <c r="E519" s="11" t="str">
        <f>IFERROR(__xludf.DUMMYFUNCTION("""COMPUTED_VALUE"""),"REFERENCE")</f>
        <v>REFERENCE</v>
      </c>
      <c r="F519" s="11" t="str">
        <f>IFERROR(__xludf.DUMMYFUNCTION("""COMPUTED_VALUE"""),"Listicle")</f>
        <v>Listicle</v>
      </c>
      <c r="G519" s="11" t="b">
        <f>IFERROR(__xludf.DUMMYFUNCTION("""COMPUTED_VALUE"""),FALSE)</f>
        <v>0</v>
      </c>
      <c r="H519" s="11" t="str">
        <f>IFERROR(__xludf.DUMMYFUNCTION("""COMPUTED_VALUE"""),"WPP, Publicis Groupe, Omnicom Media Group, Deloitte Digital, IBM, Kantar, iProspect, Merkle, Publicis Sapient, Clutch")</f>
        <v>WPP, Publicis Groupe, Omnicom Media Group, Deloitte Digital, IBM, Kantar, iProspect, Merkle, Publicis Sapient, Clutch</v>
      </c>
      <c r="I519" s="11">
        <f>IFERROR(__xludf.DUMMYFUNCTION("""COMPUTED_VALUE"""),3.0)</f>
        <v>3</v>
      </c>
      <c r="J519" s="11">
        <f>IFERROR(__xludf.DUMMYFUNCTION("""COMPUTED_VALUE"""),0.0)</f>
        <v>0</v>
      </c>
      <c r="K519" s="11">
        <f>IFERROR(__xludf.DUMMYFUNCTION("""COMPUTED_VALUE"""),3.67)</f>
        <v>3.67</v>
      </c>
      <c r="L519" s="11"/>
    </row>
    <row r="520" ht="15.75" customHeight="1">
      <c r="A520" s="10" t="str">
        <f>IFERROR(__xludf.DUMMYFUNCTION("""COMPUTED_VALUE"""),"https://zipdo.co/service/marketing-data-analytics/")</f>
        <v>https://zipdo.co/service/marketing-data-analytics/</v>
      </c>
      <c r="B520" s="11" t="str">
        <f>IFERROR(__xludf.DUMMYFUNCTION("""COMPUTED_VALUE"""),"Best Marketing Data Analytics Services (2026)")</f>
        <v>Best Marketing Data Analytics Services (2026)</v>
      </c>
      <c r="C520" s="10" t="str">
        <f>IFERROR(__xludf.DUMMYFUNCTION("""COMPUTED_VALUE"""),"zipdo.co")</f>
        <v>zipdo.co</v>
      </c>
      <c r="D520" s="11" t="str">
        <f>IFERROR(__xludf.DUMMYFUNCTION("""COMPUTED_VALUE"""),"LISTICLE")</f>
        <v>LISTICLE</v>
      </c>
      <c r="E520" s="11" t="str">
        <f>IFERROR(__xludf.DUMMYFUNCTION("""COMPUTED_VALUE"""),"REFERENCE")</f>
        <v>REFERENCE</v>
      </c>
      <c r="F520" s="11" t="str">
        <f>IFERROR(__xludf.DUMMYFUNCTION("""COMPUTED_VALUE"""),"Listicle")</f>
        <v>Listicle</v>
      </c>
      <c r="G520" s="11" t="b">
        <f>IFERROR(__xludf.DUMMYFUNCTION("""COMPUTED_VALUE"""),FALSE)</f>
        <v>0</v>
      </c>
      <c r="H520" s="11" t="str">
        <f>IFERROR(__xludf.DUMMYFUNCTION("""COMPUTED_VALUE"""),"Merkle, Dentsu, Publicis Groupe, VML, PwC, Clutch")</f>
        <v>Merkle, Dentsu, Publicis Groupe, VML, PwC, Clutch</v>
      </c>
      <c r="I520" s="11">
        <f>IFERROR(__xludf.DUMMYFUNCTION("""COMPUTED_VALUE"""),3.0)</f>
        <v>3</v>
      </c>
      <c r="J520" s="11">
        <f>IFERROR(__xludf.DUMMYFUNCTION("""COMPUTED_VALUE"""),0.0)</f>
        <v>0</v>
      </c>
      <c r="K520" s="11">
        <f>IFERROR(__xludf.DUMMYFUNCTION("""COMPUTED_VALUE"""),0.0)</f>
        <v>0</v>
      </c>
      <c r="L520" s="11"/>
    </row>
    <row r="521" ht="15.75" customHeight="1">
      <c r="A521" s="10" t="str">
        <f>IFERROR(__xludf.DUMMYFUNCTION("""COMPUTED_VALUE"""),"https://ziptie.dev/blog/best-ai-seo-agency/")</f>
        <v>https://ziptie.dev/blog/best-ai-seo-agency/</v>
      </c>
      <c r="B521" s="11" t="str">
        <f>IFERROR(__xludf.DUMMYFUNCTION("""COMPUTED_VALUE"""),"Best AI SEO Agency | How to choose an AI SEO agency? – ZipTie.dev")</f>
        <v>Best AI SEO Agency | How to choose an AI SEO agency? – ZipTie.dev</v>
      </c>
      <c r="C521" s="11" t="str">
        <f>IFERROR(__xludf.DUMMYFUNCTION("""COMPUTED_VALUE"""),"ziptie.dev")</f>
        <v>ziptie.dev</v>
      </c>
      <c r="D521" s="11" t="str">
        <f>IFERROR(__xludf.DUMMYFUNCTION("""COMPUTED_VALUE"""),"LISTICLE")</f>
        <v>LISTICLE</v>
      </c>
      <c r="E521" s="11" t="str">
        <f>IFERROR(__xludf.DUMMYFUNCTION("""COMPUTED_VALUE"""),"OTHER")</f>
        <v>OTHER</v>
      </c>
      <c r="F521" s="11" t="str">
        <f>IFERROR(__xludf.DUMMYFUNCTION("""COMPUTED_VALUE"""),"Listicle")</f>
        <v>Listicle</v>
      </c>
      <c r="G521" s="11" t="b">
        <f>IFERROR(__xludf.DUMMYFUNCTION("""COMPUTED_VALUE"""),FALSE)</f>
        <v>0</v>
      </c>
      <c r="H521" s="11" t="str">
        <f>IFERROR(__xludf.DUMMYFUNCTION("""COMPUTED_VALUE"""),"iPullRank, Omniscient Digital, First Page Sage, Siege Media, Directive, Seer Interactive, Searchbloom, NoGood")</f>
        <v>iPullRank, Omniscient Digital, First Page Sage, Siege Media, Directive, Seer Interactive, Searchbloom, NoGood</v>
      </c>
      <c r="I521" s="11">
        <f>IFERROR(__xludf.DUMMYFUNCTION("""COMPUTED_VALUE"""),3.0)</f>
        <v>3</v>
      </c>
      <c r="J521" s="11">
        <f>IFERROR(__xludf.DUMMYFUNCTION("""COMPUTED_VALUE"""),0.0)</f>
        <v>0</v>
      </c>
      <c r="K521" s="11">
        <f>IFERROR(__xludf.DUMMYFUNCTION("""COMPUTED_VALUE"""),1.33)</f>
        <v>1.33</v>
      </c>
      <c r="L521" s="11"/>
    </row>
    <row r="522" ht="15.75" customHeight="1">
      <c r="A522" s="10" t="str">
        <f>IFERROR(__xludf.DUMMYFUNCTION("""COMPUTED_VALUE"""),"https://zyppy.com/companies/c/generative-ai-seo/united-states/")</f>
        <v>https://zyppy.com/companies/c/generative-ai-seo/united-states/</v>
      </c>
      <c r="B522" s="11" t="str">
        <f>IFERROR(__xludf.DUMMYFUNCTION("""COMPUTED_VALUE"""),"Top Generative AI Search Companies in the United States - July 2026")</f>
        <v>Top Generative AI Search Companies in the United States - July 2026</v>
      </c>
      <c r="C522" s="10" t="str">
        <f>IFERROR(__xludf.DUMMYFUNCTION("""COMPUTED_VALUE"""),"zyppy.com")</f>
        <v>zyppy.com</v>
      </c>
      <c r="D522" s="11" t="str">
        <f>IFERROR(__xludf.DUMMYFUNCTION("""COMPUTED_VALUE"""),"CATEGORY_PAGE")</f>
        <v>CATEGORY_PAGE</v>
      </c>
      <c r="E522" s="11" t="str">
        <f>IFERROR(__xludf.DUMMYFUNCTION("""COMPUTED_VALUE"""),"CORPORATE")</f>
        <v>CORPORATE</v>
      </c>
      <c r="F522" s="11" t="str">
        <f>IFERROR(__xludf.DUMMYFUNCTION("""COMPUTED_VALUE"""),"Category Page")</f>
        <v>Category Page</v>
      </c>
      <c r="G522" s="11" t="b">
        <f>IFERROR(__xludf.DUMMYFUNCTION("""COMPUTED_VALUE"""),FALSE)</f>
        <v>0</v>
      </c>
      <c r="H522" s="11" t="str">
        <f>IFERROR(__xludf.DUMMYFUNCTION("""COMPUTED_VALUE"""),"Seer Interactive, Go Fish Digital, RevenueZen, Clutch")</f>
        <v>Seer Interactive, Go Fish Digital, RevenueZen, Clutch</v>
      </c>
      <c r="I522" s="11">
        <f>IFERROR(__xludf.DUMMYFUNCTION("""COMPUTED_VALUE"""),3.0)</f>
        <v>3</v>
      </c>
      <c r="J522" s="11">
        <f>IFERROR(__xludf.DUMMYFUNCTION("""COMPUTED_VALUE"""),0.0)</f>
        <v>0</v>
      </c>
      <c r="K522" s="11">
        <f>IFERROR(__xludf.DUMMYFUNCTION("""COMPUTED_VALUE"""),0.0)</f>
        <v>0</v>
      </c>
      <c r="L522" s="11"/>
    </row>
    <row r="523" ht="15.75" customHeight="1">
      <c r="A523" s="10" t="str">
        <f>IFERROR(__xludf.DUMMYFUNCTION("""COMPUTED_VALUE"""),"https://zyppy.com/companies/c/marketing-attribution/")</f>
        <v>https://zyppy.com/companies/c/marketing-attribution/</v>
      </c>
      <c r="B523" s="11" t="str">
        <f>IFERROR(__xludf.DUMMYFUNCTION("""COMPUTED_VALUE"""),"Top Marketing Attribution Companies - July 2026")</f>
        <v>Top Marketing Attribution Companies - July 2026</v>
      </c>
      <c r="C523" s="10" t="str">
        <f>IFERROR(__xludf.DUMMYFUNCTION("""COMPUTED_VALUE"""),"zyppy.com")</f>
        <v>zyppy.com</v>
      </c>
      <c r="D523" s="11" t="str">
        <f>IFERROR(__xludf.DUMMYFUNCTION("""COMPUTED_VALUE"""),"LISTICLE")</f>
        <v>LISTICLE</v>
      </c>
      <c r="E523" s="11" t="str">
        <f>IFERROR(__xludf.DUMMYFUNCTION("""COMPUTED_VALUE"""),"CORPORATE")</f>
        <v>CORPORATE</v>
      </c>
      <c r="F523" s="11" t="str">
        <f>IFERROR(__xludf.DUMMYFUNCTION("""COMPUTED_VALUE"""),"Listicle")</f>
        <v>Listicle</v>
      </c>
      <c r="G523" s="11" t="b">
        <f>IFERROR(__xludf.DUMMYFUNCTION("""COMPUTED_VALUE"""),FALSE)</f>
        <v>0</v>
      </c>
      <c r="H523" s="11"/>
      <c r="I523" s="11">
        <f>IFERROR(__xludf.DUMMYFUNCTION("""COMPUTED_VALUE"""),3.0)</f>
        <v>3</v>
      </c>
      <c r="J523" s="11">
        <f>IFERROR(__xludf.DUMMYFUNCTION("""COMPUTED_VALUE"""),0.0)</f>
        <v>0</v>
      </c>
      <c r="K523" s="11">
        <f>IFERROR(__xludf.DUMMYFUNCTION("""COMPUTED_VALUE"""),0.0)</f>
        <v>0</v>
      </c>
      <c r="L523" s="11"/>
    </row>
    <row r="524" ht="15.75" customHeight="1">
      <c r="A524" s="10" t="str">
        <f>IFERROR(__xludf.DUMMYFUNCTION("""COMPUTED_VALUE"""),"https://www.310creative.com/blog/top-abm-agencies")</f>
        <v>https://www.310creative.com/blog/top-abm-agencies</v>
      </c>
      <c r="B524" s="11" t="str">
        <f>IFERROR(__xludf.DUMMYFUNCTION("""COMPUTED_VALUE"""),"Top 10 ABM Agencies in the U.S. 2026 | Reviews | 310 Creative")</f>
        <v>Top 10 ABM Agencies in the U.S. 2026 | Reviews | 310 Creative</v>
      </c>
      <c r="C524" s="10" t="str">
        <f>IFERROR(__xludf.DUMMYFUNCTION("""COMPUTED_VALUE"""),"310creative.com")</f>
        <v>310creative.com</v>
      </c>
      <c r="D524" s="11" t="str">
        <f>IFERROR(__xludf.DUMMYFUNCTION("""COMPUTED_VALUE"""),"LISTICLE")</f>
        <v>LISTICLE</v>
      </c>
      <c r="E524" s="11" t="str">
        <f>IFERROR(__xludf.DUMMYFUNCTION("""COMPUTED_VALUE"""),"CORPORATE")</f>
        <v>CORPORATE</v>
      </c>
      <c r="F524" s="11" t="str">
        <f>IFERROR(__xludf.DUMMYFUNCTION("""COMPUTED_VALUE"""),"Listicle")</f>
        <v>Listicle</v>
      </c>
      <c r="G524" s="11" t="b">
        <f>IFERROR(__xludf.DUMMYFUNCTION("""COMPUTED_VALUE"""),FALSE)</f>
        <v>0</v>
      </c>
      <c r="H524" s="11" t="str">
        <f>IFERROR(__xludf.DUMMYFUNCTION("""COMPUTED_VALUE"""),"Directive, Momentum")</f>
        <v>Directive, Momentum</v>
      </c>
      <c r="I524" s="11">
        <f>IFERROR(__xludf.DUMMYFUNCTION("""COMPUTED_VALUE"""),2.0)</f>
        <v>2</v>
      </c>
      <c r="J524" s="11">
        <f>IFERROR(__xludf.DUMMYFUNCTION("""COMPUTED_VALUE"""),0.0)</f>
        <v>0</v>
      </c>
      <c r="K524" s="11">
        <f>IFERROR(__xludf.DUMMYFUNCTION("""COMPUTED_VALUE"""),1.0)</f>
        <v>1</v>
      </c>
      <c r="L524" s="11"/>
    </row>
    <row r="525" ht="15.75" customHeight="1">
      <c r="A525" s="10" t="str">
        <f>IFERROR(__xludf.DUMMYFUNCTION("""COMPUTED_VALUE"""),"https://42dm.net/10-best-generative-engine-optimization-agencies-globally/")</f>
        <v>https://42dm.net/10-best-generative-engine-optimization-agencies-globally/</v>
      </c>
      <c r="B525" s="11" t="str">
        <f>IFERROR(__xludf.DUMMYFUNCTION("""COMPUTED_VALUE"""),"Top Generative AI SEO Agencies for 2026 – Compare the Best")</f>
        <v>Top Generative AI SEO Agencies for 2026 – Compare the Best</v>
      </c>
      <c r="C525" s="10" t="str">
        <f>IFERROR(__xludf.DUMMYFUNCTION("""COMPUTED_VALUE"""),"42dm.net")</f>
        <v>42dm.net</v>
      </c>
      <c r="D525" s="11" t="str">
        <f>IFERROR(__xludf.DUMMYFUNCTION("""COMPUTED_VALUE"""),"LISTICLE")</f>
        <v>LISTICLE</v>
      </c>
      <c r="E525" s="11" t="str">
        <f>IFERROR(__xludf.DUMMYFUNCTION("""COMPUTED_VALUE"""),"CORPORATE")</f>
        <v>CORPORATE</v>
      </c>
      <c r="F525" s="11" t="str">
        <f>IFERROR(__xludf.DUMMYFUNCTION("""COMPUTED_VALUE"""),"Listicle")</f>
        <v>Listicle</v>
      </c>
      <c r="G525" s="11" t="b">
        <f>IFERROR(__xludf.DUMMYFUNCTION("""COMPUTED_VALUE"""),FALSE)</f>
        <v>0</v>
      </c>
      <c r="H525" s="11" t="str">
        <f>IFERROR(__xludf.DUMMYFUNCTION("""COMPUTED_VALUE"""),"Clutch, Victorious, Intero Digital, Marcel Digital, Avenue Z, Single Grain, NoGood")</f>
        <v>Clutch, Victorious, Intero Digital, Marcel Digital, Avenue Z, Single Grain, NoGood</v>
      </c>
      <c r="I525" s="11">
        <f>IFERROR(__xludf.DUMMYFUNCTION("""COMPUTED_VALUE"""),2.0)</f>
        <v>2</v>
      </c>
      <c r="J525" s="11">
        <f>IFERROR(__xludf.DUMMYFUNCTION("""COMPUTED_VALUE"""),0.0)</f>
        <v>0</v>
      </c>
      <c r="K525" s="11">
        <f>IFERROR(__xludf.DUMMYFUNCTION("""COMPUTED_VALUE"""),2.0)</f>
        <v>2</v>
      </c>
      <c r="L525" s="11"/>
    </row>
    <row r="526" ht="15.75" customHeight="1">
      <c r="A526" s="10" t="str">
        <f>IFERROR(__xludf.DUMMYFUNCTION("""COMPUTED_VALUE"""),"https://www.50pros.com/hire/digital-marketing/marketing-analytics")</f>
        <v>https://www.50pros.com/hire/digital-marketing/marketing-analytics</v>
      </c>
      <c r="B526" s="11" t="str">
        <f>IFERROR(__xludf.DUMMYFUNCTION("""COMPUTED_VALUE"""),"Top Marketing Analytics Agencies to Hire in June 2026")</f>
        <v>Top Marketing Analytics Agencies to Hire in June 2026</v>
      </c>
      <c r="C526" s="10" t="str">
        <f>IFERROR(__xludf.DUMMYFUNCTION("""COMPUTED_VALUE"""),"50pros.com")</f>
        <v>50pros.com</v>
      </c>
      <c r="D526" s="11" t="str">
        <f>IFERROR(__xludf.DUMMYFUNCTION("""COMPUTED_VALUE"""),"CATEGORY_PAGE")</f>
        <v>CATEGORY_PAGE</v>
      </c>
      <c r="E526" s="11" t="str">
        <f>IFERROR(__xludf.DUMMYFUNCTION("""COMPUTED_VALUE"""),"REFERENCE")</f>
        <v>REFERENCE</v>
      </c>
      <c r="F526" s="11" t="str">
        <f>IFERROR(__xludf.DUMMYFUNCTION("""COMPUTED_VALUE"""),"Category Page")</f>
        <v>Category Page</v>
      </c>
      <c r="G526" s="11" t="b">
        <f>IFERROR(__xludf.DUMMYFUNCTION("""COMPUTED_VALUE"""),FALSE)</f>
        <v>0</v>
      </c>
      <c r="H526" s="11" t="str">
        <f>IFERROR(__xludf.DUMMYFUNCTION("""COMPUTED_VALUE"""),"The SEO Works, Huge")</f>
        <v>The SEO Works, Huge</v>
      </c>
      <c r="I526" s="11">
        <f>IFERROR(__xludf.DUMMYFUNCTION("""COMPUTED_VALUE"""),2.0)</f>
        <v>2</v>
      </c>
      <c r="J526" s="11">
        <f>IFERROR(__xludf.DUMMYFUNCTION("""COMPUTED_VALUE"""),0.0)</f>
        <v>0</v>
      </c>
      <c r="K526" s="11">
        <f>IFERROR(__xludf.DUMMYFUNCTION("""COMPUTED_VALUE"""),0.0)</f>
        <v>0</v>
      </c>
      <c r="L526" s="11"/>
    </row>
    <row r="527" ht="15.75" customHeight="1">
      <c r="A527" s="10" t="str">
        <f>IFERROR(__xludf.DUMMYFUNCTION("""COMPUTED_VALUE"""),"https://addepto.com/blog/top-16-ai-consulting-companies/")</f>
        <v>https://addepto.com/blog/top-16-ai-consulting-companies/</v>
      </c>
      <c r="B527" s="11" t="str">
        <f>IFERROR(__xludf.DUMMYFUNCTION("""COMPUTED_VALUE"""),"Top 16 AI Consulting Companies to Check in 2026 - Addepto")</f>
        <v>Top 16 AI Consulting Companies to Check in 2026 - Addepto</v>
      </c>
      <c r="C527" s="10" t="str">
        <f>IFERROR(__xludf.DUMMYFUNCTION("""COMPUTED_VALUE"""),"addepto.com")</f>
        <v>addepto.com</v>
      </c>
      <c r="D527" s="11" t="str">
        <f>IFERROR(__xludf.DUMMYFUNCTION("""COMPUTED_VALUE"""),"LISTICLE")</f>
        <v>LISTICLE</v>
      </c>
      <c r="E527" s="11" t="str">
        <f>IFERROR(__xludf.DUMMYFUNCTION("""COMPUTED_VALUE"""),"CORPORATE")</f>
        <v>CORPORATE</v>
      </c>
      <c r="F527" s="11" t="str">
        <f>IFERROR(__xludf.DUMMYFUNCTION("""COMPUTED_VALUE"""),"Listicle")</f>
        <v>Listicle</v>
      </c>
      <c r="G527" s="11" t="b">
        <f>IFERROR(__xludf.DUMMYFUNCTION("""COMPUTED_VALUE"""),FALSE)</f>
        <v>0</v>
      </c>
      <c r="H527" s="11" t="str">
        <f>IFERROR(__xludf.DUMMYFUNCTION("""COMPUTED_VALUE"""),"Clutch, Anomaly, BCG, IBM, McKinsey")</f>
        <v>Clutch, Anomaly, BCG, IBM, McKinsey</v>
      </c>
      <c r="I527" s="11">
        <f>IFERROR(__xludf.DUMMYFUNCTION("""COMPUTED_VALUE"""),2.0)</f>
        <v>2</v>
      </c>
      <c r="J527" s="11">
        <f>IFERROR(__xludf.DUMMYFUNCTION("""COMPUTED_VALUE"""),0.0)</f>
        <v>0</v>
      </c>
      <c r="K527" s="11">
        <f>IFERROR(__xludf.DUMMYFUNCTION("""COMPUTED_VALUE"""),1.5)</f>
        <v>1.5</v>
      </c>
      <c r="L527" s="11"/>
    </row>
    <row r="528" ht="15.75" customHeight="1">
      <c r="A528" s="10" t="str">
        <f>IFERROR(__xludf.DUMMYFUNCTION("""COMPUTED_VALUE"""),"https://agencies.semrush.com/list/display-advertising/new-york/#:~:text=Digital%20Dot.%20Connecting%20the%20Dots%20to%20Your,driving%20organic%20traffic%20and%20generating%20quality%20leads.")</f>
        <v>https://agencies.semrush.com/list/display-advertising/new-york/#:~:text=Digital%20Dot.%20Connecting%20the%20Dots%20to%20Your,driving%20organic%20traffic%20and%20generating%20quality%20leads.</v>
      </c>
      <c r="B528" s="11" t="str">
        <f>IFERROR(__xludf.DUMMYFUNCTION("""COMPUTED_VALUE"""),"Best Display Ads Agencies in New York 2026 | Semrush")</f>
        <v>Best Display Ads Agencies in New York 2026 | Semrush</v>
      </c>
      <c r="C528" s="10" t="str">
        <f>IFERROR(__xludf.DUMMYFUNCTION("""COMPUTED_VALUE"""),"semrush.com")</f>
        <v>semrush.com</v>
      </c>
      <c r="D528" s="11" t="str">
        <f>IFERROR(__xludf.DUMMYFUNCTION("""COMPUTED_VALUE"""),"OTHER")</f>
        <v>OTHER</v>
      </c>
      <c r="E528" s="11" t="str">
        <f>IFERROR(__xludf.DUMMYFUNCTION("""COMPUTED_VALUE"""),"CORPORATE")</f>
        <v>CORPORATE</v>
      </c>
      <c r="F528" s="11" t="str">
        <f>IFERROR(__xludf.DUMMYFUNCTION("""COMPUTED_VALUE"""),"Other")</f>
        <v>Other</v>
      </c>
      <c r="G528" s="11" t="b">
        <f>IFERROR(__xludf.DUMMYFUNCTION("""COMPUTED_VALUE"""),FALSE)</f>
        <v>0</v>
      </c>
      <c r="H528" s="11" t="str">
        <f>IFERROR(__xludf.DUMMYFUNCTION("""COMPUTED_VALUE"""),"Elit-Web, Measured")</f>
        <v>Elit-Web, Measured</v>
      </c>
      <c r="I528" s="11">
        <f>IFERROR(__xludf.DUMMYFUNCTION("""COMPUTED_VALUE"""),2.0)</f>
        <v>2</v>
      </c>
      <c r="J528" s="11">
        <f>IFERROR(__xludf.DUMMYFUNCTION("""COMPUTED_VALUE"""),0.0)</f>
        <v>0</v>
      </c>
      <c r="K528" s="11">
        <f>IFERROR(__xludf.DUMMYFUNCTION("""COMPUTED_VALUE"""),1.0)</f>
        <v>1</v>
      </c>
      <c r="L528" s="11"/>
    </row>
    <row r="529" ht="15.75" customHeight="1">
      <c r="A529" s="10" t="str">
        <f>IFERROR(__xludf.DUMMYFUNCTION("""COMPUTED_VALUE"""),"https://agencies.semrush.com/list/display-advertising/united-states/small-business/")</f>
        <v>https://agencies.semrush.com/list/display-advertising/united-states/small-business/</v>
      </c>
      <c r="B529" s="11" t="str">
        <f>IFERROR(__xludf.DUMMYFUNCTION("""COMPUTED_VALUE"""),"Best Display Ads Agencies for Small Business in United States 2026 | Semrush")</f>
        <v>Best Display Ads Agencies for Small Business in United States 2026 | Semrush</v>
      </c>
      <c r="C529" s="10" t="str">
        <f>IFERROR(__xludf.DUMMYFUNCTION("""COMPUTED_VALUE"""),"semrush.com")</f>
        <v>semrush.com</v>
      </c>
      <c r="D529" s="11" t="str">
        <f>IFERROR(__xludf.DUMMYFUNCTION("""COMPUTED_VALUE"""),"CATEGORY_PAGE")</f>
        <v>CATEGORY_PAGE</v>
      </c>
      <c r="E529" s="11" t="str">
        <f>IFERROR(__xludf.DUMMYFUNCTION("""COMPUTED_VALUE"""),"CORPORATE")</f>
        <v>CORPORATE</v>
      </c>
      <c r="F529" s="11" t="str">
        <f>IFERROR(__xludf.DUMMYFUNCTION("""COMPUTED_VALUE"""),"Category Page")</f>
        <v>Category Page</v>
      </c>
      <c r="G529" s="11" t="b">
        <f>IFERROR(__xludf.DUMMYFUNCTION("""COMPUTED_VALUE"""),FALSE)</f>
        <v>0</v>
      </c>
      <c r="H529" s="11" t="str">
        <f>IFERROR(__xludf.DUMMYFUNCTION("""COMPUTED_VALUE"""),"SmartSites, LYFE Marketing, Elit-Web")</f>
        <v>SmartSites, LYFE Marketing, Elit-Web</v>
      </c>
      <c r="I529" s="11">
        <f>IFERROR(__xludf.DUMMYFUNCTION("""COMPUTED_VALUE"""),2.0)</f>
        <v>2</v>
      </c>
      <c r="J529" s="11">
        <f>IFERROR(__xludf.DUMMYFUNCTION("""COMPUTED_VALUE"""),0.0)</f>
        <v>0</v>
      </c>
      <c r="K529" s="11">
        <f>IFERROR(__xludf.DUMMYFUNCTION("""COMPUTED_VALUE"""),0.0)</f>
        <v>0</v>
      </c>
      <c r="L529" s="11"/>
    </row>
    <row r="530" ht="15.75" customHeight="1">
      <c r="A530" s="10" t="str">
        <f>IFERROR(__xludf.DUMMYFUNCTION("""COMPUTED_VALUE"""),"https://agencies.semrush.com/list/programmatic-advertising/information-technology/united-states/")</f>
        <v>https://agencies.semrush.com/list/programmatic-advertising/information-technology/united-states/</v>
      </c>
      <c r="B530" s="11" t="str">
        <f>IFERROR(__xludf.DUMMYFUNCTION("""COMPUTED_VALUE"""),"Best IT Programmatic Advertising Agencies in United States 2026 | Semrush")</f>
        <v>Best IT Programmatic Advertising Agencies in United States 2026 | Semrush</v>
      </c>
      <c r="C530" s="10" t="str">
        <f>IFERROR(__xludf.DUMMYFUNCTION("""COMPUTED_VALUE"""),"semrush.com")</f>
        <v>semrush.com</v>
      </c>
      <c r="D530" s="11" t="str">
        <f>IFERROR(__xludf.DUMMYFUNCTION("""COMPUTED_VALUE"""),"CATEGORY_PAGE")</f>
        <v>CATEGORY_PAGE</v>
      </c>
      <c r="E530" s="11" t="str">
        <f>IFERROR(__xludf.DUMMYFUNCTION("""COMPUTED_VALUE"""),"CORPORATE")</f>
        <v>CORPORATE</v>
      </c>
      <c r="F530" s="11" t="str">
        <f>IFERROR(__xludf.DUMMYFUNCTION("""COMPUTED_VALUE"""),"Category Page")</f>
        <v>Category Page</v>
      </c>
      <c r="G530" s="11" t="b">
        <f>IFERROR(__xludf.DUMMYFUNCTION("""COMPUTED_VALUE"""),FALSE)</f>
        <v>0</v>
      </c>
      <c r="H530" s="11" t="str">
        <f>IFERROR(__xludf.DUMMYFUNCTION("""COMPUTED_VALUE"""),"SmartSites, Elit-Web, Silverback Strategies, WebFX, Measured, Funnel Boost Media")</f>
        <v>SmartSites, Elit-Web, Silverback Strategies, WebFX, Measured, Funnel Boost Media</v>
      </c>
      <c r="I530" s="11">
        <f>IFERROR(__xludf.DUMMYFUNCTION("""COMPUTED_VALUE"""),2.0)</f>
        <v>2</v>
      </c>
      <c r="J530" s="11">
        <f>IFERROR(__xludf.DUMMYFUNCTION("""COMPUTED_VALUE"""),0.0)</f>
        <v>0</v>
      </c>
      <c r="K530" s="11">
        <f>IFERROR(__xludf.DUMMYFUNCTION("""COMPUTED_VALUE"""),0.0)</f>
        <v>0</v>
      </c>
      <c r="L530" s="11"/>
    </row>
    <row r="531" ht="15.75" customHeight="1">
      <c r="A531" s="10" t="str">
        <f>IFERROR(__xludf.DUMMYFUNCTION("""COMPUTED_VALUE"""),"https://www.andersoncollaborative.com/digital-marketing-agencies-in-the-united-states-driving-growth-with-data-driven-campaigns/")</f>
        <v>https://www.andersoncollaborative.com/digital-marketing-agencies-in-the-united-states-driving-growth-with-data-driven-campaigns/</v>
      </c>
      <c r="B531" s="11" t="str">
        <f>IFERROR(__xludf.DUMMYFUNCTION("""COMPUTED_VALUE"""),"23 Best Digital Marketing Agencies in the US (2026)")</f>
        <v>23 Best Digital Marketing Agencies in the US (2026)</v>
      </c>
      <c r="C531" s="10" t="str">
        <f>IFERROR(__xludf.DUMMYFUNCTION("""COMPUTED_VALUE"""),"andersoncollaborative.com")</f>
        <v>andersoncollaborative.com</v>
      </c>
      <c r="D531" s="11" t="str">
        <f>IFERROR(__xludf.DUMMYFUNCTION("""COMPUTED_VALUE"""),"LISTICLE")</f>
        <v>LISTICLE</v>
      </c>
      <c r="E531" s="11" t="str">
        <f>IFERROR(__xludf.DUMMYFUNCTION("""COMPUTED_VALUE"""),"CORPORATE")</f>
        <v>CORPORATE</v>
      </c>
      <c r="F531" s="11" t="str">
        <f>IFERROR(__xludf.DUMMYFUNCTION("""COMPUTED_VALUE"""),"Listicle")</f>
        <v>Listicle</v>
      </c>
      <c r="G531" s="11" t="b">
        <f>IFERROR(__xludf.DUMMYFUNCTION("""COMPUTED_VALUE"""),FALSE)</f>
        <v>0</v>
      </c>
      <c r="H531" s="11" t="str">
        <f>IFERROR(__xludf.DUMMYFUNCTION("""COMPUTED_VALUE"""),"Clutch, Thrive Internet Marketing Agency, Power Digital, Silverback Strategies, Sociallyin, Single Grain, Directive, Kobe Digital, Victorious, Tinuiti, Wpromote, Metric Theory, DEPT")</f>
        <v>Clutch, Thrive Internet Marketing Agency, Power Digital, Silverback Strategies, Sociallyin, Single Grain, Directive, Kobe Digital, Victorious, Tinuiti, Wpromote, Metric Theory, DEPT</v>
      </c>
      <c r="I531" s="11">
        <f>IFERROR(__xludf.DUMMYFUNCTION("""COMPUTED_VALUE"""),2.0)</f>
        <v>2</v>
      </c>
      <c r="J531" s="11">
        <f>IFERROR(__xludf.DUMMYFUNCTION("""COMPUTED_VALUE"""),0.0)</f>
        <v>0</v>
      </c>
      <c r="K531" s="11">
        <f>IFERROR(__xludf.DUMMYFUNCTION("""COMPUTED_VALUE"""),0.5)</f>
        <v>0.5</v>
      </c>
      <c r="L531" s="11"/>
    </row>
    <row r="532" ht="15.75" customHeight="1">
      <c r="A532" s="10" t="str">
        <f>IFERROR(__xludf.DUMMYFUNCTION("""COMPUTED_VALUE"""),"https://www.animalz.co/blog/best-aeo-agencies")</f>
        <v>https://www.animalz.co/blog/best-aeo-agencies</v>
      </c>
      <c r="B532" s="11" t="str">
        <f>IFERROR(__xludf.DUMMYFUNCTION("""COMPUTED_VALUE"""),"10 Best AEO/GEO Agencies - Animalz")</f>
        <v>10 Best AEO/GEO Agencies - Animalz</v>
      </c>
      <c r="C532" s="10" t="str">
        <f>IFERROR(__xludf.DUMMYFUNCTION("""COMPUTED_VALUE"""),"animalz.co")</f>
        <v>animalz.co</v>
      </c>
      <c r="D532" s="11" t="str">
        <f>IFERROR(__xludf.DUMMYFUNCTION("""COMPUTED_VALUE"""),"LISTICLE")</f>
        <v>LISTICLE</v>
      </c>
      <c r="E532" s="11" t="str">
        <f>IFERROR(__xludf.DUMMYFUNCTION("""COMPUTED_VALUE"""),"COMPETITOR")</f>
        <v>COMPETITOR</v>
      </c>
      <c r="F532" s="11" t="str">
        <f>IFERROR(__xludf.DUMMYFUNCTION("""COMPUTED_VALUE"""),"Listicle")</f>
        <v>Listicle</v>
      </c>
      <c r="G532" s="11" t="b">
        <f>IFERROR(__xludf.DUMMYFUNCTION("""COMPUTED_VALUE"""),FALSE)</f>
        <v>0</v>
      </c>
      <c r="H532" s="11" t="str">
        <f>IFERROR(__xludf.DUMMYFUNCTION("""COMPUTED_VALUE"""),"Animalz, First Page Sage, NoGood, Omniscient Digital, iPullRank, RevenueZen, Go Fish Digital, Avenue Z, Stratabeat, Momentum")</f>
        <v>Animalz, First Page Sage, NoGood, Omniscient Digital, iPullRank, RevenueZen, Go Fish Digital, Avenue Z, Stratabeat, Momentum</v>
      </c>
      <c r="I532" s="11">
        <f>IFERROR(__xludf.DUMMYFUNCTION("""COMPUTED_VALUE"""),2.0)</f>
        <v>2</v>
      </c>
      <c r="J532" s="11">
        <f>IFERROR(__xludf.DUMMYFUNCTION("""COMPUTED_VALUE"""),0.0)</f>
        <v>0</v>
      </c>
      <c r="K532" s="11">
        <f>IFERROR(__xludf.DUMMYFUNCTION("""COMPUTED_VALUE"""),1.0)</f>
        <v>1</v>
      </c>
      <c r="L532" s="11"/>
    </row>
    <row r="533" ht="15.75" customHeight="1">
      <c r="A533" s="10" t="str">
        <f>IFERROR(__xludf.DUMMYFUNCTION("""COMPUTED_VALUE"""),"https://appkod.com/blogs/paid-social-agencies-us/")</f>
        <v>https://appkod.com/blogs/paid-social-agencies-us/</v>
      </c>
      <c r="B533" s="11" t="str">
        <f>IFERROR(__xludf.DUMMYFUNCTION("""COMPUTED_VALUE"""),"Top 17 Paid Social Agencies in the U.S. (2025) -")</f>
        <v>Top 17 Paid Social Agencies in the U.S. (2025) -</v>
      </c>
      <c r="C533" s="10" t="str">
        <f>IFERROR(__xludf.DUMMYFUNCTION("""COMPUTED_VALUE"""),"appkod.com")</f>
        <v>appkod.com</v>
      </c>
      <c r="D533" s="11" t="str">
        <f>IFERROR(__xludf.DUMMYFUNCTION("""COMPUTED_VALUE"""),"LISTICLE")</f>
        <v>LISTICLE</v>
      </c>
      <c r="E533" s="11" t="str">
        <f>IFERROR(__xludf.DUMMYFUNCTION("""COMPUTED_VALUE"""),"CORPORATE")</f>
        <v>CORPORATE</v>
      </c>
      <c r="F533" s="11" t="str">
        <f>IFERROR(__xludf.DUMMYFUNCTION("""COMPUTED_VALUE"""),"Listicle")</f>
        <v>Listicle</v>
      </c>
      <c r="G533" s="11" t="b">
        <f>IFERROR(__xludf.DUMMYFUNCTION("""COMPUTED_VALUE"""),FALSE)</f>
        <v>0</v>
      </c>
      <c r="H533" s="11" t="str">
        <f>IFERROR(__xludf.DUMMYFUNCTION("""COMPUTED_VALUE"""),"The Social Shepherd, Marcel Digital, Jellyfish, Tinuiti, iProspect")</f>
        <v>The Social Shepherd, Marcel Digital, Jellyfish, Tinuiti, iProspect</v>
      </c>
      <c r="I533" s="11">
        <f>IFERROR(__xludf.DUMMYFUNCTION("""COMPUTED_VALUE"""),2.0)</f>
        <v>2</v>
      </c>
      <c r="J533" s="11">
        <f>IFERROR(__xludf.DUMMYFUNCTION("""COMPUTED_VALUE"""),0.0)</f>
        <v>0</v>
      </c>
      <c r="K533" s="11">
        <f>IFERROR(__xludf.DUMMYFUNCTION("""COMPUTED_VALUE"""),0.0)</f>
        <v>0</v>
      </c>
      <c r="L533" s="11"/>
    </row>
    <row r="534" ht="15.75" customHeight="1">
      <c r="A534" s="10" t="str">
        <f>IFERROR(__xludf.DUMMYFUNCTION("""COMPUTED_VALUE"""),"https://www.askneedle.com/blog/best-instagram-ad-agencies")</f>
        <v>https://www.askneedle.com/blog/best-instagram-ad-agencies</v>
      </c>
      <c r="B534" s="11" t="str">
        <f>IFERROR(__xludf.DUMMYFUNCTION("""COMPUTED_VALUE"""),"12 Best Instagram Ad Agencies for DTC Brands in 2026")</f>
        <v>12 Best Instagram Ad Agencies for DTC Brands in 2026</v>
      </c>
      <c r="C534" s="10" t="str">
        <f>IFERROR(__xludf.DUMMYFUNCTION("""COMPUTED_VALUE"""),"askneedle.com")</f>
        <v>askneedle.com</v>
      </c>
      <c r="D534" s="11" t="str">
        <f>IFERROR(__xludf.DUMMYFUNCTION("""COMPUTED_VALUE"""),"LISTICLE")</f>
        <v>LISTICLE</v>
      </c>
      <c r="E534" s="11" t="str">
        <f>IFERROR(__xludf.DUMMYFUNCTION("""COMPUTED_VALUE"""),"CORPORATE")</f>
        <v>CORPORATE</v>
      </c>
      <c r="F534" s="11" t="str">
        <f>IFERROR(__xludf.DUMMYFUNCTION("""COMPUTED_VALUE"""),"Listicle")</f>
        <v>Listicle</v>
      </c>
      <c r="G534" s="11" t="b">
        <f>IFERROR(__xludf.DUMMYFUNCTION("""COMPUTED_VALUE"""),FALSE)</f>
        <v>0</v>
      </c>
      <c r="H534" s="11" t="str">
        <f>IFERROR(__xludf.DUMMYFUNCTION("""COMPUTED_VALUE"""),"Clutch, Tinuiti, MuteSix, Disruptive Advertising, Hawke Media, Power Digital, LYFE Marketing")</f>
        <v>Clutch, Tinuiti, MuteSix, Disruptive Advertising, Hawke Media, Power Digital, LYFE Marketing</v>
      </c>
      <c r="I534" s="11">
        <f>IFERROR(__xludf.DUMMYFUNCTION("""COMPUTED_VALUE"""),2.0)</f>
        <v>2</v>
      </c>
      <c r="J534" s="11">
        <f>IFERROR(__xludf.DUMMYFUNCTION("""COMPUTED_VALUE"""),0.0)</f>
        <v>0</v>
      </c>
      <c r="K534" s="11">
        <f>IFERROR(__xludf.DUMMYFUNCTION("""COMPUTED_VALUE"""),1.0)</f>
        <v>1</v>
      </c>
      <c r="L534" s="11"/>
    </row>
    <row r="535" ht="15.75" customHeight="1">
      <c r="A535" s="10" t="str">
        <f>IFERROR(__xludf.DUMMYFUNCTION("""COMPUTED_VALUE"""),"https://auditynow.com/blog/best-ai-readiness-assessment-tools")</f>
        <v>https://auditynow.com/blog/best-ai-readiness-assessment-tools</v>
      </c>
      <c r="B535" s="11" t="str">
        <f>IFERROR(__xludf.DUMMYFUNCTION("""COMPUTED_VALUE"""),"8 Best AI Readiness Assessment Tools for Consulting Firms (2026)")</f>
        <v>8 Best AI Readiness Assessment Tools for Consulting Firms (2026)</v>
      </c>
      <c r="C535" s="10" t="str">
        <f>IFERROR(__xludf.DUMMYFUNCTION("""COMPUTED_VALUE"""),"auditynow.com")</f>
        <v>auditynow.com</v>
      </c>
      <c r="D535" s="11" t="str">
        <f>IFERROR(__xludf.DUMMYFUNCTION("""COMPUTED_VALUE"""),"LISTICLE")</f>
        <v>LISTICLE</v>
      </c>
      <c r="E535" s="11" t="str">
        <f>IFERROR(__xludf.DUMMYFUNCTION("""COMPUTED_VALUE"""),"CORPORATE")</f>
        <v>CORPORATE</v>
      </c>
      <c r="F535" s="11" t="str">
        <f>IFERROR(__xludf.DUMMYFUNCTION("""COMPUTED_VALUE"""),"Listicle")</f>
        <v>Listicle</v>
      </c>
      <c r="G535" s="11" t="b">
        <f>IFERROR(__xludf.DUMMYFUNCTION("""COMPUTED_VALUE"""),FALSE)</f>
        <v>0</v>
      </c>
      <c r="H535" s="11" t="str">
        <f>IFERROR(__xludf.DUMMYFUNCTION("""COMPUTED_VALUE"""),"BCG, NoGood, Momentum")</f>
        <v>BCG, NoGood, Momentum</v>
      </c>
      <c r="I535" s="11">
        <f>IFERROR(__xludf.DUMMYFUNCTION("""COMPUTED_VALUE"""),2.0)</f>
        <v>2</v>
      </c>
      <c r="J535" s="11">
        <f>IFERROR(__xludf.DUMMYFUNCTION("""COMPUTED_VALUE"""),0.0)</f>
        <v>0</v>
      </c>
      <c r="K535" s="11">
        <f>IFERROR(__xludf.DUMMYFUNCTION("""COMPUTED_VALUE"""),0.0)</f>
        <v>0</v>
      </c>
      <c r="L535" s="11"/>
    </row>
    <row r="536" ht="15.75" customHeight="1">
      <c r="A536" s="10" t="str">
        <f>IFERROR(__xludf.DUMMYFUNCTION("""COMPUTED_VALUE"""),"https://awisee.com/blog/ai-seo-agencies-usa/")</f>
        <v>https://awisee.com/blog/ai-seo-agencies-usa/</v>
      </c>
      <c r="B536" s="11" t="str">
        <f>IFERROR(__xludf.DUMMYFUNCTION("""COMPUTED_VALUE"""),"The 5 Best AI SEO Agencies USA In 2026")</f>
        <v>The 5 Best AI SEO Agencies USA In 2026</v>
      </c>
      <c r="C536" s="10" t="str">
        <f>IFERROR(__xludf.DUMMYFUNCTION("""COMPUTED_VALUE"""),"awisee.com")</f>
        <v>awisee.com</v>
      </c>
      <c r="D536" s="11" t="str">
        <f>IFERROR(__xludf.DUMMYFUNCTION("""COMPUTED_VALUE"""),"LISTICLE")</f>
        <v>LISTICLE</v>
      </c>
      <c r="E536" s="11" t="str">
        <f>IFERROR(__xludf.DUMMYFUNCTION("""COMPUTED_VALUE"""),"OTHER")</f>
        <v>OTHER</v>
      </c>
      <c r="F536" s="11" t="str">
        <f>IFERROR(__xludf.DUMMYFUNCTION("""COMPUTED_VALUE"""),"Listicle")</f>
        <v>Listicle</v>
      </c>
      <c r="G536" s="11" t="b">
        <f>IFERROR(__xludf.DUMMYFUNCTION("""COMPUTED_VALUE"""),FALSE)</f>
        <v>0</v>
      </c>
      <c r="H536" s="11"/>
      <c r="I536" s="11">
        <f>IFERROR(__xludf.DUMMYFUNCTION("""COMPUTED_VALUE"""),2.0)</f>
        <v>2</v>
      </c>
      <c r="J536" s="11">
        <f>IFERROR(__xludf.DUMMYFUNCTION("""COMPUTED_VALUE"""),0.0)</f>
        <v>0</v>
      </c>
      <c r="K536" s="11">
        <f>IFERROR(__xludf.DUMMYFUNCTION("""COMPUTED_VALUE"""),1.0)</f>
        <v>1</v>
      </c>
      <c r="L536" s="11"/>
    </row>
    <row r="537" ht="15.75" customHeight="1">
      <c r="A537" s="10" t="str">
        <f>IFERROR(__xludf.DUMMYFUNCTION("""COMPUTED_VALUE"""),"https://benly.ai/learn/ai-marketing/best-attribution-tools-2026")</f>
        <v>https://benly.ai/learn/ai-marketing/best-attribution-tools-2026</v>
      </c>
      <c r="B537" s="11" t="str">
        <f>IFERROR(__xludf.DUMMYFUNCTION("""COMPUTED_VALUE"""),"11 Best Marketing Attribution Tools in 2026")</f>
        <v>11 Best Marketing Attribution Tools in 2026</v>
      </c>
      <c r="C537" s="10" t="str">
        <f>IFERROR(__xludf.DUMMYFUNCTION("""COMPUTED_VALUE"""),"benly.ai")</f>
        <v>benly.ai</v>
      </c>
      <c r="D537" s="11" t="str">
        <f>IFERROR(__xludf.DUMMYFUNCTION("""COMPUTED_VALUE"""),"LISTICLE")</f>
        <v>LISTICLE</v>
      </c>
      <c r="E537" s="11" t="str">
        <f>IFERROR(__xludf.DUMMYFUNCTION("""COMPUTED_VALUE"""),"CORPORATE")</f>
        <v>CORPORATE</v>
      </c>
      <c r="F537" s="11" t="str">
        <f>IFERROR(__xludf.DUMMYFUNCTION("""COMPUTED_VALUE"""),"Listicle")</f>
        <v>Listicle</v>
      </c>
      <c r="G537" s="11" t="b">
        <f>IFERROR(__xludf.DUMMYFUNCTION("""COMPUTED_VALUE"""),FALSE)</f>
        <v>0</v>
      </c>
      <c r="H537" s="11" t="str">
        <f>IFERROR(__xludf.DUMMYFUNCTION("""COMPUTED_VALUE"""),"Northbeam, Triple Whale, Rockerbox, Measured, Ruler Analytics, Anomaly")</f>
        <v>Northbeam, Triple Whale, Rockerbox, Measured, Ruler Analytics, Anomaly</v>
      </c>
      <c r="I537" s="11">
        <f>IFERROR(__xludf.DUMMYFUNCTION("""COMPUTED_VALUE"""),2.0)</f>
        <v>2</v>
      </c>
      <c r="J537" s="11">
        <f>IFERROR(__xludf.DUMMYFUNCTION("""COMPUTED_VALUE"""),0.0)</f>
        <v>0</v>
      </c>
      <c r="K537" s="11">
        <f>IFERROR(__xludf.DUMMYFUNCTION("""COMPUTED_VALUE"""),0.0)</f>
        <v>0</v>
      </c>
      <c r="L537" s="11"/>
    </row>
    <row r="538" ht="15.75" customHeight="1">
      <c r="A538" s="10" t="str">
        <f>IFERROR(__xludf.DUMMYFUNCTION("""COMPUTED_VALUE"""),"https://bigspy.com/blog/Top-10-Paid-Social-Agencies")</f>
        <v>https://bigspy.com/blog/Top-10-Paid-Social-Agencies</v>
      </c>
      <c r="B538" s="11" t="str">
        <f>IFERROR(__xludf.DUMMYFUNCTION("""COMPUTED_VALUE"""),"Top 10 Paid Social Agencies in the US to Boost Your Business in 2024")</f>
        <v>Top 10 Paid Social Agencies in the US to Boost Your Business in 2024</v>
      </c>
      <c r="C538" s="10" t="str">
        <f>IFERROR(__xludf.DUMMYFUNCTION("""COMPUTED_VALUE"""),"bigspy.com")</f>
        <v>bigspy.com</v>
      </c>
      <c r="D538" s="11" t="str">
        <f>IFERROR(__xludf.DUMMYFUNCTION("""COMPUTED_VALUE"""),"LISTICLE")</f>
        <v>LISTICLE</v>
      </c>
      <c r="E538" s="11" t="str">
        <f>IFERROR(__xludf.DUMMYFUNCTION("""COMPUTED_VALUE"""),"CORPORATE")</f>
        <v>CORPORATE</v>
      </c>
      <c r="F538" s="11" t="str">
        <f>IFERROR(__xludf.DUMMYFUNCTION("""COMPUTED_VALUE"""),"Listicle")</f>
        <v>Listicle</v>
      </c>
      <c r="G538" s="11" t="b">
        <f>IFERROR(__xludf.DUMMYFUNCTION("""COMPUTED_VALUE"""),FALSE)</f>
        <v>0</v>
      </c>
      <c r="H538" s="11" t="str">
        <f>IFERROR(__xludf.DUMMYFUNCTION("""COMPUTED_VALUE"""),"NoGood, NinjaPromo, Tinuiti, inBeat, Power Digital, Brainlabs")</f>
        <v>NoGood, NinjaPromo, Tinuiti, inBeat, Power Digital, Brainlabs</v>
      </c>
      <c r="I538" s="11">
        <f>IFERROR(__xludf.DUMMYFUNCTION("""COMPUTED_VALUE"""),2.0)</f>
        <v>2</v>
      </c>
      <c r="J538" s="11">
        <f>IFERROR(__xludf.DUMMYFUNCTION("""COMPUTED_VALUE"""),0.0)</f>
        <v>0</v>
      </c>
      <c r="K538" s="11">
        <f>IFERROR(__xludf.DUMMYFUNCTION("""COMPUTED_VALUE"""),1.5)</f>
        <v>1.5</v>
      </c>
      <c r="L538" s="11"/>
    </row>
    <row r="539" ht="15.75" customHeight="1">
      <c r="A539" s="10" t="str">
        <f>IFERROR(__xludf.DUMMYFUNCTION("""COMPUTED_VALUE"""),"https://blog.viewed.video/top-10-ai-consulting-firms-boosting-tech-marketing")</f>
        <v>https://blog.viewed.video/top-10-ai-consulting-firms-boosting-tech-marketing</v>
      </c>
      <c r="B539" s="11" t="str">
        <f>IFERROR(__xludf.DUMMYFUNCTION("""COMPUTED_VALUE"""),"Top 10 AI Consulting Firms Boosting Tech Marketing")</f>
        <v>Top 10 AI Consulting Firms Boosting Tech Marketing</v>
      </c>
      <c r="C539" s="11" t="str">
        <f>IFERROR(__xludf.DUMMYFUNCTION("""COMPUTED_VALUE"""),"viewed.video")</f>
        <v>viewed.video</v>
      </c>
      <c r="D539" s="11" t="str">
        <f>IFERROR(__xludf.DUMMYFUNCTION("""COMPUTED_VALUE"""),"LISTICLE")</f>
        <v>LISTICLE</v>
      </c>
      <c r="E539" s="11" t="str">
        <f>IFERROR(__xludf.DUMMYFUNCTION("""COMPUTED_VALUE"""),"CORPORATE")</f>
        <v>CORPORATE</v>
      </c>
      <c r="F539" s="11" t="str">
        <f>IFERROR(__xludf.DUMMYFUNCTION("""COMPUTED_VALUE"""),"Listicle")</f>
        <v>Listicle</v>
      </c>
      <c r="G539" s="11" t="b">
        <f>IFERROR(__xludf.DUMMYFUNCTION("""COMPUTED_VALUE"""),FALSE)</f>
        <v>0</v>
      </c>
      <c r="H539" s="11" t="str">
        <f>IFERROR(__xludf.DUMMYFUNCTION("""COMPUTED_VALUE"""),"McKinsey, IBM, BCG, PwC, Bain &amp; Company")</f>
        <v>McKinsey, IBM, BCG, PwC, Bain &amp; Company</v>
      </c>
      <c r="I539" s="11">
        <f>IFERROR(__xludf.DUMMYFUNCTION("""COMPUTED_VALUE"""),2.0)</f>
        <v>2</v>
      </c>
      <c r="J539" s="11">
        <f>IFERROR(__xludf.DUMMYFUNCTION("""COMPUTED_VALUE"""),0.0)</f>
        <v>0</v>
      </c>
      <c r="K539" s="11">
        <f>IFERROR(__xludf.DUMMYFUNCTION("""COMPUTED_VALUE"""),0.0)</f>
        <v>0</v>
      </c>
      <c r="L539" s="11"/>
    </row>
    <row r="540" ht="15.75" customHeight="1">
      <c r="A540" s="10" t="str">
        <f>IFERROR(__xludf.DUMMYFUNCTION("""COMPUTED_VALUE"""),"https://www.brafton.com/blog/paid-search-blog/programmatic-ad-mediation/")</f>
        <v>https://www.brafton.com/blog/paid-search-blog/programmatic-ad-mediation/</v>
      </c>
      <c r="B540" s="11" t="str">
        <f>IFERROR(__xludf.DUMMYFUNCTION("""COMPUTED_VALUE"""),"Top Programmatic Ad Mediation Platforms | Brafton")</f>
        <v>Top Programmatic Ad Mediation Platforms | Brafton</v>
      </c>
      <c r="C540" s="10" t="str">
        <f>IFERROR(__xludf.DUMMYFUNCTION("""COMPUTED_VALUE"""),"brafton.com")</f>
        <v>brafton.com</v>
      </c>
      <c r="D540" s="11" t="str">
        <f>IFERROR(__xludf.DUMMYFUNCTION("""COMPUTED_VALUE"""),"ARTICLE")</f>
        <v>ARTICLE</v>
      </c>
      <c r="E540" s="11" t="str">
        <f>IFERROR(__xludf.DUMMYFUNCTION("""COMPUTED_VALUE"""),"CORPORATE")</f>
        <v>CORPORATE</v>
      </c>
      <c r="F540" s="11" t="str">
        <f>IFERROR(__xludf.DUMMYFUNCTION("""COMPUTED_VALUE"""),"Article")</f>
        <v>Article</v>
      </c>
      <c r="G540" s="11" t="b">
        <f>IFERROR(__xludf.DUMMYFUNCTION("""COMPUTED_VALUE"""),FALSE)</f>
        <v>0</v>
      </c>
      <c r="H540" s="11" t="str">
        <f>IFERROR(__xludf.DUMMYFUNCTION("""COMPUTED_VALUE"""),"Momentum, Measured")</f>
        <v>Momentum, Measured</v>
      </c>
      <c r="I540" s="11">
        <f>IFERROR(__xludf.DUMMYFUNCTION("""COMPUTED_VALUE"""),2.0)</f>
        <v>2</v>
      </c>
      <c r="J540" s="11">
        <f>IFERROR(__xludf.DUMMYFUNCTION("""COMPUTED_VALUE"""),0.0)</f>
        <v>0</v>
      </c>
      <c r="K540" s="11">
        <f>IFERROR(__xludf.DUMMYFUNCTION("""COMPUTED_VALUE"""),1.0)</f>
        <v>1</v>
      </c>
      <c r="L540" s="11"/>
    </row>
    <row r="541" ht="15.75" customHeight="1">
      <c r="A541" s="10" t="str">
        <f>IFERROR(__xludf.DUMMYFUNCTION("""COMPUTED_VALUE"""),"https://brillmedia.co/resources/best-connected-tv-advertising-companies/")</f>
        <v>https://brillmedia.co/resources/best-connected-tv-advertising-companies/</v>
      </c>
      <c r="B541" s="11" t="str">
        <f>IFERROR(__xludf.DUMMYFUNCTION("""COMPUTED_VALUE"""),"Best Connected TV Advertising Companies | Brill Media")</f>
        <v>Best Connected TV Advertising Companies | Brill Media</v>
      </c>
      <c r="C541" s="10" t="str">
        <f>IFERROR(__xludf.DUMMYFUNCTION("""COMPUTED_VALUE"""),"brillmedia.co")</f>
        <v>brillmedia.co</v>
      </c>
      <c r="D541" s="11" t="str">
        <f>IFERROR(__xludf.DUMMYFUNCTION("""COMPUTED_VALUE"""),"LISTICLE")</f>
        <v>LISTICLE</v>
      </c>
      <c r="E541" s="11" t="str">
        <f>IFERROR(__xludf.DUMMYFUNCTION("""COMPUTED_VALUE"""),"CORPORATE")</f>
        <v>CORPORATE</v>
      </c>
      <c r="F541" s="11" t="str">
        <f>IFERROR(__xludf.DUMMYFUNCTION("""COMPUTED_VALUE"""),"Listicle")</f>
        <v>Listicle</v>
      </c>
      <c r="G541" s="11" t="b">
        <f>IFERROR(__xludf.DUMMYFUNCTION("""COMPUTED_VALUE"""),FALSE)</f>
        <v>0</v>
      </c>
      <c r="H541" s="11"/>
      <c r="I541" s="11">
        <f>IFERROR(__xludf.DUMMYFUNCTION("""COMPUTED_VALUE"""),2.0)</f>
        <v>2</v>
      </c>
      <c r="J541" s="11">
        <f>IFERROR(__xludf.DUMMYFUNCTION("""COMPUTED_VALUE"""),0.0)</f>
        <v>0</v>
      </c>
      <c r="K541" s="11">
        <f>IFERROR(__xludf.DUMMYFUNCTION("""COMPUTED_VALUE"""),1.0)</f>
        <v>1</v>
      </c>
      <c r="L541" s="11"/>
    </row>
    <row r="542" ht="15.75" customHeight="1">
      <c r="A542" s="10" t="str">
        <f>IFERROR(__xludf.DUMMYFUNCTION("""COMPUTED_VALUE"""),"https://cairrot.com/blog/best-aeo-agencies/")</f>
        <v>https://cairrot.com/blog/best-aeo-agencies/</v>
      </c>
      <c r="B542" s="11" t="str">
        <f>IFERROR(__xludf.DUMMYFUNCTION("""COMPUTED_VALUE"""),"Best AEO Agencies and Services in 2026 | Top 10 AEO/GEO Agencies for Revenue-Focused Performance - Cairrot")</f>
        <v>Best AEO Agencies and Services in 2026 | Top 10 AEO/GEO Agencies for Revenue-Focused Performance - Cairrot</v>
      </c>
      <c r="C542" s="10" t="str">
        <f>IFERROR(__xludf.DUMMYFUNCTION("""COMPUTED_VALUE"""),"cairrot.com")</f>
        <v>cairrot.com</v>
      </c>
      <c r="D542" s="11" t="str">
        <f>IFERROR(__xludf.DUMMYFUNCTION("""COMPUTED_VALUE"""),"LISTICLE")</f>
        <v>LISTICLE</v>
      </c>
      <c r="E542" s="11" t="str">
        <f>IFERROR(__xludf.DUMMYFUNCTION("""COMPUTED_VALUE"""),"CORPORATE")</f>
        <v>CORPORATE</v>
      </c>
      <c r="F542" s="11" t="str">
        <f>IFERROR(__xludf.DUMMYFUNCTION("""COMPUTED_VALUE"""),"Listicle")</f>
        <v>Listicle</v>
      </c>
      <c r="G542" s="11" t="b">
        <f>IFERROR(__xludf.DUMMYFUNCTION("""COMPUTED_VALUE"""),FALSE)</f>
        <v>0</v>
      </c>
      <c r="H542" s="11" t="str">
        <f>IFERROR(__xludf.DUMMYFUNCTION("""COMPUTED_VALUE"""),"iPullRank, Directive, Clutch, Momentum")</f>
        <v>iPullRank, Directive, Clutch, Momentum</v>
      </c>
      <c r="I542" s="11">
        <f>IFERROR(__xludf.DUMMYFUNCTION("""COMPUTED_VALUE"""),2.0)</f>
        <v>2</v>
      </c>
      <c r="J542" s="11">
        <f>IFERROR(__xludf.DUMMYFUNCTION("""COMPUTED_VALUE"""),0.0)</f>
        <v>0</v>
      </c>
      <c r="K542" s="11">
        <f>IFERROR(__xludf.DUMMYFUNCTION("""COMPUTED_VALUE"""),0.0)</f>
        <v>0</v>
      </c>
      <c r="L542" s="11"/>
    </row>
    <row r="543" ht="15.75" customHeight="1">
      <c r="A543" s="10" t="str">
        <f>IFERROR(__xludf.DUMMYFUNCTION("""COMPUTED_VALUE"""),"https://clicksgeek.com/best-roi-focused-marketing-agencies/")</f>
        <v>https://clicksgeek.com/best-roi-focused-marketing-agencies/</v>
      </c>
      <c r="B543" s="11" t="str">
        <f>IFERROR(__xludf.DUMMYFUNCTION("""COMPUTED_VALUE"""),"Best ROI Focused Marketing Agencies: 2026 Guide &amp;amp; Tips")</f>
        <v>Best ROI Focused Marketing Agencies: 2026 Guide &amp;amp; Tips</v>
      </c>
      <c r="C543" s="10" t="str">
        <f>IFERROR(__xludf.DUMMYFUNCTION("""COMPUTED_VALUE"""),"clicksgeek.com")</f>
        <v>clicksgeek.com</v>
      </c>
      <c r="D543" s="11" t="str">
        <f>IFERROR(__xludf.DUMMYFUNCTION("""COMPUTED_VALUE"""),"LISTICLE")</f>
        <v>LISTICLE</v>
      </c>
      <c r="E543" s="11" t="str">
        <f>IFERROR(__xludf.DUMMYFUNCTION("""COMPUTED_VALUE"""),"CORPORATE")</f>
        <v>CORPORATE</v>
      </c>
      <c r="F543" s="11" t="str">
        <f>IFERROR(__xludf.DUMMYFUNCTION("""COMPUTED_VALUE"""),"Listicle")</f>
        <v>Listicle</v>
      </c>
      <c r="G543" s="11" t="b">
        <f>IFERROR(__xludf.DUMMYFUNCTION("""COMPUTED_VALUE"""),FALSE)</f>
        <v>0</v>
      </c>
      <c r="H543" s="11" t="str">
        <f>IFERROR(__xludf.DUMMYFUNCTION("""COMPUTED_VALUE"""),"Momentum")</f>
        <v>Momentum</v>
      </c>
      <c r="I543" s="11">
        <f>IFERROR(__xludf.DUMMYFUNCTION("""COMPUTED_VALUE"""),2.0)</f>
        <v>2</v>
      </c>
      <c r="J543" s="11">
        <f>IFERROR(__xludf.DUMMYFUNCTION("""COMPUTED_VALUE"""),0.0)</f>
        <v>0</v>
      </c>
      <c r="K543" s="11">
        <f>IFERROR(__xludf.DUMMYFUNCTION("""COMPUTED_VALUE"""),0.0)</f>
        <v>0</v>
      </c>
      <c r="L543" s="11"/>
    </row>
    <row r="544" ht="15.75" customHeight="1">
      <c r="A544" s="10" t="str">
        <f>IFERROR(__xludf.DUMMYFUNCTION("""COMPUTED_VALUE"""),"https://clutch.co/agencies/performance-marketing%3Fpage%3D0")</f>
        <v>https://clutch.co/agencies/performance-marketing%3Fpage%3D0</v>
      </c>
      <c r="B544" s="11" t="str">
        <f>IFERROR(__xludf.DUMMYFUNCTION("""COMPUTED_VALUE"""),"Top Performance Marketing Agencies - Jul 2026 Rankings \| Clutch.co")</f>
        <v>Top Performance Marketing Agencies - Jul 2026 Rankings \| Clutch.co</v>
      </c>
      <c r="C544" s="10" t="str">
        <f>IFERROR(__xludf.DUMMYFUNCTION("""COMPUTED_VALUE"""),"clutch.co")</f>
        <v>clutch.co</v>
      </c>
      <c r="D544" s="11" t="str">
        <f>IFERROR(__xludf.DUMMYFUNCTION("""COMPUTED_VALUE"""),"LISTICLE")</f>
        <v>LISTICLE</v>
      </c>
      <c r="E544" s="11" t="str">
        <f>IFERROR(__xludf.DUMMYFUNCTION("""COMPUTED_VALUE"""),"COMPETITOR")</f>
        <v>COMPETITOR</v>
      </c>
      <c r="F544" s="11" t="str">
        <f>IFERROR(__xludf.DUMMYFUNCTION("""COMPUTED_VALUE"""),"Listicle")</f>
        <v>Listicle</v>
      </c>
      <c r="G544" s="11" t="b">
        <f>IFERROR(__xludf.DUMMYFUNCTION("""COMPUTED_VALUE"""),FALSE)</f>
        <v>0</v>
      </c>
      <c r="H544" s="11" t="str">
        <f>IFERROR(__xludf.DUMMYFUNCTION("""COMPUTED_VALUE"""),"Clutch, Disruptive Advertising, Accelerated Digital Media, Momentum")</f>
        <v>Clutch, Disruptive Advertising, Accelerated Digital Media, Momentum</v>
      </c>
      <c r="I544" s="11">
        <f>IFERROR(__xludf.DUMMYFUNCTION("""COMPUTED_VALUE"""),2.0)</f>
        <v>2</v>
      </c>
      <c r="J544" s="11">
        <f>IFERROR(__xludf.DUMMYFUNCTION("""COMPUTED_VALUE"""),0.0)</f>
        <v>0</v>
      </c>
      <c r="K544" s="11">
        <f>IFERROR(__xludf.DUMMYFUNCTION("""COMPUTED_VALUE"""),0.0)</f>
        <v>0</v>
      </c>
      <c r="L544" s="11"/>
    </row>
    <row r="545" ht="15.75" customHeight="1">
      <c r="A545" s="10" t="str">
        <f>IFERROR(__xludf.DUMMYFUNCTION("""COMPUTED_VALUE"""),"https://clutch.co/agencies/sem?geona_id=25338&amp;page=1")</f>
        <v>https://clutch.co/agencies/sem?geona_id=25338&amp;page=1</v>
      </c>
      <c r="B545" s="11" t="str">
        <f>IFERROR(__xludf.DUMMYFUNCTION("""COMPUTED_VALUE"""),"Page 2 - Best Search Engine Marketing Agencies - Jul 2026 Rankings \| Clutch.co")</f>
        <v>Page 2 - Best Search Engine Marketing Agencies - Jul 2026 Rankings \| Clutch.co</v>
      </c>
      <c r="C545" s="10" t="str">
        <f>IFERROR(__xludf.DUMMYFUNCTION("""COMPUTED_VALUE"""),"clutch.co")</f>
        <v>clutch.co</v>
      </c>
      <c r="D545" s="11" t="str">
        <f>IFERROR(__xludf.DUMMYFUNCTION("""COMPUTED_VALUE"""),"CATEGORY_PAGE")</f>
        <v>CATEGORY_PAGE</v>
      </c>
      <c r="E545" s="11" t="str">
        <f>IFERROR(__xludf.DUMMYFUNCTION("""COMPUTED_VALUE"""),"COMPETITOR")</f>
        <v>COMPETITOR</v>
      </c>
      <c r="F545" s="11" t="str">
        <f>IFERROR(__xludf.DUMMYFUNCTION("""COMPUTED_VALUE"""),"Category Page")</f>
        <v>Category Page</v>
      </c>
      <c r="G545" s="11" t="b">
        <f>IFERROR(__xludf.DUMMYFUNCTION("""COMPUTED_VALUE"""),FALSE)</f>
        <v>0</v>
      </c>
      <c r="H545" s="11" t="str">
        <f>IFERROR(__xludf.DUMMYFUNCTION("""COMPUTED_VALUE"""),"Clutch, Searchbloom, SmartSites, KlientBoost, Silverback Strategies, HawkSEM, NinjaPromo, Intero Digital, Ignite Visibility, DEPT, Elit-Web, Funnel Boost Media")</f>
        <v>Clutch, Searchbloom, SmartSites, KlientBoost, Silverback Strategies, HawkSEM, NinjaPromo, Intero Digital, Ignite Visibility, DEPT, Elit-Web, Funnel Boost Media</v>
      </c>
      <c r="I545" s="11">
        <f>IFERROR(__xludf.DUMMYFUNCTION("""COMPUTED_VALUE"""),2.0)</f>
        <v>2</v>
      </c>
      <c r="J545" s="11">
        <f>IFERROR(__xludf.DUMMYFUNCTION("""COMPUTED_VALUE"""),0.0)</f>
        <v>0</v>
      </c>
      <c r="K545" s="11">
        <f>IFERROR(__xludf.DUMMYFUNCTION("""COMPUTED_VALUE"""),0.0)</f>
        <v>0</v>
      </c>
      <c r="L545" s="11"/>
    </row>
    <row r="546" ht="15.75" customHeight="1">
      <c r="A546" s="10" t="str">
        <f>IFERROR(__xludf.DUMMYFUNCTION("""COMPUTED_VALUE"""),"https://clutch.co/press-releases/Best-of-Clutch-winners-2025")</f>
        <v>https://clutch.co/press-releases/Best-of-Clutch-winners-2025</v>
      </c>
      <c r="B546" s="11" t="str">
        <f>IFERROR(__xludf.DUMMYFUNCTION("""COMPUTED_VALUE"""),"Clutch Announces 2025 Best of Clutch Award Winners \| Clutch.co")</f>
        <v>Clutch Announces 2025 Best of Clutch Award Winners \| Clutch.co</v>
      </c>
      <c r="C546" s="10" t="str">
        <f>IFERROR(__xludf.DUMMYFUNCTION("""COMPUTED_VALUE"""),"clutch.co")</f>
        <v>clutch.co</v>
      </c>
      <c r="D546" s="11" t="str">
        <f>IFERROR(__xludf.DUMMYFUNCTION("""COMPUTED_VALUE"""),"LISTICLE")</f>
        <v>LISTICLE</v>
      </c>
      <c r="E546" s="11" t="str">
        <f>IFERROR(__xludf.DUMMYFUNCTION("""COMPUTED_VALUE"""),"COMPETITOR")</f>
        <v>COMPETITOR</v>
      </c>
      <c r="F546" s="11" t="str">
        <f>IFERROR(__xludf.DUMMYFUNCTION("""COMPUTED_VALUE"""),"Listicle")</f>
        <v>Listicle</v>
      </c>
      <c r="G546" s="11" t="b">
        <f>IFERROR(__xludf.DUMMYFUNCTION("""COMPUTED_VALUE"""),FALSE)</f>
        <v>0</v>
      </c>
      <c r="H546" s="11" t="str">
        <f>IFERROR(__xludf.DUMMYFUNCTION("""COMPUTED_VALUE"""),"Clutch, Ignite Visibility, Victorious")</f>
        <v>Clutch, Ignite Visibility, Victorious</v>
      </c>
      <c r="I546" s="11">
        <f>IFERROR(__xludf.DUMMYFUNCTION("""COMPUTED_VALUE"""),2.0)</f>
        <v>2</v>
      </c>
      <c r="J546" s="11">
        <f>IFERROR(__xludf.DUMMYFUNCTION("""COMPUTED_VALUE"""),0.0)</f>
        <v>0</v>
      </c>
      <c r="K546" s="11">
        <f>IFERROR(__xludf.DUMMYFUNCTION("""COMPUTED_VALUE"""),0.0)</f>
        <v>0</v>
      </c>
      <c r="L546" s="11"/>
    </row>
    <row r="547" ht="15.75" customHeight="1">
      <c r="A547" s="10" t="str">
        <f>IFERROR(__xludf.DUMMYFUNCTION("""COMPUTED_VALUE"""),"https://clutch.co/us/agencies/digital")</f>
        <v>https://clutch.co/us/agencies/digital</v>
      </c>
      <c r="B547" s="11" t="str">
        <f>IFERROR(__xludf.DUMMYFUNCTION("""COMPUTED_VALUE"""),"Top Full-Service Digital Agencies in the United States - Jul 2026 Rankings | Clutch.co")</f>
        <v>Top Full-Service Digital Agencies in the United States - Jul 2026 Rankings | Clutch.co</v>
      </c>
      <c r="C547" s="10" t="str">
        <f>IFERROR(__xludf.DUMMYFUNCTION("""COMPUTED_VALUE"""),"clutch.co")</f>
        <v>clutch.co</v>
      </c>
      <c r="D547" s="11" t="str">
        <f>IFERROR(__xludf.DUMMYFUNCTION("""COMPUTED_VALUE"""),"CATEGORY_PAGE")</f>
        <v>CATEGORY_PAGE</v>
      </c>
      <c r="E547" s="11" t="str">
        <f>IFERROR(__xludf.DUMMYFUNCTION("""COMPUTED_VALUE"""),"COMPETITOR")</f>
        <v>COMPETITOR</v>
      </c>
      <c r="F547" s="11" t="str">
        <f>IFERROR(__xludf.DUMMYFUNCTION("""COMPUTED_VALUE"""),"Category Page")</f>
        <v>Category Page</v>
      </c>
      <c r="G547" s="11" t="b">
        <f>IFERROR(__xludf.DUMMYFUNCTION("""COMPUTED_VALUE"""),FALSE)</f>
        <v>0</v>
      </c>
      <c r="H547" s="11" t="str">
        <f>IFERROR(__xludf.DUMMYFUNCTION("""COMPUTED_VALUE"""),"Clutch, Ignite Visibility, Storm Brain, Funnel Boost Media, Momentum")</f>
        <v>Clutch, Ignite Visibility, Storm Brain, Funnel Boost Media, Momentum</v>
      </c>
      <c r="I547" s="11">
        <f>IFERROR(__xludf.DUMMYFUNCTION("""COMPUTED_VALUE"""),2.0)</f>
        <v>2</v>
      </c>
      <c r="J547" s="11">
        <f>IFERROR(__xludf.DUMMYFUNCTION("""COMPUTED_VALUE"""),0.0)</f>
        <v>0</v>
      </c>
      <c r="K547" s="11">
        <f>IFERROR(__xludf.DUMMYFUNCTION("""COMPUTED_VALUE"""),0.0)</f>
        <v>0</v>
      </c>
      <c r="L547" s="11"/>
    </row>
    <row r="548" ht="15.75" customHeight="1">
      <c r="A548" s="10" t="str">
        <f>IFERROR(__xludf.DUMMYFUNCTION("""COMPUTED_VALUE"""),"https://clutch.co/us/agencies/digital-marketing%3Fpage%3D2")</f>
        <v>https://clutch.co/us/agencies/digital-marketing%3Fpage%3D2</v>
      </c>
      <c r="B548" s="11" t="str">
        <f>IFERROR(__xludf.DUMMYFUNCTION("""COMPUTED_VALUE"""),"Top Digital Marketing Agencies in the United States - Jul 2026 Rankings \| Clutch.co")</f>
        <v>Top Digital Marketing Agencies in the United States - Jul 2026 Rankings \| Clutch.co</v>
      </c>
      <c r="C548" s="10" t="str">
        <f>IFERROR(__xludf.DUMMYFUNCTION("""COMPUTED_VALUE"""),"clutch.co")</f>
        <v>clutch.co</v>
      </c>
      <c r="D548" s="11" t="str">
        <f>IFERROR(__xludf.DUMMYFUNCTION("""COMPUTED_VALUE"""),"CATEGORY_PAGE")</f>
        <v>CATEGORY_PAGE</v>
      </c>
      <c r="E548" s="11" t="str">
        <f>IFERROR(__xludf.DUMMYFUNCTION("""COMPUTED_VALUE"""),"COMPETITOR")</f>
        <v>COMPETITOR</v>
      </c>
      <c r="F548" s="11" t="str">
        <f>IFERROR(__xludf.DUMMYFUNCTION("""COMPUTED_VALUE"""),"Category Page")</f>
        <v>Category Page</v>
      </c>
      <c r="G548" s="11" t="b">
        <f>IFERROR(__xludf.DUMMYFUNCTION("""COMPUTED_VALUE"""),FALSE)</f>
        <v>0</v>
      </c>
      <c r="H548"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548" s="11">
        <f>IFERROR(__xludf.DUMMYFUNCTION("""COMPUTED_VALUE"""),2.0)</f>
        <v>2</v>
      </c>
      <c r="J548" s="11">
        <f>IFERROR(__xludf.DUMMYFUNCTION("""COMPUTED_VALUE"""),0.0)</f>
        <v>0</v>
      </c>
      <c r="K548" s="11">
        <f>IFERROR(__xludf.DUMMYFUNCTION("""COMPUTED_VALUE"""),0.0)</f>
        <v>0</v>
      </c>
      <c r="L548" s="11"/>
    </row>
    <row r="549" ht="15.75" customHeight="1">
      <c r="A549" s="10" t="str">
        <f>IFERROR(__xludf.DUMMYFUNCTION("""COMPUTED_VALUE"""),"https://clutch.co/us/agencies/ecommerce-marketing")</f>
        <v>https://clutch.co/us/agencies/ecommerce-marketing</v>
      </c>
      <c r="B549" s="11" t="str">
        <f>IFERROR(__xludf.DUMMYFUNCTION("""COMPUTED_VALUE"""),"Top E-Commerce Marketing Agencies in the United States - Jul 2026 Rankings \| Clutch.co")</f>
        <v>Top E-Commerce Marketing Agencies in the United States - Jul 2026 Rankings \| Clutch.co</v>
      </c>
      <c r="C549" s="10" t="str">
        <f>IFERROR(__xludf.DUMMYFUNCTION("""COMPUTED_VALUE"""),"clutch.co")</f>
        <v>clutch.co</v>
      </c>
      <c r="D549" s="11" t="str">
        <f>IFERROR(__xludf.DUMMYFUNCTION("""COMPUTED_VALUE"""),"CATEGORY_PAGE")</f>
        <v>CATEGORY_PAGE</v>
      </c>
      <c r="E549" s="11" t="str">
        <f>IFERROR(__xludf.DUMMYFUNCTION("""COMPUTED_VALUE"""),"COMPETITOR")</f>
        <v>COMPETITOR</v>
      </c>
      <c r="F549" s="11" t="str">
        <f>IFERROR(__xludf.DUMMYFUNCTION("""COMPUTED_VALUE"""),"Category Page")</f>
        <v>Category Page</v>
      </c>
      <c r="G549" s="11" t="b">
        <f>IFERROR(__xludf.DUMMYFUNCTION("""COMPUTED_VALUE"""),FALSE)</f>
        <v>0</v>
      </c>
      <c r="H549" s="11" t="str">
        <f>IFERROR(__xludf.DUMMYFUNCTION("""COMPUTED_VALUE"""),"Clutch, Disruptive Advertising, Acadia, AdVenture Media, Accelerated Digital Media, Brighter Click, Huge, Momentum")</f>
        <v>Clutch, Disruptive Advertising, Acadia, AdVenture Media, Accelerated Digital Media, Brighter Click, Huge, Momentum</v>
      </c>
      <c r="I549" s="11">
        <f>IFERROR(__xludf.DUMMYFUNCTION("""COMPUTED_VALUE"""),2.0)</f>
        <v>2</v>
      </c>
      <c r="J549" s="11">
        <f>IFERROR(__xludf.DUMMYFUNCTION("""COMPUTED_VALUE"""),0.0)</f>
        <v>0</v>
      </c>
      <c r="K549" s="11">
        <f>IFERROR(__xludf.DUMMYFUNCTION("""COMPUTED_VALUE"""),0.0)</f>
        <v>0</v>
      </c>
      <c r="L549" s="11"/>
    </row>
    <row r="550" ht="15.75" customHeight="1">
      <c r="A550" s="10" t="str">
        <f>IFERROR(__xludf.DUMMYFUNCTION("""COMPUTED_VALUE"""),"https://clutch.co/us/agencies/ppc%3Fpage%3D2")</f>
        <v>https://clutch.co/us/agencies/ppc%3Fpage%3D2</v>
      </c>
      <c r="B550" s="11" t="str">
        <f>IFERROR(__xludf.DUMMYFUNCTION("""COMPUTED_VALUE"""),"Top PPC Companies in the United States - Jul 2026 Rankings \| Clutch.co")</f>
        <v>Top PPC Companies in the United States - Jul 2026 Rankings \| Clutch.co</v>
      </c>
      <c r="C550" s="10" t="str">
        <f>IFERROR(__xludf.DUMMYFUNCTION("""COMPUTED_VALUE"""),"clutch.co")</f>
        <v>clutch.co</v>
      </c>
      <c r="D550" s="11" t="str">
        <f>IFERROR(__xludf.DUMMYFUNCTION("""COMPUTED_VALUE"""),"CATEGORY_PAGE")</f>
        <v>CATEGORY_PAGE</v>
      </c>
      <c r="E550" s="11" t="str">
        <f>IFERROR(__xludf.DUMMYFUNCTION("""COMPUTED_VALUE"""),"COMPETITOR")</f>
        <v>COMPETITOR</v>
      </c>
      <c r="F550" s="11" t="str">
        <f>IFERROR(__xludf.DUMMYFUNCTION("""COMPUTED_VALUE"""),"Category Page")</f>
        <v>Category Page</v>
      </c>
      <c r="G550" s="11" t="b">
        <f>IFERROR(__xludf.DUMMYFUNCTION("""COMPUTED_VALUE"""),FALSE)</f>
        <v>0</v>
      </c>
      <c r="H550" s="11" t="str">
        <f>IFERROR(__xludf.DUMMYFUNCTION("""COMPUTED_VALUE"""),"Clutch, KlientBoost, Disruptive Advertising, AdVenture Media, HawkSEM, SmartSites, Intero Digital, Elit-Web")</f>
        <v>Clutch, KlientBoost, Disruptive Advertising, AdVenture Media, HawkSEM, SmartSites, Intero Digital, Elit-Web</v>
      </c>
      <c r="I550" s="11">
        <f>IFERROR(__xludf.DUMMYFUNCTION("""COMPUTED_VALUE"""),2.0)</f>
        <v>2</v>
      </c>
      <c r="J550" s="11">
        <f>IFERROR(__xludf.DUMMYFUNCTION("""COMPUTED_VALUE"""),0.0)</f>
        <v>0</v>
      </c>
      <c r="K550" s="11">
        <f>IFERROR(__xludf.DUMMYFUNCTION("""COMPUTED_VALUE"""),0.0)</f>
        <v>0</v>
      </c>
      <c r="L550" s="11"/>
    </row>
    <row r="551" ht="15.75" customHeight="1">
      <c r="A551" s="10" t="str">
        <f>IFERROR(__xludf.DUMMYFUNCTION("""COMPUTED_VALUE"""),"https://clutch.co/us/agencies/ppc/display%3Fpage%3D5")</f>
        <v>https://clutch.co/us/agencies/ppc/display%3Fpage%3D5</v>
      </c>
      <c r="B551" s="11" t="str">
        <f>IFERROR(__xludf.DUMMYFUNCTION("""COMPUTED_VALUE"""),"Top Display Advertising Agencies in the United States - Jul 2026 Rankings \| Clutch.co")</f>
        <v>Top Display Advertising Agencies in the United States - Jul 2026 Rankings \| Clutch.co</v>
      </c>
      <c r="C551" s="10" t="str">
        <f>IFERROR(__xludf.DUMMYFUNCTION("""COMPUTED_VALUE"""),"clutch.co")</f>
        <v>clutch.co</v>
      </c>
      <c r="D551" s="11" t="str">
        <f>IFERROR(__xludf.DUMMYFUNCTION("""COMPUTED_VALUE"""),"PRODUCT_PAGE")</f>
        <v>PRODUCT_PAGE</v>
      </c>
      <c r="E551" s="11" t="str">
        <f>IFERROR(__xludf.DUMMYFUNCTION("""COMPUTED_VALUE"""),"COMPETITOR")</f>
        <v>COMPETITOR</v>
      </c>
      <c r="F551" s="11" t="str">
        <f>IFERROR(__xludf.DUMMYFUNCTION("""COMPUTED_VALUE"""),"Product Page")</f>
        <v>Product Page</v>
      </c>
      <c r="G551" s="11" t="b">
        <f>IFERROR(__xludf.DUMMYFUNCTION("""COMPUTED_VALUE"""),FALSE)</f>
        <v>0</v>
      </c>
      <c r="H551" s="11" t="str">
        <f>IFERROR(__xludf.DUMMYFUNCTION("""COMPUTED_VALUE"""),"Clutch, Elit-Web, AdVenture Media, Storm Brain")</f>
        <v>Clutch, Elit-Web, AdVenture Media, Storm Brain</v>
      </c>
      <c r="I551" s="11">
        <f>IFERROR(__xludf.DUMMYFUNCTION("""COMPUTED_VALUE"""),2.0)</f>
        <v>2</v>
      </c>
      <c r="J551" s="11">
        <f>IFERROR(__xludf.DUMMYFUNCTION("""COMPUTED_VALUE"""),0.0)</f>
        <v>0</v>
      </c>
      <c r="K551" s="11">
        <f>IFERROR(__xludf.DUMMYFUNCTION("""COMPUTED_VALUE"""),0.0)</f>
        <v>0</v>
      </c>
      <c r="L551" s="11"/>
    </row>
    <row r="552" ht="15.75" customHeight="1">
      <c r="A552" s="10" t="str">
        <f>IFERROR(__xludf.DUMMYFUNCTION("""COMPUTED_VALUE"""),"https://collegian.com/sponsored/2025/09/top-10-geo-marketing-agencies-for-improving-ai-search-2025/")</f>
        <v>https://collegian.com/sponsored/2025/09/top-10-geo-marketing-agencies-for-improving-ai-search-2025/</v>
      </c>
      <c r="B552" s="11" t="str">
        <f>IFERROR(__xludf.DUMMYFUNCTION("""COMPUTED_VALUE"""),"Top 10 GEO Marketing Agencies for improving AI search [2025] - The Rocky Mountain Collegian")</f>
        <v>Top 10 GEO Marketing Agencies for improving AI search [2025] - The Rocky Mountain Collegian</v>
      </c>
      <c r="C552" s="10" t="str">
        <f>IFERROR(__xludf.DUMMYFUNCTION("""COMPUTED_VALUE"""),"collegian.com")</f>
        <v>collegian.com</v>
      </c>
      <c r="D552" s="11" t="str">
        <f>IFERROR(__xludf.DUMMYFUNCTION("""COMPUTED_VALUE"""),"ARTICLE")</f>
        <v>ARTICLE</v>
      </c>
      <c r="E552" s="11" t="str">
        <f>IFERROR(__xludf.DUMMYFUNCTION("""COMPUTED_VALUE"""),"EDITORIAL")</f>
        <v>EDITORIAL</v>
      </c>
      <c r="F552" s="11" t="str">
        <f>IFERROR(__xludf.DUMMYFUNCTION("""COMPUTED_VALUE"""),"Article")</f>
        <v>Article</v>
      </c>
      <c r="G552" s="11" t="b">
        <f>IFERROR(__xludf.DUMMYFUNCTION("""COMPUTED_VALUE"""),FALSE)</f>
        <v>0</v>
      </c>
      <c r="H552" s="11" t="str">
        <f>IFERROR(__xludf.DUMMYFUNCTION("""COMPUTED_VALUE"""),"Single Grain, RevenueZen, First Page Sage, WebFX, Omniscient Digital, iPullRank")</f>
        <v>Single Grain, RevenueZen, First Page Sage, WebFX, Omniscient Digital, iPullRank</v>
      </c>
      <c r="I552" s="11">
        <f>IFERROR(__xludf.DUMMYFUNCTION("""COMPUTED_VALUE"""),2.0)</f>
        <v>2</v>
      </c>
      <c r="J552" s="11">
        <f>IFERROR(__xludf.DUMMYFUNCTION("""COMPUTED_VALUE"""),0.0)</f>
        <v>0</v>
      </c>
      <c r="K552" s="11">
        <f>IFERROR(__xludf.DUMMYFUNCTION("""COMPUTED_VALUE"""),1.0)</f>
        <v>1</v>
      </c>
      <c r="L552" s="11"/>
    </row>
    <row r="553" ht="15.75" customHeight="1">
      <c r="A553" s="10" t="str">
        <f>IFERROR(__xludf.DUMMYFUNCTION("""COMPUTED_VALUE"""),"https://www.cometly.com/post/marketing-attribution-companies")</f>
        <v>https://www.cometly.com/post/marketing-attribution-companies</v>
      </c>
      <c r="B553" s="11" t="str">
        <f>IFERROR(__xludf.DUMMYFUNCTION("""COMPUTED_VALUE"""),"11 Best Marketing Attribution Companies to Track ROI")</f>
        <v>11 Best Marketing Attribution Companies to Track ROI</v>
      </c>
      <c r="C553" s="10" t="str">
        <f>IFERROR(__xludf.DUMMYFUNCTION("""COMPUTED_VALUE"""),"cometly.com")</f>
        <v>cometly.com</v>
      </c>
      <c r="D553" s="11" t="str">
        <f>IFERROR(__xludf.DUMMYFUNCTION("""COMPUTED_VALUE"""),"LISTICLE")</f>
        <v>LISTICLE</v>
      </c>
      <c r="E553" s="11" t="str">
        <f>IFERROR(__xludf.DUMMYFUNCTION("""COMPUTED_VALUE"""),"COMPETITOR")</f>
        <v>COMPETITOR</v>
      </c>
      <c r="F553" s="11" t="str">
        <f>IFERROR(__xludf.DUMMYFUNCTION("""COMPUTED_VALUE"""),"Listicle")</f>
        <v>Listicle</v>
      </c>
      <c r="G553" s="11" t="b">
        <f>IFERROR(__xludf.DUMMYFUNCTION("""COMPUTED_VALUE"""),FALSE)</f>
        <v>0</v>
      </c>
      <c r="H553" s="11" t="str">
        <f>IFERROR(__xludf.DUMMYFUNCTION("""COMPUTED_VALUE"""),"Cometly, Triple Whale, Northbeam, Rockerbox, Ruler Analytics")</f>
        <v>Cometly, Triple Whale, Northbeam, Rockerbox, Ruler Analytics</v>
      </c>
      <c r="I553" s="11">
        <f>IFERROR(__xludf.DUMMYFUNCTION("""COMPUTED_VALUE"""),2.0)</f>
        <v>2</v>
      </c>
      <c r="J553" s="11">
        <f>IFERROR(__xludf.DUMMYFUNCTION("""COMPUTED_VALUE"""),0.0)</f>
        <v>0</v>
      </c>
      <c r="K553" s="11">
        <f>IFERROR(__xludf.DUMMYFUNCTION("""COMPUTED_VALUE"""),2.0)</f>
        <v>2</v>
      </c>
      <c r="L553" s="11"/>
    </row>
    <row r="554" ht="15.75" customHeight="1">
      <c r="A554" s="10" t="str">
        <f>IFERROR(__xludf.DUMMYFUNCTION("""COMPUTED_VALUE"""),"https://coolnerdsmarketing.com/top-ppc-agencies-us/")</f>
        <v>https://coolnerdsmarketing.com/top-ppc-agencies-us/</v>
      </c>
      <c r="B554" s="11" t="str">
        <f>IFERROR(__xludf.DUMMYFUNCTION("""COMPUTED_VALUE"""),"Top PPC Agencies in the U.S. (2026 Rankings)")</f>
        <v>Top PPC Agencies in the U.S. (2026 Rankings)</v>
      </c>
      <c r="C554" s="10" t="str">
        <f>IFERROR(__xludf.DUMMYFUNCTION("""COMPUTED_VALUE"""),"coolnerdsmarketing.com")</f>
        <v>coolnerdsmarketing.com</v>
      </c>
      <c r="D554" s="11" t="str">
        <f>IFERROR(__xludf.DUMMYFUNCTION("""COMPUTED_VALUE"""),"LISTICLE")</f>
        <v>LISTICLE</v>
      </c>
      <c r="E554" s="11" t="str">
        <f>IFERROR(__xludf.DUMMYFUNCTION("""COMPUTED_VALUE"""),"CORPORATE")</f>
        <v>CORPORATE</v>
      </c>
      <c r="F554" s="11" t="str">
        <f>IFERROR(__xludf.DUMMYFUNCTION("""COMPUTED_VALUE"""),"Listicle")</f>
        <v>Listicle</v>
      </c>
      <c r="G554" s="11" t="b">
        <f>IFERROR(__xludf.DUMMYFUNCTION("""COMPUTED_VALUE"""),FALSE)</f>
        <v>0</v>
      </c>
      <c r="H554" s="11" t="str">
        <f>IFERROR(__xludf.DUMMYFUNCTION("""COMPUTED_VALUE"""),"Disruptive Advertising, WebFX, Directive, KlientBoost, HawkSEM, Ignite Visibility")</f>
        <v>Disruptive Advertising, WebFX, Directive, KlientBoost, HawkSEM, Ignite Visibility</v>
      </c>
      <c r="I554" s="11">
        <f>IFERROR(__xludf.DUMMYFUNCTION("""COMPUTED_VALUE"""),2.0)</f>
        <v>2</v>
      </c>
      <c r="J554" s="11">
        <f>IFERROR(__xludf.DUMMYFUNCTION("""COMPUTED_VALUE"""),0.0)</f>
        <v>0</v>
      </c>
      <c r="K554" s="11">
        <f>IFERROR(__xludf.DUMMYFUNCTION("""COMPUTED_VALUE"""),0.0)</f>
        <v>0</v>
      </c>
      <c r="L554" s="11"/>
    </row>
    <row r="555" ht="15.75" customHeight="1">
      <c r="A555" s="10" t="str">
        <f>IFERROR(__xludf.DUMMYFUNCTION("""COMPUTED_VALUE"""),"https://cornerstonecontent.com/best-answer-engine-optimization-aeo-agencies/")</f>
        <v>https://cornerstonecontent.com/best-answer-engine-optimization-aeo-agencies/</v>
      </c>
      <c r="B555" s="11" t="str">
        <f>IFERROR(__xludf.DUMMYFUNCTION("""COMPUTED_VALUE"""),"10 Best Answer Engine Optimization (AEO) Agencies (2026) - Cornerstone Content")</f>
        <v>10 Best Answer Engine Optimization (AEO) Agencies (2026) - Cornerstone Content</v>
      </c>
      <c r="C555" s="10" t="str">
        <f>IFERROR(__xludf.DUMMYFUNCTION("""COMPUTED_VALUE"""),"cornerstonecontent.com")</f>
        <v>cornerstonecontent.com</v>
      </c>
      <c r="D555" s="11" t="str">
        <f>IFERROR(__xludf.DUMMYFUNCTION("""COMPUTED_VALUE"""),"LISTICLE")</f>
        <v>LISTICLE</v>
      </c>
      <c r="E555" s="11" t="str">
        <f>IFERROR(__xludf.DUMMYFUNCTION("""COMPUTED_VALUE"""),"CORPORATE")</f>
        <v>CORPORATE</v>
      </c>
      <c r="F555" s="11" t="str">
        <f>IFERROR(__xludf.DUMMYFUNCTION("""COMPUTED_VALUE"""),"Listicle")</f>
        <v>Listicle</v>
      </c>
      <c r="G555" s="11" t="b">
        <f>IFERROR(__xludf.DUMMYFUNCTION("""COMPUTED_VALUE"""),FALSE)</f>
        <v>0</v>
      </c>
      <c r="H555" s="11" t="str">
        <f>IFERROR(__xludf.DUMMYFUNCTION("""COMPUTED_VALUE"""),"Omniscient Digital, Marcel Digital, First Page Sage, Single Grain, RevenueZen, Avenue Z, Animalz")</f>
        <v>Omniscient Digital, Marcel Digital, First Page Sage, Single Grain, RevenueZen, Avenue Z, Animalz</v>
      </c>
      <c r="I555" s="11">
        <f>IFERROR(__xludf.DUMMYFUNCTION("""COMPUTED_VALUE"""),2.0)</f>
        <v>2</v>
      </c>
      <c r="J555" s="11">
        <f>IFERROR(__xludf.DUMMYFUNCTION("""COMPUTED_VALUE"""),0.0)</f>
        <v>0</v>
      </c>
      <c r="K555" s="11">
        <f>IFERROR(__xludf.DUMMYFUNCTION("""COMPUTED_VALUE"""),0.0)</f>
        <v>0</v>
      </c>
      <c r="L555" s="11"/>
    </row>
    <row r="556" ht="15.75" customHeight="1">
      <c r="A556" s="10" t="str">
        <f>IFERROR(__xludf.DUMMYFUNCTION("""COMPUTED_VALUE"""),"https://www.darkroomagency.com/observatory/top-ai-marketing-agencies-for-growth-in-2025-a-shortlist-that-actually-helps-you-choose")</f>
        <v>https://www.darkroomagency.com/observatory/top-ai-marketing-agencies-for-growth-in-2025-a-shortlist-that-actually-helps-you-choose</v>
      </c>
      <c r="B556" s="11" t="str">
        <f>IFERROR(__xludf.DUMMYFUNCTION("""COMPUTED_VALUE"""),"Top AI Marketing Agencies for Growth in 2025")</f>
        <v>Top AI Marketing Agencies for Growth in 2025</v>
      </c>
      <c r="C556" s="10" t="str">
        <f>IFERROR(__xludf.DUMMYFUNCTION("""COMPUTED_VALUE"""),"darkroomagency.com")</f>
        <v>darkroomagency.com</v>
      </c>
      <c r="D556" s="11" t="str">
        <f>IFERROR(__xludf.DUMMYFUNCTION("""COMPUTED_VALUE"""),"LISTICLE")</f>
        <v>LISTICLE</v>
      </c>
      <c r="E556" s="11" t="str">
        <f>IFERROR(__xludf.DUMMYFUNCTION("""COMPUTED_VALUE"""),"COMPETITOR")</f>
        <v>COMPETITOR</v>
      </c>
      <c r="F556" s="11" t="str">
        <f>IFERROR(__xludf.DUMMYFUNCTION("""COMPUTED_VALUE"""),"Listicle")</f>
        <v>Listicle</v>
      </c>
      <c r="G556" s="11" t="b">
        <f>IFERROR(__xludf.DUMMYFUNCTION("""COMPUTED_VALUE"""),FALSE)</f>
        <v>0</v>
      </c>
      <c r="H556" s="11" t="str">
        <f>IFERROR(__xludf.DUMMYFUNCTION("""COMPUTED_VALUE"""),"Darkroom, WPP, Accenture Song, Publicis Sapient, Superside, Droga5")</f>
        <v>Darkroom, WPP, Accenture Song, Publicis Sapient, Superside, Droga5</v>
      </c>
      <c r="I556" s="11">
        <f>IFERROR(__xludf.DUMMYFUNCTION("""COMPUTED_VALUE"""),2.0)</f>
        <v>2</v>
      </c>
      <c r="J556" s="11">
        <f>IFERROR(__xludf.DUMMYFUNCTION("""COMPUTED_VALUE"""),0.0)</f>
        <v>0</v>
      </c>
      <c r="K556" s="11">
        <f>IFERROR(__xludf.DUMMYFUNCTION("""COMPUTED_VALUE"""),0.0)</f>
        <v>0</v>
      </c>
      <c r="L556" s="11"/>
    </row>
    <row r="557" ht="15.75" customHeight="1">
      <c r="A557" s="10" t="str">
        <f>IFERROR(__xludf.DUMMYFUNCTION("""COMPUTED_VALUE"""),"https://delivix.digital/seo/marketing-agencies/")</f>
        <v>https://delivix.digital/seo/marketing-agencies/</v>
      </c>
      <c r="B557" s="11" t="str">
        <f>IFERROR(__xludf.DUMMYFUNCTION("""COMPUTED_VALUE"""),"Top 10 Performance Marketing Agencies Globally | Delivix")</f>
        <v>Top 10 Performance Marketing Agencies Globally | Delivix</v>
      </c>
      <c r="C557" s="11" t="str">
        <f>IFERROR(__xludf.DUMMYFUNCTION("""COMPUTED_VALUE"""),"delivix.digital")</f>
        <v>delivix.digital</v>
      </c>
      <c r="D557" s="11" t="str">
        <f>IFERROR(__xludf.DUMMYFUNCTION("""COMPUTED_VALUE"""),"CATEGORY_PAGE")</f>
        <v>CATEGORY_PAGE</v>
      </c>
      <c r="E557" s="11" t="str">
        <f>IFERROR(__xludf.DUMMYFUNCTION("""COMPUTED_VALUE"""),"CORPORATE")</f>
        <v>CORPORATE</v>
      </c>
      <c r="F557" s="11" t="str">
        <f>IFERROR(__xludf.DUMMYFUNCTION("""COMPUTED_VALUE"""),"Category Page")</f>
        <v>Category Page</v>
      </c>
      <c r="G557" s="11" t="b">
        <f>IFERROR(__xludf.DUMMYFUNCTION("""COMPUTED_VALUE"""),FALSE)</f>
        <v>0</v>
      </c>
      <c r="H557" s="11" t="str">
        <f>IFERROR(__xludf.DUMMYFUNCTION("""COMPUTED_VALUE"""),"WPP, NoGood, WebFX, Kobe Digital, Tinuiti, Ignite Visibility, Disruptive Advertising, Right Side Up")</f>
        <v>WPP, NoGood, WebFX, Kobe Digital, Tinuiti, Ignite Visibility, Disruptive Advertising, Right Side Up</v>
      </c>
      <c r="I557" s="11">
        <f>IFERROR(__xludf.DUMMYFUNCTION("""COMPUTED_VALUE"""),2.0)</f>
        <v>2</v>
      </c>
      <c r="J557" s="11">
        <f>IFERROR(__xludf.DUMMYFUNCTION("""COMPUTED_VALUE"""),0.0)</f>
        <v>0</v>
      </c>
      <c r="K557" s="11">
        <f>IFERROR(__xludf.DUMMYFUNCTION("""COMPUTED_VALUE"""),1.0)</f>
        <v>1</v>
      </c>
      <c r="L557" s="11"/>
    </row>
    <row r="558" ht="15.75" customHeight="1">
      <c r="A558" s="10" t="str">
        <f>IFERROR(__xludf.DUMMYFUNCTION("""COMPUTED_VALUE"""),"https://www.designrush.com/agency/digital-marketing/analytics/us?page=2")</f>
        <v>https://www.designrush.com/agency/digital-marketing/analytics/us?page=2</v>
      </c>
      <c r="B558" s="11" t="str">
        <f>IFERROR(__xludf.DUMMYFUNCTION("""COMPUTED_VALUE"""),"Top United States Marketing Analytics Companies - Page 2")</f>
        <v>Top United States Marketing Analytics Companies - Page 2</v>
      </c>
      <c r="C558" s="10" t="str">
        <f>IFERROR(__xludf.DUMMYFUNCTION("""COMPUTED_VALUE"""),"designrush.com")</f>
        <v>designrush.com</v>
      </c>
      <c r="D558" s="11" t="str">
        <f>IFERROR(__xludf.DUMMYFUNCTION("""COMPUTED_VALUE"""),"CATEGORY_PAGE")</f>
        <v>CATEGORY_PAGE</v>
      </c>
      <c r="E558" s="11" t="str">
        <f>IFERROR(__xludf.DUMMYFUNCTION("""COMPUTED_VALUE"""),"CORPORATE")</f>
        <v>CORPORATE</v>
      </c>
      <c r="F558" s="11" t="str">
        <f>IFERROR(__xludf.DUMMYFUNCTION("""COMPUTED_VALUE"""),"Category Page")</f>
        <v>Category Page</v>
      </c>
      <c r="G558" s="11" t="b">
        <f>IFERROR(__xludf.DUMMYFUNCTION("""COMPUTED_VALUE"""),FALSE)</f>
        <v>0</v>
      </c>
      <c r="H558" s="11" t="str">
        <f>IFERROR(__xludf.DUMMYFUNCTION("""COMPUTED_VALUE"""),"Nielsen, DEPT, IBM, Measured")</f>
        <v>Nielsen, DEPT, IBM, Measured</v>
      </c>
      <c r="I558" s="11">
        <f>IFERROR(__xludf.DUMMYFUNCTION("""COMPUTED_VALUE"""),2.0)</f>
        <v>2</v>
      </c>
      <c r="J558" s="11">
        <f>IFERROR(__xludf.DUMMYFUNCTION("""COMPUTED_VALUE"""),0.0)</f>
        <v>0</v>
      </c>
      <c r="K558" s="11">
        <f>IFERROR(__xludf.DUMMYFUNCTION("""COMPUTED_VALUE"""),0.0)</f>
        <v>0</v>
      </c>
      <c r="L558" s="11"/>
    </row>
    <row r="559" ht="15.75" customHeight="1">
      <c r="A559" s="10" t="str">
        <f>IFERROR(__xludf.DUMMYFUNCTION("""COMPUTED_VALUE"""),"https://www.designrush.com/agency/digital-marketing/analytics?page=2")</f>
        <v>https://www.designrush.com/agency/digital-marketing/analytics?page=2</v>
      </c>
      <c r="B559" s="11" t="str">
        <f>IFERROR(__xludf.DUMMYFUNCTION("""COMPUTED_VALUE"""),"Top Marketing Analytics Agencies in 2026 - Page 2")</f>
        <v>Top Marketing Analytics Agencies in 2026 - Page 2</v>
      </c>
      <c r="C559" s="10" t="str">
        <f>IFERROR(__xludf.DUMMYFUNCTION("""COMPUTED_VALUE"""),"designrush.com")</f>
        <v>designrush.com</v>
      </c>
      <c r="D559" s="11" t="str">
        <f>IFERROR(__xludf.DUMMYFUNCTION("""COMPUTED_VALUE"""),"LISTICLE")</f>
        <v>LISTICLE</v>
      </c>
      <c r="E559" s="11" t="str">
        <f>IFERROR(__xludf.DUMMYFUNCTION("""COMPUTED_VALUE"""),"CORPORATE")</f>
        <v>CORPORATE</v>
      </c>
      <c r="F559" s="11" t="str">
        <f>IFERROR(__xludf.DUMMYFUNCTION("""COMPUTED_VALUE"""),"Listicle")</f>
        <v>Listicle</v>
      </c>
      <c r="G559" s="11" t="b">
        <f>IFERROR(__xludf.DUMMYFUNCTION("""COMPUTED_VALUE"""),FALSE)</f>
        <v>0</v>
      </c>
      <c r="H559" s="11" t="str">
        <f>IFERROR(__xludf.DUMMYFUNCTION("""COMPUTED_VALUE"""),"Ruler Analytics, Amsive, Intero Digital, Ignite Visibility")</f>
        <v>Ruler Analytics, Amsive, Intero Digital, Ignite Visibility</v>
      </c>
      <c r="I559" s="11">
        <f>IFERROR(__xludf.DUMMYFUNCTION("""COMPUTED_VALUE"""),2.0)</f>
        <v>2</v>
      </c>
      <c r="J559" s="11">
        <f>IFERROR(__xludf.DUMMYFUNCTION("""COMPUTED_VALUE"""),0.0)</f>
        <v>0</v>
      </c>
      <c r="K559" s="11">
        <f>IFERROR(__xludf.DUMMYFUNCTION("""COMPUTED_VALUE"""),0.0)</f>
        <v>0</v>
      </c>
      <c r="L559" s="11"/>
    </row>
    <row r="560" ht="15.75" customHeight="1">
      <c r="A560" s="10" t="str">
        <f>IFERROR(__xludf.DUMMYFUNCTION("""COMPUTED_VALUE"""),"https://www.digipims.com/social-media-marketing-agencies-in-usa/")</f>
        <v>https://www.digipims.com/social-media-marketing-agencies-in-usa/</v>
      </c>
      <c r="B560" s="11" t="str">
        <f>IFERROR(__xludf.DUMMYFUNCTION("""COMPUTED_VALUE"""),"Best Social Media Agencies in USA for Business Growth (updated 2026 )")</f>
        <v>Best Social Media Agencies in USA for Business Growth (updated 2026 )</v>
      </c>
      <c r="C560" s="10" t="str">
        <f>IFERROR(__xludf.DUMMYFUNCTION("""COMPUTED_VALUE"""),"digipims.com")</f>
        <v>digipims.com</v>
      </c>
      <c r="D560" s="11" t="str">
        <f>IFERROR(__xludf.DUMMYFUNCTION("""COMPUTED_VALUE"""),"LISTICLE")</f>
        <v>LISTICLE</v>
      </c>
      <c r="E560" s="11" t="str">
        <f>IFERROR(__xludf.DUMMYFUNCTION("""COMPUTED_VALUE"""),"INSTITUTIONAL")</f>
        <v>INSTITUTIONAL</v>
      </c>
      <c r="F560" s="11" t="str">
        <f>IFERROR(__xludf.DUMMYFUNCTION("""COMPUTED_VALUE"""),"Listicle")</f>
        <v>Listicle</v>
      </c>
      <c r="G560" s="11" t="b">
        <f>IFERROR(__xludf.DUMMYFUNCTION("""COMPUTED_VALUE"""),FALSE)</f>
        <v>0</v>
      </c>
      <c r="H560" s="11" t="str">
        <f>IFERROR(__xludf.DUMMYFUNCTION("""COMPUTED_VALUE"""),"VaynerMedia, Amsive, Thrive Internet Marketing Agency")</f>
        <v>VaynerMedia, Amsive, Thrive Internet Marketing Agency</v>
      </c>
      <c r="I560" s="11">
        <f>IFERROR(__xludf.DUMMYFUNCTION("""COMPUTED_VALUE"""),2.0)</f>
        <v>2</v>
      </c>
      <c r="J560" s="11">
        <f>IFERROR(__xludf.DUMMYFUNCTION("""COMPUTED_VALUE"""),0.0)</f>
        <v>0</v>
      </c>
      <c r="K560" s="11">
        <f>IFERROR(__xludf.DUMMYFUNCTION("""COMPUTED_VALUE"""),1.0)</f>
        <v>1</v>
      </c>
      <c r="L560" s="11"/>
    </row>
    <row r="561" ht="15.75" customHeight="1">
      <c r="A561" s="10" t="str">
        <f>IFERROR(__xludf.DUMMYFUNCTION("""COMPUTED_VALUE"""),"https://digitalagencynetwork.com/agencies/")</f>
        <v>https://digitalagencynetwork.com/agencies/</v>
      </c>
      <c r="B561" s="11" t="str">
        <f>IFERROR(__xludf.DUMMYFUNCTION("""COMPUTED_VALUE"""),"Best Digital Marketing Agencies in the World | Digital Agency Network")</f>
        <v>Best Digital Marketing Agencies in the World | Digital Agency Network</v>
      </c>
      <c r="C561" s="10" t="str">
        <f>IFERROR(__xludf.DUMMYFUNCTION("""COMPUTED_VALUE"""),"digitalagencynetwork.com")</f>
        <v>digitalagencynetwork.com</v>
      </c>
      <c r="D561" s="11" t="str">
        <f>IFERROR(__xludf.DUMMYFUNCTION("""COMPUTED_VALUE"""),"CATEGORY_PAGE")</f>
        <v>CATEGORY_PAGE</v>
      </c>
      <c r="E561" s="11" t="str">
        <f>IFERROR(__xludf.DUMMYFUNCTION("""COMPUTED_VALUE"""),"REFERENCE")</f>
        <v>REFERENCE</v>
      </c>
      <c r="F561" s="11" t="str">
        <f>IFERROR(__xludf.DUMMYFUNCTION("""COMPUTED_VALUE"""),"Category Page")</f>
        <v>Category Page</v>
      </c>
      <c r="G561" s="11" t="b">
        <f>IFERROR(__xludf.DUMMYFUNCTION("""COMPUTED_VALUE"""),FALSE)</f>
        <v>0</v>
      </c>
      <c r="H561" s="11" t="str">
        <f>IFERROR(__xludf.DUMMYFUNCTION("""COMPUTED_VALUE"""),"Ignite Visibility, PwC, Major Tom, Dentsu")</f>
        <v>Ignite Visibility, PwC, Major Tom, Dentsu</v>
      </c>
      <c r="I561" s="11">
        <f>IFERROR(__xludf.DUMMYFUNCTION("""COMPUTED_VALUE"""),2.0)</f>
        <v>2</v>
      </c>
      <c r="J561" s="11">
        <f>IFERROR(__xludf.DUMMYFUNCTION("""COMPUTED_VALUE"""),0.0)</f>
        <v>0</v>
      </c>
      <c r="K561" s="11">
        <f>IFERROR(__xludf.DUMMYFUNCTION("""COMPUTED_VALUE"""),0.0)</f>
        <v>0</v>
      </c>
      <c r="L561" s="11"/>
    </row>
    <row r="562" ht="15.75" customHeight="1">
      <c r="A562" s="10" t="str">
        <f>IFERROR(__xludf.DUMMYFUNCTION("""COMPUTED_VALUE"""),"https://digitalagencynetwork.com/best-ai-agents-for-digital-marketing/")</f>
        <v>https://digitalagencynetwork.com/best-ai-agents-for-digital-marketing/</v>
      </c>
      <c r="B562" s="11" t="str">
        <f>IFERROR(__xludf.DUMMYFUNCTION("""COMPUTED_VALUE"""),"Best AI Agents for Digital Marketing: The Ultimate Guide for 2026")</f>
        <v>Best AI Agents for Digital Marketing: The Ultimate Guide for 2026</v>
      </c>
      <c r="C562" s="10" t="str">
        <f>IFERROR(__xludf.DUMMYFUNCTION("""COMPUTED_VALUE"""),"digitalagencynetwork.com")</f>
        <v>digitalagencynetwork.com</v>
      </c>
      <c r="D562" s="11" t="str">
        <f>IFERROR(__xludf.DUMMYFUNCTION("""COMPUTED_VALUE"""),"LISTICLE")</f>
        <v>LISTICLE</v>
      </c>
      <c r="E562" s="11" t="str">
        <f>IFERROR(__xludf.DUMMYFUNCTION("""COMPUTED_VALUE"""),"REFERENCE")</f>
        <v>REFERENCE</v>
      </c>
      <c r="F562" s="11" t="str">
        <f>IFERROR(__xludf.DUMMYFUNCTION("""COMPUTED_VALUE"""),"Listicle")</f>
        <v>Listicle</v>
      </c>
      <c r="G562" s="11" t="b">
        <f>IFERROR(__xludf.DUMMYFUNCTION("""COMPUTED_VALUE"""),FALSE)</f>
        <v>0</v>
      </c>
      <c r="H562" s="11" t="str">
        <f>IFERROR(__xludf.DUMMYFUNCTION("""COMPUTED_VALUE"""),"IBM")</f>
        <v>IBM</v>
      </c>
      <c r="I562" s="11">
        <f>IFERROR(__xludf.DUMMYFUNCTION("""COMPUTED_VALUE"""),2.0)</f>
        <v>2</v>
      </c>
      <c r="J562" s="11">
        <f>IFERROR(__xludf.DUMMYFUNCTION("""COMPUTED_VALUE"""),0.0)</f>
        <v>0</v>
      </c>
      <c r="K562" s="11">
        <f>IFERROR(__xludf.DUMMYFUNCTION("""COMPUTED_VALUE"""),1.5)</f>
        <v>1.5</v>
      </c>
      <c r="L562" s="11"/>
    </row>
    <row r="563" ht="15.75" customHeight="1">
      <c r="A563" s="10" t="str">
        <f>IFERROR(__xludf.DUMMYFUNCTION("""COMPUTED_VALUE"""),"https://www.digitalrhinos.com/saas-marketing-agency/")</f>
        <v>https://www.digitalrhinos.com/saas-marketing-agency/</v>
      </c>
      <c r="B563" s="11" t="str">
        <f>IFERROR(__xludf.DUMMYFUNCTION("""COMPUTED_VALUE"""),"Top 25 SaaS Marketing Agencies (2025)")</f>
        <v>Top 25 SaaS Marketing Agencies (2025)</v>
      </c>
      <c r="C563" s="10" t="str">
        <f>IFERROR(__xludf.DUMMYFUNCTION("""COMPUTED_VALUE"""),"digitalrhinos.com")</f>
        <v>digitalrhinos.com</v>
      </c>
      <c r="D563" s="11" t="str">
        <f>IFERROR(__xludf.DUMMYFUNCTION("""COMPUTED_VALUE"""),"LISTICLE")</f>
        <v>LISTICLE</v>
      </c>
      <c r="E563" s="11" t="str">
        <f>IFERROR(__xludf.DUMMYFUNCTION("""COMPUTED_VALUE"""),"CORPORATE")</f>
        <v>CORPORATE</v>
      </c>
      <c r="F563" s="11" t="str">
        <f>IFERROR(__xludf.DUMMYFUNCTION("""COMPUTED_VALUE"""),"Listicle")</f>
        <v>Listicle</v>
      </c>
      <c r="G563" s="11" t="b">
        <f>IFERROR(__xludf.DUMMYFUNCTION("""COMPUTED_VALUE"""),FALSE)</f>
        <v>0</v>
      </c>
      <c r="H563" s="11" t="str">
        <f>IFERROR(__xludf.DUMMYFUNCTION("""COMPUTED_VALUE"""),"Directive, Single Grain, Refine Labs, Animalz, KlientBoost, Disruptive Advertising, Hey Digital, NoGood, Siege Media, Clutch")</f>
        <v>Directive, Single Grain, Refine Labs, Animalz, KlientBoost, Disruptive Advertising, Hey Digital, NoGood, Siege Media, Clutch</v>
      </c>
      <c r="I563" s="11">
        <f>IFERROR(__xludf.DUMMYFUNCTION("""COMPUTED_VALUE"""),2.0)</f>
        <v>2</v>
      </c>
      <c r="J563" s="11">
        <f>IFERROR(__xludf.DUMMYFUNCTION("""COMPUTED_VALUE"""),0.0)</f>
        <v>0</v>
      </c>
      <c r="K563" s="11">
        <f>IFERROR(__xludf.DUMMYFUNCTION("""COMPUTED_VALUE"""),1.0)</f>
        <v>1</v>
      </c>
      <c r="L563" s="11"/>
    </row>
    <row r="564" ht="15.75" customHeight="1">
      <c r="A564" s="10" t="str">
        <f>IFERROR(__xludf.DUMMYFUNCTION("""COMPUTED_VALUE"""),"https://directiveconsulting.com/blog/top-25-b2b-enterprise-marketing-agencies/")</f>
        <v>https://directiveconsulting.com/blog/top-25-b2b-enterprise-marketing-agencies/</v>
      </c>
      <c r="B564" s="11" t="str">
        <f>IFERROR(__xludf.DUMMYFUNCTION("""COMPUTED_VALUE"""),"25 Best Enterprise Marketing Agencies For B2B - Directive")</f>
        <v>25 Best Enterprise Marketing Agencies For B2B - Directive</v>
      </c>
      <c r="C564" s="10" t="str">
        <f>IFERROR(__xludf.DUMMYFUNCTION("""COMPUTED_VALUE"""),"directiveconsulting.com")</f>
        <v>directiveconsulting.com</v>
      </c>
      <c r="D564" s="11" t="str">
        <f>IFERROR(__xludf.DUMMYFUNCTION("""COMPUTED_VALUE"""),"LISTICLE")</f>
        <v>LISTICLE</v>
      </c>
      <c r="E564" s="11" t="str">
        <f>IFERROR(__xludf.DUMMYFUNCTION("""COMPUTED_VALUE"""),"COMPETITOR")</f>
        <v>COMPETITOR</v>
      </c>
      <c r="F564" s="11" t="str">
        <f>IFERROR(__xludf.DUMMYFUNCTION("""COMPUTED_VALUE"""),"Listicle")</f>
        <v>Listicle</v>
      </c>
      <c r="G564" s="11" t="b">
        <f>IFERROR(__xludf.DUMMYFUNCTION("""COMPUTED_VALUE"""),FALSE)</f>
        <v>0</v>
      </c>
      <c r="H564" s="11" t="str">
        <f>IFERROR(__xludf.DUMMYFUNCTION("""COMPUTED_VALUE"""),"Directive, Merkle, Accenture Song, Deloitte Digital, Wpromote, iProspect, Dentsu, Ogilvy, Publicis Sapient, Brainlabs, McKinsey, Bain &amp; Company, BCG, PwC, Slalom, Monks, VML, R/GA, Momentum, TransUnion, IBM, Clutch")</f>
        <v>Directive, Merkle, Accenture Song, Deloitte Digital, Wpromote, iProspect, Dentsu, Ogilvy, Publicis Sapient, Brainlabs, McKinsey, Bain &amp; Company, BCG, PwC, Slalom, Monks, VML, R/GA, Momentum, TransUnion, IBM, Clutch</v>
      </c>
      <c r="I564" s="11">
        <f>IFERROR(__xludf.DUMMYFUNCTION("""COMPUTED_VALUE"""),2.0)</f>
        <v>2</v>
      </c>
      <c r="J564" s="11">
        <f>IFERROR(__xludf.DUMMYFUNCTION("""COMPUTED_VALUE"""),0.0)</f>
        <v>0</v>
      </c>
      <c r="K564" s="11">
        <f>IFERROR(__xludf.DUMMYFUNCTION("""COMPUTED_VALUE"""),1.5)</f>
        <v>1.5</v>
      </c>
      <c r="L564" s="11"/>
    </row>
    <row r="565" ht="15.75" customHeight="1">
      <c r="A565" s="10" t="str">
        <f>IFERROR(__xludf.DUMMYFUNCTION("""COMPUTED_VALUE"""),"https://directiveconsulting.com/uk/blog/25-best-paid-media-agencies-that-turn-ad-spend-into-revenue/")</f>
        <v>https://directiveconsulting.com/uk/blog/25-best-paid-media-agencies-that-turn-ad-spend-into-revenue/</v>
      </c>
      <c r="B565" s="11" t="str">
        <f>IFERROR(__xludf.DUMMYFUNCTION("""COMPUTED_VALUE"""),"25 Best Paid Media Agencies For B2B - Directive")</f>
        <v>25 Best Paid Media Agencies For B2B - Directive</v>
      </c>
      <c r="C565" s="10" t="str">
        <f>IFERROR(__xludf.DUMMYFUNCTION("""COMPUTED_VALUE"""),"directiveconsulting.com")</f>
        <v>directiveconsulting.com</v>
      </c>
      <c r="D565" s="11" t="str">
        <f>IFERROR(__xludf.DUMMYFUNCTION("""COMPUTED_VALUE"""),"LISTICLE")</f>
        <v>LISTICLE</v>
      </c>
      <c r="E565" s="11" t="str">
        <f>IFERROR(__xludf.DUMMYFUNCTION("""COMPUTED_VALUE"""),"COMPETITOR")</f>
        <v>COMPETITOR</v>
      </c>
      <c r="F565" s="11" t="str">
        <f>IFERROR(__xludf.DUMMYFUNCTION("""COMPUTED_VALUE"""),"Listicle")</f>
        <v>Listicle</v>
      </c>
      <c r="G565" s="11" t="b">
        <f>IFERROR(__xludf.DUMMYFUNCTION("""COMPUTED_VALUE"""),FALSE)</f>
        <v>0</v>
      </c>
      <c r="H565"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565" s="11">
        <f>IFERROR(__xludf.DUMMYFUNCTION("""COMPUTED_VALUE"""),2.0)</f>
        <v>2</v>
      </c>
      <c r="J565" s="11">
        <f>IFERROR(__xludf.DUMMYFUNCTION("""COMPUTED_VALUE"""),0.0)</f>
        <v>0</v>
      </c>
      <c r="K565" s="11">
        <f>IFERROR(__xludf.DUMMYFUNCTION("""COMPUTED_VALUE"""),0.5)</f>
        <v>0.5</v>
      </c>
      <c r="L565" s="11"/>
    </row>
    <row r="566" ht="15.75" customHeight="1">
      <c r="A566" s="10" t="str">
        <f>IFERROR(__xludf.DUMMYFUNCTION("""COMPUTED_VALUE"""),"https://dmcinsider.com/dmcompanies/best-marketing-analytics-companies-in-the-usa/")</f>
        <v>https://dmcinsider.com/dmcompanies/best-marketing-analytics-companies-in-the-usa/</v>
      </c>
      <c r="B566" s="11" t="str">
        <f>IFERROR(__xludf.DUMMYFUNCTION("""COMPUTED_VALUE"""),"Best Marketing Analytics Companies in the USA - Digital Marketing Companies Insider")</f>
        <v>Best Marketing Analytics Companies in the USA - Digital Marketing Companies Insider</v>
      </c>
      <c r="C566" s="10" t="str">
        <f>IFERROR(__xludf.DUMMYFUNCTION("""COMPUTED_VALUE"""),"dmcinsider.com")</f>
        <v>dmcinsider.com</v>
      </c>
      <c r="D566" s="11" t="str">
        <f>IFERROR(__xludf.DUMMYFUNCTION("""COMPUTED_VALUE"""),"LISTICLE")</f>
        <v>LISTICLE</v>
      </c>
      <c r="E566" s="11" t="str">
        <f>IFERROR(__xludf.DUMMYFUNCTION("""COMPUTED_VALUE"""),"REFERENCE")</f>
        <v>REFERENCE</v>
      </c>
      <c r="F566" s="11" t="str">
        <f>IFERROR(__xludf.DUMMYFUNCTION("""COMPUTED_VALUE"""),"Listicle")</f>
        <v>Listicle</v>
      </c>
      <c r="G566" s="11" t="b">
        <f>IFERROR(__xludf.DUMMYFUNCTION("""COMPUTED_VALUE"""),FALSE)</f>
        <v>0</v>
      </c>
      <c r="H566" s="11" t="str">
        <f>IFERROR(__xludf.DUMMYFUNCTION("""COMPUTED_VALUE"""),"Nielsen, Deloitte Digital, Epsilon, Merkle, Accenture Song, Neustar, TransUnion, Bounteous, Rockerbox, LatentView Analytics, InfoTrust")</f>
        <v>Nielsen, Deloitte Digital, Epsilon, Merkle, Accenture Song, Neustar, TransUnion, Bounteous, Rockerbox, LatentView Analytics, InfoTrust</v>
      </c>
      <c r="I566" s="11">
        <f>IFERROR(__xludf.DUMMYFUNCTION("""COMPUTED_VALUE"""),2.0)</f>
        <v>2</v>
      </c>
      <c r="J566" s="11">
        <f>IFERROR(__xludf.DUMMYFUNCTION("""COMPUTED_VALUE"""),0.0)</f>
        <v>0</v>
      </c>
      <c r="K566" s="11">
        <f>IFERROR(__xludf.DUMMYFUNCTION("""COMPUTED_VALUE"""),2.5)</f>
        <v>2.5</v>
      </c>
      <c r="L566" s="11"/>
    </row>
    <row r="567" ht="15.75" customHeight="1">
      <c r="A567" s="10" t="str">
        <f>IFERROR(__xludf.DUMMYFUNCTION("""COMPUTED_VALUE"""),"https://www.embarque.io/post/generative-engine-optimization-agency")</f>
        <v>https://www.embarque.io/post/generative-engine-optimization-agency</v>
      </c>
      <c r="B567" s="11" t="str">
        <f>IFERROR(__xludf.DUMMYFUNCTION("""COMPUTED_VALUE"""),"Top 40 Generative Engine Optimization (GEO) Agencies in 2025 (+Top 7 Picks) | Embarque")</f>
        <v>Top 40 Generative Engine Optimization (GEO) Agencies in 2025 (+Top 7 Picks) | Embarque</v>
      </c>
      <c r="C567" s="10" t="str">
        <f>IFERROR(__xludf.DUMMYFUNCTION("""COMPUTED_VALUE"""),"embarque.io")</f>
        <v>embarque.io</v>
      </c>
      <c r="D567" s="11" t="str">
        <f>IFERROR(__xludf.DUMMYFUNCTION("""COMPUTED_VALUE"""),"LISTICLE")</f>
        <v>LISTICLE</v>
      </c>
      <c r="E567" s="11" t="str">
        <f>IFERROR(__xludf.DUMMYFUNCTION("""COMPUTED_VALUE"""),"CORPORATE")</f>
        <v>CORPORATE</v>
      </c>
      <c r="F567" s="11" t="str">
        <f>IFERROR(__xludf.DUMMYFUNCTION("""COMPUTED_VALUE"""),"Listicle")</f>
        <v>Listicle</v>
      </c>
      <c r="G567" s="11" t="b">
        <f>IFERROR(__xludf.DUMMYFUNCTION("""COMPUTED_VALUE"""),FALSE)</f>
        <v>0</v>
      </c>
      <c r="H567" s="11" t="str">
        <f>IFERROR(__xludf.DUMMYFUNCTION("""COMPUTED_VALUE"""),"First Page Sage, iPullRank, Intero Digital, NoGood, Omniscient Digital, RevenueZen")</f>
        <v>First Page Sage, iPullRank, Intero Digital, NoGood, Omniscient Digital, RevenueZen</v>
      </c>
      <c r="I567" s="11">
        <f>IFERROR(__xludf.DUMMYFUNCTION("""COMPUTED_VALUE"""),2.0)</f>
        <v>2</v>
      </c>
      <c r="J567" s="11">
        <f>IFERROR(__xludf.DUMMYFUNCTION("""COMPUTED_VALUE"""),0.0)</f>
        <v>0</v>
      </c>
      <c r="K567" s="11">
        <f>IFERROR(__xludf.DUMMYFUNCTION("""COMPUTED_VALUE"""),0.0)</f>
        <v>0</v>
      </c>
      <c r="L567" s="11"/>
    </row>
    <row r="568" ht="15.75" customHeight="1">
      <c r="A568" s="10" t="str">
        <f>IFERROR(__xludf.DUMMYFUNCTION("""COMPUTED_VALUE"""),"https://www.enzuzo.com/blog/best-performance-marketing-agencies")</f>
        <v>https://www.enzuzo.com/blog/best-performance-marketing-agencies</v>
      </c>
      <c r="B568" s="11" t="str">
        <f>IFERROR(__xludf.DUMMYFUNCTION("""COMPUTED_VALUE"""),"9 Top Performance Marketing Agencies [2024 Review]")</f>
        <v>9 Top Performance Marketing Agencies [2024 Review]</v>
      </c>
      <c r="C568" s="10" t="str">
        <f>IFERROR(__xludf.DUMMYFUNCTION("""COMPUTED_VALUE"""),"enzuzo.com")</f>
        <v>enzuzo.com</v>
      </c>
      <c r="D568" s="11" t="str">
        <f>IFERROR(__xludf.DUMMYFUNCTION("""COMPUTED_VALUE"""),"LISTICLE")</f>
        <v>LISTICLE</v>
      </c>
      <c r="E568" s="11" t="str">
        <f>IFERROR(__xludf.DUMMYFUNCTION("""COMPUTED_VALUE"""),"CORPORATE")</f>
        <v>CORPORATE</v>
      </c>
      <c r="F568" s="11" t="str">
        <f>IFERROR(__xludf.DUMMYFUNCTION("""COMPUTED_VALUE"""),"Listicle")</f>
        <v>Listicle</v>
      </c>
      <c r="G568" s="11" t="b">
        <f>IFERROR(__xludf.DUMMYFUNCTION("""COMPUTED_VALUE"""),FALSE)</f>
        <v>0</v>
      </c>
      <c r="H568" s="11" t="str">
        <f>IFERROR(__xludf.DUMMYFUNCTION("""COMPUTED_VALUE"""),"MuteSix, Amsive, Clutch")</f>
        <v>MuteSix, Amsive, Clutch</v>
      </c>
      <c r="I568" s="11">
        <f>IFERROR(__xludf.DUMMYFUNCTION("""COMPUTED_VALUE"""),2.0)</f>
        <v>2</v>
      </c>
      <c r="J568" s="11">
        <f>IFERROR(__xludf.DUMMYFUNCTION("""COMPUTED_VALUE"""),0.0)</f>
        <v>0</v>
      </c>
      <c r="K568" s="11">
        <f>IFERROR(__xludf.DUMMYFUNCTION("""COMPUTED_VALUE"""),0.0)</f>
        <v>0</v>
      </c>
      <c r="L568" s="11"/>
    </row>
    <row r="569" ht="15.75" customHeight="1">
      <c r="A569" s="10" t="str">
        <f>IFERROR(__xludf.DUMMYFUNCTION("""COMPUTED_VALUE"""),"https://evolveamz.com/ai-search/best-ai-search-optimization-agencies-ecommerce-2026/")</f>
        <v>https://evolveamz.com/ai-search/best-ai-search-optimization-agencies-ecommerce-2026/</v>
      </c>
      <c r="B569" s="11" t="str">
        <f>IFERROR(__xludf.DUMMYFUNCTION("""COMPUTED_VALUE"""),"Best AI Search Optimization Agencies for Ecommerce 2026 | Evolve Media Agency")</f>
        <v>Best AI Search Optimization Agencies for Ecommerce 2026 | Evolve Media Agency</v>
      </c>
      <c r="C569" s="10" t="str">
        <f>IFERROR(__xludf.DUMMYFUNCTION("""COMPUTED_VALUE"""),"evolveamz.com")</f>
        <v>evolveamz.com</v>
      </c>
      <c r="D569" s="11" t="str">
        <f>IFERROR(__xludf.DUMMYFUNCTION("""COMPUTED_VALUE"""),"LISTICLE")</f>
        <v>LISTICLE</v>
      </c>
      <c r="E569" s="11" t="str">
        <f>IFERROR(__xludf.DUMMYFUNCTION("""COMPUTED_VALUE"""),"CORPORATE")</f>
        <v>CORPORATE</v>
      </c>
      <c r="F569" s="11" t="str">
        <f>IFERROR(__xludf.DUMMYFUNCTION("""COMPUTED_VALUE"""),"Listicle")</f>
        <v>Listicle</v>
      </c>
      <c r="G569" s="11" t="b">
        <f>IFERROR(__xludf.DUMMYFUNCTION("""COMPUTED_VALUE"""),FALSE)</f>
        <v>0</v>
      </c>
      <c r="H569" s="11" t="str">
        <f>IFERROR(__xludf.DUMMYFUNCTION("""COMPUTED_VALUE"""),"Animalz, Siege Media, Single Grain, NP Digital")</f>
        <v>Animalz, Siege Media, Single Grain, NP Digital</v>
      </c>
      <c r="I569" s="11">
        <f>IFERROR(__xludf.DUMMYFUNCTION("""COMPUTED_VALUE"""),2.0)</f>
        <v>2</v>
      </c>
      <c r="J569" s="11">
        <f>IFERROR(__xludf.DUMMYFUNCTION("""COMPUTED_VALUE"""),0.0)</f>
        <v>0</v>
      </c>
      <c r="K569" s="11">
        <f>IFERROR(__xludf.DUMMYFUNCTION("""COMPUTED_VALUE"""),0.0)</f>
        <v>0</v>
      </c>
      <c r="L569" s="11"/>
    </row>
    <row r="570" ht="15.75" customHeight="1">
      <c r="A570" s="10" t="str">
        <f>IFERROR(__xludf.DUMMYFUNCTION("""COMPUTED_VALUE"""),"https://www.fieldtrip.agency/post/best-creative-agencies-for-global-brands")</f>
        <v>https://www.fieldtrip.agency/post/best-creative-agencies-for-global-brands</v>
      </c>
      <c r="B570" s="11" t="str">
        <f>IFERROR(__xludf.DUMMYFUNCTION("""COMPUTED_VALUE"""),"Top 14 Creative Agencies Powering Global Branding This Year")</f>
        <v>Top 14 Creative Agencies Powering Global Branding This Year</v>
      </c>
      <c r="C570" s="11" t="str">
        <f>IFERROR(__xludf.DUMMYFUNCTION("""COMPUTED_VALUE"""),"fieldtrip.agency")</f>
        <v>fieldtrip.agency</v>
      </c>
      <c r="D570" s="11" t="str">
        <f>IFERROR(__xludf.DUMMYFUNCTION("""COMPUTED_VALUE"""),"LISTICLE")</f>
        <v>LISTICLE</v>
      </c>
      <c r="E570" s="11" t="str">
        <f>IFERROR(__xludf.DUMMYFUNCTION("""COMPUTED_VALUE"""),"CORPORATE")</f>
        <v>CORPORATE</v>
      </c>
      <c r="F570" s="11" t="str">
        <f>IFERROR(__xludf.DUMMYFUNCTION("""COMPUTED_VALUE"""),"Listicle")</f>
        <v>Listicle</v>
      </c>
      <c r="G570" s="11" t="b">
        <f>IFERROR(__xludf.DUMMYFUNCTION("""COMPUTED_VALUE"""),FALSE)</f>
        <v>0</v>
      </c>
      <c r="H570" s="11" t="str">
        <f>IFERROR(__xludf.DUMMYFUNCTION("""COMPUTED_VALUE"""),"inBeat, Dentsu, R/GA, Nielsen")</f>
        <v>inBeat, Dentsu, R/GA, Nielsen</v>
      </c>
      <c r="I570" s="11">
        <f>IFERROR(__xludf.DUMMYFUNCTION("""COMPUTED_VALUE"""),2.0)</f>
        <v>2</v>
      </c>
      <c r="J570" s="11">
        <f>IFERROR(__xludf.DUMMYFUNCTION("""COMPUTED_VALUE"""),0.0)</f>
        <v>0</v>
      </c>
      <c r="K570" s="11">
        <f>IFERROR(__xludf.DUMMYFUNCTION("""COMPUTED_VALUE"""),1.0)</f>
        <v>1</v>
      </c>
      <c r="L570" s="11"/>
    </row>
    <row r="571" ht="15.75" customHeight="1">
      <c r="A571" s="10" t="str">
        <f>IFERROR(__xludf.DUMMYFUNCTION("""COMPUTED_VALUE"""),"https://www.fieldtrip.agency/post/top-geo-agencies")</f>
        <v>https://www.fieldtrip.agency/post/top-geo-agencies</v>
      </c>
      <c r="B571" s="11" t="str">
        <f>IFERROR(__xludf.DUMMYFUNCTION("""COMPUTED_VALUE"""),"Top Generative Engine Optimization (GEO) Agencies for Brands in AI Search")</f>
        <v>Top Generative Engine Optimization (GEO) Agencies for Brands in AI Search</v>
      </c>
      <c r="C571" s="11" t="str">
        <f>IFERROR(__xludf.DUMMYFUNCTION("""COMPUTED_VALUE"""),"fieldtrip.agency")</f>
        <v>fieldtrip.agency</v>
      </c>
      <c r="D571" s="11" t="str">
        <f>IFERROR(__xludf.DUMMYFUNCTION("""COMPUTED_VALUE"""),"LISTICLE")</f>
        <v>LISTICLE</v>
      </c>
      <c r="E571" s="11" t="str">
        <f>IFERROR(__xludf.DUMMYFUNCTION("""COMPUTED_VALUE"""),"CORPORATE")</f>
        <v>CORPORATE</v>
      </c>
      <c r="F571" s="11" t="str">
        <f>IFERROR(__xludf.DUMMYFUNCTION("""COMPUTED_VALUE"""),"Listicle")</f>
        <v>Listicle</v>
      </c>
      <c r="G571" s="11" t="b">
        <f>IFERROR(__xludf.DUMMYFUNCTION("""COMPUTED_VALUE"""),FALSE)</f>
        <v>0</v>
      </c>
      <c r="H571" s="11" t="str">
        <f>IFERROR(__xludf.DUMMYFUNCTION("""COMPUTED_VALUE"""),"Clutch, First Page Sage, Siege Media, TransUnion, WebFX, iPullRank, NP Digital, Major Tom, Intero Digital, Omniscient Digital, Measured, Graphite, inBeat")</f>
        <v>Clutch, First Page Sage, Siege Media, TransUnion, WebFX, iPullRank, NP Digital, Major Tom, Intero Digital, Omniscient Digital, Measured, Graphite, inBeat</v>
      </c>
      <c r="I571" s="11">
        <f>IFERROR(__xludf.DUMMYFUNCTION("""COMPUTED_VALUE"""),2.0)</f>
        <v>2</v>
      </c>
      <c r="J571" s="11">
        <f>IFERROR(__xludf.DUMMYFUNCTION("""COMPUTED_VALUE"""),0.0)</f>
        <v>0</v>
      </c>
      <c r="K571" s="11">
        <f>IFERROR(__xludf.DUMMYFUNCTION("""COMPUTED_VALUE"""),0.5)</f>
        <v>0.5</v>
      </c>
      <c r="L571" s="11"/>
    </row>
    <row r="572" ht="15.75" customHeight="1">
      <c r="A572" s="10" t="str">
        <f>IFERROR(__xludf.DUMMYFUNCTION("""COMPUTED_VALUE"""),"https://finance.yahoo.com/sectors/technology/articles/top-10-branding-agencies-u-125000853.html")</f>
        <v>https://finance.yahoo.com/sectors/technology/articles/top-10-branding-agencies-u-125000853.html</v>
      </c>
      <c r="B572" s="11" t="str">
        <f>IFERROR(__xludf.DUMMYFUNCTION("""COMPUTED_VALUE"""),"Top 10 Branding Agencies in the U.S., Ranked by DesignRush for April 2026")</f>
        <v>Top 10 Branding Agencies in the U.S., Ranked by DesignRush for April 2026</v>
      </c>
      <c r="C572" s="10" t="str">
        <f>IFERROR(__xludf.DUMMYFUNCTION("""COMPUTED_VALUE"""),"yahoo.com")</f>
        <v>yahoo.com</v>
      </c>
      <c r="D572" s="11" t="str">
        <f>IFERROR(__xludf.DUMMYFUNCTION("""COMPUTED_VALUE"""),"LISTICLE")</f>
        <v>LISTICLE</v>
      </c>
      <c r="E572" s="11" t="str">
        <f>IFERROR(__xludf.DUMMYFUNCTION("""COMPUTED_VALUE"""),"OTHER")</f>
        <v>OTHER</v>
      </c>
      <c r="F572" s="11" t="str">
        <f>IFERROR(__xludf.DUMMYFUNCTION("""COMPUTED_VALUE"""),"Listicle")</f>
        <v>Listicle</v>
      </c>
      <c r="G572" s="11" t="b">
        <f>IFERROR(__xludf.DUMMYFUNCTION("""COMPUTED_VALUE"""),FALSE)</f>
        <v>0</v>
      </c>
      <c r="H572" s="11" t="str">
        <f>IFERROR(__xludf.DUMMYFUNCTION("""COMPUTED_VALUE"""),"Funnel Boost Media, Clay")</f>
        <v>Funnel Boost Media, Clay</v>
      </c>
      <c r="I572" s="11">
        <f>IFERROR(__xludf.DUMMYFUNCTION("""COMPUTED_VALUE"""),2.0)</f>
        <v>2</v>
      </c>
      <c r="J572" s="11">
        <f>IFERROR(__xludf.DUMMYFUNCTION("""COMPUTED_VALUE"""),0.0)</f>
        <v>0</v>
      </c>
      <c r="K572" s="11">
        <f>IFERROR(__xludf.DUMMYFUNCTION("""COMPUTED_VALUE"""),0.0)</f>
        <v>0</v>
      </c>
      <c r="L572" s="11"/>
    </row>
    <row r="573" ht="15.75" customHeight="1">
      <c r="A573" s="10" t="str">
        <f>IFERROR(__xludf.DUMMYFUNCTION("""COMPUTED_VALUE"""),"https://firstpagesage.com/seo-blog/the-top-seo-agencies-for-ai-companies/")</f>
        <v>https://firstpagesage.com/seo-blog/the-top-seo-agencies-for-ai-companies/</v>
      </c>
      <c r="B573" s="11" t="str">
        <f>IFERROR(__xludf.DUMMYFUNCTION("""COMPUTED_VALUE"""),"The Top SEO Agencies for AI Companies in 2026 – First Page Sage")</f>
        <v>The Top SEO Agencies for AI Companies in 2026 – First Page Sage</v>
      </c>
      <c r="C573" s="10" t="str">
        <f>IFERROR(__xludf.DUMMYFUNCTION("""COMPUTED_VALUE"""),"firstpagesage.com")</f>
        <v>firstpagesage.com</v>
      </c>
      <c r="D573" s="11" t="str">
        <f>IFERROR(__xludf.DUMMYFUNCTION("""COMPUTED_VALUE"""),"LISTICLE")</f>
        <v>LISTICLE</v>
      </c>
      <c r="E573" s="11" t="str">
        <f>IFERROR(__xludf.DUMMYFUNCTION("""COMPUTED_VALUE"""),"COMPETITOR")</f>
        <v>COMPETITOR</v>
      </c>
      <c r="F573" s="11" t="str">
        <f>IFERROR(__xludf.DUMMYFUNCTION("""COMPUTED_VALUE"""),"Listicle")</f>
        <v>Listicle</v>
      </c>
      <c r="G573" s="11" t="b">
        <f>IFERROR(__xludf.DUMMYFUNCTION("""COMPUTED_VALUE"""),FALSE)</f>
        <v>0</v>
      </c>
      <c r="H573" s="11" t="str">
        <f>IFERROR(__xludf.DUMMYFUNCTION("""COMPUTED_VALUE"""),"First Page Sage, Directive, Clay")</f>
        <v>First Page Sage, Directive, Clay</v>
      </c>
      <c r="I573" s="11">
        <f>IFERROR(__xludf.DUMMYFUNCTION("""COMPUTED_VALUE"""),2.0)</f>
        <v>2</v>
      </c>
      <c r="J573" s="11">
        <f>IFERROR(__xludf.DUMMYFUNCTION("""COMPUTED_VALUE"""),0.0)</f>
        <v>0</v>
      </c>
      <c r="K573" s="11">
        <f>IFERROR(__xludf.DUMMYFUNCTION("""COMPUTED_VALUE"""),1.5)</f>
        <v>1.5</v>
      </c>
      <c r="L573" s="11"/>
    </row>
    <row r="574" ht="15.75" customHeight="1">
      <c r="A574" s="10" t="str">
        <f>IFERROR(__xludf.DUMMYFUNCTION("""COMPUTED_VALUE"""),"https://flypix.ai/geospatial-companies-in-the-usa/#:~:text=Tech%20Maven%20Geospatial%20stands%20at%20the%20forefront,of%20spatial%20data%20processing%20and%20conversion%20services.")</f>
        <v>https://flypix.ai/geospatial-companies-in-the-usa/#:~:text=Tech%20Maven%20Geospatial%20stands%20at%20the%20forefront,of%20spatial%20data%20processing%20and%20conversion%20services.</v>
      </c>
      <c r="B574" s="11" t="str">
        <f>IFERROR(__xludf.DUMMYFUNCTION("""COMPUTED_VALUE"""),"16 Best Geospatial Companies in the USA (2026)")</f>
        <v>16 Best Geospatial Companies in the USA (2026)</v>
      </c>
      <c r="C574" s="10" t="str">
        <f>IFERROR(__xludf.DUMMYFUNCTION("""COMPUTED_VALUE"""),"flypix.ai")</f>
        <v>flypix.ai</v>
      </c>
      <c r="D574" s="11" t="str">
        <f>IFERROR(__xludf.DUMMYFUNCTION("""COMPUTED_VALUE"""),"LISTICLE")</f>
        <v>LISTICLE</v>
      </c>
      <c r="E574" s="11" t="str">
        <f>IFERROR(__xludf.DUMMYFUNCTION("""COMPUTED_VALUE"""),"CORPORATE")</f>
        <v>CORPORATE</v>
      </c>
      <c r="F574" s="11" t="str">
        <f>IFERROR(__xludf.DUMMYFUNCTION("""COMPUTED_VALUE"""),"Listicle")</f>
        <v>Listicle</v>
      </c>
      <c r="G574" s="11" t="b">
        <f>IFERROR(__xludf.DUMMYFUNCTION("""COMPUTED_VALUE"""),FALSE)</f>
        <v>0</v>
      </c>
      <c r="H574" s="11" t="str">
        <f>IFERROR(__xludf.DUMMYFUNCTION("""COMPUTED_VALUE"""),"Anomaly, IBM")</f>
        <v>Anomaly, IBM</v>
      </c>
      <c r="I574" s="11">
        <f>IFERROR(__xludf.DUMMYFUNCTION("""COMPUTED_VALUE"""),2.0)</f>
        <v>2</v>
      </c>
      <c r="J574" s="11">
        <f>IFERROR(__xludf.DUMMYFUNCTION("""COMPUTED_VALUE"""),0.0)</f>
        <v>0</v>
      </c>
      <c r="K574" s="11">
        <f>IFERROR(__xludf.DUMMYFUNCTION("""COMPUTED_VALUE"""),1.0)</f>
        <v>1</v>
      </c>
      <c r="L574" s="11"/>
    </row>
    <row r="575" ht="15.75" customHeight="1">
      <c r="A575" s="10" t="str">
        <f>IFERROR(__xludf.DUMMYFUNCTION("""COMPUTED_VALUE"""),"https://fuelonline.com/best-agencies/best-new-york-digital-marketing-agencies/")</f>
        <v>https://fuelonline.com/best-agencies/best-new-york-digital-marketing-agencies/</v>
      </c>
      <c r="B575" s="11" t="str">
        <f>IFERROR(__xludf.DUMMYFUNCTION("""COMPUTED_VALUE"""),"12 Best New York Digital Marketing Agencies 2026 - Fuel Online Digital Marketing Agency SEO Services")</f>
        <v>12 Best New York Digital Marketing Agencies 2026 - Fuel Online Digital Marketing Agency SEO Services</v>
      </c>
      <c r="C575" s="10" t="str">
        <f>IFERROR(__xludf.DUMMYFUNCTION("""COMPUTED_VALUE"""),"fuelonline.com")</f>
        <v>fuelonline.com</v>
      </c>
      <c r="D575" s="11" t="str">
        <f>IFERROR(__xludf.DUMMYFUNCTION("""COMPUTED_VALUE"""),"LISTICLE")</f>
        <v>LISTICLE</v>
      </c>
      <c r="E575" s="11" t="str">
        <f>IFERROR(__xludf.DUMMYFUNCTION("""COMPUTED_VALUE"""),"CORPORATE")</f>
        <v>CORPORATE</v>
      </c>
      <c r="F575" s="11" t="str">
        <f>IFERROR(__xludf.DUMMYFUNCTION("""COMPUTED_VALUE"""),"Listicle")</f>
        <v>Listicle</v>
      </c>
      <c r="G575" s="11" t="b">
        <f>IFERROR(__xludf.DUMMYFUNCTION("""COMPUTED_VALUE"""),FALSE)</f>
        <v>0</v>
      </c>
      <c r="H575" s="11" t="str">
        <f>IFERROR(__xludf.DUMMYFUNCTION("""COMPUTED_VALUE"""),"Dentsu, VaynerMedia, Jellyfish, Tinuiti, Huge, iPullRank, R/GA, Droga5, SmartSites")</f>
        <v>Dentsu, VaynerMedia, Jellyfish, Tinuiti, Huge, iPullRank, R/GA, Droga5, SmartSites</v>
      </c>
      <c r="I575" s="11">
        <f>IFERROR(__xludf.DUMMYFUNCTION("""COMPUTED_VALUE"""),2.0)</f>
        <v>2</v>
      </c>
      <c r="J575" s="11">
        <f>IFERROR(__xludf.DUMMYFUNCTION("""COMPUTED_VALUE"""),0.0)</f>
        <v>0</v>
      </c>
      <c r="K575" s="11">
        <f>IFERROR(__xludf.DUMMYFUNCTION("""COMPUTED_VALUE"""),1.0)</f>
        <v>1</v>
      </c>
      <c r="L575" s="11"/>
    </row>
    <row r="576" ht="15.75" customHeight="1">
      <c r="A576" s="10" t="str">
        <f>IFERROR(__xludf.DUMMYFUNCTION("""COMPUTED_VALUE"""),"https://fuelonline.com/best-agencies/top-20-ppc-agencies-in-the-united-states-ranked-for-2026/")</f>
        <v>https://fuelonline.com/best-agencies/top-20-ppc-agencies-in-the-united-states-ranked-for-2026/</v>
      </c>
      <c r="B576" s="11" t="str">
        <f>IFERROR(__xludf.DUMMYFUNCTION("""COMPUTED_VALUE"""),"Top 20 PPC Agencies In The U.S. For 2026 Ranked")</f>
        <v>Top 20 PPC Agencies In The U.S. For 2026 Ranked</v>
      </c>
      <c r="C576" s="10" t="str">
        <f>IFERROR(__xludf.DUMMYFUNCTION("""COMPUTED_VALUE"""),"fuelonline.com")</f>
        <v>fuelonline.com</v>
      </c>
      <c r="D576" s="11" t="str">
        <f>IFERROR(__xludf.DUMMYFUNCTION("""COMPUTED_VALUE"""),"LISTICLE")</f>
        <v>LISTICLE</v>
      </c>
      <c r="E576" s="11" t="str">
        <f>IFERROR(__xludf.DUMMYFUNCTION("""COMPUTED_VALUE"""),"CORPORATE")</f>
        <v>CORPORATE</v>
      </c>
      <c r="F576" s="11" t="str">
        <f>IFERROR(__xludf.DUMMYFUNCTION("""COMPUTED_VALUE"""),"Listicle")</f>
        <v>Listicle</v>
      </c>
      <c r="G576" s="11" t="b">
        <f>IFERROR(__xludf.DUMMYFUNCTION("""COMPUTED_VALUE"""),FALSE)</f>
        <v>0</v>
      </c>
      <c r="H576" s="11" t="str">
        <f>IFERROR(__xludf.DUMMYFUNCTION("""COMPUTED_VALUE"""),"KlientBoost, Disruptive Advertising, Ignite Visibility, WebFX, Directive, Single Grain, SmartSites, Power Digital, Seer Interactive, AdVenture Media, HawkSEM")</f>
        <v>KlientBoost, Disruptive Advertising, Ignite Visibility, WebFX, Directive, Single Grain, SmartSites, Power Digital, Seer Interactive, AdVenture Media, HawkSEM</v>
      </c>
      <c r="I576" s="11">
        <f>IFERROR(__xludf.DUMMYFUNCTION("""COMPUTED_VALUE"""),2.0)</f>
        <v>2</v>
      </c>
      <c r="J576" s="11">
        <f>IFERROR(__xludf.DUMMYFUNCTION("""COMPUTED_VALUE"""),0.0)</f>
        <v>0</v>
      </c>
      <c r="K576" s="11">
        <f>IFERROR(__xludf.DUMMYFUNCTION("""COMPUTED_VALUE"""),1.0)</f>
        <v>1</v>
      </c>
      <c r="L576" s="11"/>
    </row>
    <row r="577" ht="15.75" customHeight="1">
      <c r="A577" s="10" t="str">
        <f>IFERROR(__xludf.DUMMYFUNCTION("""COMPUTED_VALUE"""),"https://www.g-co.agency/insights/top-enterprise-digital-marketing-agencies-to-work-with#:~:text=8.%20Monsoon%20Agency.%20This%20enterprise%20digital%20marketing,seo%20marketing%20company%20and%20strategic%20growth%20partner.")</f>
        <v>https://www.g-co.agency/insights/top-enterprise-digital-marketing-agencies-to-work-with#:~:text=8.%20Monsoon%20Agency.%20This%20enterprise%20digital%20marketing,seo%20marketing%20company%20and%20strategic%20growth%20partner.</v>
      </c>
      <c r="B577" s="11" t="str">
        <f>IFERROR(__xludf.DUMMYFUNCTION("""COMPUTED_VALUE"""),"Top Enterprise Digital Marketing Agencies to Work With - July 2026 | G&amp;amp;CO.")</f>
        <v>Top Enterprise Digital Marketing Agencies to Work With - July 2026 | G&amp;amp;CO.</v>
      </c>
      <c r="C577" s="11" t="str">
        <f>IFERROR(__xludf.DUMMYFUNCTION("""COMPUTED_VALUE"""),"g-co.agency")</f>
        <v>g-co.agency</v>
      </c>
      <c r="D577" s="11" t="str">
        <f>IFERROR(__xludf.DUMMYFUNCTION("""COMPUTED_VALUE"""),"LISTICLE")</f>
        <v>LISTICLE</v>
      </c>
      <c r="E577" s="11" t="str">
        <f>IFERROR(__xludf.DUMMYFUNCTION("""COMPUTED_VALUE"""),"CORPORATE")</f>
        <v>CORPORATE</v>
      </c>
      <c r="F577" s="11" t="str">
        <f>IFERROR(__xludf.DUMMYFUNCTION("""COMPUTED_VALUE"""),"Listicle")</f>
        <v>Listicle</v>
      </c>
      <c r="G577" s="11" t="b">
        <f>IFERROR(__xludf.DUMMYFUNCTION("""COMPUTED_VALUE"""),FALSE)</f>
        <v>0</v>
      </c>
      <c r="H577" s="11" t="str">
        <f>IFERROR(__xludf.DUMMYFUNCTION("""COMPUTED_VALUE"""),"First Page Sage, LYFE Marketing, Power Digital")</f>
        <v>First Page Sage, LYFE Marketing, Power Digital</v>
      </c>
      <c r="I577" s="11">
        <f>IFERROR(__xludf.DUMMYFUNCTION("""COMPUTED_VALUE"""),2.0)</f>
        <v>2</v>
      </c>
      <c r="J577" s="11">
        <f>IFERROR(__xludf.DUMMYFUNCTION("""COMPUTED_VALUE"""),0.0)</f>
        <v>0</v>
      </c>
      <c r="K577" s="11">
        <f>IFERROR(__xludf.DUMMYFUNCTION("""COMPUTED_VALUE"""),1.0)</f>
        <v>1</v>
      </c>
      <c r="L577" s="11"/>
    </row>
    <row r="578" ht="15.75" customHeight="1">
      <c r="A578" s="10" t="str">
        <f>IFERROR(__xludf.DUMMYFUNCTION("""COMPUTED_VALUE"""),"https://www.geovate.com/blog/generative-engine-optimization-geo-agencies")</f>
        <v>https://www.geovate.com/blog/generative-engine-optimization-geo-agencies</v>
      </c>
      <c r="B578" s="11" t="str">
        <f>IFERROR(__xludf.DUMMYFUNCTION("""COMPUTED_VALUE"""),"Best Generative Engine Optimization (GEO) Agencies")</f>
        <v>Best Generative Engine Optimization (GEO) Agencies</v>
      </c>
      <c r="C578" s="10" t="str">
        <f>IFERROR(__xludf.DUMMYFUNCTION("""COMPUTED_VALUE"""),"geovate.com")</f>
        <v>geovate.com</v>
      </c>
      <c r="D578" s="11" t="str">
        <f>IFERROR(__xludf.DUMMYFUNCTION("""COMPUTED_VALUE"""),"LISTICLE")</f>
        <v>LISTICLE</v>
      </c>
      <c r="E578" s="11" t="str">
        <f>IFERROR(__xludf.DUMMYFUNCTION("""COMPUTED_VALUE"""),"CORPORATE")</f>
        <v>CORPORATE</v>
      </c>
      <c r="F578" s="11" t="str">
        <f>IFERROR(__xludf.DUMMYFUNCTION("""COMPUTED_VALUE"""),"Listicle")</f>
        <v>Listicle</v>
      </c>
      <c r="G578" s="11" t="b">
        <f>IFERROR(__xludf.DUMMYFUNCTION("""COMPUTED_VALUE"""),FALSE)</f>
        <v>0</v>
      </c>
      <c r="H578" s="11" t="str">
        <f>IFERROR(__xludf.DUMMYFUNCTION("""COMPUTED_VALUE"""),"Omniscient Digital, iPullRank")</f>
        <v>Omniscient Digital, iPullRank</v>
      </c>
      <c r="I578" s="11">
        <f>IFERROR(__xludf.DUMMYFUNCTION("""COMPUTED_VALUE"""),2.0)</f>
        <v>2</v>
      </c>
      <c r="J578" s="11">
        <f>IFERROR(__xludf.DUMMYFUNCTION("""COMPUTED_VALUE"""),0.0)</f>
        <v>0</v>
      </c>
      <c r="K578" s="11">
        <f>IFERROR(__xludf.DUMMYFUNCTION("""COMPUTED_VALUE"""),0.0)</f>
        <v>0</v>
      </c>
      <c r="L578" s="11"/>
    </row>
    <row r="579" ht="15.75" customHeight="1">
      <c r="A579" s="10" t="str">
        <f>IFERROR(__xludf.DUMMYFUNCTION("""COMPUTED_VALUE"""),"https://www.geovate.com/blog/top-answer-engine-optimization-aeo-agencies")</f>
        <v>https://www.geovate.com/blog/top-answer-engine-optimization-aeo-agencies</v>
      </c>
      <c r="B579" s="11" t="str">
        <f>IFERROR(__xludf.DUMMYFUNCTION("""COMPUTED_VALUE"""),"Top Answer Engine Optimization (AEO) Agencies")</f>
        <v>Top Answer Engine Optimization (AEO) Agencies</v>
      </c>
      <c r="C579" s="10" t="str">
        <f>IFERROR(__xludf.DUMMYFUNCTION("""COMPUTED_VALUE"""),"geovate.com")</f>
        <v>geovate.com</v>
      </c>
      <c r="D579" s="11" t="str">
        <f>IFERROR(__xludf.DUMMYFUNCTION("""COMPUTED_VALUE"""),"LISTICLE")</f>
        <v>LISTICLE</v>
      </c>
      <c r="E579" s="11" t="str">
        <f>IFERROR(__xludf.DUMMYFUNCTION("""COMPUTED_VALUE"""),"CORPORATE")</f>
        <v>CORPORATE</v>
      </c>
      <c r="F579" s="11" t="str">
        <f>IFERROR(__xludf.DUMMYFUNCTION("""COMPUTED_VALUE"""),"Listicle")</f>
        <v>Listicle</v>
      </c>
      <c r="G579" s="11" t="b">
        <f>IFERROR(__xludf.DUMMYFUNCTION("""COMPUTED_VALUE"""),FALSE)</f>
        <v>0</v>
      </c>
      <c r="H579" s="11" t="str">
        <f>IFERROR(__xludf.DUMMYFUNCTION("""COMPUTED_VALUE"""),"Avenue Z, First Page Sage, Siege Media, NoGood")</f>
        <v>Avenue Z, First Page Sage, Siege Media, NoGood</v>
      </c>
      <c r="I579" s="11">
        <f>IFERROR(__xludf.DUMMYFUNCTION("""COMPUTED_VALUE"""),2.0)</f>
        <v>2</v>
      </c>
      <c r="J579" s="11">
        <f>IFERROR(__xludf.DUMMYFUNCTION("""COMPUTED_VALUE"""),0.0)</f>
        <v>0</v>
      </c>
      <c r="K579" s="11">
        <f>IFERROR(__xludf.DUMMYFUNCTION("""COMPUTED_VALUE"""),0.0)</f>
        <v>0</v>
      </c>
      <c r="L579" s="11"/>
    </row>
    <row r="580" ht="15.75" customHeight="1">
      <c r="A580" s="10" t="str">
        <f>IFERROR(__xludf.DUMMYFUNCTION("""COMPUTED_VALUE"""),"https://getadlib.com/blog/best-display-advertising-platforms/#:~:text=Demandbase%20is%20a%20B2B%20advertising%20platform%20with,purchase%20interest%20rather%20than%20broad%20demographic%20segments.")</f>
        <v>https://getadlib.com/blog/best-display-advertising-platforms/#:~:text=Demandbase%20is%20a%20B2B%20advertising%20platform%20with,purchase%20interest%20rather%20than%20broad%20demographic%20segments.</v>
      </c>
      <c r="B580" s="11" t="str">
        <f>IFERROR(__xludf.DUMMYFUNCTION("""COMPUTED_VALUE"""),"10 Best Display Advertising Platforms in 2026 | AdLib")</f>
        <v>10 Best Display Advertising Platforms in 2026 | AdLib</v>
      </c>
      <c r="C580" s="10" t="str">
        <f>IFERROR(__xludf.DUMMYFUNCTION("""COMPUTED_VALUE"""),"getadlib.com")</f>
        <v>getadlib.com</v>
      </c>
      <c r="D580" s="11" t="str">
        <f>IFERROR(__xludf.DUMMYFUNCTION("""COMPUTED_VALUE"""),"OTHER")</f>
        <v>OTHER</v>
      </c>
      <c r="E580" s="11" t="str">
        <f>IFERROR(__xludf.DUMMYFUNCTION("""COMPUTED_VALUE"""),"CORPORATE")</f>
        <v>CORPORATE</v>
      </c>
      <c r="F580" s="11" t="str">
        <f>IFERROR(__xludf.DUMMYFUNCTION("""COMPUTED_VALUE"""),"Other")</f>
        <v>Other</v>
      </c>
      <c r="G580" s="11" t="b">
        <f>IFERROR(__xludf.DUMMYFUNCTION("""COMPUTED_VALUE"""),FALSE)</f>
        <v>0</v>
      </c>
      <c r="H580" s="11"/>
      <c r="I580" s="11">
        <f>IFERROR(__xludf.DUMMYFUNCTION("""COMPUTED_VALUE"""),2.0)</f>
        <v>2</v>
      </c>
      <c r="J580" s="11">
        <f>IFERROR(__xludf.DUMMYFUNCTION("""COMPUTED_VALUE"""),0.0)</f>
        <v>0</v>
      </c>
      <c r="K580" s="11">
        <f>IFERROR(__xludf.DUMMYFUNCTION("""COMPUTED_VALUE"""),1.0)</f>
        <v>1</v>
      </c>
      <c r="L580" s="11"/>
    </row>
    <row r="581" ht="15.75" customHeight="1">
      <c r="A581" s="10" t="str">
        <f>IFERROR(__xludf.DUMMYFUNCTION("""COMPUTED_VALUE"""),"https://www.goodfirms.co/advertising-companies/programmatic?locations=us&amp;sort_by=rating")</f>
        <v>https://www.goodfirms.co/advertising-companies/programmatic?locations=us&amp;sort_by=rating</v>
      </c>
      <c r="B581" s="11" t="str">
        <f>IFERROR(__xludf.DUMMYFUNCTION("""COMPUTED_VALUE"""),"Top Programmatic Advertising Companies - 2026 Reviews | Goodfirms")</f>
        <v>Top Programmatic Advertising Companies - 2026 Reviews | Goodfirms</v>
      </c>
      <c r="C581" s="10" t="str">
        <f>IFERROR(__xludf.DUMMYFUNCTION("""COMPUTED_VALUE"""),"goodfirms.co")</f>
        <v>goodfirms.co</v>
      </c>
      <c r="D581" s="11" t="str">
        <f>IFERROR(__xludf.DUMMYFUNCTION("""COMPUTED_VALUE"""),"OTHER")</f>
        <v>OTHER</v>
      </c>
      <c r="E581" s="11" t="str">
        <f>IFERROR(__xludf.DUMMYFUNCTION("""COMPUTED_VALUE"""),"UGC")</f>
        <v>UGC</v>
      </c>
      <c r="F581" s="11" t="str">
        <f>IFERROR(__xludf.DUMMYFUNCTION("""COMPUTED_VALUE"""),"Other")</f>
        <v>Other</v>
      </c>
      <c r="G581" s="11" t="b">
        <f>IFERROR(__xludf.DUMMYFUNCTION("""COMPUTED_VALUE"""),FALSE)</f>
        <v>0</v>
      </c>
      <c r="H581" s="11" t="str">
        <f>IFERROR(__xludf.DUMMYFUNCTION("""COMPUTED_VALUE"""),"Funnel Boost Media, Daydream")</f>
        <v>Funnel Boost Media, Daydream</v>
      </c>
      <c r="I581" s="11">
        <f>IFERROR(__xludf.DUMMYFUNCTION("""COMPUTED_VALUE"""),2.0)</f>
        <v>2</v>
      </c>
      <c r="J581" s="11">
        <f>IFERROR(__xludf.DUMMYFUNCTION("""COMPUTED_VALUE"""),0.0)</f>
        <v>0</v>
      </c>
      <c r="K581" s="11">
        <f>IFERROR(__xludf.DUMMYFUNCTION("""COMPUTED_VALUE"""),0.0)</f>
        <v>0</v>
      </c>
      <c r="L581" s="11"/>
    </row>
    <row r="582" ht="15.75" customHeight="1">
      <c r="A582" s="10" t="str">
        <f>IFERROR(__xludf.DUMMYFUNCTION("""COMPUTED_VALUE"""),"https://www.goodfirms.co/directory/country/top-digital-marketing-companies/us?reviews=1")</f>
        <v>https://www.goodfirms.co/directory/country/top-digital-marketing-companies/us?reviews=1</v>
      </c>
      <c r="B582" s="11" t="str">
        <f>IFERROR(__xludf.DUMMYFUNCTION("""COMPUTED_VALUE"""),"Top Digital Marketing Agencies in USA - 2026 Reviews | Goodfirms")</f>
        <v>Top Digital Marketing Agencies in USA - 2026 Reviews | Goodfirms</v>
      </c>
      <c r="C582" s="10" t="str">
        <f>IFERROR(__xludf.DUMMYFUNCTION("""COMPUTED_VALUE"""),"goodfirms.co")</f>
        <v>goodfirms.co</v>
      </c>
      <c r="D582" s="11" t="str">
        <f>IFERROR(__xludf.DUMMYFUNCTION("""COMPUTED_VALUE"""),"OTHER")</f>
        <v>OTHER</v>
      </c>
      <c r="E582" s="11" t="str">
        <f>IFERROR(__xludf.DUMMYFUNCTION("""COMPUTED_VALUE"""),"UGC")</f>
        <v>UGC</v>
      </c>
      <c r="F582" s="11" t="str">
        <f>IFERROR(__xludf.DUMMYFUNCTION("""COMPUTED_VALUE"""),"Other")</f>
        <v>Other</v>
      </c>
      <c r="G582" s="11" t="b">
        <f>IFERROR(__xludf.DUMMYFUNCTION("""COMPUTED_VALUE"""),FALSE)</f>
        <v>0</v>
      </c>
      <c r="H582" s="11" t="str">
        <f>IFERROR(__xludf.DUMMYFUNCTION("""COMPUTED_VALUE"""),"WebFX, Searchbloom, SmartSites, Funnel Boost Media, Elit-Web, Storm Brain, Go Fish Digital")</f>
        <v>WebFX, Searchbloom, SmartSites, Funnel Boost Media, Elit-Web, Storm Brain, Go Fish Digital</v>
      </c>
      <c r="I582" s="11">
        <f>IFERROR(__xludf.DUMMYFUNCTION("""COMPUTED_VALUE"""),2.0)</f>
        <v>2</v>
      </c>
      <c r="J582" s="11">
        <f>IFERROR(__xludf.DUMMYFUNCTION("""COMPUTED_VALUE"""),0.0)</f>
        <v>0</v>
      </c>
      <c r="K582" s="11">
        <f>IFERROR(__xludf.DUMMYFUNCTION("""COMPUTED_VALUE"""),0.0)</f>
        <v>0</v>
      </c>
      <c r="L582" s="11"/>
    </row>
    <row r="583" ht="15.75" customHeight="1">
      <c r="A583" s="10" t="str">
        <f>IFERROR(__xludf.DUMMYFUNCTION("""COMPUTED_VALUE"""),"https://gracker.ai/news/top-10-ai-seo-agencies-digital-marketing-firms-for-2026")</f>
        <v>https://gracker.ai/news/top-10-ai-seo-agencies-digital-marketing-firms-for-2026</v>
      </c>
      <c r="B583" s="11" t="str">
        <f>IFERROR(__xludf.DUMMYFUNCTION("""COMPUTED_VALUE"""),"Top 12 AI SEO Agencies &amp;amp; Digital Marketing Firms for 2026 | Cybersecurity News &amp;amp; Threat Intelligence")</f>
        <v>Top 12 AI SEO Agencies &amp;amp; Digital Marketing Firms for 2026 | Cybersecurity News &amp;amp; Threat Intelligence</v>
      </c>
      <c r="C583" s="10" t="str">
        <f>IFERROR(__xludf.DUMMYFUNCTION("""COMPUTED_VALUE"""),"gracker.ai")</f>
        <v>gracker.ai</v>
      </c>
      <c r="D583" s="11" t="str">
        <f>IFERROR(__xludf.DUMMYFUNCTION("""COMPUTED_VALUE"""),"LISTICLE")</f>
        <v>LISTICLE</v>
      </c>
      <c r="E583" s="11" t="str">
        <f>IFERROR(__xludf.DUMMYFUNCTION("""COMPUTED_VALUE"""),"CORPORATE")</f>
        <v>CORPORATE</v>
      </c>
      <c r="F583" s="11" t="str">
        <f>IFERROR(__xludf.DUMMYFUNCTION("""COMPUTED_VALUE"""),"Listicle")</f>
        <v>Listicle</v>
      </c>
      <c r="G583" s="11" t="b">
        <f>IFERROR(__xludf.DUMMYFUNCTION("""COMPUTED_VALUE"""),FALSE)</f>
        <v>0</v>
      </c>
      <c r="H583" s="11" t="str">
        <f>IFERROR(__xludf.DUMMYFUNCTION("""COMPUTED_VALUE"""),"NoGood, Avenue Z, Daydream, Single Grain, Clay")</f>
        <v>NoGood, Avenue Z, Daydream, Single Grain, Clay</v>
      </c>
      <c r="I583" s="11">
        <f>IFERROR(__xludf.DUMMYFUNCTION("""COMPUTED_VALUE"""),2.0)</f>
        <v>2</v>
      </c>
      <c r="J583" s="11">
        <f>IFERROR(__xludf.DUMMYFUNCTION("""COMPUTED_VALUE"""),0.0)</f>
        <v>0</v>
      </c>
      <c r="K583" s="11">
        <f>IFERROR(__xludf.DUMMYFUNCTION("""COMPUTED_VALUE"""),1.0)</f>
        <v>1</v>
      </c>
      <c r="L583" s="11"/>
    </row>
    <row r="584" ht="15.75" customHeight="1">
      <c r="A584" s="10" t="str">
        <f>IFERROR(__xludf.DUMMYFUNCTION("""COMPUTED_VALUE"""),"https://www.heydigital.co/blog/best-saas-paid-social-agencies#:~:text=Hey%20Digital%20is%20a%20B2B%20SaaS%20performance,funnel.%20How%20Hey%20Digital%20approaches%20paid%20social.")</f>
        <v>https://www.heydigital.co/blog/best-saas-paid-social-agencies#:~:text=Hey%20Digital%20is%20a%20B2B%20SaaS%20performance,funnel.%20How%20Hey%20Digital%20approaches%20paid%20social.</v>
      </c>
      <c r="B584" s="11" t="str">
        <f>IFERROR(__xludf.DUMMYFUNCTION("""COMPUTED_VALUE"""),"The 10 Best SaaS Paid Social Agencies in 2026 | Hey Digital")</f>
        <v>The 10 Best SaaS Paid Social Agencies in 2026 | Hey Digital</v>
      </c>
      <c r="C584" s="10" t="str">
        <f>IFERROR(__xludf.DUMMYFUNCTION("""COMPUTED_VALUE"""),"heydigital.co")</f>
        <v>heydigital.co</v>
      </c>
      <c r="D584" s="11" t="str">
        <f>IFERROR(__xludf.DUMMYFUNCTION("""COMPUTED_VALUE"""),"LISTICLE")</f>
        <v>LISTICLE</v>
      </c>
      <c r="E584" s="11" t="str">
        <f>IFERROR(__xludf.DUMMYFUNCTION("""COMPUTED_VALUE"""),"COMPETITOR")</f>
        <v>COMPETITOR</v>
      </c>
      <c r="F584" s="11" t="str">
        <f>IFERROR(__xludf.DUMMYFUNCTION("""COMPUTED_VALUE"""),"Listicle")</f>
        <v>Listicle</v>
      </c>
      <c r="G584" s="11" t="b">
        <f>IFERROR(__xludf.DUMMYFUNCTION("""COMPUTED_VALUE"""),FALSE)</f>
        <v>0</v>
      </c>
      <c r="H584" s="11" t="str">
        <f>IFERROR(__xludf.DUMMYFUNCTION("""COMPUTED_VALUE"""),"Hey Digital, Refine Labs, NoGood, Directive")</f>
        <v>Hey Digital, Refine Labs, NoGood, Directive</v>
      </c>
      <c r="I584" s="11">
        <f>IFERROR(__xludf.DUMMYFUNCTION("""COMPUTED_VALUE"""),2.0)</f>
        <v>2</v>
      </c>
      <c r="J584" s="11">
        <f>IFERROR(__xludf.DUMMYFUNCTION("""COMPUTED_VALUE"""),0.0)</f>
        <v>0</v>
      </c>
      <c r="K584" s="11">
        <f>IFERROR(__xludf.DUMMYFUNCTION("""COMPUTED_VALUE"""),3.0)</f>
        <v>3</v>
      </c>
      <c r="L584" s="11"/>
    </row>
    <row r="585" ht="15.75" customHeight="1">
      <c r="A585" s="10" t="str">
        <f>IFERROR(__xludf.DUMMYFUNCTION("""COMPUTED_VALUE"""),"https://icoda.io/ai/best-ai-marketing-agencies-in-the-usa/")</f>
        <v>https://icoda.io/ai/best-ai-marketing-agencies-in-the-usa/</v>
      </c>
      <c r="B585" s="11" t="str">
        <f>IFERROR(__xludf.DUMMYFUNCTION("""COMPUTED_VALUE"""),"Top 10 Leading AI Marketing Agencies in the USA for 2026")</f>
        <v>Top 10 Leading AI Marketing Agencies in the USA for 2026</v>
      </c>
      <c r="C585" s="10" t="str">
        <f>IFERROR(__xludf.DUMMYFUNCTION("""COMPUTED_VALUE"""),"icoda.io")</f>
        <v>icoda.io</v>
      </c>
      <c r="D585" s="11" t="str">
        <f>IFERROR(__xludf.DUMMYFUNCTION("""COMPUTED_VALUE"""),"LISTICLE")</f>
        <v>LISTICLE</v>
      </c>
      <c r="E585" s="11" t="str">
        <f>IFERROR(__xludf.DUMMYFUNCTION("""COMPUTED_VALUE"""),"CORPORATE")</f>
        <v>CORPORATE</v>
      </c>
      <c r="F585" s="11" t="str">
        <f>IFERROR(__xludf.DUMMYFUNCTION("""COMPUTED_VALUE"""),"Listicle")</f>
        <v>Listicle</v>
      </c>
      <c r="G585" s="11" t="b">
        <f>IFERROR(__xludf.DUMMYFUNCTION("""COMPUTED_VALUE"""),FALSE)</f>
        <v>0</v>
      </c>
      <c r="H585" s="11" t="str">
        <f>IFERROR(__xludf.DUMMYFUNCTION("""COMPUTED_VALUE"""),"Single Grain, Clutch")</f>
        <v>Single Grain, Clutch</v>
      </c>
      <c r="I585" s="11">
        <f>IFERROR(__xludf.DUMMYFUNCTION("""COMPUTED_VALUE"""),2.0)</f>
        <v>2</v>
      </c>
      <c r="J585" s="11">
        <f>IFERROR(__xludf.DUMMYFUNCTION("""COMPUTED_VALUE"""),0.0)</f>
        <v>0</v>
      </c>
      <c r="K585" s="11">
        <f>IFERROR(__xludf.DUMMYFUNCTION("""COMPUTED_VALUE"""),0.0)</f>
        <v>0</v>
      </c>
      <c r="L585" s="11"/>
    </row>
    <row r="586" ht="15.75" customHeight="1">
      <c r="A586" s="10" t="str">
        <f>IFERROR(__xludf.DUMMYFUNCTION("""COMPUTED_VALUE"""),"https://inbeat.agency/blog/top-paid-media-agencies-in-nyc#:~:text=After%20careful%20search%20and%20analysis,York%2C%20NY%2010004%2C%20United%20States")</f>
        <v>https://inbeat.agency/blog/top-paid-media-agencies-in-nyc#:~:text=After%20careful%20search%20and%20analysis,York%2C%20NY%2010004%2C%20United%20States</v>
      </c>
      <c r="B586" s="11" t="str">
        <f>IFERROR(__xludf.DUMMYFUNCTION("""COMPUTED_VALUE"""),"Top 14 Paid Media Agencies in NYC for 2026 - inBeat Agency")</f>
        <v>Top 14 Paid Media Agencies in NYC for 2026 - inBeat Agency</v>
      </c>
      <c r="C586" s="11" t="str">
        <f>IFERROR(__xludf.DUMMYFUNCTION("""COMPUTED_VALUE"""),"inbeat.agency")</f>
        <v>inbeat.agency</v>
      </c>
      <c r="D586" s="11" t="str">
        <f>IFERROR(__xludf.DUMMYFUNCTION("""COMPUTED_VALUE"""),"LISTICLE")</f>
        <v>LISTICLE</v>
      </c>
      <c r="E586" s="11" t="str">
        <f>IFERROR(__xludf.DUMMYFUNCTION("""COMPUTED_VALUE"""),"COMPETITOR")</f>
        <v>COMPETITOR</v>
      </c>
      <c r="F586" s="11" t="str">
        <f>IFERROR(__xludf.DUMMYFUNCTION("""COMPUTED_VALUE"""),"Listicle")</f>
        <v>Listicle</v>
      </c>
      <c r="G586" s="11" t="b">
        <f>IFERROR(__xludf.DUMMYFUNCTION("""COMPUTED_VALUE"""),FALSE)</f>
        <v>0</v>
      </c>
      <c r="H586" s="11" t="str">
        <f>IFERROR(__xludf.DUMMYFUNCTION("""COMPUTED_VALUE"""),"inBeat, Nielsen, Brighter Click, Disruptive Advertising, Avenue Z, Measured, BCG, Clutch, Power Digital")</f>
        <v>inBeat, Nielsen, Brighter Click, Disruptive Advertising, Avenue Z, Measured, BCG, Clutch, Power Digital</v>
      </c>
      <c r="I586" s="11">
        <f>IFERROR(__xludf.DUMMYFUNCTION("""COMPUTED_VALUE"""),2.0)</f>
        <v>2</v>
      </c>
      <c r="J586" s="11">
        <f>IFERROR(__xludf.DUMMYFUNCTION("""COMPUTED_VALUE"""),0.0)</f>
        <v>0</v>
      </c>
      <c r="K586" s="11">
        <f>IFERROR(__xludf.DUMMYFUNCTION("""COMPUTED_VALUE"""),2.0)</f>
        <v>2</v>
      </c>
      <c r="L586" s="11"/>
    </row>
    <row r="587" ht="15.75" customHeight="1">
      <c r="A587" s="10" t="str">
        <f>IFERROR(__xludf.DUMMYFUNCTION("""COMPUTED_VALUE"""),"https://indatalabs.com/blog/ai-consulting-companies-in-usa#:~:text=Slalom%20is%20a%20modern%20consulting,clients%20as%20AI%20systems%20evolve.")</f>
        <v>https://indatalabs.com/blog/ai-consulting-companies-in-usa#:~:text=Slalom%20is%20a%20modern%20consulting,clients%20as%20AI%20systems%20evolve.</v>
      </c>
      <c r="B587" s="11" t="str">
        <f>IFERROR(__xludf.DUMMYFUNCTION("""COMPUTED_VALUE"""),"Top AI Consulting Companies in the USA | InData Labs Blog")</f>
        <v>Top AI Consulting Companies in the USA | InData Labs Blog</v>
      </c>
      <c r="C587" s="10" t="str">
        <f>IFERROR(__xludf.DUMMYFUNCTION("""COMPUTED_VALUE"""),"indatalabs.com")</f>
        <v>indatalabs.com</v>
      </c>
      <c r="D587" s="11" t="str">
        <f>IFERROR(__xludf.DUMMYFUNCTION("""COMPUTED_VALUE"""),"LISTICLE")</f>
        <v>LISTICLE</v>
      </c>
      <c r="E587" s="11" t="str">
        <f>IFERROR(__xludf.DUMMYFUNCTION("""COMPUTED_VALUE"""),"CORPORATE")</f>
        <v>CORPORATE</v>
      </c>
      <c r="F587" s="11" t="str">
        <f>IFERROR(__xludf.DUMMYFUNCTION("""COMPUTED_VALUE"""),"Listicle")</f>
        <v>Listicle</v>
      </c>
      <c r="G587" s="11" t="b">
        <f>IFERROR(__xludf.DUMMYFUNCTION("""COMPUTED_VALUE"""),FALSE)</f>
        <v>0</v>
      </c>
      <c r="H587" s="11" t="str">
        <f>IFERROR(__xludf.DUMMYFUNCTION("""COMPUTED_VALUE"""),"IBM, McKinsey, QuantumBlack, Fractal Analytics, Slalom, Clutch")</f>
        <v>IBM, McKinsey, QuantumBlack, Fractal Analytics, Slalom, Clutch</v>
      </c>
      <c r="I587" s="11">
        <f>IFERROR(__xludf.DUMMYFUNCTION("""COMPUTED_VALUE"""),2.0)</f>
        <v>2</v>
      </c>
      <c r="J587" s="11">
        <f>IFERROR(__xludf.DUMMYFUNCTION("""COMPUTED_VALUE"""),0.0)</f>
        <v>0</v>
      </c>
      <c r="K587" s="11">
        <f>IFERROR(__xludf.DUMMYFUNCTION("""COMPUTED_VALUE"""),1.5)</f>
        <v>1.5</v>
      </c>
      <c r="L587" s="11"/>
    </row>
    <row r="588" ht="15.75" customHeight="1">
      <c r="A588" s="10" t="str">
        <f>IFERROR(__xludf.DUMMYFUNCTION("""COMPUTED_VALUE"""),"https://indatalabs.com/blog/data-analytics-companies-in-usa#:~:text=InData%20Labs%20occupies%20a%20distinct%20position%20in,data%20environment%2C%20business%20model%2C%20and%20growth%20objectives.")</f>
        <v>https://indatalabs.com/blog/data-analytics-companies-in-usa#:~:text=InData%20Labs%20occupies%20a%20distinct%20position%20in,data%20environment%2C%20business%20model%2C%20and%20growth%20objectives.</v>
      </c>
      <c r="B588" s="11" t="str">
        <f>IFERROR(__xludf.DUMMYFUNCTION("""COMPUTED_VALUE"""),"Best Data Analytics Companies in the USA — 2026 Guide")</f>
        <v>Best Data Analytics Companies in the USA — 2026 Guide</v>
      </c>
      <c r="C588" s="10" t="str">
        <f>IFERROR(__xludf.DUMMYFUNCTION("""COMPUTED_VALUE"""),"indatalabs.com")</f>
        <v>indatalabs.com</v>
      </c>
      <c r="D588" s="11" t="str">
        <f>IFERROR(__xludf.DUMMYFUNCTION("""COMPUTED_VALUE"""),"LISTICLE")</f>
        <v>LISTICLE</v>
      </c>
      <c r="E588" s="11" t="str">
        <f>IFERROR(__xludf.DUMMYFUNCTION("""COMPUTED_VALUE"""),"CORPORATE")</f>
        <v>CORPORATE</v>
      </c>
      <c r="F588" s="11" t="str">
        <f>IFERROR(__xludf.DUMMYFUNCTION("""COMPUTED_VALUE"""),"Listicle")</f>
        <v>Listicle</v>
      </c>
      <c r="G588" s="11" t="b">
        <f>IFERROR(__xludf.DUMMYFUNCTION("""COMPUTED_VALUE"""),FALSE)</f>
        <v>0</v>
      </c>
      <c r="H588" s="11" t="str">
        <f>IFERROR(__xludf.DUMMYFUNCTION("""COMPUTED_VALUE"""),"McKinsey, IBM, Clutch")</f>
        <v>McKinsey, IBM, Clutch</v>
      </c>
      <c r="I588" s="11">
        <f>IFERROR(__xludf.DUMMYFUNCTION("""COMPUTED_VALUE"""),2.0)</f>
        <v>2</v>
      </c>
      <c r="J588" s="11">
        <f>IFERROR(__xludf.DUMMYFUNCTION("""COMPUTED_VALUE"""),0.0)</f>
        <v>0</v>
      </c>
      <c r="K588" s="11">
        <f>IFERROR(__xludf.DUMMYFUNCTION("""COMPUTED_VALUE"""),1.0)</f>
        <v>1</v>
      </c>
      <c r="L588" s="11"/>
    </row>
    <row r="589" ht="15.75" customHeight="1">
      <c r="A589" s="10" t="str">
        <f>IFERROR(__xludf.DUMMYFUNCTION("""COMPUTED_VALUE"""),"https://ingestlabs.com/top-digital-ad-agencies/")</f>
        <v>https://ingestlabs.com/top-digital-ad-agencies/</v>
      </c>
      <c r="B589" s="11" t="str">
        <f>IFERROR(__xludf.DUMMYFUNCTION("""COMPUTED_VALUE"""),"Top 20 Digital Marketing and Advertising Agencies in the World 2024 | Ingest Labs")</f>
        <v>Top 20 Digital Marketing and Advertising Agencies in the World 2024 | Ingest Labs</v>
      </c>
      <c r="C589" s="10" t="str">
        <f>IFERROR(__xludf.DUMMYFUNCTION("""COMPUTED_VALUE"""),"ingestlabs.com")</f>
        <v>ingestlabs.com</v>
      </c>
      <c r="D589" s="11" t="str">
        <f>IFERROR(__xludf.DUMMYFUNCTION("""COMPUTED_VALUE"""),"LISTICLE")</f>
        <v>LISTICLE</v>
      </c>
      <c r="E589" s="11" t="str">
        <f>IFERROR(__xludf.DUMMYFUNCTION("""COMPUTED_VALUE"""),"CORPORATE")</f>
        <v>CORPORATE</v>
      </c>
      <c r="F589" s="11" t="str">
        <f>IFERROR(__xludf.DUMMYFUNCTION("""COMPUTED_VALUE"""),"Listicle")</f>
        <v>Listicle</v>
      </c>
      <c r="G589" s="11" t="b">
        <f>IFERROR(__xludf.DUMMYFUNCTION("""COMPUTED_VALUE"""),FALSE)</f>
        <v>0</v>
      </c>
      <c r="H589" s="11" t="str">
        <f>IFERROR(__xludf.DUMMYFUNCTION("""COMPUTED_VALUE"""),"First Page Sage, Clutch, Metric Theory, Epsilon, Ogilvy, IBM, Dentsu, BBDO, Thrive Internet Marketing Agency, Disruptive Advertising, WebFX, KlientBoost")</f>
        <v>First Page Sage, Clutch, Metric Theory, Epsilon, Ogilvy, IBM, Dentsu, BBDO, Thrive Internet Marketing Agency, Disruptive Advertising, WebFX, KlientBoost</v>
      </c>
      <c r="I589" s="11">
        <f>IFERROR(__xludf.DUMMYFUNCTION("""COMPUTED_VALUE"""),2.0)</f>
        <v>2</v>
      </c>
      <c r="J589" s="11">
        <f>IFERROR(__xludf.DUMMYFUNCTION("""COMPUTED_VALUE"""),0.0)</f>
        <v>0</v>
      </c>
      <c r="K589" s="11">
        <f>IFERROR(__xludf.DUMMYFUNCTION("""COMPUTED_VALUE"""),1.0)</f>
        <v>1</v>
      </c>
      <c r="L589" s="11"/>
    </row>
    <row r="590" ht="15.75" customHeight="1">
      <c r="A590" s="10" t="str">
        <f>IFERROR(__xludf.DUMMYFUNCTION("""COMPUTED_VALUE"""),"https://www.intuz.com/blog/top-ai-consulting-companies-in-usa")</f>
        <v>https://www.intuz.com/blog/top-ai-consulting-companies-in-usa</v>
      </c>
      <c r="B590" s="11" t="str">
        <f>IFERROR(__xludf.DUMMYFUNCTION("""COMPUTED_VALUE"""),"Top 9 AI Consulting Companies in USA for Enterprises \[2026\]")</f>
        <v>Top 9 AI Consulting Companies in USA for Enterprises \[2026\]</v>
      </c>
      <c r="C590" s="10" t="str">
        <f>IFERROR(__xludf.DUMMYFUNCTION("""COMPUTED_VALUE"""),"intuz.com")</f>
        <v>intuz.com</v>
      </c>
      <c r="D590" s="11" t="str">
        <f>IFERROR(__xludf.DUMMYFUNCTION("""COMPUTED_VALUE"""),"LISTICLE")</f>
        <v>LISTICLE</v>
      </c>
      <c r="E590" s="11" t="str">
        <f>IFERROR(__xludf.DUMMYFUNCTION("""COMPUTED_VALUE"""),"CORPORATE")</f>
        <v>CORPORATE</v>
      </c>
      <c r="F590" s="11" t="str">
        <f>IFERROR(__xludf.DUMMYFUNCTION("""COMPUTED_VALUE"""),"Listicle")</f>
        <v>Listicle</v>
      </c>
      <c r="G590" s="11" t="b">
        <f>IFERROR(__xludf.DUMMYFUNCTION("""COMPUTED_VALUE"""),FALSE)</f>
        <v>0</v>
      </c>
      <c r="H590" s="11" t="str">
        <f>IFERROR(__xludf.DUMMYFUNCTION("""COMPUTED_VALUE"""),"McKinsey, Clutch, Anomaly")</f>
        <v>McKinsey, Clutch, Anomaly</v>
      </c>
      <c r="I590" s="11">
        <f>IFERROR(__xludf.DUMMYFUNCTION("""COMPUTED_VALUE"""),2.0)</f>
        <v>2</v>
      </c>
      <c r="J590" s="11">
        <f>IFERROR(__xludf.DUMMYFUNCTION("""COMPUTED_VALUE"""),0.0)</f>
        <v>0</v>
      </c>
      <c r="K590" s="11">
        <f>IFERROR(__xludf.DUMMYFUNCTION("""COMPUTED_VALUE"""),0.0)</f>
        <v>0</v>
      </c>
      <c r="L590" s="11"/>
    </row>
    <row r="591" ht="15.75" customHeight="1">
      <c r="A591" s="10" t="str">
        <f>IFERROR(__xludf.DUMMYFUNCTION("""COMPUTED_VALUE"""),"https://lengreo.com/best-google-ads-agencies-2025/")</f>
        <v>https://lengreo.com/best-google-ads-agencies-2025/</v>
      </c>
      <c r="B591" s="11" t="str">
        <f>IFERROR(__xludf.DUMMYFUNCTION("""COMPUTED_VALUE"""),"Top 16 Google Ads Companies for Smarter Campaigns (2026)")</f>
        <v>Top 16 Google Ads Companies for Smarter Campaigns (2026)</v>
      </c>
      <c r="C591" s="10" t="str">
        <f>IFERROR(__xludf.DUMMYFUNCTION("""COMPUTED_VALUE"""),"lengreo.com")</f>
        <v>lengreo.com</v>
      </c>
      <c r="D591" s="11" t="str">
        <f>IFERROR(__xludf.DUMMYFUNCTION("""COMPUTED_VALUE"""),"LISTICLE")</f>
        <v>LISTICLE</v>
      </c>
      <c r="E591" s="11" t="str">
        <f>IFERROR(__xludf.DUMMYFUNCTION("""COMPUTED_VALUE"""),"CORPORATE")</f>
        <v>CORPORATE</v>
      </c>
      <c r="F591" s="11" t="str">
        <f>IFERROR(__xludf.DUMMYFUNCTION("""COMPUTED_VALUE"""),"Listicle")</f>
        <v>Listicle</v>
      </c>
      <c r="G591" s="11" t="b">
        <f>IFERROR(__xludf.DUMMYFUNCTION("""COMPUTED_VALUE"""),FALSE)</f>
        <v>0</v>
      </c>
      <c r="H591" s="11" t="str">
        <f>IFERROR(__xludf.DUMMYFUNCTION("""COMPUTED_VALUE"""),"Clutch, WebFX, Disruptive Advertising, KlientBoost, Directive, SmartSites, Ignite Visibility, Thrive Internet Marketing Agency, Power Digital, Single Grain, NP Digital, Brainlabs, Searchbloom, Funnel Boost Media")</f>
        <v>Clutch, WebFX, Disruptive Advertising, KlientBoost, Directive, SmartSites, Ignite Visibility, Thrive Internet Marketing Agency, Power Digital, Single Grain, NP Digital, Brainlabs, Searchbloom, Funnel Boost Media</v>
      </c>
      <c r="I591" s="11">
        <f>IFERROR(__xludf.DUMMYFUNCTION("""COMPUTED_VALUE"""),2.0)</f>
        <v>2</v>
      </c>
      <c r="J591" s="11">
        <f>IFERROR(__xludf.DUMMYFUNCTION("""COMPUTED_VALUE"""),0.0)</f>
        <v>0</v>
      </c>
      <c r="K591" s="11">
        <f>IFERROR(__xludf.DUMMYFUNCTION("""COMPUTED_VALUE"""),0.0)</f>
        <v>0</v>
      </c>
      <c r="L591" s="11"/>
    </row>
    <row r="592" ht="15.75" customHeight="1">
      <c r="A592" s="10" t="str">
        <f>IFERROR(__xludf.DUMMYFUNCTION("""COMPUTED_VALUE"""),"https://lengreo.com/best-us-agencies-for-meta-ads/")</f>
        <v>https://lengreo.com/best-us-agencies-for-meta-ads/</v>
      </c>
      <c r="B592" s="11" t="str">
        <f>IFERROR(__xludf.DUMMYFUNCTION("""COMPUTED_VALUE"""),"Top 15 Meta Ads Companies Defining Success in the US Market (2026)")</f>
        <v>Top 15 Meta Ads Companies Defining Success in the US Market (2026)</v>
      </c>
      <c r="C592" s="10" t="str">
        <f>IFERROR(__xludf.DUMMYFUNCTION("""COMPUTED_VALUE"""),"lengreo.com")</f>
        <v>lengreo.com</v>
      </c>
      <c r="D592" s="11" t="str">
        <f>IFERROR(__xludf.DUMMYFUNCTION("""COMPUTED_VALUE"""),"LISTICLE")</f>
        <v>LISTICLE</v>
      </c>
      <c r="E592" s="11" t="str">
        <f>IFERROR(__xludf.DUMMYFUNCTION("""COMPUTED_VALUE"""),"CORPORATE")</f>
        <v>CORPORATE</v>
      </c>
      <c r="F592" s="11" t="str">
        <f>IFERROR(__xludf.DUMMYFUNCTION("""COMPUTED_VALUE"""),"Listicle")</f>
        <v>Listicle</v>
      </c>
      <c r="G592" s="11" t="b">
        <f>IFERROR(__xludf.DUMMYFUNCTION("""COMPUTED_VALUE"""),FALSE)</f>
        <v>0</v>
      </c>
      <c r="H592" s="11" t="str">
        <f>IFERROR(__xludf.DUMMYFUNCTION("""COMPUTED_VALUE"""),"Clutch, Disruptive Advertising, LYFE Marketing, KlientBoost, WebFX, Silverback Strategies, Ignite Visibility, Sociallyin, Thrive Internet Marketing Agency, Metric Theory, Monks")</f>
        <v>Clutch, Disruptive Advertising, LYFE Marketing, KlientBoost, WebFX, Silverback Strategies, Ignite Visibility, Sociallyin, Thrive Internet Marketing Agency, Metric Theory, Monks</v>
      </c>
      <c r="I592" s="11">
        <f>IFERROR(__xludf.DUMMYFUNCTION("""COMPUTED_VALUE"""),2.0)</f>
        <v>2</v>
      </c>
      <c r="J592" s="11">
        <f>IFERROR(__xludf.DUMMYFUNCTION("""COMPUTED_VALUE"""),0.0)</f>
        <v>0</v>
      </c>
      <c r="K592" s="11">
        <f>IFERROR(__xludf.DUMMYFUNCTION("""COMPUTED_VALUE"""),0.5)</f>
        <v>0.5</v>
      </c>
      <c r="L592" s="11"/>
    </row>
    <row r="593" ht="15.75" customHeight="1">
      <c r="A593" s="10" t="str">
        <f>IFERROR(__xludf.DUMMYFUNCTION("""COMPUTED_VALUE"""),"https://lifesight.io/blog/best-unified-marketing-measurement-tools/")</f>
        <v>https://lifesight.io/blog/best-unified-marketing-measurement-tools/</v>
      </c>
      <c r="B593" s="11" t="str">
        <f>IFERROR(__xludf.DUMMYFUNCTION("""COMPUTED_VALUE"""),"6 Best Unified Marketing Measurement Tools in 2026 Compared")</f>
        <v>6 Best Unified Marketing Measurement Tools in 2026 Compared</v>
      </c>
      <c r="C593" s="10" t="str">
        <f>IFERROR(__xludf.DUMMYFUNCTION("""COMPUTED_VALUE"""),"lifesight.io")</f>
        <v>lifesight.io</v>
      </c>
      <c r="D593" s="11" t="str">
        <f>IFERROR(__xludf.DUMMYFUNCTION("""COMPUTED_VALUE"""),"LISTICLE")</f>
        <v>LISTICLE</v>
      </c>
      <c r="E593" s="11" t="str">
        <f>IFERROR(__xludf.DUMMYFUNCTION("""COMPUTED_VALUE"""),"COMPETITOR")</f>
        <v>COMPETITOR</v>
      </c>
      <c r="F593" s="11" t="str">
        <f>IFERROR(__xludf.DUMMYFUNCTION("""COMPUTED_VALUE"""),"Listicle")</f>
        <v>Listicle</v>
      </c>
      <c r="G593" s="11" t="b">
        <f>IFERROR(__xludf.DUMMYFUNCTION("""COMPUTED_VALUE"""),FALSE)</f>
        <v>0</v>
      </c>
      <c r="H593" s="11" t="str">
        <f>IFERROR(__xludf.DUMMYFUNCTION("""COMPUTED_VALUE"""),"LifeSight, Measured, Haus, LiftLab, Recast, Rockerbox, Northbeam")</f>
        <v>LifeSight, Measured, Haus, LiftLab, Recast, Rockerbox, Northbeam</v>
      </c>
      <c r="I593" s="11">
        <f>IFERROR(__xludf.DUMMYFUNCTION("""COMPUTED_VALUE"""),2.0)</f>
        <v>2</v>
      </c>
      <c r="J593" s="11">
        <f>IFERROR(__xludf.DUMMYFUNCTION("""COMPUTED_VALUE"""),0.0)</f>
        <v>0</v>
      </c>
      <c r="K593" s="11">
        <f>IFERROR(__xludf.DUMMYFUNCTION("""COMPUTED_VALUE"""),3.0)</f>
        <v>3</v>
      </c>
      <c r="L593" s="11"/>
    </row>
    <row r="594" ht="15.75" customHeight="1">
      <c r="A594" s="10" t="str">
        <f>IFERROR(__xludf.DUMMYFUNCTION("""COMPUTED_VALUE"""),"https://liftlab.com/blog/marketing-mix-modeling-platforms/#:~:text=Different%20platforms%20approach%20calibration%20differently,making%20the%20model's%20confidence%20visible.")</f>
        <v>https://liftlab.com/blog/marketing-mix-modeling-platforms/#:~:text=Different%20platforms%20approach%20calibration%20differently,making%20the%20model's%20confidence%20visible.</v>
      </c>
      <c r="B594" s="11" t="str">
        <f>IFERROR(__xludf.DUMMYFUNCTION("""COMPUTED_VALUE"""),"Top Marketing Mix Modeling Platforms in 2026: A Buyer's Guide for CMOs and CFOs - Liftlab")</f>
        <v>Top Marketing Mix Modeling Platforms in 2026: A Buyer's Guide for CMOs and CFOs - Liftlab</v>
      </c>
      <c r="C594" s="10" t="str">
        <f>IFERROR(__xludf.DUMMYFUNCTION("""COMPUTED_VALUE"""),"liftlab.com")</f>
        <v>liftlab.com</v>
      </c>
      <c r="D594" s="11" t="str">
        <f>IFERROR(__xludf.DUMMYFUNCTION("""COMPUTED_VALUE"""),"COMPARISON")</f>
        <v>COMPARISON</v>
      </c>
      <c r="E594" s="11" t="str">
        <f>IFERROR(__xludf.DUMMYFUNCTION("""COMPUTED_VALUE"""),"COMPETITOR")</f>
        <v>COMPETITOR</v>
      </c>
      <c r="F594" s="11" t="str">
        <f>IFERROR(__xludf.DUMMYFUNCTION("""COMPUTED_VALUE"""),"Comparison")</f>
        <v>Comparison</v>
      </c>
      <c r="G594" s="11" t="b">
        <f>IFERROR(__xludf.DUMMYFUNCTION("""COMPUTED_VALUE"""),FALSE)</f>
        <v>0</v>
      </c>
      <c r="H594" s="11" t="str">
        <f>IFERROR(__xludf.DUMMYFUNCTION("""COMPUTED_VALUE"""),"LiftLab, Measured, Recast, Haus, Analytic Partners")</f>
        <v>LiftLab, Measured, Recast, Haus, Analytic Partners</v>
      </c>
      <c r="I594" s="11">
        <f>IFERROR(__xludf.DUMMYFUNCTION("""COMPUTED_VALUE"""),2.0)</f>
        <v>2</v>
      </c>
      <c r="J594" s="11">
        <f>IFERROR(__xludf.DUMMYFUNCTION("""COMPUTED_VALUE"""),0.0)</f>
        <v>0</v>
      </c>
      <c r="K594" s="11">
        <f>IFERROR(__xludf.DUMMYFUNCTION("""COMPUTED_VALUE"""),1.0)</f>
        <v>1</v>
      </c>
      <c r="L594" s="11"/>
    </row>
    <row r="595" ht="15.75" customHeight="1">
      <c r="A595" s="10" t="str">
        <f>IFERROR(__xludf.DUMMYFUNCTION("""COMPUTED_VALUE"""),"https://www.m8l.com/blog/top-10-answer-engine-optimization-aeo-agencies")</f>
        <v>https://www.m8l.com/blog/top-10-answer-engine-optimization-aeo-agencies</v>
      </c>
      <c r="B595" s="11" t="str">
        <f>IFERROR(__xludf.DUMMYFUNCTION("""COMPUTED_VALUE"""),"Top 10 Answer Engine Optimization (AEO) Agencies of 2025 | Meaningful, m8l")</f>
        <v>Top 10 Answer Engine Optimization (AEO) Agencies of 2025 | Meaningful, m8l</v>
      </c>
      <c r="C595" s="10" t="str">
        <f>IFERROR(__xludf.DUMMYFUNCTION("""COMPUTED_VALUE"""),"m8l.com")</f>
        <v>m8l.com</v>
      </c>
      <c r="D595" s="11" t="str">
        <f>IFERROR(__xludf.DUMMYFUNCTION("""COMPUTED_VALUE"""),"LISTICLE")</f>
        <v>LISTICLE</v>
      </c>
      <c r="E595" s="11" t="str">
        <f>IFERROR(__xludf.DUMMYFUNCTION("""COMPUTED_VALUE"""),"CORPORATE")</f>
        <v>CORPORATE</v>
      </c>
      <c r="F595" s="11" t="str">
        <f>IFERROR(__xludf.DUMMYFUNCTION("""COMPUTED_VALUE"""),"Listicle")</f>
        <v>Listicle</v>
      </c>
      <c r="G595" s="11" t="b">
        <f>IFERROR(__xludf.DUMMYFUNCTION("""COMPUTED_VALUE"""),FALSE)</f>
        <v>0</v>
      </c>
      <c r="H595" s="11" t="str">
        <f>IFERROR(__xludf.DUMMYFUNCTION("""COMPUTED_VALUE"""),"Avenue Z, First Page Sage, Siege Media, NoGood")</f>
        <v>Avenue Z, First Page Sage, Siege Media, NoGood</v>
      </c>
      <c r="I595" s="11">
        <f>IFERROR(__xludf.DUMMYFUNCTION("""COMPUTED_VALUE"""),2.0)</f>
        <v>2</v>
      </c>
      <c r="J595" s="11">
        <f>IFERROR(__xludf.DUMMYFUNCTION("""COMPUTED_VALUE"""),0.0)</f>
        <v>0</v>
      </c>
      <c r="K595" s="11">
        <f>IFERROR(__xludf.DUMMYFUNCTION("""COMPUTED_VALUE"""),0.0)</f>
        <v>0</v>
      </c>
      <c r="L595" s="11"/>
    </row>
    <row r="596" ht="15.75" customHeight="1">
      <c r="A596" s="10" t="str">
        <f>IFERROR(__xludf.DUMMYFUNCTION("""COMPUTED_VALUE"""),"https://marketerhire.com/blog/display-advertising-agency")</f>
        <v>https://marketerhire.com/blog/display-advertising-agency</v>
      </c>
      <c r="B596" s="11" t="str">
        <f>IFERROR(__xludf.DUMMYFUNCTION("""COMPUTED_VALUE"""),"10 Top Display Advertising Agencies to Lower CPMs and Lift Conversions")</f>
        <v>10 Top Display Advertising Agencies to Lower CPMs and Lift Conversions</v>
      </c>
      <c r="C596" s="10" t="str">
        <f>IFERROR(__xludf.DUMMYFUNCTION("""COMPUTED_VALUE"""),"marketerhire.com")</f>
        <v>marketerhire.com</v>
      </c>
      <c r="D596" s="11" t="str">
        <f>IFERROR(__xludf.DUMMYFUNCTION("""COMPUTED_VALUE"""),"LISTICLE")</f>
        <v>LISTICLE</v>
      </c>
      <c r="E596" s="11" t="str">
        <f>IFERROR(__xludf.DUMMYFUNCTION("""COMPUTED_VALUE"""),"CORPORATE")</f>
        <v>CORPORATE</v>
      </c>
      <c r="F596" s="11" t="str">
        <f>IFERROR(__xludf.DUMMYFUNCTION("""COMPUTED_VALUE"""),"Listicle")</f>
        <v>Listicle</v>
      </c>
      <c r="G596" s="11" t="b">
        <f>IFERROR(__xludf.DUMMYFUNCTION("""COMPUTED_VALUE"""),FALSE)</f>
        <v>0</v>
      </c>
      <c r="H596" s="11" t="str">
        <f>IFERROR(__xludf.DUMMYFUNCTION("""COMPUTED_VALUE"""),"MuteSix, Measured, Single Grain, Momentum, inBeat")</f>
        <v>MuteSix, Measured, Single Grain, Momentum, inBeat</v>
      </c>
      <c r="I596" s="11">
        <f>IFERROR(__xludf.DUMMYFUNCTION("""COMPUTED_VALUE"""),2.0)</f>
        <v>2</v>
      </c>
      <c r="J596" s="11">
        <f>IFERROR(__xludf.DUMMYFUNCTION("""COMPUTED_VALUE"""),0.0)</f>
        <v>0</v>
      </c>
      <c r="K596" s="11">
        <f>IFERROR(__xludf.DUMMYFUNCTION("""COMPUTED_VALUE"""),0.5)</f>
        <v>0.5</v>
      </c>
      <c r="L596" s="11"/>
    </row>
    <row r="597" ht="15.75" customHeight="1">
      <c r="A597" s="10" t="str">
        <f>IFERROR(__xludf.DUMMYFUNCTION("""COMPUTED_VALUE"""),"https://marketerhire.com/blog/fractional-marketing-agency")</f>
        <v>https://marketerhire.com/blog/fractional-marketing-agency</v>
      </c>
      <c r="B597" s="11" t="str">
        <f>IFERROR(__xludf.DUMMYFUNCTION("""COMPUTED_VALUE"""),"7 Best Fractional Marketing Agencies in 2025")</f>
        <v>7 Best Fractional Marketing Agencies in 2025</v>
      </c>
      <c r="C597" s="10" t="str">
        <f>IFERROR(__xludf.DUMMYFUNCTION("""COMPUTED_VALUE"""),"marketerhire.com")</f>
        <v>marketerhire.com</v>
      </c>
      <c r="D597" s="11" t="str">
        <f>IFERROR(__xludf.DUMMYFUNCTION("""COMPUTED_VALUE"""),"LISTICLE")</f>
        <v>LISTICLE</v>
      </c>
      <c r="E597" s="11" t="str">
        <f>IFERROR(__xludf.DUMMYFUNCTION("""COMPUTED_VALUE"""),"CORPORATE")</f>
        <v>CORPORATE</v>
      </c>
      <c r="F597" s="11" t="str">
        <f>IFERROR(__xludf.DUMMYFUNCTION("""COMPUTED_VALUE"""),"Listicle")</f>
        <v>Listicle</v>
      </c>
      <c r="G597" s="11" t="b">
        <f>IFERROR(__xludf.DUMMYFUNCTION("""COMPUTED_VALUE"""),FALSE)</f>
        <v>0</v>
      </c>
      <c r="H597" s="11" t="str">
        <f>IFERROR(__xludf.DUMMYFUNCTION("""COMPUTED_VALUE"""),"Right Side Up, Digital Authority Partners")</f>
        <v>Right Side Up, Digital Authority Partners</v>
      </c>
      <c r="I597" s="11">
        <f>IFERROR(__xludf.DUMMYFUNCTION("""COMPUTED_VALUE"""),2.0)</f>
        <v>2</v>
      </c>
      <c r="J597" s="11">
        <f>IFERROR(__xludf.DUMMYFUNCTION("""COMPUTED_VALUE"""),0.0)</f>
        <v>0</v>
      </c>
      <c r="K597" s="11">
        <f>IFERROR(__xludf.DUMMYFUNCTION("""COMPUTED_VALUE"""),1.0)</f>
        <v>1</v>
      </c>
      <c r="L597" s="11"/>
    </row>
    <row r="598" ht="15.75" customHeight="1">
      <c r="A598" s="10" t="str">
        <f>IFERROR(__xludf.DUMMYFUNCTION("""COMPUTED_VALUE"""),"https://marketing-attribution-and-consulting.martechoutlook.com/vendors/top-marketing-attribution-and-consulting-services.html")</f>
        <v>https://marketing-attribution-and-consulting.martechoutlook.com/vendors/top-marketing-attribution-and-consulting-services.html</v>
      </c>
      <c r="B598" s="11" t="str">
        <f>IFERROR(__xludf.DUMMYFUNCTION("""COMPUTED_VALUE"""),"Top Marketing Attribution and Consulting Services")</f>
        <v>Top Marketing Attribution and Consulting Services</v>
      </c>
      <c r="C598" s="10" t="str">
        <f>IFERROR(__xludf.DUMMYFUNCTION("""COMPUTED_VALUE"""),"martechoutlook.com")</f>
        <v>martechoutlook.com</v>
      </c>
      <c r="D598" s="11" t="str">
        <f>IFERROR(__xludf.DUMMYFUNCTION("""COMPUTED_VALUE"""),"LISTICLE")</f>
        <v>LISTICLE</v>
      </c>
      <c r="E598" s="11" t="str">
        <f>IFERROR(__xludf.DUMMYFUNCTION("""COMPUTED_VALUE"""),"EDITORIAL")</f>
        <v>EDITORIAL</v>
      </c>
      <c r="F598" s="11" t="str">
        <f>IFERROR(__xludf.DUMMYFUNCTION("""COMPUTED_VALUE"""),"Listicle")</f>
        <v>Listicle</v>
      </c>
      <c r="G598" s="11" t="b">
        <f>IFERROR(__xludf.DUMMYFUNCTION("""COMPUTED_VALUE"""),FALSE)</f>
        <v>0</v>
      </c>
      <c r="H598" s="11" t="str">
        <f>IFERROR(__xludf.DUMMYFUNCTION("""COMPUTED_VALUE"""),"LiftLab")</f>
        <v>LiftLab</v>
      </c>
      <c r="I598" s="11">
        <f>IFERROR(__xludf.DUMMYFUNCTION("""COMPUTED_VALUE"""),2.0)</f>
        <v>2</v>
      </c>
      <c r="J598" s="11">
        <f>IFERROR(__xludf.DUMMYFUNCTION("""COMPUTED_VALUE"""),0.0)</f>
        <v>0</v>
      </c>
      <c r="K598" s="11">
        <f>IFERROR(__xludf.DUMMYFUNCTION("""COMPUTED_VALUE"""),0.0)</f>
        <v>0</v>
      </c>
      <c r="L598" s="11"/>
    </row>
    <row r="599" ht="15.75" customHeight="1">
      <c r="A599" s="10" t="str">
        <f>IFERROR(__xludf.DUMMYFUNCTION("""COMPUTED_VALUE"""),"https://marketingltb.com/blog/agency/best-enterprise-digital-marketing-agencies/")</f>
        <v>https://marketingltb.com/blog/agency/best-enterprise-digital-marketing-agencies/</v>
      </c>
      <c r="B599" s="11" t="str">
        <f>IFERROR(__xludf.DUMMYFUNCTION("""COMPUTED_VALUE"""),"10 Best Enterprise Digital Marketing Agencies in 2026 - Marketing LTB")</f>
        <v>10 Best Enterprise Digital Marketing Agencies in 2026 - Marketing LTB</v>
      </c>
      <c r="C599" s="10" t="str">
        <f>IFERROR(__xludf.DUMMYFUNCTION("""COMPUTED_VALUE"""),"marketingltb.com")</f>
        <v>marketingltb.com</v>
      </c>
      <c r="D599" s="11" t="str">
        <f>IFERROR(__xludf.DUMMYFUNCTION("""COMPUTED_VALUE"""),"LISTICLE")</f>
        <v>LISTICLE</v>
      </c>
      <c r="E599" s="11" t="str">
        <f>IFERROR(__xludf.DUMMYFUNCTION("""COMPUTED_VALUE"""),"CORPORATE")</f>
        <v>CORPORATE</v>
      </c>
      <c r="F599" s="11" t="str">
        <f>IFERROR(__xludf.DUMMYFUNCTION("""COMPUTED_VALUE"""),"Listicle")</f>
        <v>Listicle</v>
      </c>
      <c r="G599" s="11" t="b">
        <f>IFERROR(__xludf.DUMMYFUNCTION("""COMPUTED_VALUE"""),FALSE)</f>
        <v>0</v>
      </c>
      <c r="H599" s="11" t="str">
        <f>IFERROR(__xludf.DUMMYFUNCTION("""COMPUTED_VALUE"""),"Accenture Song, WPP, Merkle, Dentsu, Brainlabs, Tinuiti, Jellyfish, Wpromote, VML, iProspect, Clutch")</f>
        <v>Accenture Song, WPP, Merkle, Dentsu, Brainlabs, Tinuiti, Jellyfish, Wpromote, VML, iProspect, Clutch</v>
      </c>
      <c r="I599" s="11">
        <f>IFERROR(__xludf.DUMMYFUNCTION("""COMPUTED_VALUE"""),2.0)</f>
        <v>2</v>
      </c>
      <c r="J599" s="11">
        <f>IFERROR(__xludf.DUMMYFUNCTION("""COMPUTED_VALUE"""),0.0)</f>
        <v>0</v>
      </c>
      <c r="K599" s="11">
        <f>IFERROR(__xludf.DUMMYFUNCTION("""COMPUTED_VALUE"""),1.0)</f>
        <v>1</v>
      </c>
      <c r="L599" s="11"/>
    </row>
    <row r="600" ht="15.75" customHeight="1">
      <c r="A600" s="10" t="str">
        <f>IFERROR(__xludf.DUMMYFUNCTION("""COMPUTED_VALUE"""),"https://www.marksourced.com/p/top-7-b2b-generative-engine-optimization-geo-consultancies-in-2025")</f>
        <v>https://www.marksourced.com/p/top-7-b2b-generative-engine-optimization-geo-consultancies-in-2025</v>
      </c>
      <c r="B600" s="11" t="str">
        <f>IFERROR(__xludf.DUMMYFUNCTION("""COMPUTED_VALUE"""),"Top 7 B2B Generative Engine Optimization (GEO) Consultancies in 2025")</f>
        <v>Top 7 B2B Generative Engine Optimization (GEO) Consultancies in 2025</v>
      </c>
      <c r="C600" s="10" t="str">
        <f>IFERROR(__xludf.DUMMYFUNCTION("""COMPUTED_VALUE"""),"marksourced.com")</f>
        <v>marksourced.com</v>
      </c>
      <c r="D600" s="11" t="str">
        <f>IFERROR(__xludf.DUMMYFUNCTION("""COMPUTED_VALUE"""),"LISTICLE")</f>
        <v>LISTICLE</v>
      </c>
      <c r="E600" s="11" t="str">
        <f>IFERROR(__xludf.DUMMYFUNCTION("""COMPUTED_VALUE"""),"CORPORATE")</f>
        <v>CORPORATE</v>
      </c>
      <c r="F600" s="11" t="str">
        <f>IFERROR(__xludf.DUMMYFUNCTION("""COMPUTED_VALUE"""),"Listicle")</f>
        <v>Listicle</v>
      </c>
      <c r="G600" s="11" t="b">
        <f>IFERROR(__xludf.DUMMYFUNCTION("""COMPUTED_VALUE"""),FALSE)</f>
        <v>0</v>
      </c>
      <c r="H600" s="11" t="str">
        <f>IFERROR(__xludf.DUMMYFUNCTION("""COMPUTED_VALUE"""),"Siege Media, NoGood, First Page Sage, Go Fish Digital, Intero Digital")</f>
        <v>Siege Media, NoGood, First Page Sage, Go Fish Digital, Intero Digital</v>
      </c>
      <c r="I600" s="11">
        <f>IFERROR(__xludf.DUMMYFUNCTION("""COMPUTED_VALUE"""),2.0)</f>
        <v>2</v>
      </c>
      <c r="J600" s="11">
        <f>IFERROR(__xludf.DUMMYFUNCTION("""COMPUTED_VALUE"""),0.0)</f>
        <v>0</v>
      </c>
      <c r="K600" s="11">
        <f>IFERROR(__xludf.DUMMYFUNCTION("""COMPUTED_VALUE"""),0.0)</f>
        <v>0</v>
      </c>
      <c r="L600" s="11"/>
    </row>
    <row r="601" ht="15.75" customHeight="1">
      <c r="A601" s="10" t="str">
        <f>IFERROR(__xludf.DUMMYFUNCTION("""COMPUTED_VALUE"""),"https://www.marksourced.com/p/top-8-b2b-generative-engine-optimization-geo-agencies-in-2025")</f>
        <v>https://www.marksourced.com/p/top-8-b2b-generative-engine-optimization-geo-agencies-in-2025</v>
      </c>
      <c r="B601" s="11" t="str">
        <f>IFERROR(__xludf.DUMMYFUNCTION("""COMPUTED_VALUE"""),"Top 8 B2B Generative Engine Optimization (GEO) Agencies in 2025")</f>
        <v>Top 8 B2B Generative Engine Optimization (GEO) Agencies in 2025</v>
      </c>
      <c r="C601" s="10" t="str">
        <f>IFERROR(__xludf.DUMMYFUNCTION("""COMPUTED_VALUE"""),"marksourced.com")</f>
        <v>marksourced.com</v>
      </c>
      <c r="D601" s="11" t="str">
        <f>IFERROR(__xludf.DUMMYFUNCTION("""COMPUTED_VALUE"""),"LISTICLE")</f>
        <v>LISTICLE</v>
      </c>
      <c r="E601" s="11" t="str">
        <f>IFERROR(__xludf.DUMMYFUNCTION("""COMPUTED_VALUE"""),"CORPORATE")</f>
        <v>CORPORATE</v>
      </c>
      <c r="F601" s="11" t="str">
        <f>IFERROR(__xludf.DUMMYFUNCTION("""COMPUTED_VALUE"""),"Listicle")</f>
        <v>Listicle</v>
      </c>
      <c r="G601" s="11" t="b">
        <f>IFERROR(__xludf.DUMMYFUNCTION("""COMPUTED_VALUE"""),FALSE)</f>
        <v>0</v>
      </c>
      <c r="H601" s="11" t="str">
        <f>IFERROR(__xludf.DUMMYFUNCTION("""COMPUTED_VALUE"""),"Siege Media, First Page Sage, Go Fish Digital, Ignite Visibility, NoGood")</f>
        <v>Siege Media, First Page Sage, Go Fish Digital, Ignite Visibility, NoGood</v>
      </c>
      <c r="I601" s="11">
        <f>IFERROR(__xludf.DUMMYFUNCTION("""COMPUTED_VALUE"""),2.0)</f>
        <v>2</v>
      </c>
      <c r="J601" s="11">
        <f>IFERROR(__xludf.DUMMYFUNCTION("""COMPUTED_VALUE"""),0.0)</f>
        <v>0</v>
      </c>
      <c r="K601" s="11">
        <f>IFERROR(__xludf.DUMMYFUNCTION("""COMPUTED_VALUE"""),1.0)</f>
        <v>1</v>
      </c>
      <c r="L601" s="11"/>
    </row>
    <row r="602" ht="15.75" customHeight="1">
      <c r="A602" s="10" t="str">
        <f>IFERROR(__xludf.DUMMYFUNCTION("""COMPUTED_VALUE"""),"https://www.maximuslabs.ai/answer-engine-optimizations/best-aeo-agencies")</f>
        <v>https://www.maximuslabs.ai/answer-engine-optimizations/best-aeo-agencies</v>
      </c>
      <c r="B602" s="11" t="str">
        <f>IFERROR(__xludf.DUMMYFUNCTION("""COMPUTED_VALUE"""),"Top 10 AEO/GEO Agencies 2025, Metrics Evaluated: Pricing, Portfolio &amp;amp; Reviews")</f>
        <v>Top 10 AEO/GEO Agencies 2025, Metrics Evaluated: Pricing, Portfolio &amp;amp; Reviews</v>
      </c>
      <c r="C602" s="10" t="str">
        <f>IFERROR(__xludf.DUMMYFUNCTION("""COMPUTED_VALUE"""),"maximuslabs.ai")</f>
        <v>maximuslabs.ai</v>
      </c>
      <c r="D602" s="11" t="str">
        <f>IFERROR(__xludf.DUMMYFUNCTION("""COMPUTED_VALUE"""),"LISTICLE")</f>
        <v>LISTICLE</v>
      </c>
      <c r="E602" s="11" t="str">
        <f>IFERROR(__xludf.DUMMYFUNCTION("""COMPUTED_VALUE"""),"CORPORATE")</f>
        <v>CORPORATE</v>
      </c>
      <c r="F602" s="11" t="str">
        <f>IFERROR(__xludf.DUMMYFUNCTION("""COMPUTED_VALUE"""),"Listicle")</f>
        <v>Listicle</v>
      </c>
      <c r="G602" s="11" t="b">
        <f>IFERROR(__xludf.DUMMYFUNCTION("""COMPUTED_VALUE"""),FALSE)</f>
        <v>0</v>
      </c>
      <c r="H602" s="11" t="str">
        <f>IFERROR(__xludf.DUMMYFUNCTION("""COMPUTED_VALUE"""),"Victorious, WebFX, Elit-Web, Intero Digital, Ignite Visibility, Clutch, Measured")</f>
        <v>Victorious, WebFX, Elit-Web, Intero Digital, Ignite Visibility, Clutch, Measured</v>
      </c>
      <c r="I602" s="11">
        <f>IFERROR(__xludf.DUMMYFUNCTION("""COMPUTED_VALUE"""),2.0)</f>
        <v>2</v>
      </c>
      <c r="J602" s="11">
        <f>IFERROR(__xludf.DUMMYFUNCTION("""COMPUTED_VALUE"""),0.0)</f>
        <v>0</v>
      </c>
      <c r="K602" s="11">
        <f>IFERROR(__xludf.DUMMYFUNCTION("""COMPUTED_VALUE"""),1.0)</f>
        <v>1</v>
      </c>
      <c r="L602" s="11"/>
    </row>
    <row r="603" ht="15.75" customHeight="1">
      <c r="A603" s="10" t="str">
        <f>IFERROR(__xludf.DUMMYFUNCTION("""COMPUTED_VALUE"""),"https://www.maximuslabs.ai/answer-engine-optimizations/enterprise-aeo-agencies")</f>
        <v>https://www.maximuslabs.ai/answer-engine-optimizations/enterprise-aeo-agencies</v>
      </c>
      <c r="B603" s="11" t="str">
        <f>IFERROR(__xludf.DUMMYFUNCTION("""COMPUTED_VALUE"""),"Top 10 Enterprise AEO/GEO Agencies in 2025: Pricing &amp;amp; ROI Compared")</f>
        <v>Top 10 Enterprise AEO/GEO Agencies in 2025: Pricing &amp;amp; ROI Compared</v>
      </c>
      <c r="C603" s="10" t="str">
        <f>IFERROR(__xludf.DUMMYFUNCTION("""COMPUTED_VALUE"""),"maximuslabs.ai")</f>
        <v>maximuslabs.ai</v>
      </c>
      <c r="D603" s="11" t="str">
        <f>IFERROR(__xludf.DUMMYFUNCTION("""COMPUTED_VALUE"""),"LISTICLE")</f>
        <v>LISTICLE</v>
      </c>
      <c r="E603" s="11" t="str">
        <f>IFERROR(__xludf.DUMMYFUNCTION("""COMPUTED_VALUE"""),"CORPORATE")</f>
        <v>CORPORATE</v>
      </c>
      <c r="F603" s="11" t="str">
        <f>IFERROR(__xludf.DUMMYFUNCTION("""COMPUTED_VALUE"""),"Listicle")</f>
        <v>Listicle</v>
      </c>
      <c r="G603" s="11" t="b">
        <f>IFERROR(__xludf.DUMMYFUNCTION("""COMPUTED_VALUE"""),FALSE)</f>
        <v>0</v>
      </c>
      <c r="H603" s="11" t="str">
        <f>IFERROR(__xludf.DUMMYFUNCTION("""COMPUTED_VALUE"""),"Victorious, iPullRank, Amsive, Single Grain, First Page Sage, Intero Digital, NoGood, Clutch, Momentum")</f>
        <v>Victorious, iPullRank, Amsive, Single Grain, First Page Sage, Intero Digital, NoGood, Clutch, Momentum</v>
      </c>
      <c r="I603" s="11">
        <f>IFERROR(__xludf.DUMMYFUNCTION("""COMPUTED_VALUE"""),2.0)</f>
        <v>2</v>
      </c>
      <c r="J603" s="11">
        <f>IFERROR(__xludf.DUMMYFUNCTION("""COMPUTED_VALUE"""),0.0)</f>
        <v>0</v>
      </c>
      <c r="K603" s="11">
        <f>IFERROR(__xludf.DUMMYFUNCTION("""COMPUTED_VALUE"""),0.0)</f>
        <v>0</v>
      </c>
      <c r="L603" s="11"/>
    </row>
    <row r="604" ht="15.75" customHeight="1">
      <c r="A604" s="10" t="str">
        <f>IFERROR(__xludf.DUMMYFUNCTION("""COMPUTED_VALUE"""),"https://www.measured.com/faq/top-11-best-media-mix-modeling-companies-software-for-2026/")</f>
        <v>https://www.measured.com/faq/top-11-best-media-mix-modeling-companies-software-for-2026/</v>
      </c>
      <c r="B604" s="11" t="str">
        <f>IFERROR(__xludf.DUMMYFUNCTION("""COMPUTED_VALUE"""),"Top 11 Best Media Mix Modeling Companies &amp;amp; Software for 2026 | Measured®")</f>
        <v>Top 11 Best Media Mix Modeling Companies &amp;amp; Software for 2026 | Measured®</v>
      </c>
      <c r="C604" s="10" t="str">
        <f>IFERROR(__xludf.DUMMYFUNCTION("""COMPUTED_VALUE"""),"measured.com")</f>
        <v>measured.com</v>
      </c>
      <c r="D604" s="11" t="str">
        <f>IFERROR(__xludf.DUMMYFUNCTION("""COMPUTED_VALUE"""),"LISTICLE")</f>
        <v>LISTICLE</v>
      </c>
      <c r="E604" s="11" t="str">
        <f>IFERROR(__xludf.DUMMYFUNCTION("""COMPUTED_VALUE"""),"COMPETITOR")</f>
        <v>COMPETITOR</v>
      </c>
      <c r="F604" s="11" t="str">
        <f>IFERROR(__xludf.DUMMYFUNCTION("""COMPUTED_VALUE"""),"Listicle")</f>
        <v>Listicle</v>
      </c>
      <c r="G604" s="11" t="b">
        <f>IFERROR(__xludf.DUMMYFUNCTION("""COMPUTED_VALUE"""),FALSE)</f>
        <v>0</v>
      </c>
      <c r="H604" s="11" t="str">
        <f>IFERROR(__xludf.DUMMYFUNCTION("""COMPUTED_VALUE"""),"Measured, Clay, Nielsen, Analytic Partners, Kantar, Neustar, TransUnion, Gain Theory, WPP, Recast, Anomaly, Haus, Rockerbox")</f>
        <v>Measured, Clay, Nielsen, Analytic Partners, Kantar, Neustar, TransUnion, Gain Theory, WPP, Recast, Anomaly, Haus, Rockerbox</v>
      </c>
      <c r="I604" s="11">
        <f>IFERROR(__xludf.DUMMYFUNCTION("""COMPUTED_VALUE"""),2.0)</f>
        <v>2</v>
      </c>
      <c r="J604" s="11">
        <f>IFERROR(__xludf.DUMMYFUNCTION("""COMPUTED_VALUE"""),0.0)</f>
        <v>0</v>
      </c>
      <c r="K604" s="11">
        <f>IFERROR(__xludf.DUMMYFUNCTION("""COMPUTED_VALUE"""),2.0)</f>
        <v>2</v>
      </c>
      <c r="L604" s="11"/>
    </row>
    <row r="605" ht="15.75" customHeight="1">
      <c r="A605" s="10" t="str">
        <f>IFERROR(__xludf.DUMMYFUNCTION("""COMPUTED_VALUE"""),"https://www.munro.agency/top-marketing-data-science-agencies/")</f>
        <v>https://www.munro.agency/top-marketing-data-science-agencies/</v>
      </c>
      <c r="B605" s="11" t="str">
        <f>IFERROR(__xludf.DUMMYFUNCTION("""COMPUTED_VALUE"""),"Top 17 Marketing Data Science Agencies")</f>
        <v>Top 17 Marketing Data Science Agencies</v>
      </c>
      <c r="C605" s="11" t="str">
        <f>IFERROR(__xludf.DUMMYFUNCTION("""COMPUTED_VALUE"""),"munro.agency")</f>
        <v>munro.agency</v>
      </c>
      <c r="D605" s="11" t="str">
        <f>IFERROR(__xludf.DUMMYFUNCTION("""COMPUTED_VALUE"""),"LISTICLE")</f>
        <v>LISTICLE</v>
      </c>
      <c r="E605" s="11" t="str">
        <f>IFERROR(__xludf.DUMMYFUNCTION("""COMPUTED_VALUE"""),"CORPORATE")</f>
        <v>CORPORATE</v>
      </c>
      <c r="F605" s="11" t="str">
        <f>IFERROR(__xludf.DUMMYFUNCTION("""COMPUTED_VALUE"""),"Listicle")</f>
        <v>Listicle</v>
      </c>
      <c r="G605" s="11" t="b">
        <f>IFERROR(__xludf.DUMMYFUNCTION("""COMPUTED_VALUE"""),FALSE)</f>
        <v>0</v>
      </c>
      <c r="H605" s="11" t="str">
        <f>IFERROR(__xludf.DUMMYFUNCTION("""COMPUTED_VALUE"""),"Measured, Artefact, BCG, McKinsey, LatentView Analytics, PwC, Publicis Sapient, Merkle, Fractal Analytics, Analytic Partners")</f>
        <v>Measured, Artefact, BCG, McKinsey, LatentView Analytics, PwC, Publicis Sapient, Merkle, Fractal Analytics, Analytic Partners</v>
      </c>
      <c r="I605" s="11">
        <f>IFERROR(__xludf.DUMMYFUNCTION("""COMPUTED_VALUE"""),2.0)</f>
        <v>2</v>
      </c>
      <c r="J605" s="11">
        <f>IFERROR(__xludf.DUMMYFUNCTION("""COMPUTED_VALUE"""),0.0)</f>
        <v>0</v>
      </c>
      <c r="K605" s="11">
        <f>IFERROR(__xludf.DUMMYFUNCTION("""COMPUTED_VALUE"""),1.0)</f>
        <v>1</v>
      </c>
      <c r="L605" s="11"/>
    </row>
    <row r="606" ht="15.75" customHeight="1">
      <c r="A606" s="10" t="str">
        <f>IFERROR(__xludf.DUMMYFUNCTION("""COMPUTED_VALUE"""),"https://www.munro.agency/top-paid-media-agencies/")</f>
        <v>https://www.munro.agency/top-paid-media-agencies/</v>
      </c>
      <c r="B606" s="11" t="str">
        <f>IFERROR(__xludf.DUMMYFUNCTION("""COMPUTED_VALUE"""),"Top 10 Paid Media Agencies for 2026")</f>
        <v>Top 10 Paid Media Agencies for 2026</v>
      </c>
      <c r="C606" s="11" t="str">
        <f>IFERROR(__xludf.DUMMYFUNCTION("""COMPUTED_VALUE"""),"munro.agency")</f>
        <v>munro.agency</v>
      </c>
      <c r="D606" s="11" t="str">
        <f>IFERROR(__xludf.DUMMYFUNCTION("""COMPUTED_VALUE"""),"LISTICLE")</f>
        <v>LISTICLE</v>
      </c>
      <c r="E606" s="11" t="str">
        <f>IFERROR(__xludf.DUMMYFUNCTION("""COMPUTED_VALUE"""),"CORPORATE")</f>
        <v>CORPORATE</v>
      </c>
      <c r="F606" s="11" t="str">
        <f>IFERROR(__xludf.DUMMYFUNCTION("""COMPUTED_VALUE"""),"Listicle")</f>
        <v>Listicle</v>
      </c>
      <c r="G606" s="11" t="b">
        <f>IFERROR(__xludf.DUMMYFUNCTION("""COMPUTED_VALUE"""),FALSE)</f>
        <v>0</v>
      </c>
      <c r="H606" s="11" t="str">
        <f>IFERROR(__xludf.DUMMYFUNCTION("""COMPUTED_VALUE"""),"inBeat, Power Digital")</f>
        <v>inBeat, Power Digital</v>
      </c>
      <c r="I606" s="11">
        <f>IFERROR(__xludf.DUMMYFUNCTION("""COMPUTED_VALUE"""),2.0)</f>
        <v>2</v>
      </c>
      <c r="J606" s="11">
        <f>IFERROR(__xludf.DUMMYFUNCTION("""COMPUTED_VALUE"""),0.0)</f>
        <v>0</v>
      </c>
      <c r="K606" s="11">
        <f>IFERROR(__xludf.DUMMYFUNCTION("""COMPUTED_VALUE"""),1.0)</f>
        <v>1</v>
      </c>
      <c r="L606" s="11"/>
    </row>
    <row r="607" ht="15.75" customHeight="1">
      <c r="A607" s="10" t="str">
        <f>IFERROR(__xludf.DUMMYFUNCTION("""COMPUTED_VALUE"""),"https://www.munro.agency/top-sem-agencies/")</f>
        <v>https://www.munro.agency/top-sem-agencies/</v>
      </c>
      <c r="B607" s="11" t="str">
        <f>IFERROR(__xludf.DUMMYFUNCTION("""COMPUTED_VALUE"""),"Top 15 SEM Agencies")</f>
        <v>Top 15 SEM Agencies</v>
      </c>
      <c r="C607" s="11" t="str">
        <f>IFERROR(__xludf.DUMMYFUNCTION("""COMPUTED_VALUE"""),"munro.agency")</f>
        <v>munro.agency</v>
      </c>
      <c r="D607" s="11" t="str">
        <f>IFERROR(__xludf.DUMMYFUNCTION("""COMPUTED_VALUE"""),"LISTICLE")</f>
        <v>LISTICLE</v>
      </c>
      <c r="E607" s="11" t="str">
        <f>IFERROR(__xludf.DUMMYFUNCTION("""COMPUTED_VALUE"""),"CORPORATE")</f>
        <v>CORPORATE</v>
      </c>
      <c r="F607" s="11" t="str">
        <f>IFERROR(__xludf.DUMMYFUNCTION("""COMPUTED_VALUE"""),"Listicle")</f>
        <v>Listicle</v>
      </c>
      <c r="G607" s="11" t="b">
        <f>IFERROR(__xludf.DUMMYFUNCTION("""COMPUTED_VALUE"""),FALSE)</f>
        <v>0</v>
      </c>
      <c r="H607" s="11" t="str">
        <f>IFERROR(__xludf.DUMMYFUNCTION("""COMPUTED_VALUE"""),"HawkSEM, Disruptive Advertising, Jellyfish, DEPT, Ignite Visibility, KlientBoost, Brainlabs, Tinuiti, Metric Theory, Seer Interactive, Merkle")</f>
        <v>HawkSEM, Disruptive Advertising, Jellyfish, DEPT, Ignite Visibility, KlientBoost, Brainlabs, Tinuiti, Metric Theory, Seer Interactive, Merkle</v>
      </c>
      <c r="I607" s="11">
        <f>IFERROR(__xludf.DUMMYFUNCTION("""COMPUTED_VALUE"""),2.0)</f>
        <v>2</v>
      </c>
      <c r="J607" s="11">
        <f>IFERROR(__xludf.DUMMYFUNCTION("""COMPUTED_VALUE"""),0.0)</f>
        <v>0</v>
      </c>
      <c r="K607" s="11">
        <f>IFERROR(__xludf.DUMMYFUNCTION("""COMPUTED_VALUE"""),0.5)</f>
        <v>0.5</v>
      </c>
      <c r="L607" s="11"/>
    </row>
    <row r="608" ht="15.75" customHeight="1">
      <c r="A608" s="10" t="str">
        <f>IFERROR(__xludf.DUMMYFUNCTION("""COMPUTED_VALUE"""),"https://nectivdigital.com/blog/the-best-generative-engine-optimization-agencies-of-2025")</f>
        <v>https://nectivdigital.com/blog/the-best-generative-engine-optimization-agencies-of-2025</v>
      </c>
      <c r="B608" s="11" t="str">
        <f>IFERROR(__xludf.DUMMYFUNCTION("""COMPUTED_VALUE"""),"The Best Generative Engine Optimization Agencies Of 2025 - Nectiv | Nectiv")</f>
        <v>The Best Generative Engine Optimization Agencies Of 2025 - Nectiv | Nectiv</v>
      </c>
      <c r="C608" s="10" t="str">
        <f>IFERROR(__xludf.DUMMYFUNCTION("""COMPUTED_VALUE"""),"nectivdigital.com")</f>
        <v>nectivdigital.com</v>
      </c>
      <c r="D608" s="11" t="str">
        <f>IFERROR(__xludf.DUMMYFUNCTION("""COMPUTED_VALUE"""),"LISTICLE")</f>
        <v>LISTICLE</v>
      </c>
      <c r="E608" s="11" t="str">
        <f>IFERROR(__xludf.DUMMYFUNCTION("""COMPUTED_VALUE"""),"CORPORATE")</f>
        <v>CORPORATE</v>
      </c>
      <c r="F608" s="11" t="str">
        <f>IFERROR(__xludf.DUMMYFUNCTION("""COMPUTED_VALUE"""),"Listicle")</f>
        <v>Listicle</v>
      </c>
      <c r="G608" s="11" t="b">
        <f>IFERROR(__xludf.DUMMYFUNCTION("""COMPUTED_VALUE"""),FALSE)</f>
        <v>0</v>
      </c>
      <c r="H608" s="11" t="str">
        <f>IFERROR(__xludf.DUMMYFUNCTION("""COMPUTED_VALUE"""),"Go Fish Digital, iPullRank, Siege Media, Ignite Visibility, Huge")</f>
        <v>Go Fish Digital, iPullRank, Siege Media, Ignite Visibility, Huge</v>
      </c>
      <c r="I608" s="11">
        <f>IFERROR(__xludf.DUMMYFUNCTION("""COMPUTED_VALUE"""),2.0)</f>
        <v>2</v>
      </c>
      <c r="J608" s="11">
        <f>IFERROR(__xludf.DUMMYFUNCTION("""COMPUTED_VALUE"""),0.0)</f>
        <v>0</v>
      </c>
      <c r="K608" s="11">
        <f>IFERROR(__xludf.DUMMYFUNCTION("""COMPUTED_VALUE"""),0.0)</f>
        <v>0</v>
      </c>
      <c r="L608" s="11"/>
    </row>
    <row r="609" ht="15.75" customHeight="1">
      <c r="A609" s="10" t="str">
        <f>IFERROR(__xludf.DUMMYFUNCTION("""COMPUTED_VALUE"""),"https://www.neuralcapital.ai/articles/top-10-ai-marketing-and-advertising-companies")</f>
        <v>https://www.neuralcapital.ai/articles/top-10-ai-marketing-and-advertising-companies</v>
      </c>
      <c r="B609" s="11" t="str">
        <f>IFERROR(__xludf.DUMMYFUNCTION("""COMPUTED_VALUE"""),"Top 10 AI Marketing &amp;amp; Advertising Companies | NeuralCapital.ai")</f>
        <v>Top 10 AI Marketing &amp;amp; Advertising Companies | NeuralCapital.ai</v>
      </c>
      <c r="C609" s="10" t="str">
        <f>IFERROR(__xludf.DUMMYFUNCTION("""COMPUTED_VALUE"""),"neuralcapital.ai")</f>
        <v>neuralcapital.ai</v>
      </c>
      <c r="D609" s="11" t="str">
        <f>IFERROR(__xludf.DUMMYFUNCTION("""COMPUTED_VALUE"""),"LISTICLE")</f>
        <v>LISTICLE</v>
      </c>
      <c r="E609" s="11" t="str">
        <f>IFERROR(__xludf.DUMMYFUNCTION("""COMPUTED_VALUE"""),"EDITORIAL")</f>
        <v>EDITORIAL</v>
      </c>
      <c r="F609" s="11" t="str">
        <f>IFERROR(__xludf.DUMMYFUNCTION("""COMPUTED_VALUE"""),"Listicle")</f>
        <v>Listicle</v>
      </c>
      <c r="G609" s="11" t="b">
        <f>IFERROR(__xludf.DUMMYFUNCTION("""COMPUTED_VALUE"""),FALSE)</f>
        <v>0</v>
      </c>
      <c r="H609" s="11" t="str">
        <f>IFERROR(__xludf.DUMMYFUNCTION("""COMPUTED_VALUE"""),"Momentum, Optimist")</f>
        <v>Momentum, Optimist</v>
      </c>
      <c r="I609" s="11">
        <f>IFERROR(__xludf.DUMMYFUNCTION("""COMPUTED_VALUE"""),2.0)</f>
        <v>2</v>
      </c>
      <c r="J609" s="11">
        <f>IFERROR(__xludf.DUMMYFUNCTION("""COMPUTED_VALUE"""),0.0)</f>
        <v>0</v>
      </c>
      <c r="K609" s="11">
        <f>IFERROR(__xludf.DUMMYFUNCTION("""COMPUTED_VALUE"""),0.0)</f>
        <v>0</v>
      </c>
      <c r="L609" s="11"/>
    </row>
    <row r="610" ht="15.75" customHeight="1">
      <c r="A610" s="10" t="str">
        <f>IFERROR(__xludf.DUMMYFUNCTION("""COMPUTED_VALUE"""),"https://newengen.com/insights/top-outdoor-marketing-agencies/")</f>
        <v>https://newengen.com/insights/top-outdoor-marketing-agencies/</v>
      </c>
      <c r="B610" s="11" t="str">
        <f>IFERROR(__xludf.DUMMYFUNCTION("""COMPUTED_VALUE"""),"Top Outdoor Marketing Agencies for 2026")</f>
        <v>Top Outdoor Marketing Agencies for 2026</v>
      </c>
      <c r="C610" s="10" t="str">
        <f>IFERROR(__xludf.DUMMYFUNCTION("""COMPUTED_VALUE"""),"newengen.com")</f>
        <v>newengen.com</v>
      </c>
      <c r="D610" s="11" t="str">
        <f>IFERROR(__xludf.DUMMYFUNCTION("""COMPUTED_VALUE"""),"LISTICLE")</f>
        <v>LISTICLE</v>
      </c>
      <c r="E610" s="11" t="str">
        <f>IFERROR(__xludf.DUMMYFUNCTION("""COMPUTED_VALUE"""),"COMPETITOR")</f>
        <v>COMPETITOR</v>
      </c>
      <c r="F610" s="11" t="str">
        <f>IFERROR(__xludf.DUMMYFUNCTION("""COMPUTED_VALUE"""),"Listicle")</f>
        <v>Listicle</v>
      </c>
      <c r="G610" s="11" t="b">
        <f>IFERROR(__xludf.DUMMYFUNCTION("""COMPUTED_VALUE"""),FALSE)</f>
        <v>0</v>
      </c>
      <c r="H610" s="11" t="str">
        <f>IFERROR(__xludf.DUMMYFUNCTION("""COMPUTED_VALUE"""),"New Engen, Power Digital, Tinuiti, Wpromote, Measured, TransUnion")</f>
        <v>New Engen, Power Digital, Tinuiti, Wpromote, Measured, TransUnion</v>
      </c>
      <c r="I610" s="11">
        <f>IFERROR(__xludf.DUMMYFUNCTION("""COMPUTED_VALUE"""),2.0)</f>
        <v>2</v>
      </c>
      <c r="J610" s="11">
        <f>IFERROR(__xludf.DUMMYFUNCTION("""COMPUTED_VALUE"""),0.0)</f>
        <v>0</v>
      </c>
      <c r="K610" s="11">
        <f>IFERROR(__xludf.DUMMYFUNCTION("""COMPUTED_VALUE"""),1.0)</f>
        <v>1</v>
      </c>
      <c r="L610" s="11"/>
    </row>
    <row r="611" ht="15.75" customHeight="1">
      <c r="A611" s="10" t="str">
        <f>IFERROR(__xludf.DUMMYFUNCTION("""COMPUTED_VALUE"""),"https://news.marketersmedia.com/13-best-generative-engine-optimization-geo-agencies-for-usa-brands-in-2026-multi-engine-coverage-edition/89193560")</f>
        <v>https://news.marketersmedia.com/13-best-generative-engine-optimization-geo-agencies-for-usa-brands-in-2026-multi-engine-coverage-edition/89193560</v>
      </c>
      <c r="B611" s="11" t="str">
        <f>IFERROR(__xludf.DUMMYFUNCTION("""COMPUTED_VALUE"""),"13 Best Generative Engine Optimization (GEO) Agencies for USA Brands in 2026: Multi-Engine Coverage Edition")</f>
        <v>13 Best Generative Engine Optimization (GEO) Agencies for USA Brands in 2026: Multi-Engine Coverage Edition</v>
      </c>
      <c r="C611" s="10" t="str">
        <f>IFERROR(__xludf.DUMMYFUNCTION("""COMPUTED_VALUE"""),"marketersmedia.com")</f>
        <v>marketersmedia.com</v>
      </c>
      <c r="D611" s="11" t="str">
        <f>IFERROR(__xludf.DUMMYFUNCTION("""COMPUTED_VALUE"""),"LISTICLE")</f>
        <v>LISTICLE</v>
      </c>
      <c r="E611" s="11" t="str">
        <f>IFERROR(__xludf.DUMMYFUNCTION("""COMPUTED_VALUE"""),"CORPORATE")</f>
        <v>CORPORATE</v>
      </c>
      <c r="F611" s="11" t="str">
        <f>IFERROR(__xludf.DUMMYFUNCTION("""COMPUTED_VALUE"""),"Listicle")</f>
        <v>Listicle</v>
      </c>
      <c r="G611" s="11" t="b">
        <f>IFERROR(__xludf.DUMMYFUNCTION("""COMPUTED_VALUE"""),FALSE)</f>
        <v>0</v>
      </c>
      <c r="H611" s="11" t="str">
        <f>IFERROR(__xludf.DUMMYFUNCTION("""COMPUTED_VALUE"""),"iPullRank, Go Fish Digital, Omniscient Digital, Avenue Z, Intero Digital, Single Grain, Victorious")</f>
        <v>iPullRank, Go Fish Digital, Omniscient Digital, Avenue Z, Intero Digital, Single Grain, Victorious</v>
      </c>
      <c r="I611" s="11">
        <f>IFERROR(__xludf.DUMMYFUNCTION("""COMPUTED_VALUE"""),2.0)</f>
        <v>2</v>
      </c>
      <c r="J611" s="11">
        <f>IFERROR(__xludf.DUMMYFUNCTION("""COMPUTED_VALUE"""),0.0)</f>
        <v>0</v>
      </c>
      <c r="K611" s="11">
        <f>IFERROR(__xludf.DUMMYFUNCTION("""COMPUTED_VALUE"""),0.0)</f>
        <v>0</v>
      </c>
      <c r="L611" s="11"/>
    </row>
    <row r="612" ht="15.75" customHeight="1">
      <c r="A612" s="10" t="str">
        <f>IFERROR(__xludf.DUMMYFUNCTION("""COMPUTED_VALUE"""),"https://nexusexpertresearch.co/blog/best-artificial-intelligence-strategy-consulting-market-leaders/")</f>
        <v>https://nexusexpertresearch.co/blog/best-artificial-intelligence-strategy-consulting-market-leaders/</v>
      </c>
      <c r="B612" s="11" t="str">
        <f>IFERROR(__xludf.DUMMYFUNCTION("""COMPUTED_VALUE"""),"Top Artificial Intelligence Strategy Consulting Market Leaders")</f>
        <v>Top Artificial Intelligence Strategy Consulting Market Leaders</v>
      </c>
      <c r="C612" s="10" t="str">
        <f>IFERROR(__xludf.DUMMYFUNCTION("""COMPUTED_VALUE"""),"nexusexpertresearch.co")</f>
        <v>nexusexpertresearch.co</v>
      </c>
      <c r="D612" s="11" t="str">
        <f>IFERROR(__xludf.DUMMYFUNCTION("""COMPUTED_VALUE"""),"LISTICLE")</f>
        <v>LISTICLE</v>
      </c>
      <c r="E612" s="11" t="str">
        <f>IFERROR(__xludf.DUMMYFUNCTION("""COMPUTED_VALUE"""),"CORPORATE")</f>
        <v>CORPORATE</v>
      </c>
      <c r="F612" s="11" t="str">
        <f>IFERROR(__xludf.DUMMYFUNCTION("""COMPUTED_VALUE"""),"Listicle")</f>
        <v>Listicle</v>
      </c>
      <c r="G612" s="11" t="b">
        <f>IFERROR(__xludf.DUMMYFUNCTION("""COMPUTED_VALUE"""),FALSE)</f>
        <v>0</v>
      </c>
      <c r="H612" s="11" t="str">
        <f>IFERROR(__xludf.DUMMYFUNCTION("""COMPUTED_VALUE"""),"McKinsey, BCG, PwC, QuantumBlack, IBM")</f>
        <v>McKinsey, BCG, PwC, QuantumBlack, IBM</v>
      </c>
      <c r="I612" s="11">
        <f>IFERROR(__xludf.DUMMYFUNCTION("""COMPUTED_VALUE"""),2.0)</f>
        <v>2</v>
      </c>
      <c r="J612" s="11">
        <f>IFERROR(__xludf.DUMMYFUNCTION("""COMPUTED_VALUE"""),0.0)</f>
        <v>0</v>
      </c>
      <c r="K612" s="11">
        <f>IFERROR(__xludf.DUMMYFUNCTION("""COMPUTED_VALUE"""),1.0)</f>
        <v>1</v>
      </c>
      <c r="L612" s="11"/>
    </row>
    <row r="613" ht="15.75" customHeight="1">
      <c r="A613" s="10" t="str">
        <f>IFERROR(__xludf.DUMMYFUNCTION("""COMPUTED_VALUE"""),"https://open.winmo.com/agencies/")</f>
        <v>https://open.winmo.com/agencies/</v>
      </c>
      <c r="B613" s="11" t="str">
        <f>IFERROR(__xludf.DUMMYFUNCTION("""COMPUTED_VALUE"""),"Discover top companies by advertising spend in 2024. Track decision-makers and ad budgets across all media channels with Winmo. Request a trial today!")</f>
        <v>Discover top companies by advertising spend in 2024. Track decision-makers and ad budgets across all media channels with Winmo. Request a trial today!</v>
      </c>
      <c r="C613" s="10" t="str">
        <f>IFERROR(__xludf.DUMMYFUNCTION("""COMPUTED_VALUE"""),"winmo.com")</f>
        <v>winmo.com</v>
      </c>
      <c r="D613" s="11" t="str">
        <f>IFERROR(__xludf.DUMMYFUNCTION("""COMPUTED_VALUE"""),"CATEGORY_PAGE")</f>
        <v>CATEGORY_PAGE</v>
      </c>
      <c r="E613" s="11" t="str">
        <f>IFERROR(__xludf.DUMMYFUNCTION("""COMPUTED_VALUE"""),"CORPORATE")</f>
        <v>CORPORATE</v>
      </c>
      <c r="F613" s="11" t="str">
        <f>IFERROR(__xludf.DUMMYFUNCTION("""COMPUTED_VALUE"""),"Category Page")</f>
        <v>Category Page</v>
      </c>
      <c r="G613" s="11" t="b">
        <f>IFERROR(__xludf.DUMMYFUNCTION("""COMPUTED_VALUE"""),FALSE)</f>
        <v>0</v>
      </c>
      <c r="H613" s="11" t="str">
        <f>IFERROR(__xludf.DUMMYFUNCTION("""COMPUTED_VALUE"""),"Dentsu, WPP, Horizon Media, BBDO, VML, Monks")</f>
        <v>Dentsu, WPP, Horizon Media, BBDO, VML, Monks</v>
      </c>
      <c r="I613" s="11">
        <f>IFERROR(__xludf.DUMMYFUNCTION("""COMPUTED_VALUE"""),2.0)</f>
        <v>2</v>
      </c>
      <c r="J613" s="11">
        <f>IFERROR(__xludf.DUMMYFUNCTION("""COMPUTED_VALUE"""),0.0)</f>
        <v>0</v>
      </c>
      <c r="K613" s="11">
        <f>IFERROR(__xludf.DUMMYFUNCTION("""COMPUTED_VALUE"""),0.0)</f>
        <v>0</v>
      </c>
      <c r="L613" s="11"/>
    </row>
    <row r="614" ht="15.75" customHeight="1">
      <c r="A614" s="10" t="str">
        <f>IFERROR(__xludf.DUMMYFUNCTION("""COMPUTED_VALUE"""),"https://www.phable.io/top-branding-agencies/top-branding-agencies-in-new-york-2025-icons-of-creative-excellence")</f>
        <v>https://www.phable.io/top-branding-agencies/top-branding-agencies-in-new-york-2025-icons-of-creative-excellence</v>
      </c>
      <c r="B614" s="11" t="str">
        <f>IFERROR(__xludf.DUMMYFUNCTION("""COMPUTED_VALUE"""),"Top Branding Agencies in New York (2025) | Icons of Creative Excellence — Branding And Content Marketing For Technology")</f>
        <v>Top Branding Agencies in New York (2025) | Icons of Creative Excellence — Branding And Content Marketing For Technology</v>
      </c>
      <c r="C614" s="10" t="str">
        <f>IFERROR(__xludf.DUMMYFUNCTION("""COMPUTED_VALUE"""),"phable.io")</f>
        <v>phable.io</v>
      </c>
      <c r="D614" s="11" t="str">
        <f>IFERROR(__xludf.DUMMYFUNCTION("""COMPUTED_VALUE"""),"LISTICLE")</f>
        <v>LISTICLE</v>
      </c>
      <c r="E614" s="11" t="str">
        <f>IFERROR(__xludf.DUMMYFUNCTION("""COMPUTED_VALUE"""),"CORPORATE")</f>
        <v>CORPORATE</v>
      </c>
      <c r="F614" s="11" t="str">
        <f>IFERROR(__xludf.DUMMYFUNCTION("""COMPUTED_VALUE"""),"Listicle")</f>
        <v>Listicle</v>
      </c>
      <c r="G614" s="11" t="b">
        <f>IFERROR(__xludf.DUMMYFUNCTION("""COMPUTED_VALUE"""),FALSE)</f>
        <v>0</v>
      </c>
      <c r="H614" s="11" t="str">
        <f>IFERROR(__xludf.DUMMYFUNCTION("""COMPUTED_VALUE"""),"Pentagram, Wolff Olins, R/GA, Huge, BBDO")</f>
        <v>Pentagram, Wolff Olins, R/GA, Huge, BBDO</v>
      </c>
      <c r="I614" s="11">
        <f>IFERROR(__xludf.DUMMYFUNCTION("""COMPUTED_VALUE"""),2.0)</f>
        <v>2</v>
      </c>
      <c r="J614" s="11">
        <f>IFERROR(__xludf.DUMMYFUNCTION("""COMPUTED_VALUE"""),0.0)</f>
        <v>0</v>
      </c>
      <c r="K614" s="11">
        <f>IFERROR(__xludf.DUMMYFUNCTION("""COMPUTED_VALUE"""),1.0)</f>
        <v>1</v>
      </c>
      <c r="L614" s="11"/>
    </row>
    <row r="615" ht="15.75" customHeight="1">
      <c r="A615" s="10" t="str">
        <f>IFERROR(__xludf.DUMMYFUNCTION("""COMPUTED_VALUE"""),"https://phosailabs.com/blog/best-ai-implementation-firms-marketing-agencies")</f>
        <v>https://phosailabs.com/blog/best-ai-implementation-firms-marketing-agencies</v>
      </c>
      <c r="B615" s="11" t="str">
        <f>IFERROR(__xludf.DUMMYFUNCTION("""COMPUTED_VALUE"""),"Best AI Implementation Firms for Marketing Agencies in 2026")</f>
        <v>Best AI Implementation Firms for Marketing Agencies in 2026</v>
      </c>
      <c r="C615" s="10" t="str">
        <f>IFERROR(__xludf.DUMMYFUNCTION("""COMPUTED_VALUE"""),"phosailabs.com")</f>
        <v>phosailabs.com</v>
      </c>
      <c r="D615" s="11" t="str">
        <f>IFERROR(__xludf.DUMMYFUNCTION("""COMPUTED_VALUE"""),"LISTICLE")</f>
        <v>LISTICLE</v>
      </c>
      <c r="E615" s="11" t="str">
        <f>IFERROR(__xludf.DUMMYFUNCTION("""COMPUTED_VALUE"""),"CORPORATE")</f>
        <v>CORPORATE</v>
      </c>
      <c r="F615" s="11" t="str">
        <f>IFERROR(__xludf.DUMMYFUNCTION("""COMPUTED_VALUE"""),"Listicle")</f>
        <v>Listicle</v>
      </c>
      <c r="G615" s="11" t="b">
        <f>IFERROR(__xludf.DUMMYFUNCTION("""COMPUTED_VALUE"""),FALSE)</f>
        <v>0</v>
      </c>
      <c r="H615" s="11" t="str">
        <f>IFERROR(__xludf.DUMMYFUNCTION("""COMPUTED_VALUE"""),"Measured")</f>
        <v>Measured</v>
      </c>
      <c r="I615" s="11">
        <f>IFERROR(__xludf.DUMMYFUNCTION("""COMPUTED_VALUE"""),2.0)</f>
        <v>2</v>
      </c>
      <c r="J615" s="11">
        <f>IFERROR(__xludf.DUMMYFUNCTION("""COMPUTED_VALUE"""),0.0)</f>
        <v>0</v>
      </c>
      <c r="K615" s="11">
        <f>IFERROR(__xludf.DUMMYFUNCTION("""COMPUTED_VALUE"""),1.5)</f>
        <v>1.5</v>
      </c>
      <c r="L615" s="11"/>
    </row>
    <row r="616" ht="15.75" customHeight="1">
      <c r="A616" s="10" t="str">
        <f>IFERROR(__xludf.DUMMYFUNCTION("""COMPUTED_VALUE"""),"https://prometheusagency.co/insights/best-ai-agency-for-mid-market-manufacturers")</f>
        <v>https://prometheusagency.co/insights/best-ai-agency-for-mid-market-manufacturers</v>
      </c>
      <c r="B616" s="11" t="str">
        <f>IFERROR(__xludf.DUMMYFUNCTION("""COMPUTED_VALUE"""),"Best AI Agency for Mid-Market Manufacturers 2026")</f>
        <v>Best AI Agency for Mid-Market Manufacturers 2026</v>
      </c>
      <c r="C616" s="10" t="str">
        <f>IFERROR(__xludf.DUMMYFUNCTION("""COMPUTED_VALUE"""),"prometheusagency.co")</f>
        <v>prometheusagency.co</v>
      </c>
      <c r="D616" s="11" t="str">
        <f>IFERROR(__xludf.DUMMYFUNCTION("""COMPUTED_VALUE"""),"LISTICLE")</f>
        <v>LISTICLE</v>
      </c>
      <c r="E616" s="11" t="str">
        <f>IFERROR(__xludf.DUMMYFUNCTION("""COMPUTED_VALUE"""),"CORPORATE")</f>
        <v>CORPORATE</v>
      </c>
      <c r="F616" s="11" t="str">
        <f>IFERROR(__xludf.DUMMYFUNCTION("""COMPUTED_VALUE"""),"Listicle")</f>
        <v>Listicle</v>
      </c>
      <c r="G616" s="11" t="b">
        <f>IFERROR(__xludf.DUMMYFUNCTION("""COMPUTED_VALUE"""),FALSE)</f>
        <v>0</v>
      </c>
      <c r="H616" s="11" t="str">
        <f>IFERROR(__xludf.DUMMYFUNCTION("""COMPUTED_VALUE"""),"Measured, Anomaly, Momentum, Directive")</f>
        <v>Measured, Anomaly, Momentum, Directive</v>
      </c>
      <c r="I616" s="11">
        <f>IFERROR(__xludf.DUMMYFUNCTION("""COMPUTED_VALUE"""),2.0)</f>
        <v>2</v>
      </c>
      <c r="J616" s="11">
        <f>IFERROR(__xludf.DUMMYFUNCTION("""COMPUTED_VALUE"""),0.0)</f>
        <v>0</v>
      </c>
      <c r="K616" s="11">
        <f>IFERROR(__xludf.DUMMYFUNCTION("""COMPUTED_VALUE"""),1.0)</f>
        <v>1</v>
      </c>
      <c r="L616" s="11"/>
    </row>
    <row r="617" ht="15.75" customHeight="1">
      <c r="A617" s="10" t="str">
        <f>IFERROR(__xludf.DUMMYFUNCTION("""COMPUTED_VALUE"""),"https://www.reddit.com/r/AISEOTricks/comments/1t9xk64/what_are_the_best_seo_agencies_right_now/")</f>
        <v>https://www.reddit.com/r/AISEOTricks/comments/1t9xk64/what_are_the_best_seo_agencies_right_now/</v>
      </c>
      <c r="B617" s="11" t="str">
        <f>IFERROR(__xludf.DUMMYFUNCTION("""COMPUTED_VALUE"""),"What Are the Best SEO Agencies Right Now?")</f>
        <v>What Are the Best SEO Agencies Right Now?</v>
      </c>
      <c r="C617" s="10" t="str">
        <f>IFERROR(__xludf.DUMMYFUNCTION("""COMPUTED_VALUE"""),"reddit.com")</f>
        <v>reddit.com</v>
      </c>
      <c r="D617" s="11" t="str">
        <f>IFERROR(__xludf.DUMMYFUNCTION("""COMPUTED_VALUE"""),"DISCUSSION")</f>
        <v>DISCUSSION</v>
      </c>
      <c r="E617" s="11" t="str">
        <f>IFERROR(__xludf.DUMMYFUNCTION("""COMPUTED_VALUE"""),"UGC")</f>
        <v>UGC</v>
      </c>
      <c r="F617" s="11" t="str">
        <f>IFERROR(__xludf.DUMMYFUNCTION("""COMPUTED_VALUE"""),"Discussion")</f>
        <v>Discussion</v>
      </c>
      <c r="G617" s="11" t="b">
        <f>IFERROR(__xludf.DUMMYFUNCTION("""COMPUTED_VALUE"""),FALSE)</f>
        <v>0</v>
      </c>
      <c r="H617" s="11" t="str">
        <f>IFERROR(__xludf.DUMMYFUNCTION("""COMPUTED_VALUE"""),"Siege Media, Omniscient Digital, First Page Sage, Searchbloom, Intero Digital, iPullRank, Victorious")</f>
        <v>Siege Media, Omniscient Digital, First Page Sage, Searchbloom, Intero Digital, iPullRank, Victorious</v>
      </c>
      <c r="I617" s="11">
        <f>IFERROR(__xludf.DUMMYFUNCTION("""COMPUTED_VALUE"""),2.0)</f>
        <v>2</v>
      </c>
      <c r="J617" s="11">
        <f>IFERROR(__xludf.DUMMYFUNCTION("""COMPUTED_VALUE"""),0.0)</f>
        <v>0</v>
      </c>
      <c r="K617" s="11">
        <f>IFERROR(__xludf.DUMMYFUNCTION("""COMPUTED_VALUE"""),2.0)</f>
        <v>2</v>
      </c>
      <c r="L617" s="11"/>
    </row>
    <row r="618" ht="15.75" customHeight="1">
      <c r="A618" s="10" t="str">
        <f>IFERROR(__xludf.DUMMYFUNCTION("""COMPUTED_VALUE"""),"https://www.reddit.com/r/hiredevelopers_/comments/1n84jms/list_of_best_ai_consulting_companies_in_usa/")</f>
        <v>https://www.reddit.com/r/hiredevelopers_/comments/1n84jms/list_of_best_ai_consulting_companies_in_usa/</v>
      </c>
      <c r="B618" s="11" t="str">
        <f>IFERROR(__xludf.DUMMYFUNCTION("""COMPUTED_VALUE"""),"List of Best Ai consulting companies in USA")</f>
        <v>List of Best Ai consulting companies in USA</v>
      </c>
      <c r="C618" s="10" t="str">
        <f>IFERROR(__xludf.DUMMYFUNCTION("""COMPUTED_VALUE"""),"reddit.com")</f>
        <v>reddit.com</v>
      </c>
      <c r="D618" s="11" t="str">
        <f>IFERROR(__xludf.DUMMYFUNCTION("""COMPUTED_VALUE"""),"DISCUSSION")</f>
        <v>DISCUSSION</v>
      </c>
      <c r="E618" s="11" t="str">
        <f>IFERROR(__xludf.DUMMYFUNCTION("""COMPUTED_VALUE"""),"UGC")</f>
        <v>UGC</v>
      </c>
      <c r="F618" s="11" t="str">
        <f>IFERROR(__xludf.DUMMYFUNCTION("""COMPUTED_VALUE"""),"Discussion")</f>
        <v>Discussion</v>
      </c>
      <c r="G618" s="11" t="b">
        <f>IFERROR(__xludf.DUMMYFUNCTION("""COMPUTED_VALUE"""),FALSE)</f>
        <v>0</v>
      </c>
      <c r="H618" s="11" t="str">
        <f>IFERROR(__xludf.DUMMYFUNCTION("""COMPUTED_VALUE"""),"McKinsey, QuantumBlack, Huge, PwC, BCG, Slalom, IBM")</f>
        <v>McKinsey, QuantumBlack, Huge, PwC, BCG, Slalom, IBM</v>
      </c>
      <c r="I618" s="11">
        <f>IFERROR(__xludf.DUMMYFUNCTION("""COMPUTED_VALUE"""),2.0)</f>
        <v>2</v>
      </c>
      <c r="J618" s="11">
        <f>IFERROR(__xludf.DUMMYFUNCTION("""COMPUTED_VALUE"""),0.0)</f>
        <v>0</v>
      </c>
      <c r="K618" s="11">
        <f>IFERROR(__xludf.DUMMYFUNCTION("""COMPUTED_VALUE"""),1.0)</f>
        <v>1</v>
      </c>
      <c r="L618" s="11"/>
    </row>
    <row r="619" ht="15.75" customHeight="1">
      <c r="A619" s="10" t="str">
        <f>IFERROR(__xludf.DUMMYFUNCTION("""COMPUTED_VALUE"""),"https://www.reddit.com/r/u_Temporary_Meeting182/comments/1tp4iah/best_saas_geo_agencies_in_2026_who_should/")</f>
        <v>https://www.reddit.com/r/u_Temporary_Meeting182/comments/1tp4iah/best_saas_geo_agencies_in_2026_who_should/</v>
      </c>
      <c r="B619" s="11" t="str">
        <f>IFERROR(__xludf.DUMMYFUNCTION("""COMPUTED_VALUE"""),"Best SaaS GEO agencies in 2026 - who should enterprises consider?")</f>
        <v>Best SaaS GEO agencies in 2026 - who should enterprises consider?</v>
      </c>
      <c r="C619" s="10" t="str">
        <f>IFERROR(__xludf.DUMMYFUNCTION("""COMPUTED_VALUE"""),"reddit.com")</f>
        <v>reddit.com</v>
      </c>
      <c r="D619" s="11" t="str">
        <f>IFERROR(__xludf.DUMMYFUNCTION("""COMPUTED_VALUE"""),"DISCUSSION")</f>
        <v>DISCUSSION</v>
      </c>
      <c r="E619" s="11" t="str">
        <f>IFERROR(__xludf.DUMMYFUNCTION("""COMPUTED_VALUE"""),"UGC")</f>
        <v>UGC</v>
      </c>
      <c r="F619" s="11" t="str">
        <f>IFERROR(__xludf.DUMMYFUNCTION("""COMPUTED_VALUE"""),"Discussion")</f>
        <v>Discussion</v>
      </c>
      <c r="G619" s="11" t="b">
        <f>IFERROR(__xludf.DUMMYFUNCTION("""COMPUTED_VALUE"""),FALSE)</f>
        <v>0</v>
      </c>
      <c r="H619" s="11" t="str">
        <f>IFERROR(__xludf.DUMMYFUNCTION("""COMPUTED_VALUE"""),"Searchbloom, The SEO Works, Clutch")</f>
        <v>Searchbloom, The SEO Works, Clutch</v>
      </c>
      <c r="I619" s="11">
        <f>IFERROR(__xludf.DUMMYFUNCTION("""COMPUTED_VALUE"""),2.0)</f>
        <v>2</v>
      </c>
      <c r="J619" s="11">
        <f>IFERROR(__xludf.DUMMYFUNCTION("""COMPUTED_VALUE"""),0.0)</f>
        <v>0</v>
      </c>
      <c r="K619" s="11">
        <f>IFERROR(__xludf.DUMMYFUNCTION("""COMPUTED_VALUE"""),1.0)</f>
        <v>1</v>
      </c>
      <c r="L619" s="11"/>
    </row>
    <row r="620" ht="15.75" customHeight="1">
      <c r="A620" s="10" t="str">
        <f>IFERROR(__xludf.DUMMYFUNCTION("""COMPUTED_VALUE"""),"https://www.reddit.com/r/u_ThoughtMetric/comments/1udm00v/best_improvado_alternatives_updated_june_2026/")</f>
        <v>https://www.reddit.com/r/u_ThoughtMetric/comments/1udm00v/best_improvado_alternatives_updated_june_2026/</v>
      </c>
      <c r="B620" s="11" t="str">
        <f>IFERROR(__xludf.DUMMYFUNCTION("""COMPUTED_VALUE"""),"Best Improvado Alternatives (Updated June 2026)")</f>
        <v>Best Improvado Alternatives (Updated June 2026)</v>
      </c>
      <c r="C620" s="10" t="str">
        <f>IFERROR(__xludf.DUMMYFUNCTION("""COMPUTED_VALUE"""),"reddit.com")</f>
        <v>reddit.com</v>
      </c>
      <c r="D620" s="11" t="str">
        <f>IFERROR(__xludf.DUMMYFUNCTION("""COMPUTED_VALUE"""),"DISCUSSION")</f>
        <v>DISCUSSION</v>
      </c>
      <c r="E620" s="11" t="str">
        <f>IFERROR(__xludf.DUMMYFUNCTION("""COMPUTED_VALUE"""),"UGC")</f>
        <v>UGC</v>
      </c>
      <c r="F620" s="11" t="str">
        <f>IFERROR(__xludf.DUMMYFUNCTION("""COMPUTED_VALUE"""),"Discussion")</f>
        <v>Discussion</v>
      </c>
      <c r="G620" s="11" t="b">
        <f>IFERROR(__xludf.DUMMYFUNCTION("""COMPUTED_VALUE"""),FALSE)</f>
        <v>0</v>
      </c>
      <c r="H620" s="11" t="str">
        <f>IFERROR(__xludf.DUMMYFUNCTION("""COMPUTED_VALUE"""),"Rockerbox, Triple Whale, Northbeam")</f>
        <v>Rockerbox, Triple Whale, Northbeam</v>
      </c>
      <c r="I620" s="11">
        <f>IFERROR(__xludf.DUMMYFUNCTION("""COMPUTED_VALUE"""),2.0)</f>
        <v>2</v>
      </c>
      <c r="J620" s="11">
        <f>IFERROR(__xludf.DUMMYFUNCTION("""COMPUTED_VALUE"""),0.0)</f>
        <v>0</v>
      </c>
      <c r="K620" s="11">
        <f>IFERROR(__xludf.DUMMYFUNCTION("""COMPUTED_VALUE"""),2.0)</f>
        <v>2</v>
      </c>
      <c r="L620" s="11"/>
    </row>
    <row r="621" ht="15.75" customHeight="1">
      <c r="A621" s="10" t="str">
        <f>IFERROR(__xludf.DUMMYFUNCTION("""COMPUTED_VALUE"""),"https://www.resultfirst.com/blog/ai-seo/best-ai-seo-agencies/")</f>
        <v>https://www.resultfirst.com/blog/ai-seo/best-ai-seo-agencies/</v>
      </c>
      <c r="B621" s="11" t="str">
        <f>IFERROR(__xludf.DUMMYFUNCTION("""COMPUTED_VALUE"""),"Top 8 AI SEO Agencies to Consider in 2026 | ResultFirst")</f>
        <v>Top 8 AI SEO Agencies to Consider in 2026 | ResultFirst</v>
      </c>
      <c r="C621" s="10" t="str">
        <f>IFERROR(__xludf.DUMMYFUNCTION("""COMPUTED_VALUE"""),"resultfirst.com")</f>
        <v>resultfirst.com</v>
      </c>
      <c r="D621" s="11" t="str">
        <f>IFERROR(__xludf.DUMMYFUNCTION("""COMPUTED_VALUE"""),"LISTICLE")</f>
        <v>LISTICLE</v>
      </c>
      <c r="E621" s="11" t="str">
        <f>IFERROR(__xludf.DUMMYFUNCTION("""COMPUTED_VALUE"""),"OTHER")</f>
        <v>OTHER</v>
      </c>
      <c r="F621" s="11" t="str">
        <f>IFERROR(__xludf.DUMMYFUNCTION("""COMPUTED_VALUE"""),"Listicle")</f>
        <v>Listicle</v>
      </c>
      <c r="G621" s="11" t="b">
        <f>IFERROR(__xludf.DUMMYFUNCTION("""COMPUTED_VALUE"""),FALSE)</f>
        <v>0</v>
      </c>
      <c r="H621" s="11" t="str">
        <f>IFERROR(__xludf.DUMMYFUNCTION("""COMPUTED_VALUE"""),"RevenueZen, Omniscient Digital, iPullRank, Siege Media")</f>
        <v>RevenueZen, Omniscient Digital, iPullRank, Siege Media</v>
      </c>
      <c r="I621" s="11">
        <f>IFERROR(__xludf.DUMMYFUNCTION("""COMPUTED_VALUE"""),2.0)</f>
        <v>2</v>
      </c>
      <c r="J621" s="11">
        <f>IFERROR(__xludf.DUMMYFUNCTION("""COMPUTED_VALUE"""),0.0)</f>
        <v>0</v>
      </c>
      <c r="K621" s="11">
        <f>IFERROR(__xludf.DUMMYFUNCTION("""COMPUTED_VALUE"""),1.0)</f>
        <v>1</v>
      </c>
      <c r="L621" s="11"/>
    </row>
    <row r="622" ht="15.75" customHeight="1">
      <c r="A622" s="10" t="str">
        <f>IFERROR(__xludf.DUMMYFUNCTION("""COMPUTED_VALUE"""),"https://revenuezen2.rssing.com/chan-77317245/article73.html?nocache=0")</f>
        <v>https://revenuezen2.rssing.com/chan-77317245/article73.html?nocache=0</v>
      </c>
      <c r="B622" s="11" t="str">
        <f>IFERROR(__xludf.DUMMYFUNCTION("""COMPUTED_VALUE"""),"Top Answer Engine Optimization Agencies (AEO) In 2025")</f>
        <v>Top Answer Engine Optimization Agencies (AEO) In 2025</v>
      </c>
      <c r="C622" s="10" t="str">
        <f>IFERROR(__xludf.DUMMYFUNCTION("""COMPUTED_VALUE"""),"rssing.com")</f>
        <v>rssing.com</v>
      </c>
      <c r="D622" s="11" t="str">
        <f>IFERROR(__xludf.DUMMYFUNCTION("""COMPUTED_VALUE"""),"LISTICLE")</f>
        <v>LISTICLE</v>
      </c>
      <c r="E622" s="11" t="str">
        <f>IFERROR(__xludf.DUMMYFUNCTION("""COMPUTED_VALUE"""),"UGC")</f>
        <v>UGC</v>
      </c>
      <c r="F622" s="11" t="str">
        <f>IFERROR(__xludf.DUMMYFUNCTION("""COMPUTED_VALUE"""),"Listicle")</f>
        <v>Listicle</v>
      </c>
      <c r="G622" s="11" t="b">
        <f>IFERROR(__xludf.DUMMYFUNCTION("""COMPUTED_VALUE"""),FALSE)</f>
        <v>0</v>
      </c>
      <c r="H622" s="11" t="str">
        <f>IFERROR(__xludf.DUMMYFUNCTION("""COMPUTED_VALUE"""),"RevenueZen, Omniscient Digital, iPullRank, WebFX, First Page Sage, Huge")</f>
        <v>RevenueZen, Omniscient Digital, iPullRank, WebFX, First Page Sage, Huge</v>
      </c>
      <c r="I622" s="11">
        <f>IFERROR(__xludf.DUMMYFUNCTION("""COMPUTED_VALUE"""),2.0)</f>
        <v>2</v>
      </c>
      <c r="J622" s="11">
        <f>IFERROR(__xludf.DUMMYFUNCTION("""COMPUTED_VALUE"""),0.0)</f>
        <v>0</v>
      </c>
      <c r="K622" s="11">
        <f>IFERROR(__xludf.DUMMYFUNCTION("""COMPUTED_VALUE"""),4.0)</f>
        <v>4</v>
      </c>
      <c r="L622" s="11"/>
    </row>
    <row r="623" ht="15.75" customHeight="1">
      <c r="A623" s="10" t="str">
        <f>IFERROR(__xludf.DUMMYFUNCTION("""COMPUTED_VALUE"""),"https://rhblake.com/best-generative-engine-optimization-geo-agencies-2025-edition/")</f>
        <v>https://rhblake.com/best-generative-engine-optimization-geo-agencies-2025-edition/</v>
      </c>
      <c r="B623" s="11" t="str">
        <f>IFERROR(__xludf.DUMMYFUNCTION("""COMPUTED_VALUE"""),"Best Generative Engine Optimization (GEO) Agencies — 2025 Edition")</f>
        <v>Best Generative Engine Optimization (GEO) Agencies — 2025 Edition</v>
      </c>
      <c r="C623" s="10" t="str">
        <f>IFERROR(__xludf.DUMMYFUNCTION("""COMPUTED_VALUE"""),"rhblake.com")</f>
        <v>rhblake.com</v>
      </c>
      <c r="D623" s="11" t="str">
        <f>IFERROR(__xludf.DUMMYFUNCTION("""COMPUTED_VALUE"""),"LISTICLE")</f>
        <v>LISTICLE</v>
      </c>
      <c r="E623" s="11" t="str">
        <f>IFERROR(__xludf.DUMMYFUNCTION("""COMPUTED_VALUE"""),"CORPORATE")</f>
        <v>CORPORATE</v>
      </c>
      <c r="F623" s="11" t="str">
        <f>IFERROR(__xludf.DUMMYFUNCTION("""COMPUTED_VALUE"""),"Listicle")</f>
        <v>Listicle</v>
      </c>
      <c r="G623" s="11" t="b">
        <f>IFERROR(__xludf.DUMMYFUNCTION("""COMPUTED_VALUE"""),FALSE)</f>
        <v>0</v>
      </c>
      <c r="H623" s="11" t="str">
        <f>IFERROR(__xludf.DUMMYFUNCTION("""COMPUTED_VALUE"""),"Avenue Z, First Page Sage, Ignite Visibility, Intero Digital, iPullRank, NoGood, Omniscient Digital, WebFX")</f>
        <v>Avenue Z, First Page Sage, Ignite Visibility, Intero Digital, iPullRank, NoGood, Omniscient Digital, WebFX</v>
      </c>
      <c r="I623" s="11">
        <f>IFERROR(__xludf.DUMMYFUNCTION("""COMPUTED_VALUE"""),2.0)</f>
        <v>2</v>
      </c>
      <c r="J623" s="11">
        <f>IFERROR(__xludf.DUMMYFUNCTION("""COMPUTED_VALUE"""),0.0)</f>
        <v>0</v>
      </c>
      <c r="K623" s="11">
        <f>IFERROR(__xludf.DUMMYFUNCTION("""COMPUTED_VALUE"""),2.0)</f>
        <v>2</v>
      </c>
      <c r="L623" s="11"/>
    </row>
    <row r="624" ht="15.75" customHeight="1">
      <c r="A624" s="10" t="str">
        <f>IFERROR(__xludf.DUMMYFUNCTION("""COMPUTED_VALUE"""),"https://rocketium.ai/academy/all/ai-tools-scaling-creative-production")</f>
        <v>https://rocketium.ai/academy/all/ai-tools-scaling-creative-production</v>
      </c>
      <c r="B624" s="11" t="str">
        <f>IFERROR(__xludf.DUMMYFUNCTION("""COMPUTED_VALUE"""),"Top 6 AI tools for scaling creative production in 2026")</f>
        <v>Top 6 AI tools for scaling creative production in 2026</v>
      </c>
      <c r="C624" s="10" t="str">
        <f>IFERROR(__xludf.DUMMYFUNCTION("""COMPUTED_VALUE"""),"rocketium.ai")</f>
        <v>rocketium.ai</v>
      </c>
      <c r="D624" s="11" t="str">
        <f>IFERROR(__xludf.DUMMYFUNCTION("""COMPUTED_VALUE"""),"LISTICLE")</f>
        <v>LISTICLE</v>
      </c>
      <c r="E624" s="11" t="str">
        <f>IFERROR(__xludf.DUMMYFUNCTION("""COMPUTED_VALUE"""),"CORPORATE")</f>
        <v>CORPORATE</v>
      </c>
      <c r="F624" s="11" t="str">
        <f>IFERROR(__xludf.DUMMYFUNCTION("""COMPUTED_VALUE"""),"Listicle")</f>
        <v>Listicle</v>
      </c>
      <c r="G624" s="11" t="b">
        <f>IFERROR(__xludf.DUMMYFUNCTION("""COMPUTED_VALUE"""),FALSE)</f>
        <v>0</v>
      </c>
      <c r="H624" s="11" t="str">
        <f>IFERROR(__xludf.DUMMYFUNCTION("""COMPUTED_VALUE"""),"Superside")</f>
        <v>Superside</v>
      </c>
      <c r="I624" s="11">
        <f>IFERROR(__xludf.DUMMYFUNCTION("""COMPUTED_VALUE"""),2.0)</f>
        <v>2</v>
      </c>
      <c r="J624" s="11">
        <f>IFERROR(__xludf.DUMMYFUNCTION("""COMPUTED_VALUE"""),0.0)</f>
        <v>0</v>
      </c>
      <c r="K624" s="11">
        <f>IFERROR(__xludf.DUMMYFUNCTION("""COMPUTED_VALUE"""),0.5)</f>
        <v>0.5</v>
      </c>
      <c r="L624" s="11"/>
    </row>
    <row r="625" ht="15.75" customHeight="1">
      <c r="A625" s="10" t="str">
        <f>IFERROR(__xludf.DUMMYFUNCTION("""COMPUTED_VALUE"""),"https://www.rocktherankings.com/best-geo-agency/")</f>
        <v>https://www.rocktherankings.com/best-geo-agency/</v>
      </c>
      <c r="B625" s="11" t="str">
        <f>IFERROR(__xludf.DUMMYFUNCTION("""COMPUTED_VALUE"""),"Top 13 GEO Agencies for B2B SaaS for Q3 2026")</f>
        <v>Top 13 GEO Agencies for B2B SaaS for Q3 2026</v>
      </c>
      <c r="C625" s="10" t="str">
        <f>IFERROR(__xludf.DUMMYFUNCTION("""COMPUTED_VALUE"""),"rocktherankings.com")</f>
        <v>rocktherankings.com</v>
      </c>
      <c r="D625" s="11" t="str">
        <f>IFERROR(__xludf.DUMMYFUNCTION("""COMPUTED_VALUE"""),"LISTICLE")</f>
        <v>LISTICLE</v>
      </c>
      <c r="E625" s="11" t="str">
        <f>IFERROR(__xludf.DUMMYFUNCTION("""COMPUTED_VALUE"""),"OTHER")</f>
        <v>OTHER</v>
      </c>
      <c r="F625" s="11" t="str">
        <f>IFERROR(__xludf.DUMMYFUNCTION("""COMPUTED_VALUE"""),"Listicle")</f>
        <v>Listicle</v>
      </c>
      <c r="G625" s="11" t="b">
        <f>IFERROR(__xludf.DUMMYFUNCTION("""COMPUTED_VALUE"""),FALSE)</f>
        <v>0</v>
      </c>
      <c r="H625" s="11" t="str">
        <f>IFERROR(__xludf.DUMMYFUNCTION("""COMPUTED_VALUE"""),"First Page Sage, The SEO Works, Directive, Animalz, Siege Media, RevenueZen, Victorious, Clutch")</f>
        <v>First Page Sage, The SEO Works, Directive, Animalz, Siege Media, RevenueZen, Victorious, Clutch</v>
      </c>
      <c r="I625" s="11">
        <f>IFERROR(__xludf.DUMMYFUNCTION("""COMPUTED_VALUE"""),2.0)</f>
        <v>2</v>
      </c>
      <c r="J625" s="11">
        <f>IFERROR(__xludf.DUMMYFUNCTION("""COMPUTED_VALUE"""),0.0)</f>
        <v>0</v>
      </c>
      <c r="K625" s="11">
        <f>IFERROR(__xludf.DUMMYFUNCTION("""COMPUTED_VALUE"""),1.5)</f>
        <v>1.5</v>
      </c>
      <c r="L625" s="11"/>
    </row>
    <row r="626" ht="15.75" customHeight="1">
      <c r="A626" s="10" t="str">
        <f>IFERROR(__xludf.DUMMYFUNCTION("""COMPUTED_VALUE"""),"https://www.saas-hackers.com/top/b2b-saas-enterprise-agencies")</f>
        <v>https://www.saas-hackers.com/top/b2b-saas-enterprise-agencies</v>
      </c>
      <c r="B626" s="11" t="str">
        <f>IFERROR(__xludf.DUMMYFUNCTION("""COMPUTED_VALUE"""),"Top B2B SaaS Enterprise Marketing Agencies | SaaS Hackers")</f>
        <v>Top B2B SaaS Enterprise Marketing Agencies | SaaS Hackers</v>
      </c>
      <c r="C626" s="10" t="str">
        <f>IFERROR(__xludf.DUMMYFUNCTION("""COMPUTED_VALUE"""),"saas-hackers.com")</f>
        <v>saas-hackers.com</v>
      </c>
      <c r="D626" s="11" t="str">
        <f>IFERROR(__xludf.DUMMYFUNCTION("""COMPUTED_VALUE"""),"LISTICLE")</f>
        <v>LISTICLE</v>
      </c>
      <c r="E626" s="11" t="str">
        <f>IFERROR(__xludf.DUMMYFUNCTION("""COMPUTED_VALUE"""),"REFERENCE")</f>
        <v>REFERENCE</v>
      </c>
      <c r="F626" s="11" t="str">
        <f>IFERROR(__xludf.DUMMYFUNCTION("""COMPUTED_VALUE"""),"Listicle")</f>
        <v>Listicle</v>
      </c>
      <c r="G626" s="11" t="b">
        <f>IFERROR(__xludf.DUMMYFUNCTION("""COMPUTED_VALUE"""),FALSE)</f>
        <v>0</v>
      </c>
      <c r="H626" s="11" t="str">
        <f>IFERROR(__xludf.DUMMYFUNCTION("""COMPUTED_VALUE"""),"Metric Theory, Merkle, Tinuiti, Seer Interactive, Silverback Strategies, Measured, Dentsu")</f>
        <v>Metric Theory, Merkle, Tinuiti, Seer Interactive, Silverback Strategies, Measured, Dentsu</v>
      </c>
      <c r="I626" s="11">
        <f>IFERROR(__xludf.DUMMYFUNCTION("""COMPUTED_VALUE"""),2.0)</f>
        <v>2</v>
      </c>
      <c r="J626" s="11">
        <f>IFERROR(__xludf.DUMMYFUNCTION("""COMPUTED_VALUE"""),0.0)</f>
        <v>0</v>
      </c>
      <c r="K626" s="11">
        <f>IFERROR(__xludf.DUMMYFUNCTION("""COMPUTED_VALUE"""),1.0)</f>
        <v>1</v>
      </c>
      <c r="L626" s="11"/>
    </row>
    <row r="627" ht="15.75" customHeight="1">
      <c r="A627" s="10" t="str">
        <f>IFERROR(__xludf.DUMMYFUNCTION("""COMPUTED_VALUE"""),"https://scopicstudios.com/blog/best-enterprise-marketing-data-analytics-consulting-firms-2026/")</f>
        <v>https://scopicstudios.com/blog/best-enterprise-marketing-data-analytics-consulting-firms-2026/</v>
      </c>
      <c r="B627" s="11" t="str">
        <f>IFERROR(__xludf.DUMMYFUNCTION("""COMPUTED_VALUE"""),"Top Marketing Analytics Consulting Firms for Enterprise Data")</f>
        <v>Top Marketing Analytics Consulting Firms for Enterprise Data</v>
      </c>
      <c r="C627" s="10" t="str">
        <f>IFERROR(__xludf.DUMMYFUNCTION("""COMPUTED_VALUE"""),"scopicstudios.com")</f>
        <v>scopicstudios.com</v>
      </c>
      <c r="D627" s="11" t="str">
        <f>IFERROR(__xludf.DUMMYFUNCTION("""COMPUTED_VALUE"""),"CATEGORY_PAGE")</f>
        <v>CATEGORY_PAGE</v>
      </c>
      <c r="E627" s="11" t="str">
        <f>IFERROR(__xludf.DUMMYFUNCTION("""COMPUTED_VALUE"""),"CORPORATE")</f>
        <v>CORPORATE</v>
      </c>
      <c r="F627" s="11" t="str">
        <f>IFERROR(__xludf.DUMMYFUNCTION("""COMPUTED_VALUE"""),"Category Page")</f>
        <v>Category Page</v>
      </c>
      <c r="G627" s="11" t="b">
        <f>IFERROR(__xludf.DUMMYFUNCTION("""COMPUTED_VALUE"""),FALSE)</f>
        <v>0</v>
      </c>
      <c r="H627" s="11" t="str">
        <f>IFERROR(__xludf.DUMMYFUNCTION("""COMPUTED_VALUE"""),"Clutch, Brighter Click, Acadia")</f>
        <v>Clutch, Brighter Click, Acadia</v>
      </c>
      <c r="I627" s="11">
        <f>IFERROR(__xludf.DUMMYFUNCTION("""COMPUTED_VALUE"""),2.0)</f>
        <v>2</v>
      </c>
      <c r="J627" s="11">
        <f>IFERROR(__xludf.DUMMYFUNCTION("""COMPUTED_VALUE"""),0.0)</f>
        <v>0</v>
      </c>
      <c r="K627" s="11">
        <f>IFERROR(__xludf.DUMMYFUNCTION("""COMPUTED_VALUE"""),0.0)</f>
        <v>0</v>
      </c>
      <c r="L627" s="11"/>
    </row>
    <row r="628" ht="15.75" customHeight="1">
      <c r="A628" s="10" t="str">
        <f>IFERROR(__xludf.DUMMYFUNCTION("""COMPUTED_VALUE"""),"https://www.sealglobalholdings.com/ai-search-optimization-agency")</f>
        <v>https://www.sealglobalholdings.com/ai-search-optimization-agency</v>
      </c>
      <c r="B628" s="11" t="str">
        <f>IFERROR(__xludf.DUMMYFUNCTION("""COMPUTED_VALUE"""),"Best AI Search Optimization Agencies 2026 | Top GEO &amp; AEO Agency | Seal Global")</f>
        <v>Best AI Search Optimization Agencies 2026 | Top GEO &amp; AEO Agency | Seal Global</v>
      </c>
      <c r="C628" s="10" t="str">
        <f>IFERROR(__xludf.DUMMYFUNCTION("""COMPUTED_VALUE"""),"sealglobalholdings.com")</f>
        <v>sealglobalholdings.com</v>
      </c>
      <c r="D628" s="11" t="str">
        <f>IFERROR(__xludf.DUMMYFUNCTION("""COMPUTED_VALUE"""),"PRODUCT_PAGE")</f>
        <v>PRODUCT_PAGE</v>
      </c>
      <c r="E628" s="11" t="str">
        <f>IFERROR(__xludf.DUMMYFUNCTION("""COMPUTED_VALUE"""),"CORPORATE")</f>
        <v>CORPORATE</v>
      </c>
      <c r="F628" s="11" t="str">
        <f>IFERROR(__xludf.DUMMYFUNCTION("""COMPUTED_VALUE"""),"Product Page")</f>
        <v>Product Page</v>
      </c>
      <c r="G628" s="11" t="b">
        <f>IFERROR(__xludf.DUMMYFUNCTION("""COMPUTED_VALUE"""),FALSE)</f>
        <v>0</v>
      </c>
      <c r="H628" s="11" t="str">
        <f>IFERROR(__xludf.DUMMYFUNCTION("""COMPUTED_VALUE"""),"Clutch")</f>
        <v>Clutch</v>
      </c>
      <c r="I628" s="11">
        <f>IFERROR(__xludf.DUMMYFUNCTION("""COMPUTED_VALUE"""),2.0)</f>
        <v>2</v>
      </c>
      <c r="J628" s="11">
        <f>IFERROR(__xludf.DUMMYFUNCTION("""COMPUTED_VALUE"""),0.0)</f>
        <v>0</v>
      </c>
      <c r="K628" s="11">
        <f>IFERROR(__xludf.DUMMYFUNCTION("""COMPUTED_VALUE"""),0.5)</f>
        <v>0.5</v>
      </c>
      <c r="L628" s="11"/>
    </row>
    <row r="629" ht="15.75" customHeight="1">
      <c r="A629" s="10" t="str">
        <f>IFERROR(__xludf.DUMMYFUNCTION("""COMPUTED_VALUE"""),"https://sellforte.com/blog/best-ai-tools-for-mmm-and-incrementality-testing")</f>
        <v>https://sellforte.com/blog/best-ai-tools-for-mmm-and-incrementality-testing</v>
      </c>
      <c r="B629" s="11" t="str">
        <f>IFERROR(__xludf.DUMMYFUNCTION("""COMPUTED_VALUE"""),"5 Best Conversational AI Tools for MMM and Incrementality Testing in 2026: An In-Depth Comparison")</f>
        <v>5 Best Conversational AI Tools for MMM and Incrementality Testing in 2026: An In-Depth Comparison</v>
      </c>
      <c r="C629" s="10" t="str">
        <f>IFERROR(__xludf.DUMMYFUNCTION("""COMPUTED_VALUE"""),"sellforte.com")</f>
        <v>sellforte.com</v>
      </c>
      <c r="D629" s="11" t="str">
        <f>IFERROR(__xludf.DUMMYFUNCTION("""COMPUTED_VALUE"""),"COMPARISON")</f>
        <v>COMPARISON</v>
      </c>
      <c r="E629" s="11" t="str">
        <f>IFERROR(__xludf.DUMMYFUNCTION("""COMPUTED_VALUE"""),"COMPETITOR")</f>
        <v>COMPETITOR</v>
      </c>
      <c r="F629" s="11" t="str">
        <f>IFERROR(__xludf.DUMMYFUNCTION("""COMPUTED_VALUE"""),"Comparison")</f>
        <v>Comparison</v>
      </c>
      <c r="G629" s="11" t="b">
        <f>IFERROR(__xludf.DUMMYFUNCTION("""COMPUTED_VALUE"""),FALSE)</f>
        <v>0</v>
      </c>
      <c r="H629" s="11" t="str">
        <f>IFERROR(__xludf.DUMMYFUNCTION("""COMPUTED_VALUE"""),"Sellforte, LifeSight, Triple Whale, Measured, Recast, INCRMNTAL, BCG")</f>
        <v>Sellforte, LifeSight, Triple Whale, Measured, Recast, INCRMNTAL, BCG</v>
      </c>
      <c r="I629" s="11">
        <f>IFERROR(__xludf.DUMMYFUNCTION("""COMPUTED_VALUE"""),2.0)</f>
        <v>2</v>
      </c>
      <c r="J629" s="11">
        <f>IFERROR(__xludf.DUMMYFUNCTION("""COMPUTED_VALUE"""),0.0)</f>
        <v>0</v>
      </c>
      <c r="K629" s="11">
        <f>IFERROR(__xludf.DUMMYFUNCTION("""COMPUTED_VALUE"""),0.0)</f>
        <v>0</v>
      </c>
      <c r="L629" s="11"/>
    </row>
    <row r="630" ht="15.75" customHeight="1">
      <c r="A630" s="10" t="str">
        <f>IFERROR(__xludf.DUMMYFUNCTION("""COMPUTED_VALUE"""),"https://semnexus.com/best-aeo-agencies-in-the-us-for-2026/")</f>
        <v>https://semnexus.com/best-aeo-agencies-in-the-us-for-2026/</v>
      </c>
      <c r="B630" s="11" t="str">
        <f>IFERROR(__xludf.DUMMYFUNCTION("""COMPUTED_VALUE"""),"Best AEO Agencies in the US for 2026 | SEM Nexus")</f>
        <v>Best AEO Agencies in the US for 2026 | SEM Nexus</v>
      </c>
      <c r="C630" s="10" t="str">
        <f>IFERROR(__xludf.DUMMYFUNCTION("""COMPUTED_VALUE"""),"semnexus.com")</f>
        <v>semnexus.com</v>
      </c>
      <c r="D630" s="11" t="str">
        <f>IFERROR(__xludf.DUMMYFUNCTION("""COMPUTED_VALUE"""),"LISTICLE")</f>
        <v>LISTICLE</v>
      </c>
      <c r="E630" s="11" t="str">
        <f>IFERROR(__xludf.DUMMYFUNCTION("""COMPUTED_VALUE"""),"OTHER")</f>
        <v>OTHER</v>
      </c>
      <c r="F630" s="11" t="str">
        <f>IFERROR(__xludf.DUMMYFUNCTION("""COMPUTED_VALUE"""),"Listicle")</f>
        <v>Listicle</v>
      </c>
      <c r="G630" s="11" t="b">
        <f>IFERROR(__xludf.DUMMYFUNCTION("""COMPUTED_VALUE"""),FALSE)</f>
        <v>0</v>
      </c>
      <c r="H630" s="11" t="str">
        <f>IFERROR(__xludf.DUMMYFUNCTION("""COMPUTED_VALUE"""),"Ignite Visibility, WebFX, Thrive Internet Marketing Agency")</f>
        <v>Ignite Visibility, WebFX, Thrive Internet Marketing Agency</v>
      </c>
      <c r="I630" s="11">
        <f>IFERROR(__xludf.DUMMYFUNCTION("""COMPUTED_VALUE"""),2.0)</f>
        <v>2</v>
      </c>
      <c r="J630" s="11">
        <f>IFERROR(__xludf.DUMMYFUNCTION("""COMPUTED_VALUE"""),0.0)</f>
        <v>0</v>
      </c>
      <c r="K630" s="11">
        <f>IFERROR(__xludf.DUMMYFUNCTION("""COMPUTED_VALUE"""),0.5)</f>
        <v>0.5</v>
      </c>
      <c r="L630" s="11"/>
    </row>
    <row r="631" ht="15.75" customHeight="1">
      <c r="A631" s="10" t="str">
        <f>IFERROR(__xludf.DUMMYFUNCTION("""COMPUTED_VALUE"""),"https://www.semrush.com/agencies/list/display-advertising/united-states/")</f>
        <v>https://www.semrush.com/agencies/list/display-advertising/united-states/</v>
      </c>
      <c r="B631" s="11" t="str">
        <f>IFERROR(__xludf.DUMMYFUNCTION("""COMPUTED_VALUE"""),"Best Display Ads Agencies in United States 2026 \| Semrush")</f>
        <v>Best Display Ads Agencies in United States 2026 \| Semrush</v>
      </c>
      <c r="C631" s="10" t="str">
        <f>IFERROR(__xludf.DUMMYFUNCTION("""COMPUTED_VALUE"""),"semrush.com")</f>
        <v>semrush.com</v>
      </c>
      <c r="D631" s="11" t="str">
        <f>IFERROR(__xludf.DUMMYFUNCTION("""COMPUTED_VALUE"""),"PROFILE")</f>
        <v>PROFILE</v>
      </c>
      <c r="E631" s="11" t="str">
        <f>IFERROR(__xludf.DUMMYFUNCTION("""COMPUTED_VALUE"""),"CORPORATE")</f>
        <v>CORPORATE</v>
      </c>
      <c r="F631" s="11" t="str">
        <f>IFERROR(__xludf.DUMMYFUNCTION("""COMPUTED_VALUE"""),"Profile")</f>
        <v>Profile</v>
      </c>
      <c r="G631" s="11" t="b">
        <f>IFERROR(__xludf.DUMMYFUNCTION("""COMPUTED_VALUE"""),FALSE)</f>
        <v>0</v>
      </c>
      <c r="H631" s="11" t="str">
        <f>IFERROR(__xludf.DUMMYFUNCTION("""COMPUTED_VALUE"""),"SmartSites, Elit-Web, Brighter Click")</f>
        <v>SmartSites, Elit-Web, Brighter Click</v>
      </c>
      <c r="I631" s="11">
        <f>IFERROR(__xludf.DUMMYFUNCTION("""COMPUTED_VALUE"""),2.0)</f>
        <v>2</v>
      </c>
      <c r="J631" s="11">
        <f>IFERROR(__xludf.DUMMYFUNCTION("""COMPUTED_VALUE"""),0.0)</f>
        <v>0</v>
      </c>
      <c r="K631" s="11">
        <f>IFERROR(__xludf.DUMMYFUNCTION("""COMPUTED_VALUE"""),0.0)</f>
        <v>0</v>
      </c>
      <c r="L631" s="11"/>
    </row>
    <row r="632" ht="15.75" customHeight="1">
      <c r="A632" s="10" t="str">
        <f>IFERROR(__xludf.DUMMYFUNCTION("""COMPUTED_VALUE"""),"https://www.seo.com/ai/companies/")</f>
        <v>https://www.seo.com/ai/companies/</v>
      </c>
      <c r="B632" s="11" t="str">
        <f>IFERROR(__xludf.DUMMYFUNCTION("""COMPUTED_VALUE"""),"The Top AEO Companies for Boosting AI Search Visibility")</f>
        <v>The Top AEO Companies for Boosting AI Search Visibility</v>
      </c>
      <c r="C632" s="10" t="str">
        <f>IFERROR(__xludf.DUMMYFUNCTION("""COMPUTED_VALUE"""),"seo.com")</f>
        <v>seo.com</v>
      </c>
      <c r="D632" s="11" t="str">
        <f>IFERROR(__xludf.DUMMYFUNCTION("""COMPUTED_VALUE"""),"LISTICLE")</f>
        <v>LISTICLE</v>
      </c>
      <c r="E632" s="11" t="str">
        <f>IFERROR(__xludf.DUMMYFUNCTION("""COMPUTED_VALUE"""),"CORPORATE")</f>
        <v>CORPORATE</v>
      </c>
      <c r="F632" s="11" t="str">
        <f>IFERROR(__xludf.DUMMYFUNCTION("""COMPUTED_VALUE"""),"Listicle")</f>
        <v>Listicle</v>
      </c>
      <c r="G632" s="11" t="b">
        <f>IFERROR(__xludf.DUMMYFUNCTION("""COMPUTED_VALUE"""),FALSE)</f>
        <v>0</v>
      </c>
      <c r="H632" s="11" t="str">
        <f>IFERROR(__xludf.DUMMYFUNCTION("""COMPUTED_VALUE"""),"WebFX, Clutch, Victorious, Intero Digital, Elit-Web")</f>
        <v>WebFX, Clutch, Victorious, Intero Digital, Elit-Web</v>
      </c>
      <c r="I632" s="11">
        <f>IFERROR(__xludf.DUMMYFUNCTION("""COMPUTED_VALUE"""),2.0)</f>
        <v>2</v>
      </c>
      <c r="J632" s="11">
        <f>IFERROR(__xludf.DUMMYFUNCTION("""COMPUTED_VALUE"""),0.0)</f>
        <v>0</v>
      </c>
      <c r="K632" s="11">
        <f>IFERROR(__xludf.DUMMYFUNCTION("""COMPUTED_VALUE"""),0.0)</f>
        <v>0</v>
      </c>
      <c r="L632" s="11"/>
    </row>
    <row r="633" ht="15.75" customHeight="1">
      <c r="A633" s="10" t="str">
        <f>IFERROR(__xludf.DUMMYFUNCTION("""COMPUTED_VALUE"""),"https://www.seodiscovery.com/blog/best-digital-marketing-companies-in-usa/")</f>
        <v>https://www.seodiscovery.com/blog/best-digital-marketing-companies-in-usa/</v>
      </c>
      <c r="B633" s="11" t="str">
        <f>IFERROR(__xludf.DUMMYFUNCTION("""COMPUTED_VALUE"""),"Best Digital Marketing Companies in USA (2026 Edition)")</f>
        <v>Best Digital Marketing Companies in USA (2026 Edition)</v>
      </c>
      <c r="C633" s="10" t="str">
        <f>IFERROR(__xludf.DUMMYFUNCTION("""COMPUTED_VALUE"""),"seodiscovery.com")</f>
        <v>seodiscovery.com</v>
      </c>
      <c r="D633" s="11" t="str">
        <f>IFERROR(__xludf.DUMMYFUNCTION("""COMPUTED_VALUE"""),"LISTICLE")</f>
        <v>LISTICLE</v>
      </c>
      <c r="E633" s="11" t="str">
        <f>IFERROR(__xludf.DUMMYFUNCTION("""COMPUTED_VALUE"""),"CORPORATE")</f>
        <v>CORPORATE</v>
      </c>
      <c r="F633" s="11" t="str">
        <f>IFERROR(__xludf.DUMMYFUNCTION("""COMPUTED_VALUE"""),"Listicle")</f>
        <v>Listicle</v>
      </c>
      <c r="G633" s="11" t="b">
        <f>IFERROR(__xludf.DUMMYFUNCTION("""COMPUTED_VALUE"""),FALSE)</f>
        <v>0</v>
      </c>
      <c r="H633" s="11" t="str">
        <f>IFERROR(__xludf.DUMMYFUNCTION("""COMPUTED_VALUE"""),"WebFX, SmartSites, Funnel Boost Media, Searchbloom, Huge")</f>
        <v>WebFX, SmartSites, Funnel Boost Media, Searchbloom, Huge</v>
      </c>
      <c r="I633" s="11">
        <f>IFERROR(__xludf.DUMMYFUNCTION("""COMPUTED_VALUE"""),2.0)</f>
        <v>2</v>
      </c>
      <c r="J633" s="11">
        <f>IFERROR(__xludf.DUMMYFUNCTION("""COMPUTED_VALUE"""),0.0)</f>
        <v>0</v>
      </c>
      <c r="K633" s="11">
        <f>IFERROR(__xludf.DUMMYFUNCTION("""COMPUTED_VALUE"""),1.0)</f>
        <v>1</v>
      </c>
      <c r="L633" s="11"/>
    </row>
    <row r="634" ht="15.75" customHeight="1">
      <c r="A634" s="10" t="str">
        <f>IFERROR(__xludf.DUMMYFUNCTION("""COMPUTED_VALUE"""),"https://shopiator.com/blog/best-google-ads-agencies-usa")</f>
        <v>https://shopiator.com/blog/best-google-ads-agencies-usa</v>
      </c>
      <c r="B634" s="11" t="str">
        <f>IFERROR(__xludf.DUMMYFUNCTION("""COMPUTED_VALUE"""),"15 Best Google Ads Agencies in the USA (2026). Ranked &amp;amp; Reviewed | Shopiator")</f>
        <v>15 Best Google Ads Agencies in the USA (2026). Ranked &amp;amp; Reviewed | Shopiator</v>
      </c>
      <c r="C634" s="10" t="str">
        <f>IFERROR(__xludf.DUMMYFUNCTION("""COMPUTED_VALUE"""),"shopiator.com")</f>
        <v>shopiator.com</v>
      </c>
      <c r="D634" s="11" t="str">
        <f>IFERROR(__xludf.DUMMYFUNCTION("""COMPUTED_VALUE"""),"LISTICLE")</f>
        <v>LISTICLE</v>
      </c>
      <c r="E634" s="11" t="str">
        <f>IFERROR(__xludf.DUMMYFUNCTION("""COMPUTED_VALUE"""),"CORPORATE")</f>
        <v>CORPORATE</v>
      </c>
      <c r="F634" s="11" t="str">
        <f>IFERROR(__xludf.DUMMYFUNCTION("""COMPUTED_VALUE"""),"Listicle")</f>
        <v>Listicle</v>
      </c>
      <c r="G634" s="11" t="b">
        <f>IFERROR(__xludf.DUMMYFUNCTION("""COMPUTED_VALUE"""),FALSE)</f>
        <v>0</v>
      </c>
      <c r="H634" s="11" t="str">
        <f>IFERROR(__xludf.DUMMYFUNCTION("""COMPUTED_VALUE"""),"SmartSites, LYFE Marketing, Tinuiti, Directive, WebFX, Disruptive Advertising, KlientBoost, Clutch, Ignite Visibility, Single Grain, HawkSEM, Searchbloom, Huge")</f>
        <v>SmartSites, LYFE Marketing, Tinuiti, Directive, WebFX, Disruptive Advertising, KlientBoost, Clutch, Ignite Visibility, Single Grain, HawkSEM, Searchbloom, Huge</v>
      </c>
      <c r="I634" s="11">
        <f>IFERROR(__xludf.DUMMYFUNCTION("""COMPUTED_VALUE"""),2.0)</f>
        <v>2</v>
      </c>
      <c r="J634" s="11">
        <f>IFERROR(__xludf.DUMMYFUNCTION("""COMPUTED_VALUE"""),0.0)</f>
        <v>0</v>
      </c>
      <c r="K634" s="11">
        <f>IFERROR(__xludf.DUMMYFUNCTION("""COMPUTED_VALUE"""),0.0)</f>
        <v>0</v>
      </c>
      <c r="L634" s="11"/>
    </row>
    <row r="635" ht="15.75" customHeight="1">
      <c r="A635" s="10" t="str">
        <f>IFERROR(__xludf.DUMMYFUNCTION("""COMPUTED_VALUE"""),"https://www.silverbackstrategies.com/lists/best-ppc-agencies-in-the-us-ranked-reviewed/")</f>
        <v>https://www.silverbackstrategies.com/lists/best-ppc-agencies-in-the-us-ranked-reviewed/</v>
      </c>
      <c r="B635" s="11" t="str">
        <f>IFERROR(__xludf.DUMMYFUNCTION("""COMPUTED_VALUE"""),"Best PPC Agencies in the U.S. in 2026 (Ranked &amp;amp; Reviewed) | Silverback Strategies")</f>
        <v>Best PPC Agencies in the U.S. in 2026 (Ranked &amp;amp; Reviewed) | Silverback Strategies</v>
      </c>
      <c r="C635" s="10" t="str">
        <f>IFERROR(__xludf.DUMMYFUNCTION("""COMPUTED_VALUE"""),"silverbackstrategies.com")</f>
        <v>silverbackstrategies.com</v>
      </c>
      <c r="D635" s="11" t="str">
        <f>IFERROR(__xludf.DUMMYFUNCTION("""COMPUTED_VALUE"""),"LISTICLE")</f>
        <v>LISTICLE</v>
      </c>
      <c r="E635" s="11" t="str">
        <f>IFERROR(__xludf.DUMMYFUNCTION("""COMPUTED_VALUE"""),"COMPETITOR")</f>
        <v>COMPETITOR</v>
      </c>
      <c r="F635" s="11" t="str">
        <f>IFERROR(__xludf.DUMMYFUNCTION("""COMPUTED_VALUE"""),"Listicle")</f>
        <v>Listicle</v>
      </c>
      <c r="G635" s="11" t="b">
        <f>IFERROR(__xludf.DUMMYFUNCTION("""COMPUTED_VALUE"""),FALSE)</f>
        <v>0</v>
      </c>
      <c r="H635" s="11" t="str">
        <f>IFERROR(__xludf.DUMMYFUNCTION("""COMPUTED_VALUE"""),"Silverback Strategies, Measured, Clutch, Disruptive Advertising, Intero Digital, KlientBoost, Single Grain, HawkSEM")</f>
        <v>Silverback Strategies, Measured, Clutch, Disruptive Advertising, Intero Digital, KlientBoost, Single Grain, HawkSEM</v>
      </c>
      <c r="I635" s="11">
        <f>IFERROR(__xludf.DUMMYFUNCTION("""COMPUTED_VALUE"""),2.0)</f>
        <v>2</v>
      </c>
      <c r="J635" s="11">
        <f>IFERROR(__xludf.DUMMYFUNCTION("""COMPUTED_VALUE"""),0.0)</f>
        <v>0</v>
      </c>
      <c r="K635" s="11">
        <f>IFERROR(__xludf.DUMMYFUNCTION("""COMPUTED_VALUE"""),0.5)</f>
        <v>0.5</v>
      </c>
      <c r="L635" s="11"/>
    </row>
    <row r="636" ht="15.75" customHeight="1">
      <c r="A636" s="10" t="str">
        <f>IFERROR(__xludf.DUMMYFUNCTION("""COMPUTED_VALUE"""),"https://silverspoonagency.com/best-performance-marketing-agencies/")</f>
        <v>https://silverspoonagency.com/best-performance-marketing-agencies/</v>
      </c>
      <c r="B636" s="11" t="str">
        <f>IFERROR(__xludf.DUMMYFUNCTION("""COMPUTED_VALUE"""),"7 Best Performance marketing agencies to Drive ROI in 2026")</f>
        <v>7 Best Performance marketing agencies to Drive ROI in 2026</v>
      </c>
      <c r="C636" s="10" t="str">
        <f>IFERROR(__xludf.DUMMYFUNCTION("""COMPUTED_VALUE"""),"silverspoonagency.com")</f>
        <v>silverspoonagency.com</v>
      </c>
      <c r="D636" s="11" t="str">
        <f>IFERROR(__xludf.DUMMYFUNCTION("""COMPUTED_VALUE"""),"LISTICLE")</f>
        <v>LISTICLE</v>
      </c>
      <c r="E636" s="11" t="str">
        <f>IFERROR(__xludf.DUMMYFUNCTION("""COMPUTED_VALUE"""),"CORPORATE")</f>
        <v>CORPORATE</v>
      </c>
      <c r="F636" s="11" t="str">
        <f>IFERROR(__xludf.DUMMYFUNCTION("""COMPUTED_VALUE"""),"Listicle")</f>
        <v>Listicle</v>
      </c>
      <c r="G636" s="11" t="b">
        <f>IFERROR(__xludf.DUMMYFUNCTION("""COMPUTED_VALUE"""),FALSE)</f>
        <v>0</v>
      </c>
      <c r="H636" s="11" t="str">
        <f>IFERROR(__xludf.DUMMYFUNCTION("""COMPUTED_VALUE"""),"Clutch")</f>
        <v>Clutch</v>
      </c>
      <c r="I636" s="11">
        <f>IFERROR(__xludf.DUMMYFUNCTION("""COMPUTED_VALUE"""),2.0)</f>
        <v>2</v>
      </c>
      <c r="J636" s="11">
        <f>IFERROR(__xludf.DUMMYFUNCTION("""COMPUTED_VALUE"""),0.0)</f>
        <v>0</v>
      </c>
      <c r="K636" s="11">
        <f>IFERROR(__xludf.DUMMYFUNCTION("""COMPUTED_VALUE"""),2.0)</f>
        <v>2</v>
      </c>
      <c r="L636" s="11"/>
    </row>
    <row r="637" ht="15.75" customHeight="1">
      <c r="A637" s="10" t="str">
        <f>IFERROR(__xludf.DUMMYFUNCTION("""COMPUTED_VALUE"""),"https://www.sortlist.com/s/creative/united-states-us")</f>
        <v>https://www.sortlist.com/s/creative/united-states-us</v>
      </c>
      <c r="B637" s="11" t="str">
        <f>IFERROR(__xludf.DUMMYFUNCTION("""COMPUTED_VALUE"""),"The 10 Best Creative Agencies in the United States - 2026 Reviews")</f>
        <v>The 10 Best Creative Agencies in the United States - 2026 Reviews</v>
      </c>
      <c r="C637" s="10" t="str">
        <f>IFERROR(__xludf.DUMMYFUNCTION("""COMPUTED_VALUE"""),"sortlist.com")</f>
        <v>sortlist.com</v>
      </c>
      <c r="D637" s="11" t="str">
        <f>IFERROR(__xludf.DUMMYFUNCTION("""COMPUTED_VALUE"""),"CATEGORY_PAGE")</f>
        <v>CATEGORY_PAGE</v>
      </c>
      <c r="E637" s="11" t="str">
        <f>IFERROR(__xludf.DUMMYFUNCTION("""COMPUTED_VALUE"""),"CORPORATE")</f>
        <v>CORPORATE</v>
      </c>
      <c r="F637" s="11" t="str">
        <f>IFERROR(__xludf.DUMMYFUNCTION("""COMPUTED_VALUE"""),"Category Page")</f>
        <v>Category Page</v>
      </c>
      <c r="G637" s="11" t="b">
        <f>IFERROR(__xludf.DUMMYFUNCTION("""COMPUTED_VALUE"""),FALSE)</f>
        <v>0</v>
      </c>
      <c r="H637" s="11" t="str">
        <f>IFERROR(__xludf.DUMMYFUNCTION("""COMPUTED_VALUE"""),"NinjaPromo, Momentum")</f>
        <v>NinjaPromo, Momentum</v>
      </c>
      <c r="I637" s="11">
        <f>IFERROR(__xludf.DUMMYFUNCTION("""COMPUTED_VALUE"""),2.0)</f>
        <v>2</v>
      </c>
      <c r="J637" s="11">
        <f>IFERROR(__xludf.DUMMYFUNCTION("""COMPUTED_VALUE"""),0.0)</f>
        <v>0</v>
      </c>
      <c r="K637" s="11">
        <f>IFERROR(__xludf.DUMMYFUNCTION("""COMPUTED_VALUE"""),0.0)</f>
        <v>0</v>
      </c>
      <c r="L637" s="11"/>
    </row>
    <row r="638" ht="15.75" customHeight="1">
      <c r="A638" s="10" t="str">
        <f>IFERROR(__xludf.DUMMYFUNCTION("""COMPUTED_VALUE"""),"https://sourceforge.net/software/incrementality-testing/")</f>
        <v>https://sourceforge.net/software/incrementality-testing/</v>
      </c>
      <c r="B638" s="11" t="str">
        <f>IFERROR(__xludf.DUMMYFUNCTION("""COMPUTED_VALUE"""),"Best Incrementality Testing Tools of 2026 - Reviews &amp;amp; Comparison")</f>
        <v>Best Incrementality Testing Tools of 2026 - Reviews &amp;amp; Comparison</v>
      </c>
      <c r="C638" s="10" t="str">
        <f>IFERROR(__xludf.DUMMYFUNCTION("""COMPUTED_VALUE"""),"sourceforge.net")</f>
        <v>sourceforge.net</v>
      </c>
      <c r="D638" s="11" t="str">
        <f>IFERROR(__xludf.DUMMYFUNCTION("""COMPUTED_VALUE"""),"CATEGORY_PAGE")</f>
        <v>CATEGORY_PAGE</v>
      </c>
      <c r="E638" s="11" t="str">
        <f>IFERROR(__xludf.DUMMYFUNCTION("""COMPUTED_VALUE"""),"OTHER")</f>
        <v>OTHER</v>
      </c>
      <c r="F638" s="11" t="str">
        <f>IFERROR(__xludf.DUMMYFUNCTION("""COMPUTED_VALUE"""),"Category Page")</f>
        <v>Category Page</v>
      </c>
      <c r="G638" s="11" t="b">
        <f>IFERROR(__xludf.DUMMYFUNCTION("""COMPUTED_VALUE"""),FALSE)</f>
        <v>0</v>
      </c>
      <c r="H638" s="11" t="str">
        <f>IFERROR(__xludf.DUMMYFUNCTION("""COMPUTED_VALUE"""),"Measured, LifeSight, Sellforte, Rockerbox, Recast, Haus, Analytic Partners")</f>
        <v>Measured, LifeSight, Sellforte, Rockerbox, Recast, Haus, Analytic Partners</v>
      </c>
      <c r="I638" s="11">
        <f>IFERROR(__xludf.DUMMYFUNCTION("""COMPUTED_VALUE"""),2.0)</f>
        <v>2</v>
      </c>
      <c r="J638" s="11">
        <f>IFERROR(__xludf.DUMMYFUNCTION("""COMPUTED_VALUE"""),0.0)</f>
        <v>0</v>
      </c>
      <c r="K638" s="11">
        <f>IFERROR(__xludf.DUMMYFUNCTION("""COMPUTED_VALUE"""),1.0)</f>
        <v>1</v>
      </c>
      <c r="L638" s="11"/>
    </row>
    <row r="639" ht="15.75" customHeight="1">
      <c r="A639" s="10" t="str">
        <f>IFERROR(__xludf.DUMMYFUNCTION("""COMPUTED_VALUE"""),"https://www.superside.com/blog/marketing-design-services")</f>
        <v>https://www.superside.com/blog/marketing-design-services</v>
      </c>
      <c r="B639" s="11" t="str">
        <f>IFERROR(__xludf.DUMMYFUNCTION("""COMPUTED_VALUE"""),"13 Best Marketing Design Services for Enterprises in 2026")</f>
        <v>13 Best Marketing Design Services for Enterprises in 2026</v>
      </c>
      <c r="C639" s="10" t="str">
        <f>IFERROR(__xludf.DUMMYFUNCTION("""COMPUTED_VALUE"""),"superside.com")</f>
        <v>superside.com</v>
      </c>
      <c r="D639" s="11" t="str">
        <f>IFERROR(__xludf.DUMMYFUNCTION("""COMPUTED_VALUE"""),"LISTICLE")</f>
        <v>LISTICLE</v>
      </c>
      <c r="E639" s="11" t="str">
        <f>IFERROR(__xludf.DUMMYFUNCTION("""COMPUTED_VALUE"""),"COMPETITOR")</f>
        <v>COMPETITOR</v>
      </c>
      <c r="F639" s="11" t="str">
        <f>IFERROR(__xludf.DUMMYFUNCTION("""COMPUTED_VALUE"""),"Listicle")</f>
        <v>Listicle</v>
      </c>
      <c r="G639" s="11" t="b">
        <f>IFERROR(__xludf.DUMMYFUNCTION("""COMPUTED_VALUE"""),FALSE)</f>
        <v>0</v>
      </c>
      <c r="H639" s="11" t="str">
        <f>IFERROR(__xludf.DUMMYFUNCTION("""COMPUTED_VALUE"""),"Superside")</f>
        <v>Superside</v>
      </c>
      <c r="I639" s="11">
        <f>IFERROR(__xludf.DUMMYFUNCTION("""COMPUTED_VALUE"""),2.0)</f>
        <v>2</v>
      </c>
      <c r="J639" s="11">
        <f>IFERROR(__xludf.DUMMYFUNCTION("""COMPUTED_VALUE"""),0.0)</f>
        <v>0</v>
      </c>
      <c r="K639" s="11">
        <f>IFERROR(__xludf.DUMMYFUNCTION("""COMPUTED_VALUE"""),1.0)</f>
        <v>1</v>
      </c>
      <c r="L639" s="11"/>
    </row>
    <row r="640" ht="15.75" customHeight="1">
      <c r="A640" s="10" t="str">
        <f>IFERROR(__xludf.DUMMYFUNCTION("""COMPUTED_VALUE"""),"https://themarketingagency.ca/blog/top-creative-agencies-growth/")</f>
        <v>https://themarketingagency.ca/blog/top-creative-agencies-growth/</v>
      </c>
      <c r="B640" s="11" t="str">
        <f>IFERROR(__xludf.DUMMYFUNCTION("""COMPUTED_VALUE"""),"10 Top Creative Agencies for 2026")</f>
        <v>10 Top Creative Agencies for 2026</v>
      </c>
      <c r="C640" s="10" t="str">
        <f>IFERROR(__xludf.DUMMYFUNCTION("""COMPUTED_VALUE"""),"themarketingagency.ca")</f>
        <v>themarketingagency.ca</v>
      </c>
      <c r="D640" s="11" t="str">
        <f>IFERROR(__xludf.DUMMYFUNCTION("""COMPUTED_VALUE"""),"LISTICLE")</f>
        <v>LISTICLE</v>
      </c>
      <c r="E640" s="11" t="str">
        <f>IFERROR(__xludf.DUMMYFUNCTION("""COMPUTED_VALUE"""),"CORPORATE")</f>
        <v>CORPORATE</v>
      </c>
      <c r="F640" s="11" t="str">
        <f>IFERROR(__xludf.DUMMYFUNCTION("""COMPUTED_VALUE"""),"Listicle")</f>
        <v>Listicle</v>
      </c>
      <c r="G640" s="11" t="b">
        <f>IFERROR(__xludf.DUMMYFUNCTION("""COMPUTED_VALUE"""),FALSE)</f>
        <v>0</v>
      </c>
      <c r="H640" s="11" t="str">
        <f>IFERROR(__xludf.DUMMYFUNCTION("""COMPUTED_VALUE"""),"Superside, Wieden+Kennedy, VaynerMedia, Ogilvy, The Social Shepherd, DEPT, inBeat, Giant Spoon, Clutch, Momentum")</f>
        <v>Superside, Wieden+Kennedy, VaynerMedia, Ogilvy, The Social Shepherd, DEPT, inBeat, Giant Spoon, Clutch, Momentum</v>
      </c>
      <c r="I640" s="11">
        <f>IFERROR(__xludf.DUMMYFUNCTION("""COMPUTED_VALUE"""),2.0)</f>
        <v>2</v>
      </c>
      <c r="J640" s="11">
        <f>IFERROR(__xludf.DUMMYFUNCTION("""COMPUTED_VALUE"""),0.0)</f>
        <v>0</v>
      </c>
      <c r="K640" s="11">
        <f>IFERROR(__xludf.DUMMYFUNCTION("""COMPUTED_VALUE"""),1.0)</f>
        <v>1</v>
      </c>
      <c r="L640" s="11"/>
    </row>
    <row r="641" ht="15.75" customHeight="1">
      <c r="A641" s="10" t="str">
        <f>IFERROR(__xludf.DUMMYFUNCTION("""COMPUTED_VALUE"""),"https://www.therealsocialcompany.com/blog/best-ai-marketing-agency-united-states")</f>
        <v>https://www.therealsocialcompany.com/blog/best-ai-marketing-agency-united-states</v>
      </c>
      <c r="B641" s="11" t="str">
        <f>IFERROR(__xludf.DUMMYFUNCTION("""COMPUTED_VALUE"""),"Best AI Marketing Agency in the United States (2026) | The Real Social Company")</f>
        <v>Best AI Marketing Agency in the United States (2026) | The Real Social Company</v>
      </c>
      <c r="C641" s="10" t="str">
        <f>IFERROR(__xludf.DUMMYFUNCTION("""COMPUTED_VALUE"""),"therealsocialcompany.com")</f>
        <v>therealsocialcompany.com</v>
      </c>
      <c r="D641" s="11" t="str">
        <f>IFERROR(__xludf.DUMMYFUNCTION("""COMPUTED_VALUE"""),"OTHER")</f>
        <v>OTHER</v>
      </c>
      <c r="E641" s="11" t="str">
        <f>IFERROR(__xludf.DUMMYFUNCTION("""COMPUTED_VALUE"""),"CORPORATE")</f>
        <v>CORPORATE</v>
      </c>
      <c r="F641" s="11" t="str">
        <f>IFERROR(__xludf.DUMMYFUNCTION("""COMPUTED_VALUE"""),"Other")</f>
        <v>Other</v>
      </c>
      <c r="G641" s="11" t="b">
        <f>IFERROR(__xludf.DUMMYFUNCTION("""COMPUTED_VALUE"""),FALSE)</f>
        <v>0</v>
      </c>
      <c r="H641" s="11"/>
      <c r="I641" s="11">
        <f>IFERROR(__xludf.DUMMYFUNCTION("""COMPUTED_VALUE"""),2.0)</f>
        <v>2</v>
      </c>
      <c r="J641" s="11">
        <f>IFERROR(__xludf.DUMMYFUNCTION("""COMPUTED_VALUE"""),0.0)</f>
        <v>0</v>
      </c>
      <c r="K641" s="11">
        <f>IFERROR(__xludf.DUMMYFUNCTION("""COMPUTED_VALUE"""),0.0)</f>
        <v>0</v>
      </c>
      <c r="L641" s="11"/>
    </row>
    <row r="642" ht="15.75" customHeight="1">
      <c r="A642" s="10" t="str">
        <f>IFERROR(__xludf.DUMMYFUNCTION("""COMPUTED_VALUE"""),"https://thriveagency.com/news/best-ai-seo-agencies/")</f>
        <v>https://thriveagency.com/news/best-ai-seo-agencies/</v>
      </c>
      <c r="B642" s="11" t="str">
        <f>IFERROR(__xludf.DUMMYFUNCTION("""COMPUTED_VALUE"""),"10 Best AI SEO Agencies in 2026 | Thrive Agency")</f>
        <v>10 Best AI SEO Agencies in 2026 | Thrive Agency</v>
      </c>
      <c r="C642" s="10" t="str">
        <f>IFERROR(__xludf.DUMMYFUNCTION("""COMPUTED_VALUE"""),"thriveagency.com")</f>
        <v>thriveagency.com</v>
      </c>
      <c r="D642" s="11" t="str">
        <f>IFERROR(__xludf.DUMMYFUNCTION("""COMPUTED_VALUE"""),"LISTICLE")</f>
        <v>LISTICLE</v>
      </c>
      <c r="E642" s="11" t="str">
        <f>IFERROR(__xludf.DUMMYFUNCTION("""COMPUTED_VALUE"""),"COMPETITOR")</f>
        <v>COMPETITOR</v>
      </c>
      <c r="F642" s="11" t="str">
        <f>IFERROR(__xludf.DUMMYFUNCTION("""COMPUTED_VALUE"""),"Listicle")</f>
        <v>Listicle</v>
      </c>
      <c r="G642" s="11" t="b">
        <f>IFERROR(__xludf.DUMMYFUNCTION("""COMPUTED_VALUE"""),FALSE)</f>
        <v>0</v>
      </c>
      <c r="H642" s="11" t="str">
        <f>IFERROR(__xludf.DUMMYFUNCTION("""COMPUTED_VALUE"""),"Thrive Internet Marketing Agency, Intero Digital, Victorious, Directive, Seer Interactive, Funnel Boost Media")</f>
        <v>Thrive Internet Marketing Agency, Intero Digital, Victorious, Directive, Seer Interactive, Funnel Boost Media</v>
      </c>
      <c r="I642" s="11">
        <f>IFERROR(__xludf.DUMMYFUNCTION("""COMPUTED_VALUE"""),2.0)</f>
        <v>2</v>
      </c>
      <c r="J642" s="11">
        <f>IFERROR(__xludf.DUMMYFUNCTION("""COMPUTED_VALUE"""),0.0)</f>
        <v>0</v>
      </c>
      <c r="K642" s="11">
        <f>IFERROR(__xludf.DUMMYFUNCTION("""COMPUTED_VALUE"""),1.0)</f>
        <v>1</v>
      </c>
      <c r="L642" s="11"/>
    </row>
    <row r="643" ht="15.75" customHeight="1">
      <c r="A643" s="10" t="str">
        <f>IFERROR(__xludf.DUMMYFUNCTION("""COMPUTED_VALUE"""),"https://thriveagency.com/news/best-ppc-companies/")</f>
        <v>https://thriveagency.com/news/best-ppc-companies/</v>
      </c>
      <c r="B643" s="11" t="str">
        <f>IFERROR(__xludf.DUMMYFUNCTION("""COMPUTED_VALUE"""),"20 Best PPC Companies in 2026 | Thrive Agency")</f>
        <v>20 Best PPC Companies in 2026 | Thrive Agency</v>
      </c>
      <c r="C643" s="10" t="str">
        <f>IFERROR(__xludf.DUMMYFUNCTION("""COMPUTED_VALUE"""),"thriveagency.com")</f>
        <v>thriveagency.com</v>
      </c>
      <c r="D643" s="11" t="str">
        <f>IFERROR(__xludf.DUMMYFUNCTION("""COMPUTED_VALUE"""),"LISTICLE")</f>
        <v>LISTICLE</v>
      </c>
      <c r="E643" s="11" t="str">
        <f>IFERROR(__xludf.DUMMYFUNCTION("""COMPUTED_VALUE"""),"COMPETITOR")</f>
        <v>COMPETITOR</v>
      </c>
      <c r="F643" s="11" t="str">
        <f>IFERROR(__xludf.DUMMYFUNCTION("""COMPUTED_VALUE"""),"Listicle")</f>
        <v>Listicle</v>
      </c>
      <c r="G643" s="11" t="b">
        <f>IFERROR(__xludf.DUMMYFUNCTION("""COMPUTED_VALUE"""),FALSE)</f>
        <v>0</v>
      </c>
      <c r="H643" s="11" t="str">
        <f>IFERROR(__xludf.DUMMYFUNCTION("""COMPUTED_VALUE"""),"Thrive Internet Marketing Agency, Disruptive Advertising, Directive, Power Digital, KlientBoost, AdVenture Media, HawkSEM, Metric Theory, Monks, Measured")</f>
        <v>Thrive Internet Marketing Agency, Disruptive Advertising, Directive, Power Digital, KlientBoost, AdVenture Media, HawkSEM, Metric Theory, Monks, Measured</v>
      </c>
      <c r="I643" s="11">
        <f>IFERROR(__xludf.DUMMYFUNCTION("""COMPUTED_VALUE"""),2.0)</f>
        <v>2</v>
      </c>
      <c r="J643" s="11">
        <f>IFERROR(__xludf.DUMMYFUNCTION("""COMPUTED_VALUE"""),0.0)</f>
        <v>0</v>
      </c>
      <c r="K643" s="11">
        <f>IFERROR(__xludf.DUMMYFUNCTION("""COMPUTED_VALUE"""),3.5)</f>
        <v>3.5</v>
      </c>
      <c r="L643" s="11"/>
    </row>
    <row r="644" ht="15.75" customHeight="1">
      <c r="A644" s="10" t="str">
        <f>IFERROR(__xludf.DUMMYFUNCTION("""COMPUTED_VALUE"""),"https://www.topbrandingagencies.io/top-branding-agencies-in-america")</f>
        <v>https://www.topbrandingagencies.io/top-branding-agencies-in-america</v>
      </c>
      <c r="B644" s="11" t="str">
        <f>IFERROR(__xludf.DUMMYFUNCTION("""COMPUTED_VALUE"""),"Top 10 Branding Agencies in the USA (2025) – Industry-Leading Firms Ranked — Top Branding Agencies")</f>
        <v>Top 10 Branding Agencies in the USA (2025) – Industry-Leading Firms Ranked — Top Branding Agencies</v>
      </c>
      <c r="C644" s="10" t="str">
        <f>IFERROR(__xludf.DUMMYFUNCTION("""COMPUTED_VALUE"""),"topbrandingagencies.io")</f>
        <v>topbrandingagencies.io</v>
      </c>
      <c r="D644" s="11" t="str">
        <f>IFERROR(__xludf.DUMMYFUNCTION("""COMPUTED_VALUE"""),"LISTICLE")</f>
        <v>LISTICLE</v>
      </c>
      <c r="E644" s="11" t="str">
        <f>IFERROR(__xludf.DUMMYFUNCTION("""COMPUTED_VALUE"""),"REFERENCE")</f>
        <v>REFERENCE</v>
      </c>
      <c r="F644" s="11" t="str">
        <f>IFERROR(__xludf.DUMMYFUNCTION("""COMPUTED_VALUE"""),"Listicle")</f>
        <v>Listicle</v>
      </c>
      <c r="G644" s="11" t="b">
        <f>IFERROR(__xludf.DUMMYFUNCTION("""COMPUTED_VALUE"""),FALSE)</f>
        <v>0</v>
      </c>
      <c r="H644" s="11" t="str">
        <f>IFERROR(__xludf.DUMMYFUNCTION("""COMPUTED_VALUE"""),"Wieden+Kennedy, Wolff Olins, Clay, BBDO, 72andSunny")</f>
        <v>Wieden+Kennedy, Wolff Olins, Clay, BBDO, 72andSunny</v>
      </c>
      <c r="I644" s="11">
        <f>IFERROR(__xludf.DUMMYFUNCTION("""COMPUTED_VALUE"""),2.0)</f>
        <v>2</v>
      </c>
      <c r="J644" s="11">
        <f>IFERROR(__xludf.DUMMYFUNCTION("""COMPUTED_VALUE"""),0.0)</f>
        <v>0</v>
      </c>
      <c r="K644" s="11">
        <f>IFERROR(__xludf.DUMMYFUNCTION("""COMPUTED_VALUE"""),0.0)</f>
        <v>0</v>
      </c>
      <c r="L644" s="11"/>
    </row>
    <row r="645" ht="15.75" customHeight="1">
      <c r="A645" s="10" t="str">
        <f>IFERROR(__xludf.DUMMYFUNCTION("""COMPUTED_VALUE"""),"https://tryxlr8.ai/blogs/best-generative-engine-optimization-agencies#:~:text=XLR8%20AI%20offers%20extensive%20LLM,content%20creation%2C%20and%20page%20optimization.")</f>
        <v>https://tryxlr8.ai/blogs/best-generative-engine-optimization-agencies#:~:text=XLR8%20AI%20offers%20extensive%20LLM,content%20creation%2C%20and%20page%20optimization.</v>
      </c>
      <c r="B645" s="11" t="str">
        <f>IFERROR(__xludf.DUMMYFUNCTION("""COMPUTED_VALUE"""),"Best GEO Agencies 2026: 13 Ranked (One of Them Is Us — Here's Why) | XLR8 AI")</f>
        <v>Best GEO Agencies 2026: 13 Ranked (One of Them Is Us — Here's Why) | XLR8 AI</v>
      </c>
      <c r="C645" s="10" t="str">
        <f>IFERROR(__xludf.DUMMYFUNCTION("""COMPUTED_VALUE"""),"tryxlr8.ai")</f>
        <v>tryxlr8.ai</v>
      </c>
      <c r="D645" s="11" t="str">
        <f>IFERROR(__xludf.DUMMYFUNCTION("""COMPUTED_VALUE"""),"LISTICLE")</f>
        <v>LISTICLE</v>
      </c>
      <c r="E645" s="11" t="str">
        <f>IFERROR(__xludf.DUMMYFUNCTION("""COMPUTED_VALUE"""),"CORPORATE")</f>
        <v>CORPORATE</v>
      </c>
      <c r="F645" s="11" t="str">
        <f>IFERROR(__xludf.DUMMYFUNCTION("""COMPUTED_VALUE"""),"Listicle")</f>
        <v>Listicle</v>
      </c>
      <c r="G645" s="11" t="b">
        <f>IFERROR(__xludf.DUMMYFUNCTION("""COMPUTED_VALUE"""),FALSE)</f>
        <v>0</v>
      </c>
      <c r="H645" s="11" t="str">
        <f>IFERROR(__xludf.DUMMYFUNCTION("""COMPUTED_VALUE"""),"First Page Sage, Go Fish Digital, Omniscient Digital, Siege Media, iPullRank, WebFX, Directive, Graphite, Measured")</f>
        <v>First Page Sage, Go Fish Digital, Omniscient Digital, Siege Media, iPullRank, WebFX, Directive, Graphite, Measured</v>
      </c>
      <c r="I645" s="11">
        <f>IFERROR(__xludf.DUMMYFUNCTION("""COMPUTED_VALUE"""),2.0)</f>
        <v>2</v>
      </c>
      <c r="J645" s="11">
        <f>IFERROR(__xludf.DUMMYFUNCTION("""COMPUTED_VALUE"""),0.0)</f>
        <v>0</v>
      </c>
      <c r="K645" s="11">
        <f>IFERROR(__xludf.DUMMYFUNCTION("""COMPUTED_VALUE"""),1.0)</f>
        <v>1</v>
      </c>
      <c r="L645" s="11"/>
    </row>
    <row r="646" ht="15.75" customHeight="1">
      <c r="A646" s="10" t="str">
        <f>IFERROR(__xludf.DUMMYFUNCTION("""COMPUTED_VALUE"""),"https://www.uforocks.com/blog/top-ai-seo-agencies-in-the-u-s/")</f>
        <v>https://www.uforocks.com/blog/top-ai-seo-agencies-in-the-u-s/</v>
      </c>
      <c r="B646" s="11" t="str">
        <f>IFERROR(__xludf.DUMMYFUNCTION("""COMPUTED_VALUE"""),"Top AI SEO Agencies in the U.S. - UFO Digital Marketing Agency")</f>
        <v>Top AI SEO Agencies in the U.S. - UFO Digital Marketing Agency</v>
      </c>
      <c r="C646" s="10" t="str">
        <f>IFERROR(__xludf.DUMMYFUNCTION("""COMPUTED_VALUE"""),"uforocks.com")</f>
        <v>uforocks.com</v>
      </c>
      <c r="D646" s="11" t="str">
        <f>IFERROR(__xludf.DUMMYFUNCTION("""COMPUTED_VALUE"""),"LISTICLE")</f>
        <v>LISTICLE</v>
      </c>
      <c r="E646" s="11" t="str">
        <f>IFERROR(__xludf.DUMMYFUNCTION("""COMPUTED_VALUE"""),"CORPORATE")</f>
        <v>CORPORATE</v>
      </c>
      <c r="F646" s="11" t="str">
        <f>IFERROR(__xludf.DUMMYFUNCTION("""COMPUTED_VALUE"""),"Listicle")</f>
        <v>Listicle</v>
      </c>
      <c r="G646" s="11" t="b">
        <f>IFERROR(__xludf.DUMMYFUNCTION("""COMPUTED_VALUE"""),FALSE)</f>
        <v>0</v>
      </c>
      <c r="H646" s="11" t="str">
        <f>IFERROR(__xludf.DUMMYFUNCTION("""COMPUTED_VALUE"""),"Omniscient Digital, iPullRank, First Page Sage, WebFX, NoGood, Siege Media, NP Digital, SmartSites, Clutch, Marcel Digital, Thrive Internet Marketing Agency, Seer Interactive, Directive")</f>
        <v>Omniscient Digital, iPullRank, First Page Sage, WebFX, NoGood, Siege Media, NP Digital, SmartSites, Clutch, Marcel Digital, Thrive Internet Marketing Agency, Seer Interactive, Directive</v>
      </c>
      <c r="I646" s="11">
        <f>IFERROR(__xludf.DUMMYFUNCTION("""COMPUTED_VALUE"""),2.0)</f>
        <v>2</v>
      </c>
      <c r="J646" s="11">
        <f>IFERROR(__xludf.DUMMYFUNCTION("""COMPUTED_VALUE"""),0.0)</f>
        <v>0</v>
      </c>
      <c r="K646" s="11">
        <f>IFERROR(__xludf.DUMMYFUNCTION("""COMPUTED_VALUE"""),0.5)</f>
        <v>0.5</v>
      </c>
      <c r="L646" s="11"/>
    </row>
    <row r="647" ht="15.75" customHeight="1">
      <c r="A647" s="10" t="str">
        <f>IFERROR(__xludf.DUMMYFUNCTION("""COMPUTED_VALUE"""),"https://usanews.com/newsroom/top-digital-marketing-agencies-in-the-united-states")</f>
        <v>https://usanews.com/newsroom/top-digital-marketing-agencies-in-the-united-states</v>
      </c>
      <c r="B647" s="11" t="str">
        <f>IFERROR(__xludf.DUMMYFUNCTION("""COMPUTED_VALUE"""),"Top Digital Marketing Agencies in the United States | USA News")</f>
        <v>Top Digital Marketing Agencies in the United States | USA News</v>
      </c>
      <c r="C647" s="10" t="str">
        <f>IFERROR(__xludf.DUMMYFUNCTION("""COMPUTED_VALUE"""),"usanews.com")</f>
        <v>usanews.com</v>
      </c>
      <c r="D647" s="11" t="str">
        <f>IFERROR(__xludf.DUMMYFUNCTION("""COMPUTED_VALUE"""),"LISTICLE")</f>
        <v>LISTICLE</v>
      </c>
      <c r="E647" s="11" t="str">
        <f>IFERROR(__xludf.DUMMYFUNCTION("""COMPUTED_VALUE"""),"EDITORIAL")</f>
        <v>EDITORIAL</v>
      </c>
      <c r="F647" s="11" t="str">
        <f>IFERROR(__xludf.DUMMYFUNCTION("""COMPUTED_VALUE"""),"Listicle")</f>
        <v>Listicle</v>
      </c>
      <c r="G647" s="11" t="b">
        <f>IFERROR(__xludf.DUMMYFUNCTION("""COMPUTED_VALUE"""),FALSE)</f>
        <v>0</v>
      </c>
      <c r="H647" s="11" t="str">
        <f>IFERROR(__xludf.DUMMYFUNCTION("""COMPUTED_VALUE"""),"WebFX, Ignite Visibility, Disruptive Advertising, SmartSites")</f>
        <v>WebFX, Ignite Visibility, Disruptive Advertising, SmartSites</v>
      </c>
      <c r="I647" s="11">
        <f>IFERROR(__xludf.DUMMYFUNCTION("""COMPUTED_VALUE"""),2.0)</f>
        <v>2</v>
      </c>
      <c r="J647" s="11">
        <f>IFERROR(__xludf.DUMMYFUNCTION("""COMPUTED_VALUE"""),0.0)</f>
        <v>0</v>
      </c>
      <c r="K647" s="11">
        <f>IFERROR(__xludf.DUMMYFUNCTION("""COMPUTED_VALUE"""),0.0)</f>
        <v>0</v>
      </c>
      <c r="L647" s="11"/>
    </row>
    <row r="648" ht="15.75" customHeight="1">
      <c r="A648" s="10" t="str">
        <f>IFERROR(__xludf.DUMMYFUNCTION("""COMPUTED_VALUE"""),"https://valasys.com/best-aeo-agencies-b2b-brands/")</f>
        <v>https://valasys.com/best-aeo-agencies-b2b-brands/</v>
      </c>
      <c r="B648" s="11" t="str">
        <f>IFERROR(__xludf.DUMMYFUNCTION("""COMPUTED_VALUE"""),"Best AEO Agencies for B2B Brands in 2026 | Top Picks Compared")</f>
        <v>Best AEO Agencies for B2B Brands in 2026 | Top Picks Compared</v>
      </c>
      <c r="C648" s="10" t="str">
        <f>IFERROR(__xludf.DUMMYFUNCTION("""COMPUTED_VALUE"""),"valasys.com")</f>
        <v>valasys.com</v>
      </c>
      <c r="D648" s="11" t="str">
        <f>IFERROR(__xludf.DUMMYFUNCTION("""COMPUTED_VALUE"""),"LISTICLE")</f>
        <v>LISTICLE</v>
      </c>
      <c r="E648" s="11" t="str">
        <f>IFERROR(__xludf.DUMMYFUNCTION("""COMPUTED_VALUE"""),"CORPORATE")</f>
        <v>CORPORATE</v>
      </c>
      <c r="F648" s="11" t="str">
        <f>IFERROR(__xludf.DUMMYFUNCTION("""COMPUTED_VALUE"""),"Listicle")</f>
        <v>Listicle</v>
      </c>
      <c r="G648" s="11" t="b">
        <f>IFERROR(__xludf.DUMMYFUNCTION("""COMPUTED_VALUE"""),FALSE)</f>
        <v>0</v>
      </c>
      <c r="H648" s="11" t="str">
        <f>IFERROR(__xludf.DUMMYFUNCTION("""COMPUTED_VALUE"""),"Thrive Internet Marketing Agency, Siege Media, First Page Sage, iPullRank, Single Grain, NoGood")</f>
        <v>Thrive Internet Marketing Agency, Siege Media, First Page Sage, iPullRank, Single Grain, NoGood</v>
      </c>
      <c r="I648" s="11">
        <f>IFERROR(__xludf.DUMMYFUNCTION("""COMPUTED_VALUE"""),2.0)</f>
        <v>2</v>
      </c>
      <c r="J648" s="11">
        <f>IFERROR(__xludf.DUMMYFUNCTION("""COMPUTED_VALUE"""),0.0)</f>
        <v>0</v>
      </c>
      <c r="K648" s="11">
        <f>IFERROR(__xludf.DUMMYFUNCTION("""COMPUTED_VALUE"""),1.0)</f>
        <v>1</v>
      </c>
      <c r="L648" s="11"/>
    </row>
    <row r="649" ht="15.75" customHeight="1">
      <c r="A649" s="10" t="str">
        <f>IFERROR(__xludf.DUMMYFUNCTION("""COMPUTED_VALUE"""),"https://www.warroominc.com/blog/best-programmatic-advertising-agencies/#:~:text=Be%20sure%20to%20evaluate%20which%20would%20be,Advertising%3A%20%2D%20Fyber%3A%20%2D%20SmartyAds%3A%20%2D%20Choozel%3A")</f>
        <v>https://www.warroominc.com/blog/best-programmatic-advertising-agencies/#:~:text=Be%20sure%20to%20evaluate%20which%20would%20be,Advertising%3A%20%2D%20Fyber%3A%20%2D%20SmartyAds%3A%20%2D%20Choozel%3A</v>
      </c>
      <c r="B649" s="11" t="str">
        <f>IFERROR(__xludf.DUMMYFUNCTION("""COMPUTED_VALUE"""),"14 best programmatic advertising agencies &amp;amp; platforms (2025)")</f>
        <v>14 best programmatic advertising agencies &amp;amp; platforms (2025)</v>
      </c>
      <c r="C649" s="10" t="str">
        <f>IFERROR(__xludf.DUMMYFUNCTION("""COMPUTED_VALUE"""),"warroominc.com")</f>
        <v>warroominc.com</v>
      </c>
      <c r="D649" s="11" t="str">
        <f>IFERROR(__xludf.DUMMYFUNCTION("""COMPUTED_VALUE"""),"LISTICLE")</f>
        <v>LISTICLE</v>
      </c>
      <c r="E649" s="11" t="str">
        <f>IFERROR(__xludf.DUMMYFUNCTION("""COMPUTED_VALUE"""),"CORPORATE")</f>
        <v>CORPORATE</v>
      </c>
      <c r="F649" s="11" t="str">
        <f>IFERROR(__xludf.DUMMYFUNCTION("""COMPUTED_VALUE"""),"Listicle")</f>
        <v>Listicle</v>
      </c>
      <c r="G649" s="11" t="b">
        <f>IFERROR(__xludf.DUMMYFUNCTION("""COMPUTED_VALUE"""),FALSE)</f>
        <v>0</v>
      </c>
      <c r="H649" s="11" t="str">
        <f>IFERROR(__xludf.DUMMYFUNCTION("""COMPUTED_VALUE"""),"Disruptive Advertising")</f>
        <v>Disruptive Advertising</v>
      </c>
      <c r="I649" s="11">
        <f>IFERROR(__xludf.DUMMYFUNCTION("""COMPUTED_VALUE"""),2.0)</f>
        <v>2</v>
      </c>
      <c r="J649" s="11">
        <f>IFERROR(__xludf.DUMMYFUNCTION("""COMPUTED_VALUE"""),0.0)</f>
        <v>0</v>
      </c>
      <c r="K649" s="11">
        <f>IFERROR(__xludf.DUMMYFUNCTION("""COMPUTED_VALUE"""),1.0)</f>
        <v>1</v>
      </c>
      <c r="L649" s="11"/>
    </row>
    <row r="650" ht="15.75" customHeight="1">
      <c r="A650" s="10" t="str">
        <f>IFERROR(__xludf.DUMMYFUNCTION("""COMPUTED_VALUE"""),"https://www.webfx.com/blog/ai/best-geo-agencies/")</f>
        <v>https://www.webfx.com/blog/ai/best-geo-agencies/</v>
      </c>
      <c r="B650" s="11" t="str">
        <f>IFERROR(__xludf.DUMMYFUNCTION("""COMPUTED_VALUE"""),"The Best GEO Agencies for AI Visibility in 2026")</f>
        <v>The Best GEO Agencies for AI Visibility in 2026</v>
      </c>
      <c r="C650" s="10" t="str">
        <f>IFERROR(__xludf.DUMMYFUNCTION("""COMPUTED_VALUE"""),"webfx.com")</f>
        <v>webfx.com</v>
      </c>
      <c r="D650" s="11" t="str">
        <f>IFERROR(__xludf.DUMMYFUNCTION("""COMPUTED_VALUE"""),"LISTICLE")</f>
        <v>LISTICLE</v>
      </c>
      <c r="E650" s="11" t="str">
        <f>IFERROR(__xludf.DUMMYFUNCTION("""COMPUTED_VALUE"""),"COMPETITOR")</f>
        <v>COMPETITOR</v>
      </c>
      <c r="F650" s="11" t="str">
        <f>IFERROR(__xludf.DUMMYFUNCTION("""COMPUTED_VALUE"""),"Listicle")</f>
        <v>Listicle</v>
      </c>
      <c r="G650" s="11" t="b">
        <f>IFERROR(__xludf.DUMMYFUNCTION("""COMPUTED_VALUE"""),FALSE)</f>
        <v>0</v>
      </c>
      <c r="H650" s="11" t="str">
        <f>IFERROR(__xludf.DUMMYFUNCTION("""COMPUTED_VALUE"""),"WebFX, Major Tom, The SEO Works, Clutch")</f>
        <v>WebFX, Major Tom, The SEO Works, Clutch</v>
      </c>
      <c r="I650" s="11">
        <f>IFERROR(__xludf.DUMMYFUNCTION("""COMPUTED_VALUE"""),2.0)</f>
        <v>2</v>
      </c>
      <c r="J650" s="11">
        <f>IFERROR(__xludf.DUMMYFUNCTION("""COMPUTED_VALUE"""),0.0)</f>
        <v>0</v>
      </c>
      <c r="K650" s="11">
        <f>IFERROR(__xludf.DUMMYFUNCTION("""COMPUTED_VALUE"""),2.0)</f>
        <v>2</v>
      </c>
      <c r="L650" s="11"/>
    </row>
    <row r="651" ht="15.75" customHeight="1">
      <c r="A651" s="10" t="str">
        <f>IFERROR(__xludf.DUMMYFUNCTION("""COMPUTED_VALUE"""),"https://www.webfx.com/digital-advertising/services/")</f>
        <v>https://www.webfx.com/digital-advertising/services/</v>
      </c>
      <c r="B651" s="11" t="str">
        <f>IFERROR(__xludf.DUMMYFUNCTION("""COMPUTED_VALUE"""),"Top-Rated Digital Advertising Services That Cut CPL By 15%")</f>
        <v>Top-Rated Digital Advertising Services That Cut CPL By 15%</v>
      </c>
      <c r="C651" s="10" t="str">
        <f>IFERROR(__xludf.DUMMYFUNCTION("""COMPUTED_VALUE"""),"webfx.com")</f>
        <v>webfx.com</v>
      </c>
      <c r="D651" s="11" t="str">
        <f>IFERROR(__xludf.DUMMYFUNCTION("""COMPUTED_VALUE"""),"CATEGORY_PAGE")</f>
        <v>CATEGORY_PAGE</v>
      </c>
      <c r="E651" s="11" t="str">
        <f>IFERROR(__xludf.DUMMYFUNCTION("""COMPUTED_VALUE"""),"COMPETITOR")</f>
        <v>COMPETITOR</v>
      </c>
      <c r="F651" s="11" t="str">
        <f>IFERROR(__xludf.DUMMYFUNCTION("""COMPUTED_VALUE"""),"Category Page")</f>
        <v>Category Page</v>
      </c>
      <c r="G651" s="11" t="b">
        <f>IFERROR(__xludf.DUMMYFUNCTION("""COMPUTED_VALUE"""),FALSE)</f>
        <v>0</v>
      </c>
      <c r="H651" s="11" t="str">
        <f>IFERROR(__xludf.DUMMYFUNCTION("""COMPUTED_VALUE"""),"WebFX, Clutch, Momentum")</f>
        <v>WebFX, Clutch, Momentum</v>
      </c>
      <c r="I651" s="11">
        <f>IFERROR(__xludf.DUMMYFUNCTION("""COMPUTED_VALUE"""),2.0)</f>
        <v>2</v>
      </c>
      <c r="J651" s="11">
        <f>IFERROR(__xludf.DUMMYFUNCTION("""COMPUTED_VALUE"""),0.0)</f>
        <v>0</v>
      </c>
      <c r="K651" s="11">
        <f>IFERROR(__xludf.DUMMYFUNCTION("""COMPUTED_VALUE"""),1.5)</f>
        <v>1.5</v>
      </c>
      <c r="L651" s="11"/>
    </row>
    <row r="652" ht="15.75" customHeight="1">
      <c r="A652" s="10" t="str">
        <f>IFERROR(__xludf.DUMMYFUNCTION("""COMPUTED_VALUE"""),"https://www.webtonic.io/blog/best-performance-marketing-agencies")</f>
        <v>https://www.webtonic.io/blog/best-performance-marketing-agencies</v>
      </c>
      <c r="B652" s="11" t="str">
        <f>IFERROR(__xludf.DUMMYFUNCTION("""COMPUTED_VALUE"""),"The 26 Best Performance Marketing Agencies for 2026")</f>
        <v>The 26 Best Performance Marketing Agencies for 2026</v>
      </c>
      <c r="C652" s="10" t="str">
        <f>IFERROR(__xludf.DUMMYFUNCTION("""COMPUTED_VALUE"""),"webtonic.io")</f>
        <v>webtonic.io</v>
      </c>
      <c r="D652" s="11" t="str">
        <f>IFERROR(__xludf.DUMMYFUNCTION("""COMPUTED_VALUE"""),"LISTICLE")</f>
        <v>LISTICLE</v>
      </c>
      <c r="E652" s="11" t="str">
        <f>IFERROR(__xludf.DUMMYFUNCTION("""COMPUTED_VALUE"""),"COMPETITOR")</f>
        <v>COMPETITOR</v>
      </c>
      <c r="F652" s="11" t="str">
        <f>IFERROR(__xludf.DUMMYFUNCTION("""COMPUTED_VALUE"""),"Listicle")</f>
        <v>Listicle</v>
      </c>
      <c r="G652" s="11" t="b">
        <f>IFERROR(__xludf.DUMMYFUNCTION("""COMPUTED_VALUE"""),TRUE)</f>
        <v>1</v>
      </c>
      <c r="H652" s="11" t="str">
        <f>IFERROR(__xludf.DUMMYFUNCTION("""COMPUTED_VALUE"""),"Web Tonic, Tinuiti, Hawke Media, NoGood, Metric Theory, Disruptive Advertising, Power Digital, MuteSix, Wpromote, TransUnion, Directive, SmartSites, KlientBoost, Single Grain, Jellyfish, Incubeta, Sociallyin")</f>
        <v>Web Tonic, Tinuiti, Hawke Media, NoGood, Metric Theory, Disruptive Advertising, Power Digital, MuteSix, Wpromote, TransUnion, Directive, SmartSites, KlientBoost, Single Grain, Jellyfish, Incubeta, Sociallyin</v>
      </c>
      <c r="I652" s="11">
        <f>IFERROR(__xludf.DUMMYFUNCTION("""COMPUTED_VALUE"""),2.0)</f>
        <v>2</v>
      </c>
      <c r="J652" s="11">
        <f>IFERROR(__xludf.DUMMYFUNCTION("""COMPUTED_VALUE"""),0.0)</f>
        <v>0</v>
      </c>
      <c r="K652" s="11">
        <f>IFERROR(__xludf.DUMMYFUNCTION("""COMPUTED_VALUE"""),0.0)</f>
        <v>0</v>
      </c>
      <c r="L652" s="11"/>
    </row>
    <row r="653" ht="15.75" customHeight="1">
      <c r="A653" s="10" t="str">
        <f>IFERROR(__xludf.DUMMYFUNCTION("""COMPUTED_VALUE"""),"https://www.webtonic.io/blog/top-ai-marketing-agencies")</f>
        <v>https://www.webtonic.io/blog/top-ai-marketing-agencies</v>
      </c>
      <c r="B653" s="11" t="str">
        <f>IFERROR(__xludf.DUMMYFUNCTION("""COMPUTED_VALUE"""),"The 44 Best AI Marketing Agencies as of 2026")</f>
        <v>The 44 Best AI Marketing Agencies as of 2026</v>
      </c>
      <c r="C653" s="10" t="str">
        <f>IFERROR(__xludf.DUMMYFUNCTION("""COMPUTED_VALUE"""),"webtonic.io")</f>
        <v>webtonic.io</v>
      </c>
      <c r="D653" s="11" t="str">
        <f>IFERROR(__xludf.DUMMYFUNCTION("""COMPUTED_VALUE"""),"LISTICLE")</f>
        <v>LISTICLE</v>
      </c>
      <c r="E653" s="11" t="str">
        <f>IFERROR(__xludf.DUMMYFUNCTION("""COMPUTED_VALUE"""),"COMPETITOR")</f>
        <v>COMPETITOR</v>
      </c>
      <c r="F653" s="11" t="str">
        <f>IFERROR(__xludf.DUMMYFUNCTION("""COMPUTED_VALUE"""),"Listicle")</f>
        <v>Listicle</v>
      </c>
      <c r="G653" s="11" t="b">
        <f>IFERROR(__xludf.DUMMYFUNCTION("""COMPUTED_VALUE"""),FALSE)</f>
        <v>0</v>
      </c>
      <c r="H653" s="11" t="str">
        <f>IFERROR(__xludf.DUMMYFUNCTION("""COMPUTED_VALUE"""),"Web Tonic, Merkle, Wpromote, TransUnion, Jellyfish, Tinuiti, Dentsu, Monks, Huge, IBM, Anomaly, Ogilvy, PwC")</f>
        <v>Web Tonic, Merkle, Wpromote, TransUnion, Jellyfish, Tinuiti, Dentsu, Monks, Huge, IBM, Anomaly, Ogilvy, PwC</v>
      </c>
      <c r="I653" s="11">
        <f>IFERROR(__xludf.DUMMYFUNCTION("""COMPUTED_VALUE"""),2.0)</f>
        <v>2</v>
      </c>
      <c r="J653" s="11">
        <f>IFERROR(__xludf.DUMMYFUNCTION("""COMPUTED_VALUE"""),0.0)</f>
        <v>0</v>
      </c>
      <c r="K653" s="11">
        <f>IFERROR(__xludf.DUMMYFUNCTION("""COMPUTED_VALUE"""),0.0)</f>
        <v>0</v>
      </c>
      <c r="L653" s="11"/>
    </row>
    <row r="654" ht="15.75" customHeight="1">
      <c r="A654" s="10" t="str">
        <f>IFERROR(__xludf.DUMMYFUNCTION("""COMPUTED_VALUE"""),"https://www.webtonic.io/blog/top-programmatic-advertising-agencies#:~:text=Industries%20Served%3A%20Consumer%20Goods%2C%20Automotive%2C%20Technology%2C%20Financial,and%20advanced%20attribution%20modelling.%20%2D%203.%20Essence.")</f>
        <v>https://www.webtonic.io/blog/top-programmatic-advertising-agencies#:~:text=Industries%20Served%3A%20Consumer%20Goods%2C%20Automotive%2C%20Technology%2C%20Financial,and%20advanced%20attribution%20modelling.%20%2D%203.%20Essence.</v>
      </c>
      <c r="B654" s="11" t="str">
        <f>IFERROR(__xludf.DUMMYFUNCTION("""COMPUTED_VALUE"""),"32 Top Programmatic Advertising Agencies for 2026")</f>
        <v>32 Top Programmatic Advertising Agencies for 2026</v>
      </c>
      <c r="C654" s="10" t="str">
        <f>IFERROR(__xludf.DUMMYFUNCTION("""COMPUTED_VALUE"""),"webtonic.io")</f>
        <v>webtonic.io</v>
      </c>
      <c r="D654" s="11" t="str">
        <f>IFERROR(__xludf.DUMMYFUNCTION("""COMPUTED_VALUE"""),"LISTICLE")</f>
        <v>LISTICLE</v>
      </c>
      <c r="E654" s="11" t="str">
        <f>IFERROR(__xludf.DUMMYFUNCTION("""COMPUTED_VALUE"""),"COMPETITOR")</f>
        <v>COMPETITOR</v>
      </c>
      <c r="F654" s="11" t="str">
        <f>IFERROR(__xludf.DUMMYFUNCTION("""COMPUTED_VALUE"""),"Listicle")</f>
        <v>Listicle</v>
      </c>
      <c r="G654" s="11" t="b">
        <f>IFERROR(__xludf.DUMMYFUNCTION("""COMPUTED_VALUE"""),FALSE)</f>
        <v>0</v>
      </c>
      <c r="H654" s="11" t="str">
        <f>IFERROR(__xludf.DUMMYFUNCTION("""COMPUTED_VALUE"""),"Web Tonic, GroupM")</f>
        <v>Web Tonic, GroupM</v>
      </c>
      <c r="I654" s="11">
        <f>IFERROR(__xludf.DUMMYFUNCTION("""COMPUTED_VALUE"""),2.0)</f>
        <v>2</v>
      </c>
      <c r="J654" s="11">
        <f>IFERROR(__xludf.DUMMYFUNCTION("""COMPUTED_VALUE"""),0.0)</f>
        <v>0</v>
      </c>
      <c r="K654" s="11">
        <f>IFERROR(__xludf.DUMMYFUNCTION("""COMPUTED_VALUE"""),3.0)</f>
        <v>3</v>
      </c>
      <c r="L654" s="11"/>
    </row>
    <row r="655" ht="15.75" customHeight="1">
      <c r="A655" s="10" t="str">
        <f>IFERROR(__xludf.DUMMYFUNCTION("""COMPUTED_VALUE"""),"https://www.webtonic.io/blog/top-web-analytics-agencies")</f>
        <v>https://www.webtonic.io/blog/top-web-analytics-agencies</v>
      </c>
      <c r="B655" s="11" t="str">
        <f>IFERROR(__xludf.DUMMYFUNCTION("""COMPUTED_VALUE"""),"Top 46 Web Analytics Agencies (2026 Edition)")</f>
        <v>Top 46 Web Analytics Agencies (2026 Edition)</v>
      </c>
      <c r="C655" s="10" t="str">
        <f>IFERROR(__xludf.DUMMYFUNCTION("""COMPUTED_VALUE"""),"webtonic.io")</f>
        <v>webtonic.io</v>
      </c>
      <c r="D655" s="11" t="str">
        <f>IFERROR(__xludf.DUMMYFUNCTION("""COMPUTED_VALUE"""),"LISTICLE")</f>
        <v>LISTICLE</v>
      </c>
      <c r="E655" s="11" t="str">
        <f>IFERROR(__xludf.DUMMYFUNCTION("""COMPUTED_VALUE"""),"COMPETITOR")</f>
        <v>COMPETITOR</v>
      </c>
      <c r="F655" s="11" t="str">
        <f>IFERROR(__xludf.DUMMYFUNCTION("""COMPUTED_VALUE"""),"Listicle")</f>
        <v>Listicle</v>
      </c>
      <c r="G655" s="11" t="b">
        <f>IFERROR(__xludf.DUMMYFUNCTION("""COMPUTED_VALUE"""),FALSE)</f>
        <v>0</v>
      </c>
      <c r="H655" s="11" t="str">
        <f>IFERROR(__xludf.DUMMYFUNCTION("""COMPUTED_VALUE"""),"Web Tonic, Bounteous, InfoTrust, Adswerve, Cardinal Path, TransUnion, Seer Interactive, Metric Theory, IBM, Croud, Ogilvy, GroupM")</f>
        <v>Web Tonic, Bounteous, InfoTrust, Adswerve, Cardinal Path, TransUnion, Seer Interactive, Metric Theory, IBM, Croud, Ogilvy, GroupM</v>
      </c>
      <c r="I655" s="11">
        <f>IFERROR(__xludf.DUMMYFUNCTION("""COMPUTED_VALUE"""),2.0)</f>
        <v>2</v>
      </c>
      <c r="J655" s="11">
        <f>IFERROR(__xludf.DUMMYFUNCTION("""COMPUTED_VALUE"""),0.0)</f>
        <v>0</v>
      </c>
      <c r="K655" s="11">
        <f>IFERROR(__xludf.DUMMYFUNCTION("""COMPUTED_VALUE"""),1.0)</f>
        <v>1</v>
      </c>
      <c r="L655" s="11"/>
    </row>
    <row r="656" ht="15.75" customHeight="1">
      <c r="A656" s="10" t="str">
        <f>IFERROR(__xludf.DUMMYFUNCTION("""COMPUTED_VALUE"""),"https://wildnetmarketing.agency/blog/top-digital-marketing-companies-list/")</f>
        <v>https://wildnetmarketing.agency/blog/top-digital-marketing-companies-list/</v>
      </c>
      <c r="B656" s="11" t="str">
        <f>IFERROR(__xludf.DUMMYFUNCTION("""COMPUTED_VALUE"""),"Top 10 Digital Marketing Companies in USA 2026")</f>
        <v>Top 10 Digital Marketing Companies in USA 2026</v>
      </c>
      <c r="C656" s="11" t="str">
        <f>IFERROR(__xludf.DUMMYFUNCTION("""COMPUTED_VALUE"""),"wildnetmarketing.agency")</f>
        <v>wildnetmarketing.agency</v>
      </c>
      <c r="D656" s="11" t="str">
        <f>IFERROR(__xludf.DUMMYFUNCTION("""COMPUTED_VALUE"""),"LISTICLE")</f>
        <v>LISTICLE</v>
      </c>
      <c r="E656" s="11" t="str">
        <f>IFERROR(__xludf.DUMMYFUNCTION("""COMPUTED_VALUE"""),"CORPORATE")</f>
        <v>CORPORATE</v>
      </c>
      <c r="F656" s="11" t="str">
        <f>IFERROR(__xludf.DUMMYFUNCTION("""COMPUTED_VALUE"""),"Listicle")</f>
        <v>Listicle</v>
      </c>
      <c r="G656" s="11" t="b">
        <f>IFERROR(__xludf.DUMMYFUNCTION("""COMPUTED_VALUE"""),FALSE)</f>
        <v>0</v>
      </c>
      <c r="H656" s="11" t="str">
        <f>IFERROR(__xludf.DUMMYFUNCTION("""COMPUTED_VALUE"""),"Ogilvy, Deloitte Digital, Digitas, VML, AKQA, Merkle, Accenture Song, Dentsu")</f>
        <v>Ogilvy, Deloitte Digital, Digitas, VML, AKQA, Merkle, Accenture Song, Dentsu</v>
      </c>
      <c r="I656" s="11">
        <f>IFERROR(__xludf.DUMMYFUNCTION("""COMPUTED_VALUE"""),2.0)</f>
        <v>2</v>
      </c>
      <c r="J656" s="11">
        <f>IFERROR(__xludf.DUMMYFUNCTION("""COMPUTED_VALUE"""),0.0)</f>
        <v>0</v>
      </c>
      <c r="K656" s="11">
        <f>IFERROR(__xludf.DUMMYFUNCTION("""COMPUTED_VALUE"""),0.0)</f>
        <v>0</v>
      </c>
      <c r="L656" s="11"/>
    </row>
    <row r="657" ht="15.75" customHeight="1">
      <c r="A657" s="10" t="str">
        <f>IFERROR(__xludf.DUMMYFUNCTION("""COMPUTED_VALUE"""),"https://wildnetmarketing.agency/blog/top-programmatic-advertising-agencies-in-usa/#:~:text=Performance%20Media%2C%20Ad%20Tech%20Consulting.%20B2B%2C%20Healthcare%2C,ROI%2Dfocused%20Programmatic%20Engineering%20%26%20Automation.%20%2D%20Merkle.")</f>
        <v>https://wildnetmarketing.agency/blog/top-programmatic-advertising-agencies-in-usa/#:~:text=Performance%20Media%2C%20Ad%20Tech%20Consulting.%20B2B%2C%20Healthcare%2C,ROI%2Dfocused%20Programmatic%20Engineering%20%26%20Automation.%20%2D%20Merkle.</v>
      </c>
      <c r="B657" s="11" t="str">
        <f>IFERROR(__xludf.DUMMYFUNCTION("""COMPUTED_VALUE"""),"Top 10 Programmatic Advertising Agencies in USA 2026")</f>
        <v>Top 10 Programmatic Advertising Agencies in USA 2026</v>
      </c>
      <c r="C657" s="11" t="str">
        <f>IFERROR(__xludf.DUMMYFUNCTION("""COMPUTED_VALUE"""),"wildnetmarketing.agency")</f>
        <v>wildnetmarketing.agency</v>
      </c>
      <c r="D657" s="11" t="str">
        <f>IFERROR(__xludf.DUMMYFUNCTION("""COMPUTED_VALUE"""),"OTHER")</f>
        <v>OTHER</v>
      </c>
      <c r="E657" s="11" t="str">
        <f>IFERROR(__xludf.DUMMYFUNCTION("""COMPUTED_VALUE"""),"CORPORATE")</f>
        <v>CORPORATE</v>
      </c>
      <c r="F657" s="11" t="str">
        <f>IFERROR(__xludf.DUMMYFUNCTION("""COMPUTED_VALUE"""),"Other")</f>
        <v>Other</v>
      </c>
      <c r="G657" s="11" t="b">
        <f>IFERROR(__xludf.DUMMYFUNCTION("""COMPUTED_VALUE"""),FALSE)</f>
        <v>0</v>
      </c>
      <c r="H657" s="11" t="str">
        <f>IFERROR(__xludf.DUMMYFUNCTION("""COMPUTED_VALUE"""),"Merkle, Ogilvy, VML, Digitas, Accenture Song, Deloitte Digital, Publicis Groupe, Dentsu, Epsilon")</f>
        <v>Merkle, Ogilvy, VML, Digitas, Accenture Song, Deloitte Digital, Publicis Groupe, Dentsu, Epsilon</v>
      </c>
      <c r="I657" s="11">
        <f>IFERROR(__xludf.DUMMYFUNCTION("""COMPUTED_VALUE"""),2.0)</f>
        <v>2</v>
      </c>
      <c r="J657" s="11">
        <f>IFERROR(__xludf.DUMMYFUNCTION("""COMPUTED_VALUE"""),0.0)</f>
        <v>0</v>
      </c>
      <c r="K657" s="11">
        <f>IFERROR(__xludf.DUMMYFUNCTION("""COMPUTED_VALUE"""),5.0)</f>
        <v>5</v>
      </c>
      <c r="L657" s="11"/>
    </row>
    <row r="658" ht="15.75" customHeight="1">
      <c r="A658" s="10" t="str">
        <f>IFERROR(__xludf.DUMMYFUNCTION("""COMPUTED_VALUE"""),"https://wolfable.com/best-creative-agencies/")</f>
        <v>https://wolfable.com/best-creative-agencies/</v>
      </c>
      <c r="B658" s="11" t="str">
        <f>IFERROR(__xludf.DUMMYFUNCTION("""COMPUTED_VALUE"""),"20 Best Creative Agencies in the World In 2026")</f>
        <v>20 Best Creative Agencies in the World In 2026</v>
      </c>
      <c r="C658" s="10" t="str">
        <f>IFERROR(__xludf.DUMMYFUNCTION("""COMPUTED_VALUE"""),"wolfable.com")</f>
        <v>wolfable.com</v>
      </c>
      <c r="D658" s="11" t="str">
        <f>IFERROR(__xludf.DUMMYFUNCTION("""COMPUTED_VALUE"""),"LISTICLE")</f>
        <v>LISTICLE</v>
      </c>
      <c r="E658" s="11" t="str">
        <f>IFERROR(__xludf.DUMMYFUNCTION("""COMPUTED_VALUE"""),"CORPORATE")</f>
        <v>CORPORATE</v>
      </c>
      <c r="F658" s="11" t="str">
        <f>IFERROR(__xludf.DUMMYFUNCTION("""COMPUTED_VALUE"""),"Listicle")</f>
        <v>Listicle</v>
      </c>
      <c r="G658" s="11" t="b">
        <f>IFERROR(__xludf.DUMMYFUNCTION("""COMPUTED_VALUE"""),FALSE)</f>
        <v>0</v>
      </c>
      <c r="H658" s="11" t="str">
        <f>IFERROR(__xludf.DUMMYFUNCTION("""COMPUTED_VALUE"""),"WPP, Ogilvy, VML, Wieden+Kennedy, Droga5, BBDO, AKQA, Anomaly, 72andSunny, Superside, The Social Shepherd, Momentum, Measured")</f>
        <v>WPP, Ogilvy, VML, Wieden+Kennedy, Droga5, BBDO, AKQA, Anomaly, 72andSunny, Superside, The Social Shepherd, Momentum, Measured</v>
      </c>
      <c r="I658" s="11">
        <f>IFERROR(__xludf.DUMMYFUNCTION("""COMPUTED_VALUE"""),2.0)</f>
        <v>2</v>
      </c>
      <c r="J658" s="11">
        <f>IFERROR(__xludf.DUMMYFUNCTION("""COMPUTED_VALUE"""),0.0)</f>
        <v>0</v>
      </c>
      <c r="K658" s="11">
        <f>IFERROR(__xludf.DUMMYFUNCTION("""COMPUTED_VALUE"""),1.0)</f>
        <v>1</v>
      </c>
      <c r="L658" s="11"/>
    </row>
    <row r="659" ht="15.75" customHeight="1">
      <c r="A659" s="10" t="str">
        <f>IFERROR(__xludf.DUMMYFUNCTION("""COMPUTED_VALUE"""),"https://worldmetrics.org/service/creative-marketing/")</f>
        <v>https://worldmetrics.org/service/creative-marketing/</v>
      </c>
      <c r="B659" s="11" t="str">
        <f>IFERROR(__xludf.DUMMYFUNCTION("""COMPUTED_VALUE"""),"Top 10 Best Creative Marketing Services: 2026 Comparison")</f>
        <v>Top 10 Best Creative Marketing Services: 2026 Comparison</v>
      </c>
      <c r="C659" s="10" t="str">
        <f>IFERROR(__xludf.DUMMYFUNCTION("""COMPUTED_VALUE"""),"worldmetrics.org")</f>
        <v>worldmetrics.org</v>
      </c>
      <c r="D659" s="11" t="str">
        <f>IFERROR(__xludf.DUMMYFUNCTION("""COMPUTED_VALUE"""),"LISTICLE")</f>
        <v>LISTICLE</v>
      </c>
      <c r="E659" s="11" t="str">
        <f>IFERROR(__xludf.DUMMYFUNCTION("""COMPUTED_VALUE"""),"REFERENCE")</f>
        <v>REFERENCE</v>
      </c>
      <c r="F659" s="11" t="str">
        <f>IFERROR(__xludf.DUMMYFUNCTION("""COMPUTED_VALUE"""),"Listicle")</f>
        <v>Listicle</v>
      </c>
      <c r="G659" s="11" t="b">
        <f>IFERROR(__xludf.DUMMYFUNCTION("""COMPUTED_VALUE"""),FALSE)</f>
        <v>0</v>
      </c>
      <c r="H659" s="11" t="str">
        <f>IFERROR(__xludf.DUMMYFUNCTION("""COMPUTED_VALUE"""),"WPP, Publicis Groupe, Publicis Sapient, Dentsu, Accenture Song, Ogilvy, R/GA, Disruptive Advertising, Clutch")</f>
        <v>WPP, Publicis Groupe, Publicis Sapient, Dentsu, Accenture Song, Ogilvy, R/GA, Disruptive Advertising, Clutch</v>
      </c>
      <c r="I659" s="11">
        <f>IFERROR(__xludf.DUMMYFUNCTION("""COMPUTED_VALUE"""),2.0)</f>
        <v>2</v>
      </c>
      <c r="J659" s="11">
        <f>IFERROR(__xludf.DUMMYFUNCTION("""COMPUTED_VALUE"""),0.0)</f>
        <v>0</v>
      </c>
      <c r="K659" s="11">
        <f>IFERROR(__xludf.DUMMYFUNCTION("""COMPUTED_VALUE"""),0.0)</f>
        <v>0</v>
      </c>
      <c r="L659" s="11"/>
    </row>
    <row r="660" ht="15.75" customHeight="1">
      <c r="A660" s="10" t="str">
        <f>IFERROR(__xludf.DUMMYFUNCTION("""COMPUTED_VALUE"""),"https://worldmetrics.org/service/full-digital-marketing/")</f>
        <v>https://worldmetrics.org/service/full-digital-marketing/</v>
      </c>
      <c r="B660" s="11" t="str">
        <f>IFERROR(__xludf.DUMMYFUNCTION("""COMPUTED_VALUE"""),"Best Full Digital Marketing Services (2026)")</f>
        <v>Best Full Digital Marketing Services (2026)</v>
      </c>
      <c r="C660" s="10" t="str">
        <f>IFERROR(__xludf.DUMMYFUNCTION("""COMPUTED_VALUE"""),"worldmetrics.org")</f>
        <v>worldmetrics.org</v>
      </c>
      <c r="D660" s="11" t="str">
        <f>IFERROR(__xludf.DUMMYFUNCTION("""COMPUTED_VALUE"""),"LISTICLE")</f>
        <v>LISTICLE</v>
      </c>
      <c r="E660" s="11" t="str">
        <f>IFERROR(__xludf.DUMMYFUNCTION("""COMPUTED_VALUE"""),"REFERENCE")</f>
        <v>REFERENCE</v>
      </c>
      <c r="F660" s="11" t="str">
        <f>IFERROR(__xludf.DUMMYFUNCTION("""COMPUTED_VALUE"""),"Listicle")</f>
        <v>Listicle</v>
      </c>
      <c r="G660" s="11" t="b">
        <f>IFERROR(__xludf.DUMMYFUNCTION("""COMPUTED_VALUE"""),FALSE)</f>
        <v>0</v>
      </c>
      <c r="H660" s="11" t="str">
        <f>IFERROR(__xludf.DUMMYFUNCTION("""COMPUTED_VALUE"""),"WPP, Accenture Song, Dentsu, Publicis Groupe, Merkle, iProspect, Ignite Visibility, Clutch")</f>
        <v>WPP, Accenture Song, Dentsu, Publicis Groupe, Merkle, iProspect, Ignite Visibility, Clutch</v>
      </c>
      <c r="I660" s="11">
        <f>IFERROR(__xludf.DUMMYFUNCTION("""COMPUTED_VALUE"""),2.0)</f>
        <v>2</v>
      </c>
      <c r="J660" s="11">
        <f>IFERROR(__xludf.DUMMYFUNCTION("""COMPUTED_VALUE"""),0.0)</f>
        <v>0</v>
      </c>
      <c r="K660" s="11">
        <f>IFERROR(__xludf.DUMMYFUNCTION("""COMPUTED_VALUE"""),1.0)</f>
        <v>1</v>
      </c>
      <c r="L660" s="11"/>
    </row>
    <row r="661" ht="15.75" customHeight="1">
      <c r="A661" s="10" t="str">
        <f>IFERROR(__xludf.DUMMYFUNCTION("""COMPUTED_VALUE"""),"https://xchange.avixa.org/posts/10-best-digital-marketing-agencies-in-usa-2026#:~:text=The%20agency%20focuses%20on%20maximizing%20ROI%20through,marketing.%20Paid%20advertising.%20SEO%20services.%20Content%20strategy.")</f>
        <v>https://xchange.avixa.org/posts/10-best-digital-marketing-agencies-in-usa-2026#:~:text=The%20agency%20focuses%20on%20maximizing%20ROI%20through,marketing.%20Paid%20advertising.%20SEO%20services.%20Content%20strategy.</v>
      </c>
      <c r="B661" s="11" t="str">
        <f>IFERROR(__xludf.DUMMYFUNCTION("""COMPUTED_VALUE"""),"10 Best Digital Marketing Agencies in USA (2026) | AVIXA Xchange")</f>
        <v>10 Best Digital Marketing Agencies in USA (2026) | AVIXA Xchange</v>
      </c>
      <c r="C661" s="10" t="str">
        <f>IFERROR(__xludf.DUMMYFUNCTION("""COMPUTED_VALUE"""),"avixa.org")</f>
        <v>avixa.org</v>
      </c>
      <c r="D661" s="11" t="str">
        <f>IFERROR(__xludf.DUMMYFUNCTION("""COMPUTED_VALUE"""),"OTHER")</f>
        <v>OTHER</v>
      </c>
      <c r="E661" s="11" t="str">
        <f>IFERROR(__xludf.DUMMYFUNCTION("""COMPUTED_VALUE"""),"INSTITUTIONAL")</f>
        <v>INSTITUTIONAL</v>
      </c>
      <c r="F661" s="11" t="str">
        <f>IFERROR(__xludf.DUMMYFUNCTION("""COMPUTED_VALUE"""),"Other")</f>
        <v>Other</v>
      </c>
      <c r="G661" s="11" t="b">
        <f>IFERROR(__xludf.DUMMYFUNCTION("""COMPUTED_VALUE"""),FALSE)</f>
        <v>0</v>
      </c>
      <c r="H661" s="11" t="str">
        <f>IFERROR(__xludf.DUMMYFUNCTION("""COMPUTED_VALUE"""),"SmartSites, Ignite Visibility, Victorious, Directive, Siege Media, WebFX, Single Grain, LYFE Marketing, Thrive Internet Marketing Agency")</f>
        <v>SmartSites, Ignite Visibility, Victorious, Directive, Siege Media, WebFX, Single Grain, LYFE Marketing, Thrive Internet Marketing Agency</v>
      </c>
      <c r="I661" s="11">
        <f>IFERROR(__xludf.DUMMYFUNCTION("""COMPUTED_VALUE"""),2.0)</f>
        <v>2</v>
      </c>
      <c r="J661" s="11">
        <f>IFERROR(__xludf.DUMMYFUNCTION("""COMPUTED_VALUE"""),0.0)</f>
        <v>0</v>
      </c>
      <c r="K661" s="11">
        <f>IFERROR(__xludf.DUMMYFUNCTION("""COMPUTED_VALUE"""),1.0)</f>
        <v>1</v>
      </c>
      <c r="L661" s="11"/>
    </row>
    <row r="662" ht="15.75" customHeight="1">
      <c r="A662" s="10" t="str">
        <f>IFERROR(__xludf.DUMMYFUNCTION("""COMPUTED_VALUE"""),"https://xchange.avixa.org/posts/top-10-digital-marketing-companies-in-the-usa-for-2026#:~:text=Personalized%20client%20support.%20%2D%203.%20WebFX.%20WebFX,management.%20Data%2Ddriven%20campaign%20execution.%20Strong%20analytics%20capabilities.")</f>
        <v>https://xchange.avixa.org/posts/top-10-digital-marketing-companies-in-the-usa-for-2026#:~:text=Personalized%20client%20support.%20%2D%203.%20WebFX.%20WebFX,management.%20Data%2Ddriven%20campaign%20execution.%20Strong%20analytics%20capabilities.</v>
      </c>
      <c r="B662" s="11" t="str">
        <f>IFERROR(__xludf.DUMMYFUNCTION("""COMPUTED_VALUE"""),"Top 10 Digital Marketing Companies in the USA for 2026 | AVIXA Xchange")</f>
        <v>Top 10 Digital Marketing Companies in the USA for 2026 | AVIXA Xchange</v>
      </c>
      <c r="C662" s="10" t="str">
        <f>IFERROR(__xludf.DUMMYFUNCTION("""COMPUTED_VALUE"""),"avixa.org")</f>
        <v>avixa.org</v>
      </c>
      <c r="D662" s="11" t="str">
        <f>IFERROR(__xludf.DUMMYFUNCTION("""COMPUTED_VALUE"""),"LISTICLE")</f>
        <v>LISTICLE</v>
      </c>
      <c r="E662" s="11" t="str">
        <f>IFERROR(__xludf.DUMMYFUNCTION("""COMPUTED_VALUE"""),"INSTITUTIONAL")</f>
        <v>INSTITUTIONAL</v>
      </c>
      <c r="F662" s="11" t="str">
        <f>IFERROR(__xludf.DUMMYFUNCTION("""COMPUTED_VALUE"""),"Listicle")</f>
        <v>Listicle</v>
      </c>
      <c r="G662" s="11" t="b">
        <f>IFERROR(__xludf.DUMMYFUNCTION("""COMPUTED_VALUE"""),FALSE)</f>
        <v>0</v>
      </c>
      <c r="H662" s="11" t="str">
        <f>IFERROR(__xludf.DUMMYFUNCTION("""COMPUTED_VALUE"""),"Clutch, WebFX, Ignite Visibility, Thrive Internet Marketing Agency, SmartSites, Disruptive Advertising")</f>
        <v>Clutch, WebFX, Ignite Visibility, Thrive Internet Marketing Agency, SmartSites, Disruptive Advertising</v>
      </c>
      <c r="I662" s="11">
        <f>IFERROR(__xludf.DUMMYFUNCTION("""COMPUTED_VALUE"""),2.0)</f>
        <v>2</v>
      </c>
      <c r="J662" s="11">
        <f>IFERROR(__xludf.DUMMYFUNCTION("""COMPUTED_VALUE"""),0.0)</f>
        <v>0</v>
      </c>
      <c r="K662" s="11">
        <f>IFERROR(__xludf.DUMMYFUNCTION("""COMPUTED_VALUE"""),1.5)</f>
        <v>1.5</v>
      </c>
      <c r="L662" s="11"/>
    </row>
    <row r="663" ht="15.75" customHeight="1">
      <c r="A663" s="10" t="str">
        <f>IFERROR(__xludf.DUMMYFUNCTION("""COMPUTED_VALUE"""),"https://www.youtube.com/watch?v=OR58Odpst7Q")</f>
        <v>https://www.youtube.com/watch?v=OR58Odpst7Q</v>
      </c>
      <c r="B663" s="11" t="str">
        <f>IFERROR(__xludf.DUMMYFUNCTION("""COMPUTED_VALUE"""),"Top 12 Digital Marketing Agencies to Hire in 2026")</f>
        <v>Top 12 Digital Marketing Agencies to Hire in 2026</v>
      </c>
      <c r="C663" s="10" t="str">
        <f>IFERROR(__xludf.DUMMYFUNCTION("""COMPUTED_VALUE"""),"youtube.com")</f>
        <v>youtube.com</v>
      </c>
      <c r="D663" s="11" t="str">
        <f>IFERROR(__xludf.DUMMYFUNCTION("""COMPUTED_VALUE"""),"LISTICLE")</f>
        <v>LISTICLE</v>
      </c>
      <c r="E663" s="11" t="str">
        <f>IFERROR(__xludf.DUMMYFUNCTION("""COMPUTED_VALUE"""),"UGC")</f>
        <v>UGC</v>
      </c>
      <c r="F663" s="11" t="str">
        <f>IFERROR(__xludf.DUMMYFUNCTION("""COMPUTED_VALUE"""),"Listicle")</f>
        <v>Listicle</v>
      </c>
      <c r="G663" s="11" t="b">
        <f>IFERROR(__xludf.DUMMYFUNCTION("""COMPUTED_VALUE"""),FALSE)</f>
        <v>0</v>
      </c>
      <c r="H663" s="11" t="str">
        <f>IFERROR(__xludf.DUMMYFUNCTION("""COMPUTED_VALUE"""),"Disruptive Advertising, Amsive, Sociallyin")</f>
        <v>Disruptive Advertising, Amsive, Sociallyin</v>
      </c>
      <c r="I663" s="11">
        <f>IFERROR(__xludf.DUMMYFUNCTION("""COMPUTED_VALUE"""),2.0)</f>
        <v>2</v>
      </c>
      <c r="J663" s="11">
        <f>IFERROR(__xludf.DUMMYFUNCTION("""COMPUTED_VALUE"""),0.0)</f>
        <v>0</v>
      </c>
      <c r="K663" s="11">
        <f>IFERROR(__xludf.DUMMYFUNCTION("""COMPUTED_VALUE"""),1.0)</f>
        <v>1</v>
      </c>
      <c r="L663" s="11"/>
    </row>
    <row r="664" ht="15.75" customHeight="1">
      <c r="A664" s="10" t="str">
        <f>IFERROR(__xludf.DUMMYFUNCTION("""COMPUTED_VALUE"""),"https://zipdo.co/service/advertising-and-marketing/")</f>
        <v>https://zipdo.co/service/advertising-and-marketing/</v>
      </c>
      <c r="B664" s="11" t="str">
        <f>IFERROR(__xludf.DUMMYFUNCTION("""COMPUTED_VALUE"""),"Best Advertising And Marketing Services (2026)")</f>
        <v>Best Advertising And Marketing Services (2026)</v>
      </c>
      <c r="C664" s="10" t="str">
        <f>IFERROR(__xludf.DUMMYFUNCTION("""COMPUTED_VALUE"""),"zipdo.co")</f>
        <v>zipdo.co</v>
      </c>
      <c r="D664" s="11" t="str">
        <f>IFERROR(__xludf.DUMMYFUNCTION("""COMPUTED_VALUE"""),"LISTICLE")</f>
        <v>LISTICLE</v>
      </c>
      <c r="E664" s="11" t="str">
        <f>IFERROR(__xludf.DUMMYFUNCTION("""COMPUTED_VALUE"""),"REFERENCE")</f>
        <v>REFERENCE</v>
      </c>
      <c r="F664" s="11" t="str">
        <f>IFERROR(__xludf.DUMMYFUNCTION("""COMPUTED_VALUE"""),"Listicle")</f>
        <v>Listicle</v>
      </c>
      <c r="G664" s="11" t="b">
        <f>IFERROR(__xludf.DUMMYFUNCTION("""COMPUTED_VALUE"""),FALSE)</f>
        <v>0</v>
      </c>
      <c r="H664" s="11" t="str">
        <f>IFERROR(__xludf.DUMMYFUNCTION("""COMPUTED_VALUE"""),"WPP, Dentsu, Omnicom Media Group, Publicis Groupe, Accenture Song, Croud, Ignite Visibility, Disruptive Advertising, Clutch")</f>
        <v>WPP, Dentsu, Omnicom Media Group, Publicis Groupe, Accenture Song, Croud, Ignite Visibility, Disruptive Advertising, Clutch</v>
      </c>
      <c r="I664" s="11">
        <f>IFERROR(__xludf.DUMMYFUNCTION("""COMPUTED_VALUE"""),2.0)</f>
        <v>2</v>
      </c>
      <c r="J664" s="11">
        <f>IFERROR(__xludf.DUMMYFUNCTION("""COMPUTED_VALUE"""),0.0)</f>
        <v>0</v>
      </c>
      <c r="K664" s="11">
        <f>IFERROR(__xludf.DUMMYFUNCTION("""COMPUTED_VALUE"""),0.0)</f>
        <v>0</v>
      </c>
      <c r="L664" s="11"/>
    </row>
    <row r="665" ht="15.75" customHeight="1">
      <c r="A665" s="10" t="str">
        <f>IFERROR(__xludf.DUMMYFUNCTION("""COMPUTED_VALUE"""),"https://zipdo.co/service/agency-digital-marketing/")</f>
        <v>https://zipdo.co/service/agency-digital-marketing/</v>
      </c>
      <c r="B665" s="11" t="str">
        <f>IFERROR(__xludf.DUMMYFUNCTION("""COMPUTED_VALUE"""),"Top 10 Best Agency Digital Marketing Services | 2026 Edition")</f>
        <v>Top 10 Best Agency Digital Marketing Services | 2026 Edition</v>
      </c>
      <c r="C665" s="10" t="str">
        <f>IFERROR(__xludf.DUMMYFUNCTION("""COMPUTED_VALUE"""),"zipdo.co")</f>
        <v>zipdo.co</v>
      </c>
      <c r="D665" s="11" t="str">
        <f>IFERROR(__xludf.DUMMYFUNCTION("""COMPUTED_VALUE"""),"LISTICLE")</f>
        <v>LISTICLE</v>
      </c>
      <c r="E665" s="11" t="str">
        <f>IFERROR(__xludf.DUMMYFUNCTION("""COMPUTED_VALUE"""),"REFERENCE")</f>
        <v>REFERENCE</v>
      </c>
      <c r="F665" s="11" t="str">
        <f>IFERROR(__xludf.DUMMYFUNCTION("""COMPUTED_VALUE"""),"Listicle")</f>
        <v>Listicle</v>
      </c>
      <c r="G665" s="11" t="b">
        <f>IFERROR(__xludf.DUMMYFUNCTION("""COMPUTED_VALUE"""),FALSE)</f>
        <v>0</v>
      </c>
      <c r="H665" s="11" t="str">
        <f>IFERROR(__xludf.DUMMYFUNCTION("""COMPUTED_VALUE"""),"Dentsu, Publicis Groupe, WPP, Merkle, iProspect, VML, Ignite Visibility, Clutch")</f>
        <v>Dentsu, Publicis Groupe, WPP, Merkle, iProspect, VML, Ignite Visibility, Clutch</v>
      </c>
      <c r="I665" s="11">
        <f>IFERROR(__xludf.DUMMYFUNCTION("""COMPUTED_VALUE"""),2.0)</f>
        <v>2</v>
      </c>
      <c r="J665" s="11">
        <f>IFERROR(__xludf.DUMMYFUNCTION("""COMPUTED_VALUE"""),0.0)</f>
        <v>0</v>
      </c>
      <c r="K665" s="11">
        <f>IFERROR(__xludf.DUMMYFUNCTION("""COMPUTED_VALUE"""),1.0)</f>
        <v>1</v>
      </c>
      <c r="L665" s="11"/>
    </row>
    <row r="666" ht="15.75" customHeight="1">
      <c r="A666" s="10" t="str">
        <f>IFERROR(__xludf.DUMMYFUNCTION("""COMPUTED_VALUE"""),"https://zipdo.co/service/marketing-attribution/")</f>
        <v>https://zipdo.co/service/marketing-attribution/</v>
      </c>
      <c r="B666" s="11" t="str">
        <f>IFERROR(__xludf.DUMMYFUNCTION("""COMPUTED_VALUE"""),"Top 10 Best Marketing Attribution Services | Top Picks 2026")</f>
        <v>Top 10 Best Marketing Attribution Services | Top Picks 2026</v>
      </c>
      <c r="C666" s="10" t="str">
        <f>IFERROR(__xludf.DUMMYFUNCTION("""COMPUTED_VALUE"""),"zipdo.co")</f>
        <v>zipdo.co</v>
      </c>
      <c r="D666" s="11" t="str">
        <f>IFERROR(__xludf.DUMMYFUNCTION("""COMPUTED_VALUE"""),"LISTICLE")</f>
        <v>LISTICLE</v>
      </c>
      <c r="E666" s="11" t="str">
        <f>IFERROR(__xludf.DUMMYFUNCTION("""COMPUTED_VALUE"""),"REFERENCE")</f>
        <v>REFERENCE</v>
      </c>
      <c r="F666" s="11" t="str">
        <f>IFERROR(__xludf.DUMMYFUNCTION("""COMPUTED_VALUE"""),"Listicle")</f>
        <v>Listicle</v>
      </c>
      <c r="G666" s="11" t="b">
        <f>IFERROR(__xludf.DUMMYFUNCTION("""COMPUTED_VALUE"""),FALSE)</f>
        <v>0</v>
      </c>
      <c r="H666" s="11" t="str">
        <f>IFERROR(__xludf.DUMMYFUNCTION("""COMPUTED_VALUE"""),"Northbeam, Merkle, Wpromote, PwC, Bounteous, Clutch")</f>
        <v>Northbeam, Merkle, Wpromote, PwC, Bounteous, Clutch</v>
      </c>
      <c r="I666" s="11">
        <f>IFERROR(__xludf.DUMMYFUNCTION("""COMPUTED_VALUE"""),2.0)</f>
        <v>2</v>
      </c>
      <c r="J666" s="11">
        <f>IFERROR(__xludf.DUMMYFUNCTION("""COMPUTED_VALUE"""),0.0)</f>
        <v>0</v>
      </c>
      <c r="K666" s="11">
        <f>IFERROR(__xludf.DUMMYFUNCTION("""COMPUTED_VALUE"""),0.0)</f>
        <v>0</v>
      </c>
      <c r="L666" s="11"/>
    </row>
    <row r="667" ht="15.75" customHeight="1">
      <c r="A667" s="10" t="str">
        <f>IFERROR(__xludf.DUMMYFUNCTION("""COMPUTED_VALUE"""),"https://12amagency.com/blog/digital-marketing-agency-for-small-business-comparison/")</f>
        <v>https://12amagency.com/blog/digital-marketing-agency-for-small-business-comparison/</v>
      </c>
      <c r="B667" s="11" t="str">
        <f>IFERROR(__xludf.DUMMYFUNCTION("""COMPUTED_VALUE"""),"Best digital marketing agency for small business – Expert Comparison 2025 - 12AM Agency")</f>
        <v>Best digital marketing agency for small business – Expert Comparison 2025 - 12AM Agency</v>
      </c>
      <c r="C667" s="10" t="str">
        <f>IFERROR(__xludf.DUMMYFUNCTION("""COMPUTED_VALUE"""),"12amagency.com")</f>
        <v>12amagency.com</v>
      </c>
      <c r="D667" s="11" t="str">
        <f>IFERROR(__xludf.DUMMYFUNCTION("""COMPUTED_VALUE"""),"COMPARISON")</f>
        <v>COMPARISON</v>
      </c>
      <c r="E667" s="11" t="str">
        <f>IFERROR(__xludf.DUMMYFUNCTION("""COMPUTED_VALUE"""),"CORPORATE")</f>
        <v>CORPORATE</v>
      </c>
      <c r="F667" s="11" t="str">
        <f>IFERROR(__xludf.DUMMYFUNCTION("""COMPUTED_VALUE"""),"Comparison")</f>
        <v>Comparison</v>
      </c>
      <c r="G667" s="11" t="b">
        <f>IFERROR(__xludf.DUMMYFUNCTION("""COMPUTED_VALUE"""),FALSE)</f>
        <v>0</v>
      </c>
      <c r="H667" s="11" t="str">
        <f>IFERROR(__xludf.DUMMYFUNCTION("""COMPUTED_VALUE"""),"Ignite Visibility, SmartSites, Thrive Internet Marketing Agency, WebFX")</f>
        <v>Ignite Visibility, SmartSites, Thrive Internet Marketing Agency, WebFX</v>
      </c>
      <c r="I667" s="11">
        <f>IFERROR(__xludf.DUMMYFUNCTION("""COMPUTED_VALUE"""),1.0)</f>
        <v>1</v>
      </c>
      <c r="J667" s="11">
        <f>IFERROR(__xludf.DUMMYFUNCTION("""COMPUTED_VALUE"""),0.0)</f>
        <v>0</v>
      </c>
      <c r="K667" s="11">
        <f>IFERROR(__xludf.DUMMYFUNCTION("""COMPUTED_VALUE"""),1.0)</f>
        <v>1</v>
      </c>
      <c r="L667" s="11"/>
    </row>
    <row r="668" ht="15.75" customHeight="1">
      <c r="A668" s="10" t="str">
        <f>IFERROR(__xludf.DUMMYFUNCTION("""COMPUTED_VALUE"""),"https://www.20northmarketing.com/blog/best-marketing-agencies-atlanta")</f>
        <v>https://www.20northmarketing.com/blog/best-marketing-agencies-atlanta</v>
      </c>
      <c r="B668" s="11" t="str">
        <f>IFERROR(__xludf.DUMMYFUNCTION("""COMPUTED_VALUE"""),"Best Marketing Agencies in Atlanta | Atlanta Digital Marketing | 20North")</f>
        <v>Best Marketing Agencies in Atlanta | Atlanta Digital Marketing | 20North</v>
      </c>
      <c r="C668" s="10" t="str">
        <f>IFERROR(__xludf.DUMMYFUNCTION("""COMPUTED_VALUE"""),"20northmarketing.com")</f>
        <v>20northmarketing.com</v>
      </c>
      <c r="D668" s="11" t="str">
        <f>IFERROR(__xludf.DUMMYFUNCTION("""COMPUTED_VALUE"""),"LISTICLE")</f>
        <v>LISTICLE</v>
      </c>
      <c r="E668" s="11" t="str">
        <f>IFERROR(__xludf.DUMMYFUNCTION("""COMPUTED_VALUE"""),"CORPORATE")</f>
        <v>CORPORATE</v>
      </c>
      <c r="F668" s="11" t="str">
        <f>IFERROR(__xludf.DUMMYFUNCTION("""COMPUTED_VALUE"""),"Listicle")</f>
        <v>Listicle</v>
      </c>
      <c r="G668" s="11" t="b">
        <f>IFERROR(__xludf.DUMMYFUNCTION("""COMPUTED_VALUE"""),FALSE)</f>
        <v>0</v>
      </c>
      <c r="H668" s="11"/>
      <c r="I668" s="11">
        <f>IFERROR(__xludf.DUMMYFUNCTION("""COMPUTED_VALUE"""),1.0)</f>
        <v>1</v>
      </c>
      <c r="J668" s="11">
        <f>IFERROR(__xludf.DUMMYFUNCTION("""COMPUTED_VALUE"""),0.0)</f>
        <v>0</v>
      </c>
      <c r="K668" s="11">
        <f>IFERROR(__xludf.DUMMYFUNCTION("""COMPUTED_VALUE"""),0.0)</f>
        <v>0</v>
      </c>
      <c r="L668" s="11"/>
    </row>
    <row r="669" ht="15.75" customHeight="1">
      <c r="A669" s="10" t="str">
        <f>IFERROR(__xludf.DUMMYFUNCTION("""COMPUTED_VALUE"""),"https://www.50pros.com/hire/conversion-rate-optimization/ab-and-multivariate-testing")</f>
        <v>https://www.50pros.com/hire/conversion-rate-optimization/ab-and-multivariate-testing</v>
      </c>
      <c r="B669" s="11" t="str">
        <f>IFERROR(__xludf.DUMMYFUNCTION("""COMPUTED_VALUE"""),"Top A/B &amp; Multivariate Testing Agencies to Hire in June 2026")</f>
        <v>Top A/B &amp; Multivariate Testing Agencies to Hire in June 2026</v>
      </c>
      <c r="C669" s="10" t="str">
        <f>IFERROR(__xludf.DUMMYFUNCTION("""COMPUTED_VALUE"""),"50pros.com")</f>
        <v>50pros.com</v>
      </c>
      <c r="D669" s="11" t="str">
        <f>IFERROR(__xludf.DUMMYFUNCTION("""COMPUTED_VALUE"""),"CATEGORY_PAGE")</f>
        <v>CATEGORY_PAGE</v>
      </c>
      <c r="E669" s="11" t="str">
        <f>IFERROR(__xludf.DUMMYFUNCTION("""COMPUTED_VALUE"""),"REFERENCE")</f>
        <v>REFERENCE</v>
      </c>
      <c r="F669" s="11" t="str">
        <f>IFERROR(__xludf.DUMMYFUNCTION("""COMPUTED_VALUE"""),"Category Page")</f>
        <v>Category Page</v>
      </c>
      <c r="G669" s="11" t="b">
        <f>IFERROR(__xludf.DUMMYFUNCTION("""COMPUTED_VALUE"""),FALSE)</f>
        <v>0</v>
      </c>
      <c r="H669" s="11" t="str">
        <f>IFERROR(__xludf.DUMMYFUNCTION("""COMPUTED_VALUE"""),"Clutch, Huge")</f>
        <v>Clutch, Huge</v>
      </c>
      <c r="I669" s="11">
        <f>IFERROR(__xludf.DUMMYFUNCTION("""COMPUTED_VALUE"""),1.0)</f>
        <v>1</v>
      </c>
      <c r="J669" s="11">
        <f>IFERROR(__xludf.DUMMYFUNCTION("""COMPUTED_VALUE"""),0.0)</f>
        <v>0</v>
      </c>
      <c r="K669" s="11">
        <f>IFERROR(__xludf.DUMMYFUNCTION("""COMPUTED_VALUE"""),0.0)</f>
        <v>0</v>
      </c>
      <c r="L669" s="11"/>
    </row>
    <row r="670" ht="15.75" customHeight="1">
      <c r="A670" s="10" t="str">
        <f>IFERROR(__xludf.DUMMYFUNCTION("""COMPUTED_VALUE"""),"https://www.50pros.com/hire/digital-marketing/marketing-analytics-and-reporting")</f>
        <v>https://www.50pros.com/hire/digital-marketing/marketing-analytics-and-reporting</v>
      </c>
      <c r="B670" s="11" t="str">
        <f>IFERROR(__xludf.DUMMYFUNCTION("""COMPUTED_VALUE"""),"Top Marketing Analytics &amp; Reporting Agencies to Hire in June 2026")</f>
        <v>Top Marketing Analytics &amp; Reporting Agencies to Hire in June 2026</v>
      </c>
      <c r="C670" s="10" t="str">
        <f>IFERROR(__xludf.DUMMYFUNCTION("""COMPUTED_VALUE"""),"50pros.com")</f>
        <v>50pros.com</v>
      </c>
      <c r="D670" s="11" t="str">
        <f>IFERROR(__xludf.DUMMYFUNCTION("""COMPUTED_VALUE"""),"CATEGORY_PAGE")</f>
        <v>CATEGORY_PAGE</v>
      </c>
      <c r="E670" s="11" t="str">
        <f>IFERROR(__xludf.DUMMYFUNCTION("""COMPUTED_VALUE"""),"REFERENCE")</f>
        <v>REFERENCE</v>
      </c>
      <c r="F670" s="11" t="str">
        <f>IFERROR(__xludf.DUMMYFUNCTION("""COMPUTED_VALUE"""),"Category Page")</f>
        <v>Category Page</v>
      </c>
      <c r="G670" s="11" t="b">
        <f>IFERROR(__xludf.DUMMYFUNCTION("""COMPUTED_VALUE"""),FALSE)</f>
        <v>0</v>
      </c>
      <c r="H670" s="11" t="str">
        <f>IFERROR(__xludf.DUMMYFUNCTION("""COMPUTED_VALUE"""),"Momentum")</f>
        <v>Momentum</v>
      </c>
      <c r="I670" s="11">
        <f>IFERROR(__xludf.DUMMYFUNCTION("""COMPUTED_VALUE"""),1.0)</f>
        <v>1</v>
      </c>
      <c r="J670" s="11">
        <f>IFERROR(__xludf.DUMMYFUNCTION("""COMPUTED_VALUE"""),0.0)</f>
        <v>0</v>
      </c>
      <c r="K670" s="11">
        <f>IFERROR(__xludf.DUMMYFUNCTION("""COMPUTED_VALUE"""),0.0)</f>
        <v>0</v>
      </c>
      <c r="L670" s="11"/>
    </row>
    <row r="671" ht="15.75" customHeight="1">
      <c r="A671" s="10" t="str">
        <f>IFERROR(__xludf.DUMMYFUNCTION("""COMPUTED_VALUE"""),"https://7span.com/blog/branding-agencies")</f>
        <v>https://7span.com/blog/branding-agencies</v>
      </c>
      <c r="B671" s="11" t="str">
        <f>IFERROR(__xludf.DUMMYFUNCTION("""COMPUTED_VALUE"""),"Top 11 Creative Branding Agencies in 2025 | 7Span")</f>
        <v>Top 11 Creative Branding Agencies in 2025 | 7Span</v>
      </c>
      <c r="C671" s="10" t="str">
        <f>IFERROR(__xludf.DUMMYFUNCTION("""COMPUTED_VALUE"""),"7span.com")</f>
        <v>7span.com</v>
      </c>
      <c r="D671" s="11" t="str">
        <f>IFERROR(__xludf.DUMMYFUNCTION("""COMPUTED_VALUE"""),"LISTICLE")</f>
        <v>LISTICLE</v>
      </c>
      <c r="E671" s="11" t="str">
        <f>IFERROR(__xludf.DUMMYFUNCTION("""COMPUTED_VALUE"""),"CORPORATE")</f>
        <v>CORPORATE</v>
      </c>
      <c r="F671" s="11" t="str">
        <f>IFERROR(__xludf.DUMMYFUNCTION("""COMPUTED_VALUE"""),"Listicle")</f>
        <v>Listicle</v>
      </c>
      <c r="G671" s="11" t="b">
        <f>IFERROR(__xludf.DUMMYFUNCTION("""COMPUTED_VALUE"""),FALSE)</f>
        <v>0</v>
      </c>
      <c r="H671" s="11" t="str">
        <f>IFERROR(__xludf.DUMMYFUNCTION("""COMPUTED_VALUE"""),"Clay")</f>
        <v>Clay</v>
      </c>
      <c r="I671" s="11">
        <f>IFERROR(__xludf.DUMMYFUNCTION("""COMPUTED_VALUE"""),1.0)</f>
        <v>1</v>
      </c>
      <c r="J671" s="11">
        <f>IFERROR(__xludf.DUMMYFUNCTION("""COMPUTED_VALUE"""),0.0)</f>
        <v>0</v>
      </c>
      <c r="K671" s="11">
        <f>IFERROR(__xludf.DUMMYFUNCTION("""COMPUTED_VALUE"""),0.0)</f>
        <v>0</v>
      </c>
      <c r="L671" s="11"/>
    </row>
    <row r="672" ht="15.75" customHeight="1">
      <c r="A672" s="10" t="str">
        <f>IFERROR(__xludf.DUMMYFUNCTION("""COMPUTED_VALUE"""),"https://www.abbacustechnologies.com/top-ai-consulting-firms-in-2026/")</f>
        <v>https://www.abbacustechnologies.com/top-ai-consulting-firms-in-2026/</v>
      </c>
      <c r="B672" s="11" t="str">
        <f>IFERROR(__xludf.DUMMYFUNCTION("""COMPUTED_VALUE"""),"Top AI Consulting Firms in 2026")</f>
        <v>Top AI Consulting Firms in 2026</v>
      </c>
      <c r="C672" s="10" t="str">
        <f>IFERROR(__xludf.DUMMYFUNCTION("""COMPUTED_VALUE"""),"abbacustechnologies.com")</f>
        <v>abbacustechnologies.com</v>
      </c>
      <c r="D672" s="11" t="str">
        <f>IFERROR(__xludf.DUMMYFUNCTION("""COMPUTED_VALUE"""),"LISTICLE")</f>
        <v>LISTICLE</v>
      </c>
      <c r="E672" s="11" t="str">
        <f>IFERROR(__xludf.DUMMYFUNCTION("""COMPUTED_VALUE"""),"CORPORATE")</f>
        <v>CORPORATE</v>
      </c>
      <c r="F672" s="11" t="str">
        <f>IFERROR(__xludf.DUMMYFUNCTION("""COMPUTED_VALUE"""),"Listicle")</f>
        <v>Listicle</v>
      </c>
      <c r="G672" s="11" t="b">
        <f>IFERROR(__xludf.DUMMYFUNCTION("""COMPUTED_VALUE"""),FALSE)</f>
        <v>0</v>
      </c>
      <c r="H672" s="11" t="str">
        <f>IFERROR(__xludf.DUMMYFUNCTION("""COMPUTED_VALUE"""),"IBM, McKinsey, Anomaly")</f>
        <v>IBM, McKinsey, Anomaly</v>
      </c>
      <c r="I672" s="11">
        <f>IFERROR(__xludf.DUMMYFUNCTION("""COMPUTED_VALUE"""),1.0)</f>
        <v>1</v>
      </c>
      <c r="J672" s="11">
        <f>IFERROR(__xludf.DUMMYFUNCTION("""COMPUTED_VALUE"""),0.0)</f>
        <v>0</v>
      </c>
      <c r="K672" s="11">
        <f>IFERROR(__xludf.DUMMYFUNCTION("""COMPUTED_VALUE"""),1.0)</f>
        <v>1</v>
      </c>
      <c r="L672" s="11"/>
    </row>
    <row r="673" ht="15.75" customHeight="1">
      <c r="A673" s="10" t="str">
        <f>IFERROR(__xludf.DUMMYFUNCTION("""COMPUTED_VALUE"""),"https://www.abbacustechnologies.com/top-ai-development-companies-in-dubai/")</f>
        <v>https://www.abbacustechnologies.com/top-ai-development-companies-in-dubai/</v>
      </c>
      <c r="B673" s="11" t="str">
        <f>IFERROR(__xludf.DUMMYFUNCTION("""COMPUTED_VALUE"""),"Top AI Development Companies in Dubai")</f>
        <v>Top AI Development Companies in Dubai</v>
      </c>
      <c r="C673" s="10" t="str">
        <f>IFERROR(__xludf.DUMMYFUNCTION("""COMPUTED_VALUE"""),"abbacustechnologies.com")</f>
        <v>abbacustechnologies.com</v>
      </c>
      <c r="D673" s="11" t="str">
        <f>IFERROR(__xludf.DUMMYFUNCTION("""COMPUTED_VALUE"""),"LISTICLE")</f>
        <v>LISTICLE</v>
      </c>
      <c r="E673" s="11" t="str">
        <f>IFERROR(__xludf.DUMMYFUNCTION("""COMPUTED_VALUE"""),"CORPORATE")</f>
        <v>CORPORATE</v>
      </c>
      <c r="F673" s="11" t="str">
        <f>IFERROR(__xludf.DUMMYFUNCTION("""COMPUTED_VALUE"""),"Listicle")</f>
        <v>Listicle</v>
      </c>
      <c r="G673" s="11" t="b">
        <f>IFERROR(__xludf.DUMMYFUNCTION("""COMPUTED_VALUE"""),FALSE)</f>
        <v>0</v>
      </c>
      <c r="H673" s="11" t="str">
        <f>IFERROR(__xludf.DUMMYFUNCTION("""COMPUTED_VALUE"""),"IBM, Measured")</f>
        <v>IBM, Measured</v>
      </c>
      <c r="I673" s="11">
        <f>IFERROR(__xludf.DUMMYFUNCTION("""COMPUTED_VALUE"""),1.0)</f>
        <v>1</v>
      </c>
      <c r="J673" s="11">
        <f>IFERROR(__xludf.DUMMYFUNCTION("""COMPUTED_VALUE"""),0.0)</f>
        <v>0</v>
      </c>
      <c r="K673" s="11">
        <f>IFERROR(__xludf.DUMMYFUNCTION("""COMPUTED_VALUE"""),1.0)</f>
        <v>1</v>
      </c>
      <c r="L673" s="11"/>
    </row>
    <row r="674" ht="15.75" customHeight="1">
      <c r="A674" s="10" t="str">
        <f>IFERROR(__xludf.DUMMYFUNCTION("""COMPUTED_VALUE"""),"https://www.abetheagency.com/blog/best-b2b-social-media-agencies-for-paid-social-2026")</f>
        <v>https://www.abetheagency.com/blog/best-b2b-social-media-agencies-for-paid-social-2026</v>
      </c>
      <c r="B674" s="11" t="str">
        <f>IFERROR(__xludf.DUMMYFUNCTION("""COMPUTED_VALUE"""),"25 Best B2B Social Media Agencies for Paid Social (2026)")</f>
        <v>25 Best B2B Social Media Agencies for Paid Social (2026)</v>
      </c>
      <c r="C674" s="10" t="str">
        <f>IFERROR(__xludf.DUMMYFUNCTION("""COMPUTED_VALUE"""),"abetheagency.com")</f>
        <v>abetheagency.com</v>
      </c>
      <c r="D674" s="11" t="str">
        <f>IFERROR(__xludf.DUMMYFUNCTION("""COMPUTED_VALUE"""),"LISTICLE")</f>
        <v>LISTICLE</v>
      </c>
      <c r="E674" s="11" t="str">
        <f>IFERROR(__xludf.DUMMYFUNCTION("""COMPUTED_VALUE"""),"CORPORATE")</f>
        <v>CORPORATE</v>
      </c>
      <c r="F674" s="11" t="str">
        <f>IFERROR(__xludf.DUMMYFUNCTION("""COMPUTED_VALUE"""),"Listicle")</f>
        <v>Listicle</v>
      </c>
      <c r="G674" s="11" t="b">
        <f>IFERROR(__xludf.DUMMYFUNCTION("""COMPUTED_VALUE"""),FALSE)</f>
        <v>0</v>
      </c>
      <c r="H674" s="11" t="str">
        <f>IFERROR(__xludf.DUMMYFUNCTION("""COMPUTED_VALUE"""),"Clutch, WebFX, NinjaPromo, Directive, Disruptive Advertising, Viral Nation, Acadia, NoGood, inBeat, Avenue Z, Measured, Darkroom")</f>
        <v>Clutch, WebFX, NinjaPromo, Directive, Disruptive Advertising, Viral Nation, Acadia, NoGood, inBeat, Avenue Z, Measured, Darkroom</v>
      </c>
      <c r="I674" s="11">
        <f>IFERROR(__xludf.DUMMYFUNCTION("""COMPUTED_VALUE"""),1.0)</f>
        <v>1</v>
      </c>
      <c r="J674" s="11">
        <f>IFERROR(__xludf.DUMMYFUNCTION("""COMPUTED_VALUE"""),0.0)</f>
        <v>0</v>
      </c>
      <c r="K674" s="11">
        <f>IFERROR(__xludf.DUMMYFUNCTION("""COMPUTED_VALUE"""),0.0)</f>
        <v>0</v>
      </c>
      <c r="L674" s="11"/>
    </row>
    <row r="675" ht="15.75" customHeight="1">
      <c r="A675" s="10" t="str">
        <f>IFERROR(__xludf.DUMMYFUNCTION("""COMPUTED_VALUE"""),"https://adastracorp.com/articles/top-data-analytics-companies-to-compare-in-2026-usa-canada/#:~:text=HQ%3A%20Cary%2C%20NC%20with%20global%20operations%3B%207%2C983,regulatory%20reporting%2C%20and%20proven%20analytics%20software.%207.")</f>
        <v>https://adastracorp.com/articles/top-data-analytics-companies-to-compare-in-2026-usa-canada/#:~:text=HQ%3A%20Cary%2C%20NC%20with%20global%20operations%3B%207%2C983,regulatory%20reporting%2C%20and%20proven%20analytics%20software.%207.</v>
      </c>
      <c r="B675" s="11" t="str">
        <f>IFERROR(__xludf.DUMMYFUNCTION("""COMPUTED_VALUE"""),"Top Data Analytics Companies | 2026")</f>
        <v>Top Data Analytics Companies | 2026</v>
      </c>
      <c r="C675" s="10" t="str">
        <f>IFERROR(__xludf.DUMMYFUNCTION("""COMPUTED_VALUE"""),"adastracorp.com")</f>
        <v>adastracorp.com</v>
      </c>
      <c r="D675" s="11" t="str">
        <f>IFERROR(__xludf.DUMMYFUNCTION("""COMPUTED_VALUE"""),"OTHER")</f>
        <v>OTHER</v>
      </c>
      <c r="E675" s="11" t="str">
        <f>IFERROR(__xludf.DUMMYFUNCTION("""COMPUTED_VALUE"""),"CORPORATE")</f>
        <v>CORPORATE</v>
      </c>
      <c r="F675" s="11" t="str">
        <f>IFERROR(__xludf.DUMMYFUNCTION("""COMPUTED_VALUE"""),"Other")</f>
        <v>Other</v>
      </c>
      <c r="G675" s="11" t="b">
        <f>IFERROR(__xludf.DUMMYFUNCTION("""COMPUTED_VALUE"""),FALSE)</f>
        <v>0</v>
      </c>
      <c r="H675" s="11" t="str">
        <f>IFERROR(__xludf.DUMMYFUNCTION("""COMPUTED_VALUE"""),"McKinsey, IBM")</f>
        <v>McKinsey, IBM</v>
      </c>
      <c r="I675" s="11">
        <f>IFERROR(__xludf.DUMMYFUNCTION("""COMPUTED_VALUE"""),1.0)</f>
        <v>1</v>
      </c>
      <c r="J675" s="11">
        <f>IFERROR(__xludf.DUMMYFUNCTION("""COMPUTED_VALUE"""),0.0)</f>
        <v>0</v>
      </c>
      <c r="K675" s="11">
        <f>IFERROR(__xludf.DUMMYFUNCTION("""COMPUTED_VALUE"""),1.0)</f>
        <v>1</v>
      </c>
      <c r="L675" s="11"/>
    </row>
    <row r="676" ht="15.75" customHeight="1">
      <c r="A676" s="10" t="str">
        <f>IFERROR(__xludf.DUMMYFUNCTION("""COMPUTED_VALUE"""),"https://www.addwebsolution.com/blog/ai-marketing-agencies")</f>
        <v>https://www.addwebsolution.com/blog/ai-marketing-agencies</v>
      </c>
      <c r="B676" s="11" t="str">
        <f>IFERROR(__xludf.DUMMYFUNCTION("""COMPUTED_VALUE"""),"Top 10 AI Marketing Agencies that Elevate Your Brand for 2025")</f>
        <v>Top 10 AI Marketing Agencies that Elevate Your Brand for 2025</v>
      </c>
      <c r="C676" s="10" t="str">
        <f>IFERROR(__xludf.DUMMYFUNCTION("""COMPUTED_VALUE"""),"addwebsolution.com")</f>
        <v>addwebsolution.com</v>
      </c>
      <c r="D676" s="11" t="str">
        <f>IFERROR(__xludf.DUMMYFUNCTION("""COMPUTED_VALUE"""),"LISTICLE")</f>
        <v>LISTICLE</v>
      </c>
      <c r="E676" s="11" t="str">
        <f>IFERROR(__xludf.DUMMYFUNCTION("""COMPUTED_VALUE"""),"CORPORATE")</f>
        <v>CORPORATE</v>
      </c>
      <c r="F676" s="11" t="str">
        <f>IFERROR(__xludf.DUMMYFUNCTION("""COMPUTED_VALUE"""),"Listicle")</f>
        <v>Listicle</v>
      </c>
      <c r="G676" s="11" t="b">
        <f>IFERROR(__xludf.DUMMYFUNCTION("""COMPUTED_VALUE"""),FALSE)</f>
        <v>0</v>
      </c>
      <c r="H676" s="11" t="str">
        <f>IFERROR(__xludf.DUMMYFUNCTION("""COMPUTED_VALUE"""),"Single Grain, NoGood, Major Tom, SmartSites, Clutch")</f>
        <v>Single Grain, NoGood, Major Tom, SmartSites, Clutch</v>
      </c>
      <c r="I676" s="11">
        <f>IFERROR(__xludf.DUMMYFUNCTION("""COMPUTED_VALUE"""),1.0)</f>
        <v>1</v>
      </c>
      <c r="J676" s="11">
        <f>IFERROR(__xludf.DUMMYFUNCTION("""COMPUTED_VALUE"""),0.0)</f>
        <v>0</v>
      </c>
      <c r="K676" s="11">
        <f>IFERROR(__xludf.DUMMYFUNCTION("""COMPUTED_VALUE"""),1.0)</f>
        <v>1</v>
      </c>
      <c r="L676" s="11"/>
    </row>
    <row r="677" ht="15.75" customHeight="1">
      <c r="A677" s="10" t="str">
        <f>IFERROR(__xludf.DUMMYFUNCTION("""COMPUTED_VALUE"""),"https://adgeeks.agency/blogs/best-programmatic-dsp-agencies-for-google-dv360-access-in-2026")</f>
        <v>https://adgeeks.agency/blogs/best-programmatic-dsp-agencies-for-google-dv360-access-in-2026</v>
      </c>
      <c r="B677" s="11" t="str">
        <f>IFERROR(__xludf.DUMMYFUNCTION("""COMPUTED_VALUE"""),"Best Programmatic DSP Agencies for Google DV360 in 2026")</f>
        <v>Best Programmatic DSP Agencies for Google DV360 in 2026</v>
      </c>
      <c r="C677" s="11" t="str">
        <f>IFERROR(__xludf.DUMMYFUNCTION("""COMPUTED_VALUE"""),"adgeeks.agency")</f>
        <v>adgeeks.agency</v>
      </c>
      <c r="D677" s="11" t="str">
        <f>IFERROR(__xludf.DUMMYFUNCTION("""COMPUTED_VALUE"""),"OTHER")</f>
        <v>OTHER</v>
      </c>
      <c r="E677" s="11" t="str">
        <f>IFERROR(__xludf.DUMMYFUNCTION("""COMPUTED_VALUE"""),"CORPORATE")</f>
        <v>CORPORATE</v>
      </c>
      <c r="F677" s="11" t="str">
        <f>IFERROR(__xludf.DUMMYFUNCTION("""COMPUTED_VALUE"""),"Other")</f>
        <v>Other</v>
      </c>
      <c r="G677" s="11" t="b">
        <f>IFERROR(__xludf.DUMMYFUNCTION("""COMPUTED_VALUE"""),FALSE)</f>
        <v>0</v>
      </c>
      <c r="H677" s="11" t="str">
        <f>IFERROR(__xludf.DUMMYFUNCTION("""COMPUTED_VALUE"""),"Jellyfish, Kepler Group, Tinuiti, Merkle, Dentsu")</f>
        <v>Jellyfish, Kepler Group, Tinuiti, Merkle, Dentsu</v>
      </c>
      <c r="I677" s="11">
        <f>IFERROR(__xludf.DUMMYFUNCTION("""COMPUTED_VALUE"""),1.0)</f>
        <v>1</v>
      </c>
      <c r="J677" s="11">
        <f>IFERROR(__xludf.DUMMYFUNCTION("""COMPUTED_VALUE"""),0.0)</f>
        <v>0</v>
      </c>
      <c r="K677" s="11">
        <f>IFERROR(__xludf.DUMMYFUNCTION("""COMPUTED_VALUE"""),1.0)</f>
        <v>1</v>
      </c>
      <c r="L677" s="11"/>
    </row>
    <row r="678" ht="15.75" customHeight="1">
      <c r="A678" s="10" t="str">
        <f>IFERROR(__xludf.DUMMYFUNCTION("""COMPUTED_VALUE"""),"https://adspyder.io/blog/top-25-global-ad-agencies/")</f>
        <v>https://adspyder.io/blog/top-25-global-ad-agencies/</v>
      </c>
      <c r="B678" s="11" t="str">
        <f>IFERROR(__xludf.DUMMYFUNCTION("""COMPUTED_VALUE"""),"Top 25 Global Ad Agencies in July 2026 | Ranking &amp;amp; Revenue")</f>
        <v>Top 25 Global Ad Agencies in July 2026 | Ranking &amp;amp; Revenue</v>
      </c>
      <c r="C678" s="10" t="str">
        <f>IFERROR(__xludf.DUMMYFUNCTION("""COMPUTED_VALUE"""),"adspyder.io")</f>
        <v>adspyder.io</v>
      </c>
      <c r="D678" s="11" t="str">
        <f>IFERROR(__xludf.DUMMYFUNCTION("""COMPUTED_VALUE"""),"LISTICLE")</f>
        <v>LISTICLE</v>
      </c>
      <c r="E678" s="11" t="str">
        <f>IFERROR(__xludf.DUMMYFUNCTION("""COMPUTED_VALUE"""),"CORPORATE")</f>
        <v>CORPORATE</v>
      </c>
      <c r="F678" s="11" t="str">
        <f>IFERROR(__xludf.DUMMYFUNCTION("""COMPUTED_VALUE"""),"Listicle")</f>
        <v>Listicle</v>
      </c>
      <c r="G678" s="11" t="b">
        <f>IFERROR(__xludf.DUMMYFUNCTION("""COMPUTED_VALUE"""),FALSE)</f>
        <v>0</v>
      </c>
      <c r="H678" s="11" t="str">
        <f>IFERROR(__xludf.DUMMYFUNCTION("""COMPUTED_VALUE"""),"Publicis Groupe, WPP, Ogilvy, Accenture Song, Dentsu, Epsilon, Merkle, BBDO, Droga5, PwC, Publicis Sapient, iProspect, VML, Anomaly, 72andSunny, Wieden+Kennedy, R/GA, Measured")</f>
        <v>Publicis Groupe, WPP, Ogilvy, Accenture Song, Dentsu, Epsilon, Merkle, BBDO, Droga5, PwC, Publicis Sapient, iProspect, VML, Anomaly, 72andSunny, Wieden+Kennedy, R/GA, Measured</v>
      </c>
      <c r="I678" s="11">
        <f>IFERROR(__xludf.DUMMYFUNCTION("""COMPUTED_VALUE"""),1.0)</f>
        <v>1</v>
      </c>
      <c r="J678" s="11">
        <f>IFERROR(__xludf.DUMMYFUNCTION("""COMPUTED_VALUE"""),0.0)</f>
        <v>0</v>
      </c>
      <c r="K678" s="11">
        <f>IFERROR(__xludf.DUMMYFUNCTION("""COMPUTED_VALUE"""),2.0)</f>
        <v>2</v>
      </c>
      <c r="L678" s="11"/>
    </row>
    <row r="679" ht="15.75" customHeight="1">
      <c r="A679" s="10" t="str">
        <f>IFERROR(__xludf.DUMMYFUNCTION("""COMPUTED_VALUE"""),"https://adzooma.com/blog/top-10-advertising-agencies-in-the-uk/")</f>
        <v>https://adzooma.com/blog/top-10-advertising-agencies-in-the-uk/</v>
      </c>
      <c r="B679" s="11" t="str">
        <f>IFERROR(__xludf.DUMMYFUNCTION("""COMPUTED_VALUE"""),"Top 10 Advertising Agencies In The UK | Adzooma")</f>
        <v>Top 10 Advertising Agencies In The UK | Adzooma</v>
      </c>
      <c r="C679" s="10" t="str">
        <f>IFERROR(__xludf.DUMMYFUNCTION("""COMPUTED_VALUE"""),"adzooma.com")</f>
        <v>adzooma.com</v>
      </c>
      <c r="D679" s="11" t="str">
        <f>IFERROR(__xludf.DUMMYFUNCTION("""COMPUTED_VALUE"""),"LISTICLE")</f>
        <v>LISTICLE</v>
      </c>
      <c r="E679" s="11" t="str">
        <f>IFERROR(__xludf.DUMMYFUNCTION("""COMPUTED_VALUE"""),"CORPORATE")</f>
        <v>CORPORATE</v>
      </c>
      <c r="F679" s="11" t="str">
        <f>IFERROR(__xludf.DUMMYFUNCTION("""COMPUTED_VALUE"""),"Listicle")</f>
        <v>Listicle</v>
      </c>
      <c r="G679" s="11" t="b">
        <f>IFERROR(__xludf.DUMMYFUNCTION("""COMPUTED_VALUE"""),FALSE)</f>
        <v>0</v>
      </c>
      <c r="H679" s="11" t="str">
        <f>IFERROR(__xludf.DUMMYFUNCTION("""COMPUTED_VALUE"""),"Ogilvy, VML")</f>
        <v>Ogilvy, VML</v>
      </c>
      <c r="I679" s="11">
        <f>IFERROR(__xludf.DUMMYFUNCTION("""COMPUTED_VALUE"""),1.0)</f>
        <v>1</v>
      </c>
      <c r="J679" s="11">
        <f>IFERROR(__xludf.DUMMYFUNCTION("""COMPUTED_VALUE"""),0.0)</f>
        <v>0</v>
      </c>
      <c r="K679" s="11">
        <f>IFERROR(__xludf.DUMMYFUNCTION("""COMPUTED_VALUE"""),0.0)</f>
        <v>0</v>
      </c>
      <c r="L679" s="11"/>
    </row>
    <row r="680" ht="15.75" customHeight="1">
      <c r="A680" s="10" t="str">
        <f>IFERROR(__xludf.DUMMYFUNCTION("""COMPUTED_VALUE"""),"https://agencies.semrush.com/list/")</f>
        <v>https://agencies.semrush.com/list/</v>
      </c>
      <c r="B680" s="11" t="str">
        <f>IFERROR(__xludf.DUMMYFUNCTION("""COMPUTED_VALUE"""),"Best Digital Marketing Agencies in the World 2026 | Semrush")</f>
        <v>Best Digital Marketing Agencies in the World 2026 | Semrush</v>
      </c>
      <c r="C680" s="10" t="str">
        <f>IFERROR(__xludf.DUMMYFUNCTION("""COMPUTED_VALUE"""),"semrush.com")</f>
        <v>semrush.com</v>
      </c>
      <c r="D680" s="11" t="str">
        <f>IFERROR(__xludf.DUMMYFUNCTION("""COMPUTED_VALUE"""),"CATEGORY_PAGE")</f>
        <v>CATEGORY_PAGE</v>
      </c>
      <c r="E680" s="11" t="str">
        <f>IFERROR(__xludf.DUMMYFUNCTION("""COMPUTED_VALUE"""),"CORPORATE")</f>
        <v>CORPORATE</v>
      </c>
      <c r="F680" s="11" t="str">
        <f>IFERROR(__xludf.DUMMYFUNCTION("""COMPUTED_VALUE"""),"Category Page")</f>
        <v>Category Page</v>
      </c>
      <c r="G680" s="11" t="b">
        <f>IFERROR(__xludf.DUMMYFUNCTION("""COMPUTED_VALUE"""),FALSE)</f>
        <v>0</v>
      </c>
      <c r="H680" s="11"/>
      <c r="I680" s="11">
        <f>IFERROR(__xludf.DUMMYFUNCTION("""COMPUTED_VALUE"""),1.0)</f>
        <v>1</v>
      </c>
      <c r="J680" s="11">
        <f>IFERROR(__xludf.DUMMYFUNCTION("""COMPUTED_VALUE"""),0.0)</f>
        <v>0</v>
      </c>
      <c r="K680" s="11">
        <f>IFERROR(__xludf.DUMMYFUNCTION("""COMPUTED_VALUE"""),0.0)</f>
        <v>0</v>
      </c>
      <c r="L680" s="11"/>
    </row>
    <row r="681" ht="15.75" customHeight="1">
      <c r="A681" s="10" t="str">
        <f>IFERROR(__xludf.DUMMYFUNCTION("""COMPUTED_VALUE"""),"https://agencies.semrush.com/list/advertising/united-states/")</f>
        <v>https://agencies.semrush.com/list/advertising/united-states/</v>
      </c>
      <c r="B681" s="11" t="str">
        <f>IFERROR(__xludf.DUMMYFUNCTION("""COMPUTED_VALUE"""),"Best Advertising Agencies in United States 2026 | Semrush")</f>
        <v>Best Advertising Agencies in United States 2026 | Semrush</v>
      </c>
      <c r="C681" s="10" t="str">
        <f>IFERROR(__xludf.DUMMYFUNCTION("""COMPUTED_VALUE"""),"semrush.com")</f>
        <v>semrush.com</v>
      </c>
      <c r="D681" s="11" t="str">
        <f>IFERROR(__xludf.DUMMYFUNCTION("""COMPUTED_VALUE"""),"CATEGORY_PAGE")</f>
        <v>CATEGORY_PAGE</v>
      </c>
      <c r="E681" s="11" t="str">
        <f>IFERROR(__xludf.DUMMYFUNCTION("""COMPUTED_VALUE"""),"CORPORATE")</f>
        <v>CORPORATE</v>
      </c>
      <c r="F681" s="11" t="str">
        <f>IFERROR(__xludf.DUMMYFUNCTION("""COMPUTED_VALUE"""),"Category Page")</f>
        <v>Category Page</v>
      </c>
      <c r="G681" s="11" t="b">
        <f>IFERROR(__xludf.DUMMYFUNCTION("""COMPUTED_VALUE"""),FALSE)</f>
        <v>0</v>
      </c>
      <c r="H681" s="11" t="str">
        <f>IFERROR(__xludf.DUMMYFUNCTION("""COMPUTED_VALUE"""),"SmartSites, Elit-Web")</f>
        <v>SmartSites, Elit-Web</v>
      </c>
      <c r="I681" s="11">
        <f>IFERROR(__xludf.DUMMYFUNCTION("""COMPUTED_VALUE"""),1.0)</f>
        <v>1</v>
      </c>
      <c r="J681" s="11">
        <f>IFERROR(__xludf.DUMMYFUNCTION("""COMPUTED_VALUE"""),0.0)</f>
        <v>0</v>
      </c>
      <c r="K681" s="11">
        <f>IFERROR(__xludf.DUMMYFUNCTION("""COMPUTED_VALUE"""),0.0)</f>
        <v>0</v>
      </c>
      <c r="L681" s="11"/>
    </row>
    <row r="682" ht="15.75" customHeight="1">
      <c r="A682" s="10" t="str">
        <f>IFERROR(__xludf.DUMMYFUNCTION("""COMPUTED_VALUE"""),"https://agencies.semrush.com/list/ai-optimization/united-states/small-business/")</f>
        <v>https://agencies.semrush.com/list/ai-optimization/united-states/small-business/</v>
      </c>
      <c r="B682" s="11" t="str">
        <f>IFERROR(__xludf.DUMMYFUNCTION("""COMPUTED_VALUE"""),"Best AI Search Optimization Agencies for Small Business in United States 2026 | Semrush")</f>
        <v>Best AI Search Optimization Agencies for Small Business in United States 2026 | Semrush</v>
      </c>
      <c r="C682" s="10" t="str">
        <f>IFERROR(__xludf.DUMMYFUNCTION("""COMPUTED_VALUE"""),"semrush.com")</f>
        <v>semrush.com</v>
      </c>
      <c r="D682" s="11" t="str">
        <f>IFERROR(__xludf.DUMMYFUNCTION("""COMPUTED_VALUE"""),"CATEGORY_PAGE")</f>
        <v>CATEGORY_PAGE</v>
      </c>
      <c r="E682" s="11" t="str">
        <f>IFERROR(__xludf.DUMMYFUNCTION("""COMPUTED_VALUE"""),"CORPORATE")</f>
        <v>CORPORATE</v>
      </c>
      <c r="F682" s="11" t="str">
        <f>IFERROR(__xludf.DUMMYFUNCTION("""COMPUTED_VALUE"""),"Category Page")</f>
        <v>Category Page</v>
      </c>
      <c r="G682" s="11" t="b">
        <f>IFERROR(__xludf.DUMMYFUNCTION("""COMPUTED_VALUE"""),FALSE)</f>
        <v>0</v>
      </c>
      <c r="H682" s="11" t="str">
        <f>IFERROR(__xludf.DUMMYFUNCTION("""COMPUTED_VALUE"""),"SmartSites, Elit-Web")</f>
        <v>SmartSites, Elit-Web</v>
      </c>
      <c r="I682" s="11">
        <f>IFERROR(__xludf.DUMMYFUNCTION("""COMPUTED_VALUE"""),1.0)</f>
        <v>1</v>
      </c>
      <c r="J682" s="11">
        <f>IFERROR(__xludf.DUMMYFUNCTION("""COMPUTED_VALUE"""),0.0)</f>
        <v>0</v>
      </c>
      <c r="K682" s="11">
        <f>IFERROR(__xludf.DUMMYFUNCTION("""COMPUTED_VALUE"""),0.0)</f>
        <v>0</v>
      </c>
      <c r="L682" s="11"/>
    </row>
    <row r="683" ht="15.75" customHeight="1">
      <c r="A683" s="10" t="str">
        <f>IFERROR(__xludf.DUMMYFUNCTION("""COMPUTED_VALUE"""),"https://agencies.semrush.com/list/los-angeles/")</f>
        <v>https://agencies.semrush.com/list/los-angeles/</v>
      </c>
      <c r="B683" s="11" t="str">
        <f>IFERROR(__xludf.DUMMYFUNCTION("""COMPUTED_VALUE"""),"Best Digital Marketing Agencies in Los Angeles 2026 | Semrush")</f>
        <v>Best Digital Marketing Agencies in Los Angeles 2026 | Semrush</v>
      </c>
      <c r="C683" s="10" t="str">
        <f>IFERROR(__xludf.DUMMYFUNCTION("""COMPUTED_VALUE"""),"semrush.com")</f>
        <v>semrush.com</v>
      </c>
      <c r="D683" s="11" t="str">
        <f>IFERROR(__xludf.DUMMYFUNCTION("""COMPUTED_VALUE"""),"CATEGORY_PAGE")</f>
        <v>CATEGORY_PAGE</v>
      </c>
      <c r="E683" s="11" t="str">
        <f>IFERROR(__xludf.DUMMYFUNCTION("""COMPUTED_VALUE"""),"CORPORATE")</f>
        <v>CORPORATE</v>
      </c>
      <c r="F683" s="11" t="str">
        <f>IFERROR(__xludf.DUMMYFUNCTION("""COMPUTED_VALUE"""),"Category Page")</f>
        <v>Category Page</v>
      </c>
      <c r="G683" s="11" t="b">
        <f>IFERROR(__xludf.DUMMYFUNCTION("""COMPUTED_VALUE"""),FALSE)</f>
        <v>0</v>
      </c>
      <c r="H683" s="11"/>
      <c r="I683" s="11">
        <f>IFERROR(__xludf.DUMMYFUNCTION("""COMPUTED_VALUE"""),1.0)</f>
        <v>1</v>
      </c>
      <c r="J683" s="11">
        <f>IFERROR(__xludf.DUMMYFUNCTION("""COMPUTED_VALUE"""),0.0)</f>
        <v>0</v>
      </c>
      <c r="K683" s="11">
        <f>IFERROR(__xludf.DUMMYFUNCTION("""COMPUTED_VALUE"""),0.0)</f>
        <v>0</v>
      </c>
      <c r="L683" s="11"/>
    </row>
    <row r="684" ht="15.75" customHeight="1">
      <c r="A684" s="10" t="str">
        <f>IFERROR(__xludf.DUMMYFUNCTION("""COMPUTED_VALUE"""),"https://agencies.semrush.com/list/machine-learning-and-ai/business-professional-services/united-states/")</f>
        <v>https://agencies.semrush.com/list/machine-learning-and-ai/business-professional-services/united-states/</v>
      </c>
      <c r="B684" s="11" t="str">
        <f>IFERROR(__xludf.DUMMYFUNCTION("""COMPUTED_VALUE"""),"Best B2B Services Machine Learning and AI Services in United States 2026 | Semrush")</f>
        <v>Best B2B Services Machine Learning and AI Services in United States 2026 | Semrush</v>
      </c>
      <c r="C684" s="10" t="str">
        <f>IFERROR(__xludf.DUMMYFUNCTION("""COMPUTED_VALUE"""),"semrush.com")</f>
        <v>semrush.com</v>
      </c>
      <c r="D684" s="11" t="str">
        <f>IFERROR(__xludf.DUMMYFUNCTION("""COMPUTED_VALUE"""),"CATEGORY_PAGE")</f>
        <v>CATEGORY_PAGE</v>
      </c>
      <c r="E684" s="11" t="str">
        <f>IFERROR(__xludf.DUMMYFUNCTION("""COMPUTED_VALUE"""),"CORPORATE")</f>
        <v>CORPORATE</v>
      </c>
      <c r="F684" s="11" t="str">
        <f>IFERROR(__xludf.DUMMYFUNCTION("""COMPUTED_VALUE"""),"Category Page")</f>
        <v>Category Page</v>
      </c>
      <c r="G684" s="11" t="b">
        <f>IFERROR(__xludf.DUMMYFUNCTION("""COMPUTED_VALUE"""),FALSE)</f>
        <v>0</v>
      </c>
      <c r="H684" s="11" t="str">
        <f>IFERROR(__xludf.DUMMYFUNCTION("""COMPUTED_VALUE"""),"LYFE Marketing, Elit-Web, Silverback Strategies, WebFX")</f>
        <v>LYFE Marketing, Elit-Web, Silverback Strategies, WebFX</v>
      </c>
      <c r="I684" s="11">
        <f>IFERROR(__xludf.DUMMYFUNCTION("""COMPUTED_VALUE"""),1.0)</f>
        <v>1</v>
      </c>
      <c r="J684" s="11">
        <f>IFERROR(__xludf.DUMMYFUNCTION("""COMPUTED_VALUE"""),0.0)</f>
        <v>0</v>
      </c>
      <c r="K684" s="11">
        <f>IFERROR(__xludf.DUMMYFUNCTION("""COMPUTED_VALUE"""),0.0)</f>
        <v>0</v>
      </c>
      <c r="L684" s="11"/>
    </row>
    <row r="685" ht="15.75" customHeight="1">
      <c r="A685" s="10" t="str">
        <f>IFERROR(__xludf.DUMMYFUNCTION("""COMPUTED_VALUE"""),"https://agencies.semrush.com/list/programmatic-advertising/arts-entertainment/united-states/")</f>
        <v>https://agencies.semrush.com/list/programmatic-advertising/arts-entertainment/united-states/</v>
      </c>
      <c r="B685" s="11" t="str">
        <f>IFERROR(__xludf.DUMMYFUNCTION("""COMPUTED_VALUE"""),"Best Media &amp;amp; Entertainment Programmatic Advertising Agencies in United States 2026 | Semrush")</f>
        <v>Best Media &amp;amp; Entertainment Programmatic Advertising Agencies in United States 2026 | Semrush</v>
      </c>
      <c r="C685" s="10" t="str">
        <f>IFERROR(__xludf.DUMMYFUNCTION("""COMPUTED_VALUE"""),"semrush.com")</f>
        <v>semrush.com</v>
      </c>
      <c r="D685" s="11" t="str">
        <f>IFERROR(__xludf.DUMMYFUNCTION("""COMPUTED_VALUE"""),"CATEGORY_PAGE")</f>
        <v>CATEGORY_PAGE</v>
      </c>
      <c r="E685" s="11" t="str">
        <f>IFERROR(__xludf.DUMMYFUNCTION("""COMPUTED_VALUE"""),"CORPORATE")</f>
        <v>CORPORATE</v>
      </c>
      <c r="F685" s="11" t="str">
        <f>IFERROR(__xludf.DUMMYFUNCTION("""COMPUTED_VALUE"""),"Category Page")</f>
        <v>Category Page</v>
      </c>
      <c r="G685" s="11" t="b">
        <f>IFERROR(__xludf.DUMMYFUNCTION("""COMPUTED_VALUE"""),FALSE)</f>
        <v>0</v>
      </c>
      <c r="H685" s="11" t="str">
        <f>IFERROR(__xludf.DUMMYFUNCTION("""COMPUTED_VALUE"""),"SmartSites, Elit-Web, Silverback Strategies, Measured, Funnel Boost Media")</f>
        <v>SmartSites, Elit-Web, Silverback Strategies, Measured, Funnel Boost Media</v>
      </c>
      <c r="I685" s="11">
        <f>IFERROR(__xludf.DUMMYFUNCTION("""COMPUTED_VALUE"""),1.0)</f>
        <v>1</v>
      </c>
      <c r="J685" s="11">
        <f>IFERROR(__xludf.DUMMYFUNCTION("""COMPUTED_VALUE"""),0.0)</f>
        <v>0</v>
      </c>
      <c r="K685" s="11">
        <f>IFERROR(__xludf.DUMMYFUNCTION("""COMPUTED_VALUE"""),0.0)</f>
        <v>0</v>
      </c>
      <c r="L685" s="11"/>
    </row>
    <row r="686" ht="15.75" customHeight="1">
      <c r="A686" s="10" t="str">
        <f>IFERROR(__xludf.DUMMYFUNCTION("""COMPUTED_VALUE"""),"https://agencylist.com/services/programmatic-display-and-video/us/florida/")</f>
        <v>https://agencylist.com/services/programmatic-display-and-video/us/florida/</v>
      </c>
      <c r="B686" s="11" t="str">
        <f>IFERROR(__xludf.DUMMYFUNCTION("""COMPUTED_VALUE"""),"Top Programmatic Display and Video Agencies in Florida, United States")</f>
        <v>Top Programmatic Display and Video Agencies in Florida, United States</v>
      </c>
      <c r="C686" s="10" t="str">
        <f>IFERROR(__xludf.DUMMYFUNCTION("""COMPUTED_VALUE"""),"agencylist.com")</f>
        <v>agencylist.com</v>
      </c>
      <c r="D686" s="11" t="str">
        <f>IFERROR(__xludf.DUMMYFUNCTION("""COMPUTED_VALUE"""),"OTHER")</f>
        <v>OTHER</v>
      </c>
      <c r="E686" s="11" t="str">
        <f>IFERROR(__xludf.DUMMYFUNCTION("""COMPUTED_VALUE"""),"REFERENCE")</f>
        <v>REFERENCE</v>
      </c>
      <c r="F686" s="11" t="str">
        <f>IFERROR(__xludf.DUMMYFUNCTION("""COMPUTED_VALUE"""),"Other")</f>
        <v>Other</v>
      </c>
      <c r="G686" s="11" t="b">
        <f>IFERROR(__xludf.DUMMYFUNCTION("""COMPUTED_VALUE"""),FALSE)</f>
        <v>0</v>
      </c>
      <c r="H686" s="11"/>
      <c r="I686" s="11">
        <f>IFERROR(__xludf.DUMMYFUNCTION("""COMPUTED_VALUE"""),1.0)</f>
        <v>1</v>
      </c>
      <c r="J686" s="11">
        <f>IFERROR(__xludf.DUMMYFUNCTION("""COMPUTED_VALUE"""),0.0)</f>
        <v>0</v>
      </c>
      <c r="K686" s="11">
        <f>IFERROR(__xludf.DUMMYFUNCTION("""COMPUTED_VALUE"""),0.0)</f>
        <v>0</v>
      </c>
      <c r="L686" s="11"/>
    </row>
    <row r="687" ht="15.75" customHeight="1">
      <c r="A687" s="10" t="str">
        <f>IFERROR(__xludf.DUMMYFUNCTION("""COMPUTED_VALUE"""),"https://www.agencyspotter.com/top/digital-marketing-agencies")</f>
        <v>https://www.agencyspotter.com/top/digital-marketing-agencies</v>
      </c>
      <c r="B687" s="11" t="str">
        <f>IFERROR(__xludf.DUMMYFUNCTION("""COMPUTED_VALUE"""),"Top 100 Digital Agencies Report | Agency Spotter")</f>
        <v>Top 100 Digital Agencies Report | Agency Spotter</v>
      </c>
      <c r="C687" s="10" t="str">
        <f>IFERROR(__xludf.DUMMYFUNCTION("""COMPUTED_VALUE"""),"agencyspotter.com")</f>
        <v>agencyspotter.com</v>
      </c>
      <c r="D687" s="11" t="str">
        <f>IFERROR(__xludf.DUMMYFUNCTION("""COMPUTED_VALUE"""),"CATEGORY_PAGE")</f>
        <v>CATEGORY_PAGE</v>
      </c>
      <c r="E687" s="11" t="str">
        <f>IFERROR(__xludf.DUMMYFUNCTION("""COMPUTED_VALUE"""),"REFERENCE")</f>
        <v>REFERENCE</v>
      </c>
      <c r="F687" s="11" t="str">
        <f>IFERROR(__xludf.DUMMYFUNCTION("""COMPUTED_VALUE"""),"Category Page")</f>
        <v>Category Page</v>
      </c>
      <c r="G687" s="11" t="b">
        <f>IFERROR(__xludf.DUMMYFUNCTION("""COMPUTED_VALUE"""),FALSE)</f>
        <v>0</v>
      </c>
      <c r="H687" s="11" t="str">
        <f>IFERROR(__xludf.DUMMYFUNCTION("""COMPUTED_VALUE"""),"Major Tom, Sociallyin, Huge, Haus")</f>
        <v>Major Tom, Sociallyin, Huge, Haus</v>
      </c>
      <c r="I687" s="11">
        <f>IFERROR(__xludf.DUMMYFUNCTION("""COMPUTED_VALUE"""),1.0)</f>
        <v>1</v>
      </c>
      <c r="J687" s="11">
        <f>IFERROR(__xludf.DUMMYFUNCTION("""COMPUTED_VALUE"""),0.0)</f>
        <v>0</v>
      </c>
      <c r="K687" s="11">
        <f>IFERROR(__xludf.DUMMYFUNCTION("""COMPUTED_VALUE"""),0.0)</f>
        <v>0</v>
      </c>
      <c r="L687" s="11"/>
    </row>
    <row r="688" ht="15.75" customHeight="1">
      <c r="A688" s="10" t="str">
        <f>IFERROR(__xludf.DUMMYFUNCTION("""COMPUTED_VALUE"""),"https://www.agencyspotter.com/top/media-planning-and-strategy-agencies")</f>
        <v>https://www.agencyspotter.com/top/media-planning-and-strategy-agencies</v>
      </c>
      <c r="B688" s="11" t="str">
        <f>IFERROR(__xludf.DUMMYFUNCTION("""COMPUTED_VALUE"""),"Top 10 Media Planning &amp;amp; Strategy Agencies Report | Agency Spotter")</f>
        <v>Top 10 Media Planning &amp;amp; Strategy Agencies Report | Agency Spotter</v>
      </c>
      <c r="C688" s="10" t="str">
        <f>IFERROR(__xludf.DUMMYFUNCTION("""COMPUTED_VALUE"""),"agencyspotter.com")</f>
        <v>agencyspotter.com</v>
      </c>
      <c r="D688" s="11" t="str">
        <f>IFERROR(__xludf.DUMMYFUNCTION("""COMPUTED_VALUE"""),"LISTICLE")</f>
        <v>LISTICLE</v>
      </c>
      <c r="E688" s="11" t="str">
        <f>IFERROR(__xludf.DUMMYFUNCTION("""COMPUTED_VALUE"""),"REFERENCE")</f>
        <v>REFERENCE</v>
      </c>
      <c r="F688" s="11" t="str">
        <f>IFERROR(__xludf.DUMMYFUNCTION("""COMPUTED_VALUE"""),"Listicle")</f>
        <v>Listicle</v>
      </c>
      <c r="G688" s="11" t="b">
        <f>IFERROR(__xludf.DUMMYFUNCTION("""COMPUTED_VALUE"""),FALSE)</f>
        <v>0</v>
      </c>
      <c r="H688" s="11"/>
      <c r="I688" s="11">
        <f>IFERROR(__xludf.DUMMYFUNCTION("""COMPUTED_VALUE"""),1.0)</f>
        <v>1</v>
      </c>
      <c r="J688" s="11">
        <f>IFERROR(__xludf.DUMMYFUNCTION("""COMPUTED_VALUE"""),0.0)</f>
        <v>0</v>
      </c>
      <c r="K688" s="11">
        <f>IFERROR(__xludf.DUMMYFUNCTION("""COMPUTED_VALUE"""),0.0)</f>
        <v>0</v>
      </c>
      <c r="L688" s="11"/>
    </row>
    <row r="689" ht="15.75" customHeight="1">
      <c r="A689" s="10" t="str">
        <f>IFERROR(__xludf.DUMMYFUNCTION("""COMPUTED_VALUE"""),"https://aiadvantageagency.com/facebook-ads-agency/")</f>
        <v>https://aiadvantageagency.com/facebook-ads-agency/</v>
      </c>
      <c r="B689" s="11" t="str">
        <f>IFERROR(__xludf.DUMMYFUNCTION("""COMPUTED_VALUE"""),"Best Facebook Ads Agency for Ecommerce: 7 Agencies Ranked")</f>
        <v>Best Facebook Ads Agency for Ecommerce: 7 Agencies Ranked</v>
      </c>
      <c r="C689" s="10" t="str">
        <f>IFERROR(__xludf.DUMMYFUNCTION("""COMPUTED_VALUE"""),"aiadvantageagency.com")</f>
        <v>aiadvantageagency.com</v>
      </c>
      <c r="D689" s="11" t="str">
        <f>IFERROR(__xludf.DUMMYFUNCTION("""COMPUTED_VALUE"""),"COMPARISON")</f>
        <v>COMPARISON</v>
      </c>
      <c r="E689" s="11" t="str">
        <f>IFERROR(__xludf.DUMMYFUNCTION("""COMPUTED_VALUE"""),"CORPORATE")</f>
        <v>CORPORATE</v>
      </c>
      <c r="F689" s="11" t="str">
        <f>IFERROR(__xludf.DUMMYFUNCTION("""COMPUTED_VALUE"""),"Comparison")</f>
        <v>Comparison</v>
      </c>
      <c r="G689" s="11" t="b">
        <f>IFERROR(__xludf.DUMMYFUNCTION("""COMPUTED_VALUE"""),FALSE)</f>
        <v>0</v>
      </c>
      <c r="H689" s="11" t="str">
        <f>IFERROR(__xludf.DUMMYFUNCTION("""COMPUTED_VALUE"""),"Common Thread Collective, MuteSix, Dentsu, Disruptive Advertising, KlientBoost, LYFE Marketing")</f>
        <v>Common Thread Collective, MuteSix, Dentsu, Disruptive Advertising, KlientBoost, LYFE Marketing</v>
      </c>
      <c r="I689" s="11">
        <f>IFERROR(__xludf.DUMMYFUNCTION("""COMPUTED_VALUE"""),1.0)</f>
        <v>1</v>
      </c>
      <c r="J689" s="11">
        <f>IFERROR(__xludf.DUMMYFUNCTION("""COMPUTED_VALUE"""),0.0)</f>
        <v>0</v>
      </c>
      <c r="K689" s="11">
        <f>IFERROR(__xludf.DUMMYFUNCTION("""COMPUTED_VALUE"""),1.0)</f>
        <v>1</v>
      </c>
      <c r="L689" s="11"/>
    </row>
    <row r="690" ht="15.75" customHeight="1">
      <c r="A690" s="10" t="str">
        <f>IFERROR(__xludf.DUMMYFUNCTION("""COMPUTED_VALUE"""),"https://www.aikenhouse.com/post/8-top-ai-consulting-companies-to-consider-2026-review-comparison")</f>
        <v>https://www.aikenhouse.com/post/8-top-ai-consulting-companies-to-consider-2026-review-comparison</v>
      </c>
      <c r="B690" s="11" t="str">
        <f>IFERROR(__xludf.DUMMYFUNCTION("""COMPUTED_VALUE"""),"8 Top AI Consulting Companies to Consider: 2026 Review + Comparison | Aiken House Blog")</f>
        <v>8 Top AI Consulting Companies to Consider: 2026 Review + Comparison | Aiken House Blog</v>
      </c>
      <c r="C690" s="10" t="str">
        <f>IFERROR(__xludf.DUMMYFUNCTION("""COMPUTED_VALUE"""),"aikenhouse.com")</f>
        <v>aikenhouse.com</v>
      </c>
      <c r="D690" s="11" t="str">
        <f>IFERROR(__xludf.DUMMYFUNCTION("""COMPUTED_VALUE"""),"LISTICLE")</f>
        <v>LISTICLE</v>
      </c>
      <c r="E690" s="11" t="str">
        <f>IFERROR(__xludf.DUMMYFUNCTION("""COMPUTED_VALUE"""),"CORPORATE")</f>
        <v>CORPORATE</v>
      </c>
      <c r="F690" s="11" t="str">
        <f>IFERROR(__xludf.DUMMYFUNCTION("""COMPUTED_VALUE"""),"Listicle")</f>
        <v>Listicle</v>
      </c>
      <c r="G690" s="11" t="b">
        <f>IFERROR(__xludf.DUMMYFUNCTION("""COMPUTED_VALUE"""),FALSE)</f>
        <v>0</v>
      </c>
      <c r="H690" s="11" t="str">
        <f>IFERROR(__xludf.DUMMYFUNCTION("""COMPUTED_VALUE"""),"McKinsey, QuantumBlack, IBM, BCG, Anomaly, Merkle")</f>
        <v>McKinsey, QuantumBlack, IBM, BCG, Anomaly, Merkle</v>
      </c>
      <c r="I690" s="11">
        <f>IFERROR(__xludf.DUMMYFUNCTION("""COMPUTED_VALUE"""),1.0)</f>
        <v>1</v>
      </c>
      <c r="J690" s="11">
        <f>IFERROR(__xludf.DUMMYFUNCTION("""COMPUTED_VALUE"""),0.0)</f>
        <v>0</v>
      </c>
      <c r="K690" s="11">
        <f>IFERROR(__xludf.DUMMYFUNCTION("""COMPUTED_VALUE"""),1.0)</f>
        <v>1</v>
      </c>
      <c r="L690" s="11"/>
    </row>
    <row r="691" ht="15.75" customHeight="1">
      <c r="A691" s="10" t="str">
        <f>IFERROR(__xludf.DUMMYFUNCTION("""COMPUTED_VALUE"""),"https://www.airpost.ai/blog/best-performance-marketing-agencies")</f>
        <v>https://www.airpost.ai/blog/best-performance-marketing-agencies</v>
      </c>
      <c r="B691" s="11" t="str">
        <f>IFERROR(__xludf.DUMMYFUNCTION("""COMPUTED_VALUE"""),"8 Best performance marketing agencies in 2026")</f>
        <v>8 Best performance marketing agencies in 2026</v>
      </c>
      <c r="C691" s="10" t="str">
        <f>IFERROR(__xludf.DUMMYFUNCTION("""COMPUTED_VALUE"""),"airpost.ai")</f>
        <v>airpost.ai</v>
      </c>
      <c r="D691" s="11" t="str">
        <f>IFERROR(__xludf.DUMMYFUNCTION("""COMPUTED_VALUE"""),"LISTICLE")</f>
        <v>LISTICLE</v>
      </c>
      <c r="E691" s="11" t="str">
        <f>IFERROR(__xludf.DUMMYFUNCTION("""COMPUTED_VALUE"""),"CORPORATE")</f>
        <v>CORPORATE</v>
      </c>
      <c r="F691" s="11" t="str">
        <f>IFERROR(__xludf.DUMMYFUNCTION("""COMPUTED_VALUE"""),"Listicle")</f>
        <v>Listicle</v>
      </c>
      <c r="G691" s="11" t="b">
        <f>IFERROR(__xludf.DUMMYFUNCTION("""COMPUTED_VALUE"""),FALSE)</f>
        <v>0</v>
      </c>
      <c r="H691" s="11" t="str">
        <f>IFERROR(__xludf.DUMMYFUNCTION("""COMPUTED_VALUE"""),"Tinuiti, Power Digital, Jellyfish, Brandtech, AKQA, WPP, MuteSix, Dentsu, Common Thread Collective, Disruptive Advertising")</f>
        <v>Tinuiti, Power Digital, Jellyfish, Brandtech, AKQA, WPP, MuteSix, Dentsu, Common Thread Collective, Disruptive Advertising</v>
      </c>
      <c r="I691" s="11">
        <f>IFERROR(__xludf.DUMMYFUNCTION("""COMPUTED_VALUE"""),1.0)</f>
        <v>1</v>
      </c>
      <c r="J691" s="11">
        <f>IFERROR(__xludf.DUMMYFUNCTION("""COMPUTED_VALUE"""),0.0)</f>
        <v>0</v>
      </c>
      <c r="K691" s="11">
        <f>IFERROR(__xludf.DUMMYFUNCTION("""COMPUTED_VALUE"""),1.0)</f>
        <v>1</v>
      </c>
      <c r="L691" s="11"/>
    </row>
    <row r="692" ht="15.75" customHeight="1">
      <c r="A692" s="10" t="str">
        <f>IFERROR(__xludf.DUMMYFUNCTION("""COMPUTED_VALUE"""),"https://aisera.com/blog/ai-agent-development-companies-and-platforms/")</f>
        <v>https://aisera.com/blog/ai-agent-development-companies-and-platforms/</v>
      </c>
      <c r="B692" s="11" t="str">
        <f>IFERROR(__xludf.DUMMYFUNCTION("""COMPUTED_VALUE"""),"Top 10 AI Agent Development Companies and Platforms")</f>
        <v>Top 10 AI Agent Development Companies and Platforms</v>
      </c>
      <c r="C692" s="10" t="str">
        <f>IFERROR(__xludf.DUMMYFUNCTION("""COMPUTED_VALUE"""),"aisera.com")</f>
        <v>aisera.com</v>
      </c>
      <c r="D692" s="11" t="str">
        <f>IFERROR(__xludf.DUMMYFUNCTION("""COMPUTED_VALUE"""),"LISTICLE")</f>
        <v>LISTICLE</v>
      </c>
      <c r="E692" s="11" t="str">
        <f>IFERROR(__xludf.DUMMYFUNCTION("""COMPUTED_VALUE"""),"CORPORATE")</f>
        <v>CORPORATE</v>
      </c>
      <c r="F692" s="11" t="str">
        <f>IFERROR(__xludf.DUMMYFUNCTION("""COMPUTED_VALUE"""),"Listicle")</f>
        <v>Listicle</v>
      </c>
      <c r="G692" s="11" t="b">
        <f>IFERROR(__xludf.DUMMYFUNCTION("""COMPUTED_VALUE"""),FALSE)</f>
        <v>0</v>
      </c>
      <c r="H692" s="11" t="str">
        <f>IFERROR(__xludf.DUMMYFUNCTION("""COMPUTED_VALUE"""),"IBM, Anomaly")</f>
        <v>IBM, Anomaly</v>
      </c>
      <c r="I692" s="11">
        <f>IFERROR(__xludf.DUMMYFUNCTION("""COMPUTED_VALUE"""),1.0)</f>
        <v>1</v>
      </c>
      <c r="J692" s="11">
        <f>IFERROR(__xludf.DUMMYFUNCTION("""COMPUTED_VALUE"""),0.0)</f>
        <v>0</v>
      </c>
      <c r="K692" s="11">
        <f>IFERROR(__xludf.DUMMYFUNCTION("""COMPUTED_VALUE"""),1.0)</f>
        <v>1</v>
      </c>
      <c r="L692" s="11"/>
    </row>
    <row r="693" ht="15.75" customHeight="1">
      <c r="A693" s="10" t="str">
        <f>IFERROR(__xludf.DUMMYFUNCTION("""COMPUTED_VALUE"""),"https://ajelix.com/ai/best-ai-agents/")</f>
        <v>https://ajelix.com/ai/best-ai-agents/</v>
      </c>
      <c r="B693" s="11" t="str">
        <f>IFERROR(__xludf.DUMMYFUNCTION("""COMPUTED_VALUE"""),"The 8 Best AI Agents in 2026 (Reviewed By Our Team) - Ajelix")</f>
        <v>The 8 Best AI Agents in 2026 (Reviewed By Our Team) - Ajelix</v>
      </c>
      <c r="C693" s="10" t="str">
        <f>IFERROR(__xludf.DUMMYFUNCTION("""COMPUTED_VALUE"""),"ajelix.com")</f>
        <v>ajelix.com</v>
      </c>
      <c r="D693" s="11" t="str">
        <f>IFERROR(__xludf.DUMMYFUNCTION("""COMPUTED_VALUE"""),"LISTICLE")</f>
        <v>LISTICLE</v>
      </c>
      <c r="E693" s="11" t="str">
        <f>IFERROR(__xludf.DUMMYFUNCTION("""COMPUTED_VALUE"""),"UGC")</f>
        <v>UGC</v>
      </c>
      <c r="F693" s="11" t="str">
        <f>IFERROR(__xludf.DUMMYFUNCTION("""COMPUTED_VALUE"""),"Listicle")</f>
        <v>Listicle</v>
      </c>
      <c r="G693" s="11" t="b">
        <f>IFERROR(__xludf.DUMMYFUNCTION("""COMPUTED_VALUE"""),FALSE)</f>
        <v>0</v>
      </c>
      <c r="H693" s="11"/>
      <c r="I693" s="11">
        <f>IFERROR(__xludf.DUMMYFUNCTION("""COMPUTED_VALUE"""),1.0)</f>
        <v>1</v>
      </c>
      <c r="J693" s="11">
        <f>IFERROR(__xludf.DUMMYFUNCTION("""COMPUTED_VALUE"""),0.0)</f>
        <v>0</v>
      </c>
      <c r="K693" s="11">
        <f>IFERROR(__xludf.DUMMYFUNCTION("""COMPUTED_VALUE"""),1.0)</f>
        <v>1</v>
      </c>
      <c r="L693" s="11"/>
    </row>
    <row r="694" ht="15.75" customHeight="1">
      <c r="A694" s="10" t="str">
        <f>IFERROR(__xludf.DUMMYFUNCTION("""COMPUTED_VALUE"""),"https://algoscale.com/blog/top-business-intelligence-consulting-companies/")</f>
        <v>https://algoscale.com/blog/top-business-intelligence-consulting-companies/</v>
      </c>
      <c r="B694" s="11" t="str">
        <f>IFERROR(__xludf.DUMMYFUNCTION("""COMPUTED_VALUE"""),"Top 15 Business Intelligence Consulting Companies in May 2026")</f>
        <v>Top 15 Business Intelligence Consulting Companies in May 2026</v>
      </c>
      <c r="C694" s="10" t="str">
        <f>IFERROR(__xludf.DUMMYFUNCTION("""COMPUTED_VALUE"""),"algoscale.com")</f>
        <v>algoscale.com</v>
      </c>
      <c r="D694" s="11" t="str">
        <f>IFERROR(__xludf.DUMMYFUNCTION("""COMPUTED_VALUE"""),"LISTICLE")</f>
        <v>LISTICLE</v>
      </c>
      <c r="E694" s="11" t="str">
        <f>IFERROR(__xludf.DUMMYFUNCTION("""COMPUTED_VALUE"""),"CORPORATE")</f>
        <v>CORPORATE</v>
      </c>
      <c r="F694" s="11" t="str">
        <f>IFERROR(__xludf.DUMMYFUNCTION("""COMPUTED_VALUE"""),"Listicle")</f>
        <v>Listicle</v>
      </c>
      <c r="G694" s="11" t="b">
        <f>IFERROR(__xludf.DUMMYFUNCTION("""COMPUTED_VALUE"""),FALSE)</f>
        <v>0</v>
      </c>
      <c r="H694" s="11" t="str">
        <f>IFERROR(__xludf.DUMMYFUNCTION("""COMPUTED_VALUE"""),"IBM, PwC, Anomaly, Slalom, Fractal Analytics")</f>
        <v>IBM, PwC, Anomaly, Slalom, Fractal Analytics</v>
      </c>
      <c r="I694" s="11">
        <f>IFERROR(__xludf.DUMMYFUNCTION("""COMPUTED_VALUE"""),1.0)</f>
        <v>1</v>
      </c>
      <c r="J694" s="11">
        <f>IFERROR(__xludf.DUMMYFUNCTION("""COMPUTED_VALUE"""),0.0)</f>
        <v>0</v>
      </c>
      <c r="K694" s="11">
        <f>IFERROR(__xludf.DUMMYFUNCTION("""COMPUTED_VALUE"""),1.0)</f>
        <v>1</v>
      </c>
      <c r="L694" s="11"/>
    </row>
    <row r="695" ht="15.75" customHeight="1">
      <c r="A695" s="10" t="str">
        <f>IFERROR(__xludf.DUMMYFUNCTION("""COMPUTED_VALUE"""),"https://alignedagency.io/best-ai-marketing-agencies-for-2026/")</f>
        <v>https://alignedagency.io/best-ai-marketing-agencies-for-2026/</v>
      </c>
      <c r="B695" s="11" t="str">
        <f>IFERROR(__xludf.DUMMYFUNCTION("""COMPUTED_VALUE"""),"Best AI Marketing Agencies for 2026 - Aligned Agency")</f>
        <v>Best AI Marketing Agencies for 2026 - Aligned Agency</v>
      </c>
      <c r="C695" s="10" t="str">
        <f>IFERROR(__xludf.DUMMYFUNCTION("""COMPUTED_VALUE"""),"alignedagency.io")</f>
        <v>alignedagency.io</v>
      </c>
      <c r="D695" s="11" t="str">
        <f>IFERROR(__xludf.DUMMYFUNCTION("""COMPUTED_VALUE"""),"LISTICLE")</f>
        <v>LISTICLE</v>
      </c>
      <c r="E695" s="11" t="str">
        <f>IFERROR(__xludf.DUMMYFUNCTION("""COMPUTED_VALUE"""),"CORPORATE")</f>
        <v>CORPORATE</v>
      </c>
      <c r="F695" s="11" t="str">
        <f>IFERROR(__xludf.DUMMYFUNCTION("""COMPUTED_VALUE"""),"Listicle")</f>
        <v>Listicle</v>
      </c>
      <c r="G695" s="11" t="b">
        <f>IFERROR(__xludf.DUMMYFUNCTION("""COMPUTED_VALUE"""),FALSE)</f>
        <v>0</v>
      </c>
      <c r="H695" s="11" t="str">
        <f>IFERROR(__xludf.DUMMYFUNCTION("""COMPUTED_VALUE"""),"NoGood, Single Grain, inBeat, Keenfolks, SmartSites, Omniscient Digital, Tinuiti, Viral Nation, Momentum")</f>
        <v>NoGood, Single Grain, inBeat, Keenfolks, SmartSites, Omniscient Digital, Tinuiti, Viral Nation, Momentum</v>
      </c>
      <c r="I695" s="11">
        <f>IFERROR(__xludf.DUMMYFUNCTION("""COMPUTED_VALUE"""),1.0)</f>
        <v>1</v>
      </c>
      <c r="J695" s="11">
        <f>IFERROR(__xludf.DUMMYFUNCTION("""COMPUTED_VALUE"""),0.0)</f>
        <v>0</v>
      </c>
      <c r="K695" s="11">
        <f>IFERROR(__xludf.DUMMYFUNCTION("""COMPUTED_VALUE"""),0.0)</f>
        <v>0</v>
      </c>
      <c r="L695" s="11"/>
    </row>
    <row r="696" ht="15.75" customHeight="1">
      <c r="A696" s="10" t="str">
        <f>IFERROR(__xludf.DUMMYFUNCTION("""COMPUTED_VALUE"""),"https://amworldgroup.com/best/ai-marketing-agencies")</f>
        <v>https://amworldgroup.com/best/ai-marketing-agencies</v>
      </c>
      <c r="B696" s="11" t="str">
        <f>IFERROR(__xludf.DUMMYFUNCTION("""COMPUTED_VALUE"""),"Best AI Marketing Agencies 2026 | Top 8 Reviewed | AMW®")</f>
        <v>Best AI Marketing Agencies 2026 | Top 8 Reviewed | AMW®</v>
      </c>
      <c r="C696" s="10" t="str">
        <f>IFERROR(__xludf.DUMMYFUNCTION("""COMPUTED_VALUE"""),"amworldgroup.com")</f>
        <v>amworldgroup.com</v>
      </c>
      <c r="D696" s="11" t="str">
        <f>IFERROR(__xludf.DUMMYFUNCTION("""COMPUTED_VALUE"""),"LISTICLE")</f>
        <v>LISTICLE</v>
      </c>
      <c r="E696" s="11" t="str">
        <f>IFERROR(__xludf.DUMMYFUNCTION("""COMPUTED_VALUE"""),"CORPORATE")</f>
        <v>CORPORATE</v>
      </c>
      <c r="F696" s="11" t="str">
        <f>IFERROR(__xludf.DUMMYFUNCTION("""COMPUTED_VALUE"""),"Listicle")</f>
        <v>Listicle</v>
      </c>
      <c r="G696" s="11" t="b">
        <f>IFERROR(__xludf.DUMMYFUNCTION("""COMPUTED_VALUE"""),FALSE)</f>
        <v>0</v>
      </c>
      <c r="H696" s="11" t="str">
        <f>IFERROR(__xludf.DUMMYFUNCTION("""COMPUTED_VALUE"""),"Clutch")</f>
        <v>Clutch</v>
      </c>
      <c r="I696" s="11">
        <f>IFERROR(__xludf.DUMMYFUNCTION("""COMPUTED_VALUE"""),1.0)</f>
        <v>1</v>
      </c>
      <c r="J696" s="11">
        <f>IFERROR(__xludf.DUMMYFUNCTION("""COMPUTED_VALUE"""),0.0)</f>
        <v>0</v>
      </c>
      <c r="K696" s="11">
        <f>IFERROR(__xludf.DUMMYFUNCTION("""COMPUTED_VALUE"""),0.0)</f>
        <v>0</v>
      </c>
      <c r="L696" s="11"/>
    </row>
    <row r="697" ht="15.75" customHeight="1">
      <c r="A697" s="10" t="str">
        <f>IFERROR(__xludf.DUMMYFUNCTION("""COMPUTED_VALUE"""),"https://www.analyticsinsight.net/amp/story/digital-marketing/top-aeo-agencies-in-usa-best-2026-picks-for-ai-search-optimization")</f>
        <v>https://www.analyticsinsight.net/amp/story/digital-marketing/top-aeo-agencies-in-usa-best-2026-picks-for-ai-search-optimization</v>
      </c>
      <c r="B697" s="11" t="str">
        <f>IFERROR(__xludf.DUMMYFUNCTION("""COMPUTED_VALUE"""),"Top AEO Agencies in the USA in 2026 for AI Search Growth")</f>
        <v>Top AEO Agencies in the USA in 2026 for AI Search Growth</v>
      </c>
      <c r="C697" s="10" t="str">
        <f>IFERROR(__xludf.DUMMYFUNCTION("""COMPUTED_VALUE"""),"analyticsinsight.net")</f>
        <v>analyticsinsight.net</v>
      </c>
      <c r="D697" s="11" t="str">
        <f>IFERROR(__xludf.DUMMYFUNCTION("""COMPUTED_VALUE"""),"LISTICLE")</f>
        <v>LISTICLE</v>
      </c>
      <c r="E697" s="11" t="str">
        <f>IFERROR(__xludf.DUMMYFUNCTION("""COMPUTED_VALUE"""),"EDITORIAL")</f>
        <v>EDITORIAL</v>
      </c>
      <c r="F697" s="11" t="str">
        <f>IFERROR(__xludf.DUMMYFUNCTION("""COMPUTED_VALUE"""),"Listicle")</f>
        <v>Listicle</v>
      </c>
      <c r="G697" s="11" t="b">
        <f>IFERROR(__xludf.DUMMYFUNCTION("""COMPUTED_VALUE"""),FALSE)</f>
        <v>0</v>
      </c>
      <c r="H697" s="11" t="str">
        <f>IFERROR(__xludf.DUMMYFUNCTION("""COMPUTED_VALUE"""),"WebFX, First Page Sage, RevenueZen, Siege Media, NoGood, iPullRank")</f>
        <v>WebFX, First Page Sage, RevenueZen, Siege Media, NoGood, iPullRank</v>
      </c>
      <c r="I697" s="11">
        <f>IFERROR(__xludf.DUMMYFUNCTION("""COMPUTED_VALUE"""),1.0)</f>
        <v>1</v>
      </c>
      <c r="J697" s="11">
        <f>IFERROR(__xludf.DUMMYFUNCTION("""COMPUTED_VALUE"""),0.0)</f>
        <v>0</v>
      </c>
      <c r="K697" s="11">
        <f>IFERROR(__xludf.DUMMYFUNCTION("""COMPUTED_VALUE"""),0.0)</f>
        <v>0</v>
      </c>
      <c r="L697" s="11"/>
    </row>
    <row r="698" ht="15.75" customHeight="1">
      <c r="A698" s="10" t="str">
        <f>IFERROR(__xludf.DUMMYFUNCTION("""COMPUTED_VALUE"""),"https://www.anml.com/blog/best-b2b-web-design-agencies-in-2026")</f>
        <v>https://www.anml.com/blog/best-b2b-web-design-agencies-in-2026</v>
      </c>
      <c r="B698" s="11" t="str">
        <f>IFERROR(__xludf.DUMMYFUNCTION("""COMPUTED_VALUE"""),"10 Best B2B Web Design Agencies in 2026 | ANML")</f>
        <v>10 Best B2B Web Design Agencies in 2026 | ANML</v>
      </c>
      <c r="C698" s="10" t="str">
        <f>IFERROR(__xludf.DUMMYFUNCTION("""COMPUTED_VALUE"""),"anml.com")</f>
        <v>anml.com</v>
      </c>
      <c r="D698" s="11" t="str">
        <f>IFERROR(__xludf.DUMMYFUNCTION("""COMPUTED_VALUE"""),"LISTICLE")</f>
        <v>LISTICLE</v>
      </c>
      <c r="E698" s="11" t="str">
        <f>IFERROR(__xludf.DUMMYFUNCTION("""COMPUTED_VALUE"""),"CORPORATE")</f>
        <v>CORPORATE</v>
      </c>
      <c r="F698" s="11" t="str">
        <f>IFERROR(__xludf.DUMMYFUNCTION("""COMPUTED_VALUE"""),"Listicle")</f>
        <v>Listicle</v>
      </c>
      <c r="G698" s="11" t="b">
        <f>IFERROR(__xludf.DUMMYFUNCTION("""COMPUTED_VALUE"""),FALSE)</f>
        <v>0</v>
      </c>
      <c r="H698" s="11" t="str">
        <f>IFERROR(__xludf.DUMMYFUNCTION("""COMPUTED_VALUE"""),"R/GA, DEPT, Huge, Monks, Pentagram, Clutch")</f>
        <v>R/GA, DEPT, Huge, Monks, Pentagram, Clutch</v>
      </c>
      <c r="I698" s="11">
        <f>IFERROR(__xludf.DUMMYFUNCTION("""COMPUTED_VALUE"""),1.0)</f>
        <v>1</v>
      </c>
      <c r="J698" s="11">
        <f>IFERROR(__xludf.DUMMYFUNCTION("""COMPUTED_VALUE"""),0.0)</f>
        <v>0</v>
      </c>
      <c r="K698" s="11">
        <f>IFERROR(__xludf.DUMMYFUNCTION("""COMPUTED_VALUE"""),1.0)</f>
        <v>1</v>
      </c>
      <c r="L698" s="11"/>
    </row>
    <row r="699" ht="15.75" customHeight="1">
      <c r="A699" s="10" t="str">
        <f>IFERROR(__xludf.DUMMYFUNCTION("""COMPUTED_VALUE"""),"https://www.answermaniac.ai/best-geo-agencies")</f>
        <v>https://www.answermaniac.ai/best-geo-agencies</v>
      </c>
      <c r="B699" s="11" t="str">
        <f>IFERROR(__xludf.DUMMYFUNCTION("""COMPUTED_VALUE"""),"11 Best Generative Engine Optimization (GEO) Agencies [2026] | AnswerManiac")</f>
        <v>11 Best Generative Engine Optimization (GEO) Agencies [2026] | AnswerManiac</v>
      </c>
      <c r="C699" s="10" t="str">
        <f>IFERROR(__xludf.DUMMYFUNCTION("""COMPUTED_VALUE"""),"answermaniac.ai")</f>
        <v>answermaniac.ai</v>
      </c>
      <c r="D699" s="11" t="str">
        <f>IFERROR(__xludf.DUMMYFUNCTION("""COMPUTED_VALUE"""),"LISTICLE")</f>
        <v>LISTICLE</v>
      </c>
      <c r="E699" s="11" t="str">
        <f>IFERROR(__xludf.DUMMYFUNCTION("""COMPUTED_VALUE"""),"CORPORATE")</f>
        <v>CORPORATE</v>
      </c>
      <c r="F699" s="11" t="str">
        <f>IFERROR(__xludf.DUMMYFUNCTION("""COMPUTED_VALUE"""),"Listicle")</f>
        <v>Listicle</v>
      </c>
      <c r="G699" s="11" t="b">
        <f>IFERROR(__xludf.DUMMYFUNCTION("""COMPUTED_VALUE"""),FALSE)</f>
        <v>0</v>
      </c>
      <c r="H699" s="11" t="str">
        <f>IFERROR(__xludf.DUMMYFUNCTION("""COMPUTED_VALUE"""),"Intero Digital, Measured")</f>
        <v>Intero Digital, Measured</v>
      </c>
      <c r="I699" s="11">
        <f>IFERROR(__xludf.DUMMYFUNCTION("""COMPUTED_VALUE"""),1.0)</f>
        <v>1</v>
      </c>
      <c r="J699" s="11">
        <f>IFERROR(__xludf.DUMMYFUNCTION("""COMPUTED_VALUE"""),0.0)</f>
        <v>0</v>
      </c>
      <c r="K699" s="11">
        <f>IFERROR(__xludf.DUMMYFUNCTION("""COMPUTED_VALUE"""),1.0)</f>
        <v>1</v>
      </c>
      <c r="L699" s="11"/>
    </row>
    <row r="700" ht="15.75" customHeight="1">
      <c r="A700" s="10" t="str">
        <f>IFERROR(__xludf.DUMMYFUNCTION("""COMPUTED_VALUE"""),"https://appkod.com/blogs/paid-media-agencies-us/")</f>
        <v>https://appkod.com/blogs/paid-media-agencies-us/</v>
      </c>
      <c r="B700" s="11" t="str">
        <f>IFERROR(__xludf.DUMMYFUNCTION("""COMPUTED_VALUE"""),"Top 17 Paid Media Agencies in the U.S. (2025) -")</f>
        <v>Top 17 Paid Media Agencies in the U.S. (2025) -</v>
      </c>
      <c r="C700" s="10" t="str">
        <f>IFERROR(__xludf.DUMMYFUNCTION("""COMPUTED_VALUE"""),"appkod.com")</f>
        <v>appkod.com</v>
      </c>
      <c r="D700" s="11" t="str">
        <f>IFERROR(__xludf.DUMMYFUNCTION("""COMPUTED_VALUE"""),"LISTICLE")</f>
        <v>LISTICLE</v>
      </c>
      <c r="E700" s="11" t="str">
        <f>IFERROR(__xludf.DUMMYFUNCTION("""COMPUTED_VALUE"""),"CORPORATE")</f>
        <v>CORPORATE</v>
      </c>
      <c r="F700" s="11" t="str">
        <f>IFERROR(__xludf.DUMMYFUNCTION("""COMPUTED_VALUE"""),"Listicle")</f>
        <v>Listicle</v>
      </c>
      <c r="G700" s="11" t="b">
        <f>IFERROR(__xludf.DUMMYFUNCTION("""COMPUTED_VALUE"""),FALSE)</f>
        <v>0</v>
      </c>
      <c r="H700" s="11" t="str">
        <f>IFERROR(__xludf.DUMMYFUNCTION("""COMPUTED_VALUE"""),"The Social Shepherd, Marcel Digital, IBM")</f>
        <v>The Social Shepherd, Marcel Digital, IBM</v>
      </c>
      <c r="I700" s="11">
        <f>IFERROR(__xludf.DUMMYFUNCTION("""COMPUTED_VALUE"""),1.0)</f>
        <v>1</v>
      </c>
      <c r="J700" s="11">
        <f>IFERROR(__xludf.DUMMYFUNCTION("""COMPUTED_VALUE"""),0.0)</f>
        <v>0</v>
      </c>
      <c r="K700" s="11">
        <f>IFERROR(__xludf.DUMMYFUNCTION("""COMPUTED_VALUE"""),0.0)</f>
        <v>0</v>
      </c>
      <c r="L700" s="11"/>
    </row>
    <row r="701" ht="15.75" customHeight="1">
      <c r="A701" s="10" t="str">
        <f>IFERROR(__xludf.DUMMYFUNCTION("""COMPUTED_VALUE"""),"https://www.askneedle.com/blog/best-ai-marketing-tools")</f>
        <v>https://www.askneedle.com/blog/best-ai-marketing-tools</v>
      </c>
      <c r="B701" s="11" t="str">
        <f>IFERROR(__xludf.DUMMYFUNCTION("""COMPUTED_VALUE"""),"12 Best AI Marketing Tools for DTC Brands in 2026")</f>
        <v>12 Best AI Marketing Tools for DTC Brands in 2026</v>
      </c>
      <c r="C701" s="10" t="str">
        <f>IFERROR(__xludf.DUMMYFUNCTION("""COMPUTED_VALUE"""),"askneedle.com")</f>
        <v>askneedle.com</v>
      </c>
      <c r="D701" s="11" t="str">
        <f>IFERROR(__xludf.DUMMYFUNCTION("""COMPUTED_VALUE"""),"LISTICLE")</f>
        <v>LISTICLE</v>
      </c>
      <c r="E701" s="11" t="str">
        <f>IFERROR(__xludf.DUMMYFUNCTION("""COMPUTED_VALUE"""),"CORPORATE")</f>
        <v>CORPORATE</v>
      </c>
      <c r="F701" s="11" t="str">
        <f>IFERROR(__xludf.DUMMYFUNCTION("""COMPUTED_VALUE"""),"Listicle")</f>
        <v>Listicle</v>
      </c>
      <c r="G701" s="11" t="b">
        <f>IFERROR(__xludf.DUMMYFUNCTION("""COMPUTED_VALUE"""),FALSE)</f>
        <v>0</v>
      </c>
      <c r="H701" s="11" t="str">
        <f>IFERROR(__xludf.DUMMYFUNCTION("""COMPUTED_VALUE"""),"Huge, McKinsey, PwC")</f>
        <v>Huge, McKinsey, PwC</v>
      </c>
      <c r="I701" s="11">
        <f>IFERROR(__xludf.DUMMYFUNCTION("""COMPUTED_VALUE"""),1.0)</f>
        <v>1</v>
      </c>
      <c r="J701" s="11">
        <f>IFERROR(__xludf.DUMMYFUNCTION("""COMPUTED_VALUE"""),0.0)</f>
        <v>0</v>
      </c>
      <c r="K701" s="11">
        <f>IFERROR(__xludf.DUMMYFUNCTION("""COMPUTED_VALUE"""),1.0)</f>
        <v>1</v>
      </c>
      <c r="L701" s="11"/>
    </row>
    <row r="702" ht="15.75" customHeight="1">
      <c r="A702" s="10" t="str">
        <f>IFERROR(__xludf.DUMMYFUNCTION("""COMPUTED_VALUE"""),"https://aspiremarketers.com/top-performance-marketing-companies/")</f>
        <v>https://aspiremarketers.com/top-performance-marketing-companies/</v>
      </c>
      <c r="B702" s="11" t="str">
        <f>IFERROR(__xludf.DUMMYFUNCTION("""COMPUTED_VALUE"""),"Top Performance Marketing Companies for Business Growth")</f>
        <v>Top Performance Marketing Companies for Business Growth</v>
      </c>
      <c r="C702" s="10" t="str">
        <f>IFERROR(__xludf.DUMMYFUNCTION("""COMPUTED_VALUE"""),"aspiremarketers.com")</f>
        <v>aspiremarketers.com</v>
      </c>
      <c r="D702" s="11" t="str">
        <f>IFERROR(__xludf.DUMMYFUNCTION("""COMPUTED_VALUE"""),"ARTICLE")</f>
        <v>ARTICLE</v>
      </c>
      <c r="E702" s="11" t="str">
        <f>IFERROR(__xludf.DUMMYFUNCTION("""COMPUTED_VALUE"""),"CORPORATE")</f>
        <v>CORPORATE</v>
      </c>
      <c r="F702" s="11" t="str">
        <f>IFERROR(__xludf.DUMMYFUNCTION("""COMPUTED_VALUE"""),"Article")</f>
        <v>Article</v>
      </c>
      <c r="G702" s="11" t="b">
        <f>IFERROR(__xludf.DUMMYFUNCTION("""COMPUTED_VALUE"""),FALSE)</f>
        <v>0</v>
      </c>
      <c r="H702" s="11"/>
      <c r="I702" s="11">
        <f>IFERROR(__xludf.DUMMYFUNCTION("""COMPUTED_VALUE"""),1.0)</f>
        <v>1</v>
      </c>
      <c r="J702" s="11">
        <f>IFERROR(__xludf.DUMMYFUNCTION("""COMPUTED_VALUE"""),0.0)</f>
        <v>0</v>
      </c>
      <c r="K702" s="11">
        <f>IFERROR(__xludf.DUMMYFUNCTION("""COMPUTED_VALUE"""),1.0)</f>
        <v>1</v>
      </c>
      <c r="L702" s="11"/>
    </row>
    <row r="703" ht="15.75" customHeight="1">
      <c r="A703" s="10" t="str">
        <f>IFERROR(__xludf.DUMMYFUNCTION("""COMPUTED_VALUE"""),"https://athenahq.ai/articles/best-ai-seo-tools")</f>
        <v>https://athenahq.ai/articles/best-ai-seo-tools</v>
      </c>
      <c r="B703" s="11" t="str">
        <f>IFERROR(__xludf.DUMMYFUNCTION("""COMPUTED_VALUE"""),"8 Best AI SEO Tools for 2026 (Tested Firsthand) | Action on AI Search")</f>
        <v>8 Best AI SEO Tools for 2026 (Tested Firsthand) | Action on AI Search</v>
      </c>
      <c r="C703" s="10" t="str">
        <f>IFERROR(__xludf.DUMMYFUNCTION("""COMPUTED_VALUE"""),"athenahq.ai")</f>
        <v>athenahq.ai</v>
      </c>
      <c r="D703" s="11" t="str">
        <f>IFERROR(__xludf.DUMMYFUNCTION("""COMPUTED_VALUE"""),"LISTICLE")</f>
        <v>LISTICLE</v>
      </c>
      <c r="E703" s="11" t="str">
        <f>IFERROR(__xludf.DUMMYFUNCTION("""COMPUTED_VALUE"""),"CORPORATE")</f>
        <v>CORPORATE</v>
      </c>
      <c r="F703" s="11" t="str">
        <f>IFERROR(__xludf.DUMMYFUNCTION("""COMPUTED_VALUE"""),"Listicle")</f>
        <v>Listicle</v>
      </c>
      <c r="G703" s="11" t="b">
        <f>IFERROR(__xludf.DUMMYFUNCTION("""COMPUTED_VALUE"""),FALSE)</f>
        <v>0</v>
      </c>
      <c r="H703" s="11"/>
      <c r="I703" s="11">
        <f>IFERROR(__xludf.DUMMYFUNCTION("""COMPUTED_VALUE"""),1.0)</f>
        <v>1</v>
      </c>
      <c r="J703" s="11">
        <f>IFERROR(__xludf.DUMMYFUNCTION("""COMPUTED_VALUE"""),0.0)</f>
        <v>0</v>
      </c>
      <c r="K703" s="11">
        <f>IFERROR(__xludf.DUMMYFUNCTION("""COMPUTED_VALUE"""),1.0)</f>
        <v>1</v>
      </c>
      <c r="L703" s="11"/>
    </row>
    <row r="704" ht="15.75" customHeight="1">
      <c r="A704" s="10" t="str">
        <f>IFERROR(__xludf.DUMMYFUNCTION("""COMPUTED_VALUE"""),"https://avenuez.com/blog/top-dtc-marketing-agencies-in-the-usa/")</f>
        <v>https://avenuez.com/blog/top-dtc-marketing-agencies-in-the-usa/</v>
      </c>
      <c r="B704" s="11" t="str">
        <f>IFERROR(__xludf.DUMMYFUNCTION("""COMPUTED_VALUE"""),"Top DTC Marketing Agencies in the U.S. - Avenue Z")</f>
        <v>Top DTC Marketing Agencies in the U.S. - Avenue Z</v>
      </c>
      <c r="C704" s="10" t="str">
        <f>IFERROR(__xludf.DUMMYFUNCTION("""COMPUTED_VALUE"""),"avenuez.com")</f>
        <v>avenuez.com</v>
      </c>
      <c r="D704" s="11" t="str">
        <f>IFERROR(__xludf.DUMMYFUNCTION("""COMPUTED_VALUE"""),"LISTICLE")</f>
        <v>LISTICLE</v>
      </c>
      <c r="E704" s="11" t="str">
        <f>IFERROR(__xludf.DUMMYFUNCTION("""COMPUTED_VALUE"""),"COMPETITOR")</f>
        <v>COMPETITOR</v>
      </c>
      <c r="F704" s="11" t="str">
        <f>IFERROR(__xludf.DUMMYFUNCTION("""COMPUTED_VALUE"""),"Listicle")</f>
        <v>Listicle</v>
      </c>
      <c r="G704" s="11" t="b">
        <f>IFERROR(__xludf.DUMMYFUNCTION("""COMPUTED_VALUE"""),FALSE)</f>
        <v>0</v>
      </c>
      <c r="H704" s="11" t="str">
        <f>IFERROR(__xludf.DUMMYFUNCTION("""COMPUTED_VALUE"""),"Avenue Z, Common Thread Collective, Tinuiti, Power Digital, Momentum")</f>
        <v>Avenue Z, Common Thread Collective, Tinuiti, Power Digital, Momentum</v>
      </c>
      <c r="I704" s="11">
        <f>IFERROR(__xludf.DUMMYFUNCTION("""COMPUTED_VALUE"""),1.0)</f>
        <v>1</v>
      </c>
      <c r="J704" s="11">
        <f>IFERROR(__xludf.DUMMYFUNCTION("""COMPUTED_VALUE"""),0.0)</f>
        <v>0</v>
      </c>
      <c r="K704" s="11">
        <f>IFERROR(__xludf.DUMMYFUNCTION("""COMPUTED_VALUE"""),1.0)</f>
        <v>1</v>
      </c>
      <c r="L704" s="11"/>
    </row>
    <row r="705" ht="15.75" customHeight="1">
      <c r="A705" s="10" t="str">
        <f>IFERROR(__xludf.DUMMYFUNCTION("""COMPUTED_VALUE"""),"https://avenuez.com/blog/top-social-media-advertising-agencies-in-the-usa/")</f>
        <v>https://avenuez.com/blog/top-social-media-advertising-agencies-in-the-usa/</v>
      </c>
      <c r="B705" s="11" t="str">
        <f>IFERROR(__xludf.DUMMYFUNCTION("""COMPUTED_VALUE"""),"Top Social Media Advertising Agencies in the U.S. - Avenue Z")</f>
        <v>Top Social Media Advertising Agencies in the U.S. - Avenue Z</v>
      </c>
      <c r="C705" s="10" t="str">
        <f>IFERROR(__xludf.DUMMYFUNCTION("""COMPUTED_VALUE"""),"avenuez.com")</f>
        <v>avenuez.com</v>
      </c>
      <c r="D705" s="11" t="str">
        <f>IFERROR(__xludf.DUMMYFUNCTION("""COMPUTED_VALUE"""),"LISTICLE")</f>
        <v>LISTICLE</v>
      </c>
      <c r="E705" s="11" t="str">
        <f>IFERROR(__xludf.DUMMYFUNCTION("""COMPUTED_VALUE"""),"COMPETITOR")</f>
        <v>COMPETITOR</v>
      </c>
      <c r="F705" s="11" t="str">
        <f>IFERROR(__xludf.DUMMYFUNCTION("""COMPUTED_VALUE"""),"Listicle")</f>
        <v>Listicle</v>
      </c>
      <c r="G705" s="11" t="b">
        <f>IFERROR(__xludf.DUMMYFUNCTION("""COMPUTED_VALUE"""),FALSE)</f>
        <v>0</v>
      </c>
      <c r="H705" s="11" t="str">
        <f>IFERROR(__xludf.DUMMYFUNCTION("""COMPUTED_VALUE"""),"Avenue Z, Disruptive Advertising, inBeat, LYFE Marketing")</f>
        <v>Avenue Z, Disruptive Advertising, inBeat, LYFE Marketing</v>
      </c>
      <c r="I705" s="11">
        <f>IFERROR(__xludf.DUMMYFUNCTION("""COMPUTED_VALUE"""),1.0)</f>
        <v>1</v>
      </c>
      <c r="J705" s="11">
        <f>IFERROR(__xludf.DUMMYFUNCTION("""COMPUTED_VALUE"""),0.0)</f>
        <v>0</v>
      </c>
      <c r="K705" s="11">
        <f>IFERROR(__xludf.DUMMYFUNCTION("""COMPUTED_VALUE"""),0.0)</f>
        <v>0</v>
      </c>
      <c r="L705" s="11"/>
    </row>
    <row r="706" ht="15.75" customHeight="1">
      <c r="A706" s="10" t="str">
        <f>IFERROR(__xludf.DUMMYFUNCTION("""COMPUTED_VALUE"""),"https://avenuez.com/blog/top-wellness-marketing-agencies/")</f>
        <v>https://avenuez.com/blog/top-wellness-marketing-agencies/</v>
      </c>
      <c r="B706" s="11" t="str">
        <f>IFERROR(__xludf.DUMMYFUNCTION("""COMPUTED_VALUE"""),"Top Wellness Marketing Agencies of 2025 - Avenue Z")</f>
        <v>Top Wellness Marketing Agencies of 2025 - Avenue Z</v>
      </c>
      <c r="C706" s="10" t="str">
        <f>IFERROR(__xludf.DUMMYFUNCTION("""COMPUTED_VALUE"""),"avenuez.com")</f>
        <v>avenuez.com</v>
      </c>
      <c r="D706" s="11" t="str">
        <f>IFERROR(__xludf.DUMMYFUNCTION("""COMPUTED_VALUE"""),"LISTICLE")</f>
        <v>LISTICLE</v>
      </c>
      <c r="E706" s="11" t="str">
        <f>IFERROR(__xludf.DUMMYFUNCTION("""COMPUTED_VALUE"""),"COMPETITOR")</f>
        <v>COMPETITOR</v>
      </c>
      <c r="F706" s="11" t="str">
        <f>IFERROR(__xludf.DUMMYFUNCTION("""COMPUTED_VALUE"""),"Listicle")</f>
        <v>Listicle</v>
      </c>
      <c r="G706" s="11" t="b">
        <f>IFERROR(__xludf.DUMMYFUNCTION("""COMPUTED_VALUE"""),FALSE)</f>
        <v>0</v>
      </c>
      <c r="H706" s="11" t="str">
        <f>IFERROR(__xludf.DUMMYFUNCTION("""COMPUTED_VALUE"""),"Avenue Z, Momentum, Hawke Media, VaynerMedia, Power Digital")</f>
        <v>Avenue Z, Momentum, Hawke Media, VaynerMedia, Power Digital</v>
      </c>
      <c r="I706" s="11">
        <f>IFERROR(__xludf.DUMMYFUNCTION("""COMPUTED_VALUE"""),1.0)</f>
        <v>1</v>
      </c>
      <c r="J706" s="11">
        <f>IFERROR(__xludf.DUMMYFUNCTION("""COMPUTED_VALUE"""),0.0)</f>
        <v>0</v>
      </c>
      <c r="K706" s="11">
        <f>IFERROR(__xludf.DUMMYFUNCTION("""COMPUTED_VALUE"""),1.0)</f>
        <v>1</v>
      </c>
      <c r="L706" s="11"/>
    </row>
    <row r="707" ht="15.75" customHeight="1">
      <c r="A707" s="10" t="str">
        <f>IFERROR(__xludf.DUMMYFUNCTION("""COMPUTED_VALUE"""),"https://www.awesomic.com/blog/full-service-creative-agencies")</f>
        <v>https://www.awesomic.com/blog/full-service-creative-agencies</v>
      </c>
      <c r="B707" s="11" t="str">
        <f>IFERROR(__xludf.DUMMYFUNCTION("""COMPUTED_VALUE"""),"Best Full Service Creative Agencies in 2026: Top Picks for Fast, Affordable Work")</f>
        <v>Best Full Service Creative Agencies in 2026: Top Picks for Fast, Affordable Work</v>
      </c>
      <c r="C707" s="10" t="str">
        <f>IFERROR(__xludf.DUMMYFUNCTION("""COMPUTED_VALUE"""),"awesomic.com")</f>
        <v>awesomic.com</v>
      </c>
      <c r="D707" s="11" t="str">
        <f>IFERROR(__xludf.DUMMYFUNCTION("""COMPUTED_VALUE"""),"LISTICLE")</f>
        <v>LISTICLE</v>
      </c>
      <c r="E707" s="11" t="str">
        <f>IFERROR(__xludf.DUMMYFUNCTION("""COMPUTED_VALUE"""),"CORPORATE")</f>
        <v>CORPORATE</v>
      </c>
      <c r="F707" s="11" t="str">
        <f>IFERROR(__xludf.DUMMYFUNCTION("""COMPUTED_VALUE"""),"Listicle")</f>
        <v>Listicle</v>
      </c>
      <c r="G707" s="11" t="b">
        <f>IFERROR(__xludf.DUMMYFUNCTION("""COMPUTED_VALUE"""),FALSE)</f>
        <v>0</v>
      </c>
      <c r="H707" s="11" t="str">
        <f>IFERROR(__xludf.DUMMYFUNCTION("""COMPUTED_VALUE"""),"Droga5, Ogilvy, Wieden+Kennedy, VaynerMedia, Pentagram, BBDO, Accenture Song, Huge, Momentum")</f>
        <v>Droga5, Ogilvy, Wieden+Kennedy, VaynerMedia, Pentagram, BBDO, Accenture Song, Huge, Momentum</v>
      </c>
      <c r="I707" s="11">
        <f>IFERROR(__xludf.DUMMYFUNCTION("""COMPUTED_VALUE"""),1.0)</f>
        <v>1</v>
      </c>
      <c r="J707" s="11">
        <f>IFERROR(__xludf.DUMMYFUNCTION("""COMPUTED_VALUE"""),0.0)</f>
        <v>0</v>
      </c>
      <c r="K707" s="11">
        <f>IFERROR(__xludf.DUMMYFUNCTION("""COMPUTED_VALUE"""),1.0)</f>
        <v>1</v>
      </c>
      <c r="L707" s="11"/>
    </row>
    <row r="708" ht="15.75" customHeight="1">
      <c r="A708" s="10" t="str">
        <f>IFERROR(__xludf.DUMMYFUNCTION("""COMPUTED_VALUE"""),"https://awisee.com/ru/blog/paid-social-media-agencies/")</f>
        <v>https://awisee.com/ru/blog/paid-social-media-agencies/</v>
      </c>
      <c r="B708" s="11" t="str">
        <f>IFERROR(__xludf.DUMMYFUNCTION("""COMPUTED_VALUE"""),"Best Paid Social Media Agencies for 2025 – Full Guide")</f>
        <v>Best Paid Social Media Agencies for 2025 – Full Guide</v>
      </c>
      <c r="C708" s="10" t="str">
        <f>IFERROR(__xludf.DUMMYFUNCTION("""COMPUTED_VALUE"""),"awisee.com")</f>
        <v>awisee.com</v>
      </c>
      <c r="D708" s="11" t="str">
        <f>IFERROR(__xludf.DUMMYFUNCTION("""COMPUTED_VALUE"""),"LISTICLE")</f>
        <v>LISTICLE</v>
      </c>
      <c r="E708" s="11" t="str">
        <f>IFERROR(__xludf.DUMMYFUNCTION("""COMPUTED_VALUE"""),"OTHER")</f>
        <v>OTHER</v>
      </c>
      <c r="F708" s="11" t="str">
        <f>IFERROR(__xludf.DUMMYFUNCTION("""COMPUTED_VALUE"""),"Listicle")</f>
        <v>Listicle</v>
      </c>
      <c r="G708" s="11" t="b">
        <f>IFERROR(__xludf.DUMMYFUNCTION("""COMPUTED_VALUE"""),FALSE)</f>
        <v>0</v>
      </c>
      <c r="H708" s="11" t="str">
        <f>IFERROR(__xludf.DUMMYFUNCTION("""COMPUTED_VALUE"""),"VaynerMedia, Power Digital")</f>
        <v>VaynerMedia, Power Digital</v>
      </c>
      <c r="I708" s="11">
        <f>IFERROR(__xludf.DUMMYFUNCTION("""COMPUTED_VALUE"""),1.0)</f>
        <v>1</v>
      </c>
      <c r="J708" s="11">
        <f>IFERROR(__xludf.DUMMYFUNCTION("""COMPUTED_VALUE"""),0.0)</f>
        <v>0</v>
      </c>
      <c r="K708" s="11">
        <f>IFERROR(__xludf.DUMMYFUNCTION("""COMPUTED_VALUE"""),0.0)</f>
        <v>0</v>
      </c>
      <c r="L708" s="11"/>
    </row>
    <row r="709" ht="15.75" customHeight="1">
      <c r="A709" s="10" t="str">
        <f>IFERROR(__xludf.DUMMYFUNCTION("""COMPUTED_VALUE"""),"https://www.awwwards.com/the-10-best-agencies-in-new-york-city.html")</f>
        <v>https://www.awwwards.com/the-10-best-agencies-in-new-york-city.html</v>
      </c>
      <c r="B709" s="11" t="str">
        <f>IFERROR(__xludf.DUMMYFUNCTION("""COMPUTED_VALUE"""),"The 10 Best Agencies in New York City")</f>
        <v>The 10 Best Agencies in New York City</v>
      </c>
      <c r="C709" s="10" t="str">
        <f>IFERROR(__xludf.DUMMYFUNCTION("""COMPUTED_VALUE"""),"awwwards.com")</f>
        <v>awwwards.com</v>
      </c>
      <c r="D709" s="11" t="str">
        <f>IFERROR(__xludf.DUMMYFUNCTION("""COMPUTED_VALUE"""),"LISTICLE")</f>
        <v>LISTICLE</v>
      </c>
      <c r="E709" s="11" t="str">
        <f>IFERROR(__xludf.DUMMYFUNCTION("""COMPUTED_VALUE"""),"EDITORIAL")</f>
        <v>EDITORIAL</v>
      </c>
      <c r="F709" s="11" t="str">
        <f>IFERROR(__xludf.DUMMYFUNCTION("""COMPUTED_VALUE"""),"Listicle")</f>
        <v>Listicle</v>
      </c>
      <c r="G709" s="11" t="b">
        <f>IFERROR(__xludf.DUMMYFUNCTION("""COMPUTED_VALUE"""),FALSE)</f>
        <v>0</v>
      </c>
      <c r="H709" s="11" t="str">
        <f>IFERROR(__xludf.DUMMYFUNCTION("""COMPUTED_VALUE"""),"Huge, R/GA, DEPT, AKQA, Droga5")</f>
        <v>Huge, R/GA, DEPT, AKQA, Droga5</v>
      </c>
      <c r="I709" s="11">
        <f>IFERROR(__xludf.DUMMYFUNCTION("""COMPUTED_VALUE"""),1.0)</f>
        <v>1</v>
      </c>
      <c r="J709" s="11">
        <f>IFERROR(__xludf.DUMMYFUNCTION("""COMPUTED_VALUE"""),0.0)</f>
        <v>0</v>
      </c>
      <c r="K709" s="11">
        <f>IFERROR(__xludf.DUMMYFUNCTION("""COMPUTED_VALUE"""),1.0)</f>
        <v>1</v>
      </c>
      <c r="L709" s="11"/>
    </row>
    <row r="710" ht="15.75" customHeight="1">
      <c r="A710" s="10" t="str">
        <f>IFERROR(__xludf.DUMMYFUNCTION("""COMPUTED_VALUE"""),"https://www.barchart.com/story/news/1344974/designrush-unveils-april-2026-ranking-of-top-10-ppc-companies")</f>
        <v>https://www.barchart.com/story/news/1344974/designrush-unveils-april-2026-ranking-of-top-10-ppc-companies</v>
      </c>
      <c r="B710" s="11" t="str">
        <f>IFERROR(__xludf.DUMMYFUNCTION("""COMPUTED_VALUE"""),"DesignRush Unveils April 2026 Ranking of Top 10 PPC Companies")</f>
        <v>DesignRush Unveils April 2026 Ranking of Top 10 PPC Companies</v>
      </c>
      <c r="C710" s="10" t="str">
        <f>IFERROR(__xludf.DUMMYFUNCTION("""COMPUTED_VALUE"""),"barchart.com")</f>
        <v>barchart.com</v>
      </c>
      <c r="D710" s="11" t="str">
        <f>IFERROR(__xludf.DUMMYFUNCTION("""COMPUTED_VALUE"""),"LISTICLE")</f>
        <v>LISTICLE</v>
      </c>
      <c r="E710" s="11" t="str">
        <f>IFERROR(__xludf.DUMMYFUNCTION("""COMPUTED_VALUE"""),"REFERENCE")</f>
        <v>REFERENCE</v>
      </c>
      <c r="F710" s="11" t="str">
        <f>IFERROR(__xludf.DUMMYFUNCTION("""COMPUTED_VALUE"""),"Listicle")</f>
        <v>Listicle</v>
      </c>
      <c r="G710" s="11" t="b">
        <f>IFERROR(__xludf.DUMMYFUNCTION("""COMPUTED_VALUE"""),FALSE)</f>
        <v>0</v>
      </c>
      <c r="H710" s="11" t="str">
        <f>IFERROR(__xludf.DUMMYFUNCTION("""COMPUTED_VALUE"""),"Momentum, SmartSites, Searchbloom, Disruptive Advertising, Silverback Strategies, Intero Digital, Funnel Boost Media")</f>
        <v>Momentum, SmartSites, Searchbloom, Disruptive Advertising, Silverback Strategies, Intero Digital, Funnel Boost Media</v>
      </c>
      <c r="I710" s="11">
        <f>IFERROR(__xludf.DUMMYFUNCTION("""COMPUTED_VALUE"""),1.0)</f>
        <v>1</v>
      </c>
      <c r="J710" s="11">
        <f>IFERROR(__xludf.DUMMYFUNCTION("""COMPUTED_VALUE"""),0.0)</f>
        <v>0</v>
      </c>
      <c r="K710" s="11">
        <f>IFERROR(__xludf.DUMMYFUNCTION("""COMPUTED_VALUE"""),0.0)</f>
        <v>0</v>
      </c>
      <c r="L710" s="11"/>
    </row>
    <row r="711" ht="15.75" customHeight="1">
      <c r="A711" s="10" t="str">
        <f>IFERROR(__xludf.DUMMYFUNCTION("""COMPUTED_VALUE"""),"https://beomniscient.com/blog/marketing-agencies/")</f>
        <v>https://beomniscient.com/blog/marketing-agencies/</v>
      </c>
      <c r="B711" s="11" t="str">
        <f>IFERROR(__xludf.DUMMYFUNCTION("""COMPUTED_VALUE"""),"The 6 Best Marketing Agencies in 2026 - Omniscient Digital")</f>
        <v>The 6 Best Marketing Agencies in 2026 - Omniscient Digital</v>
      </c>
      <c r="C711" s="10" t="str">
        <f>IFERROR(__xludf.DUMMYFUNCTION("""COMPUTED_VALUE"""),"beomniscient.com")</f>
        <v>beomniscient.com</v>
      </c>
      <c r="D711" s="11" t="str">
        <f>IFERROR(__xludf.DUMMYFUNCTION("""COMPUTED_VALUE"""),"LISTICLE")</f>
        <v>LISTICLE</v>
      </c>
      <c r="E711" s="11" t="str">
        <f>IFERROR(__xludf.DUMMYFUNCTION("""COMPUTED_VALUE"""),"COMPETITOR")</f>
        <v>COMPETITOR</v>
      </c>
      <c r="F711" s="11" t="str">
        <f>IFERROR(__xludf.DUMMYFUNCTION("""COMPUTED_VALUE"""),"Listicle")</f>
        <v>Listicle</v>
      </c>
      <c r="G711" s="11" t="b">
        <f>IFERROR(__xludf.DUMMYFUNCTION("""COMPUTED_VALUE"""),FALSE)</f>
        <v>0</v>
      </c>
      <c r="H711" s="11" t="str">
        <f>IFERROR(__xludf.DUMMYFUNCTION("""COMPUTED_VALUE"""),"Omniscient Digital, LYFE Marketing, Disruptive Advertising, NoGood")</f>
        <v>Omniscient Digital, LYFE Marketing, Disruptive Advertising, NoGood</v>
      </c>
      <c r="I711" s="11">
        <f>IFERROR(__xludf.DUMMYFUNCTION("""COMPUTED_VALUE"""),1.0)</f>
        <v>1</v>
      </c>
      <c r="J711" s="11">
        <f>IFERROR(__xludf.DUMMYFUNCTION("""COMPUTED_VALUE"""),0.0)</f>
        <v>0</v>
      </c>
      <c r="K711" s="11">
        <f>IFERROR(__xludf.DUMMYFUNCTION("""COMPUTED_VALUE"""),0.0)</f>
        <v>0</v>
      </c>
      <c r="L711" s="11"/>
    </row>
    <row r="712" ht="15.75" customHeight="1">
      <c r="A712" s="10" t="str">
        <f>IFERROR(__xludf.DUMMYFUNCTION("""COMPUTED_VALUE"""),"https://www.best-masters.com/master-marketing-ranking.html")</f>
        <v>https://www.best-masters.com/master-marketing-ranking.html</v>
      </c>
      <c r="B712" s="11" t="str">
        <f>IFERROR(__xludf.DUMMYFUNCTION("""COMPUTED_VALUE"""),"Best Master in Marketing 2026 - Worldwide Ranking")</f>
        <v>Best Master in Marketing 2026 - Worldwide Ranking</v>
      </c>
      <c r="C712" s="10" t="str">
        <f>IFERROR(__xludf.DUMMYFUNCTION("""COMPUTED_VALUE"""),"best-masters.com")</f>
        <v>best-masters.com</v>
      </c>
      <c r="D712" s="11" t="str">
        <f>IFERROR(__xludf.DUMMYFUNCTION("""COMPUTED_VALUE"""),"PRODUCT_PAGE")</f>
        <v>PRODUCT_PAGE</v>
      </c>
      <c r="E712" s="11" t="str">
        <f>IFERROR(__xludf.DUMMYFUNCTION("""COMPUTED_VALUE"""),"REFERENCE")</f>
        <v>REFERENCE</v>
      </c>
      <c r="F712" s="11" t="str">
        <f>IFERROR(__xludf.DUMMYFUNCTION("""COMPUTED_VALUE"""),"Product Page")</f>
        <v>Product Page</v>
      </c>
      <c r="G712" s="11" t="b">
        <f>IFERROR(__xludf.DUMMYFUNCTION("""COMPUTED_VALUE"""),FALSE)</f>
        <v>0</v>
      </c>
      <c r="H712" s="11" t="str">
        <f>IFERROR(__xludf.DUMMYFUNCTION("""COMPUTED_VALUE"""),"Measured, McKinsey")</f>
        <v>Measured, McKinsey</v>
      </c>
      <c r="I712" s="11">
        <f>IFERROR(__xludf.DUMMYFUNCTION("""COMPUTED_VALUE"""),1.0)</f>
        <v>1</v>
      </c>
      <c r="J712" s="11">
        <f>IFERROR(__xludf.DUMMYFUNCTION("""COMPUTED_VALUE"""),0.0)</f>
        <v>0</v>
      </c>
      <c r="K712" s="11">
        <f>IFERROR(__xludf.DUMMYFUNCTION("""COMPUTED_VALUE"""),1.0)</f>
        <v>1</v>
      </c>
      <c r="L712" s="11"/>
    </row>
    <row r="713" ht="15.75" customHeight="1">
      <c r="A713" s="10" t="str">
        <f>IFERROR(__xludf.DUMMYFUNCTION("""COMPUTED_VALUE"""),"https://bestaiseoagencies.com/")</f>
        <v>https://bestaiseoagencies.com/</v>
      </c>
      <c r="B713" s="11" t="str">
        <f>IFERROR(__xludf.DUMMYFUNCTION("""COMPUTED_VALUE"""),"10 Best AI SEO Agencies 2026 - Independent Rankings")</f>
        <v>10 Best AI SEO Agencies 2026 - Independent Rankings</v>
      </c>
      <c r="C713" s="10" t="str">
        <f>IFERROR(__xludf.DUMMYFUNCTION("""COMPUTED_VALUE"""),"bestaiseoagencies.com")</f>
        <v>bestaiseoagencies.com</v>
      </c>
      <c r="D713" s="11" t="str">
        <f>IFERROR(__xludf.DUMMYFUNCTION("""COMPUTED_VALUE"""),"HOMEPAGE")</f>
        <v>HOMEPAGE</v>
      </c>
      <c r="E713" s="11" t="str">
        <f>IFERROR(__xludf.DUMMYFUNCTION("""COMPUTED_VALUE"""),"EDITORIAL")</f>
        <v>EDITORIAL</v>
      </c>
      <c r="F713" s="11" t="str">
        <f>IFERROR(__xludf.DUMMYFUNCTION("""COMPUTED_VALUE"""),"Homepage")</f>
        <v>Homepage</v>
      </c>
      <c r="G713" s="11" t="b">
        <f>IFERROR(__xludf.DUMMYFUNCTION("""COMPUTED_VALUE"""),FALSE)</f>
        <v>0</v>
      </c>
      <c r="H713" s="11" t="str">
        <f>IFERROR(__xludf.DUMMYFUNCTION("""COMPUTED_VALUE"""),"Victorious, Clutch, Directive, Seer Interactive, Intero Digital, Funnel Boost Media")</f>
        <v>Victorious, Clutch, Directive, Seer Interactive, Intero Digital, Funnel Boost Media</v>
      </c>
      <c r="I713" s="11">
        <f>IFERROR(__xludf.DUMMYFUNCTION("""COMPUTED_VALUE"""),1.0)</f>
        <v>1</v>
      </c>
      <c r="J713" s="11">
        <f>IFERROR(__xludf.DUMMYFUNCTION("""COMPUTED_VALUE"""),0.0)</f>
        <v>0</v>
      </c>
      <c r="K713" s="11">
        <f>IFERROR(__xludf.DUMMYFUNCTION("""COMPUTED_VALUE"""),0.0)</f>
        <v>0</v>
      </c>
      <c r="L713" s="11"/>
    </row>
    <row r="714" ht="15.75" customHeight="1">
      <c r="A714" s="10" t="str">
        <f>IFERROR(__xludf.DUMMYFUNCTION("""COMPUTED_VALUE"""),"https://blackthorn-vision.com/blog/top-10-seo-companies-in-the-usa/")</f>
        <v>https://blackthorn-vision.com/blog/top-10-seo-companies-in-the-usa/</v>
      </c>
      <c r="B714" s="11" t="str">
        <f>IFERROR(__xludf.DUMMYFUNCTION("""COMPUTED_VALUE"""),"Top 10 SEO Companies in the USA (2026) — Honest Reviews, Pricing &amp;amp; Comparison")</f>
        <v>Top 10 SEO Companies in the USA (2026) — Honest Reviews, Pricing &amp;amp; Comparison</v>
      </c>
      <c r="C714" s="10" t="str">
        <f>IFERROR(__xludf.DUMMYFUNCTION("""COMPUTED_VALUE"""),"blackthorn-vision.com")</f>
        <v>blackthorn-vision.com</v>
      </c>
      <c r="D714" s="11" t="str">
        <f>IFERROR(__xludf.DUMMYFUNCTION("""COMPUTED_VALUE"""),"LISTICLE")</f>
        <v>LISTICLE</v>
      </c>
      <c r="E714" s="11" t="str">
        <f>IFERROR(__xludf.DUMMYFUNCTION("""COMPUTED_VALUE"""),"CORPORATE")</f>
        <v>CORPORATE</v>
      </c>
      <c r="F714" s="11" t="str">
        <f>IFERROR(__xludf.DUMMYFUNCTION("""COMPUTED_VALUE"""),"Listicle")</f>
        <v>Listicle</v>
      </c>
      <c r="G714" s="11" t="b">
        <f>IFERROR(__xludf.DUMMYFUNCTION("""COMPUTED_VALUE"""),FALSE)</f>
        <v>0</v>
      </c>
      <c r="H714" s="11" t="str">
        <f>IFERROR(__xludf.DUMMYFUNCTION("""COMPUTED_VALUE"""),"WebFX, Victorious, NP Digital, Siege Media, Directive, Ignite Visibility, Thrive Internet Marketing Agency, SmartSites, Clutch")</f>
        <v>WebFX, Victorious, NP Digital, Siege Media, Directive, Ignite Visibility, Thrive Internet Marketing Agency, SmartSites, Clutch</v>
      </c>
      <c r="I714" s="11">
        <f>IFERROR(__xludf.DUMMYFUNCTION("""COMPUTED_VALUE"""),1.0)</f>
        <v>1</v>
      </c>
      <c r="J714" s="11">
        <f>IFERROR(__xludf.DUMMYFUNCTION("""COMPUTED_VALUE"""),0.0)</f>
        <v>0</v>
      </c>
      <c r="K714" s="11">
        <f>IFERROR(__xludf.DUMMYFUNCTION("""COMPUTED_VALUE"""),1.0)</f>
        <v>1</v>
      </c>
      <c r="L714" s="11"/>
    </row>
    <row r="715" ht="15.75" customHeight="1">
      <c r="A715" s="10" t="str">
        <f>IFERROR(__xludf.DUMMYFUNCTION("""COMPUTED_VALUE"""),"https://blazonagency.com/post/top-ad-agencies")</f>
        <v>https://blazonagency.com/post/top-ad-agencies</v>
      </c>
      <c r="B715" s="11" t="str">
        <f>IFERROR(__xludf.DUMMYFUNCTION("""COMPUTED_VALUE"""),"Top Ad Agencies in 2026 — Who's Actually Delivering Results?")</f>
        <v>Top Ad Agencies in 2026 — Who's Actually Delivering Results?</v>
      </c>
      <c r="C715" s="10" t="str">
        <f>IFERROR(__xludf.DUMMYFUNCTION("""COMPUTED_VALUE"""),"blazonagency.com")</f>
        <v>blazonagency.com</v>
      </c>
      <c r="D715" s="11" t="str">
        <f>IFERROR(__xludf.DUMMYFUNCTION("""COMPUTED_VALUE"""),"LISTICLE")</f>
        <v>LISTICLE</v>
      </c>
      <c r="E715" s="11" t="str">
        <f>IFERROR(__xludf.DUMMYFUNCTION("""COMPUTED_VALUE"""),"CORPORATE")</f>
        <v>CORPORATE</v>
      </c>
      <c r="F715" s="11" t="str">
        <f>IFERROR(__xludf.DUMMYFUNCTION("""COMPUTED_VALUE"""),"Listicle")</f>
        <v>Listicle</v>
      </c>
      <c r="G715" s="11" t="b">
        <f>IFERROR(__xludf.DUMMYFUNCTION("""COMPUTED_VALUE"""),FALSE)</f>
        <v>0</v>
      </c>
      <c r="H715" s="11" t="str">
        <f>IFERROR(__xludf.DUMMYFUNCTION("""COMPUTED_VALUE"""),"Momentum, Anomaly, inBeat, R/GA, VaynerMedia")</f>
        <v>Momentum, Anomaly, inBeat, R/GA, VaynerMedia</v>
      </c>
      <c r="I715" s="11">
        <f>IFERROR(__xludf.DUMMYFUNCTION("""COMPUTED_VALUE"""),1.0)</f>
        <v>1</v>
      </c>
      <c r="J715" s="11">
        <f>IFERROR(__xludf.DUMMYFUNCTION("""COMPUTED_VALUE"""),0.0)</f>
        <v>0</v>
      </c>
      <c r="K715" s="11">
        <f>IFERROR(__xludf.DUMMYFUNCTION("""COMPUTED_VALUE"""),0.0)</f>
        <v>0</v>
      </c>
      <c r="L715" s="11"/>
    </row>
    <row r="716" ht="15.75" customHeight="1">
      <c r="A716" s="10" t="str">
        <f>IFERROR(__xludf.DUMMYFUNCTION("""COMPUTED_VALUE"""),"https://www.blendb2b.com/resources/best-aeo-agencies-for-logistics-companies?hs_amp=true")</f>
        <v>https://www.blendb2b.com/resources/best-aeo-agencies-for-logistics-companies?hs_amp=true</v>
      </c>
      <c r="B716" s="11" t="str">
        <f>IFERROR(__xludf.DUMMYFUNCTION("""COMPUTED_VALUE"""),"The 6 best AEO agencies for logistics companies in 2026")</f>
        <v>The 6 best AEO agencies for logistics companies in 2026</v>
      </c>
      <c r="C716" s="10" t="str">
        <f>IFERROR(__xludf.DUMMYFUNCTION("""COMPUTED_VALUE"""),"blendb2b.com")</f>
        <v>blendb2b.com</v>
      </c>
      <c r="D716" s="11" t="str">
        <f>IFERROR(__xludf.DUMMYFUNCTION("""COMPUTED_VALUE"""),"LISTICLE")</f>
        <v>LISTICLE</v>
      </c>
      <c r="E716" s="11" t="str">
        <f>IFERROR(__xludf.DUMMYFUNCTION("""COMPUTED_VALUE"""),"CORPORATE")</f>
        <v>CORPORATE</v>
      </c>
      <c r="F716" s="11" t="str">
        <f>IFERROR(__xludf.DUMMYFUNCTION("""COMPUTED_VALUE"""),"Listicle")</f>
        <v>Listicle</v>
      </c>
      <c r="G716" s="11" t="b">
        <f>IFERROR(__xludf.DUMMYFUNCTION("""COMPUTED_VALUE"""),FALSE)</f>
        <v>0</v>
      </c>
      <c r="H716" s="11" t="str">
        <f>IFERROR(__xludf.DUMMYFUNCTION("""COMPUTED_VALUE"""),"RevenueZen, Omniscient Digital, NoGood, First Page Sage, Animalz")</f>
        <v>RevenueZen, Omniscient Digital, NoGood, First Page Sage, Animalz</v>
      </c>
      <c r="I716" s="11">
        <f>IFERROR(__xludf.DUMMYFUNCTION("""COMPUTED_VALUE"""),1.0)</f>
        <v>1</v>
      </c>
      <c r="J716" s="11">
        <f>IFERROR(__xludf.DUMMYFUNCTION("""COMPUTED_VALUE"""),0.0)</f>
        <v>0</v>
      </c>
      <c r="K716" s="11">
        <f>IFERROR(__xludf.DUMMYFUNCTION("""COMPUTED_VALUE"""),0.0)</f>
        <v>0</v>
      </c>
      <c r="L716" s="11"/>
    </row>
    <row r="717" ht="15.75" customHeight="1">
      <c r="A717" s="10" t="str">
        <f>IFERROR(__xludf.DUMMYFUNCTION("""COMPUTED_VALUE"""),"https://blog.brandburp.com/10-best-digital-marketing-agencies-in-new-york/")</f>
        <v>https://blog.brandburp.com/10-best-digital-marketing-agencies-in-new-york/</v>
      </c>
      <c r="B717" s="11" t="str">
        <f>IFERROR(__xludf.DUMMYFUNCTION("""COMPUTED_VALUE"""),"10 Best Digital Marketing Agencies in New York")</f>
        <v>10 Best Digital Marketing Agencies in New York</v>
      </c>
      <c r="C717" s="10" t="str">
        <f>IFERROR(__xludf.DUMMYFUNCTION("""COMPUTED_VALUE"""),"brandburp.com")</f>
        <v>brandburp.com</v>
      </c>
      <c r="D717" s="11" t="str">
        <f>IFERROR(__xludf.DUMMYFUNCTION("""COMPUTED_VALUE"""),"LISTICLE")</f>
        <v>LISTICLE</v>
      </c>
      <c r="E717" s="11" t="str">
        <f>IFERROR(__xludf.DUMMYFUNCTION("""COMPUTED_VALUE"""),"CORPORATE")</f>
        <v>CORPORATE</v>
      </c>
      <c r="F717" s="11" t="str">
        <f>IFERROR(__xludf.DUMMYFUNCTION("""COMPUTED_VALUE"""),"Listicle")</f>
        <v>Listicle</v>
      </c>
      <c r="G717" s="11" t="b">
        <f>IFERROR(__xludf.DUMMYFUNCTION("""COMPUTED_VALUE"""),FALSE)</f>
        <v>0</v>
      </c>
      <c r="H717" s="11" t="str">
        <f>IFERROR(__xludf.DUMMYFUNCTION("""COMPUTED_VALUE"""),"NoGood, Wpromote, SmartSites, Thrive Internet Marketing Agency, Disruptive Advertising, WebFX, Darkroom")</f>
        <v>NoGood, Wpromote, SmartSites, Thrive Internet Marketing Agency, Disruptive Advertising, WebFX, Darkroom</v>
      </c>
      <c r="I717" s="11">
        <f>IFERROR(__xludf.DUMMYFUNCTION("""COMPUTED_VALUE"""),1.0)</f>
        <v>1</v>
      </c>
      <c r="J717" s="11">
        <f>IFERROR(__xludf.DUMMYFUNCTION("""COMPUTED_VALUE"""),0.0)</f>
        <v>0</v>
      </c>
      <c r="K717" s="11">
        <f>IFERROR(__xludf.DUMMYFUNCTION("""COMPUTED_VALUE"""),0.0)</f>
        <v>0</v>
      </c>
      <c r="L717" s="11"/>
    </row>
    <row r="718" ht="15.75" customHeight="1">
      <c r="A718" s="10" t="str">
        <f>IFERROR(__xludf.DUMMYFUNCTION("""COMPUTED_VALUE"""),"https://www.blog.udonis.co/top-agencies/marketing-consulting-firms")</f>
        <v>https://www.blog.udonis.co/top-agencies/marketing-consulting-firms</v>
      </c>
      <c r="B718" s="11" t="str">
        <f>IFERROR(__xludf.DUMMYFUNCTION("""COMPUTED_VALUE"""),"18 Best Marketing Consulting Firms to Hire in 2026")</f>
        <v>18 Best Marketing Consulting Firms to Hire in 2026</v>
      </c>
      <c r="C718" s="10" t="str">
        <f>IFERROR(__xludf.DUMMYFUNCTION("""COMPUTED_VALUE"""),"udonis.co")</f>
        <v>udonis.co</v>
      </c>
      <c r="D718" s="11" t="str">
        <f>IFERROR(__xludf.DUMMYFUNCTION("""COMPUTED_VALUE"""),"LISTICLE")</f>
        <v>LISTICLE</v>
      </c>
      <c r="E718" s="11" t="str">
        <f>IFERROR(__xludf.DUMMYFUNCTION("""COMPUTED_VALUE"""),"CORPORATE")</f>
        <v>CORPORATE</v>
      </c>
      <c r="F718" s="11" t="str">
        <f>IFERROR(__xludf.DUMMYFUNCTION("""COMPUTED_VALUE"""),"Listicle")</f>
        <v>Listicle</v>
      </c>
      <c r="G718" s="11" t="b">
        <f>IFERROR(__xludf.DUMMYFUNCTION("""COMPUTED_VALUE"""),FALSE)</f>
        <v>0</v>
      </c>
      <c r="H718" s="11" t="str">
        <f>IFERROR(__xludf.DUMMYFUNCTION("""COMPUTED_VALUE"""),"Accenture Song, Deloitte Digital, McKinsey, BCG, Bain &amp; Company, Ogilvy, Slalom, Monks, Wpromote, R/GA, IBM, TransUnion")</f>
        <v>Accenture Song, Deloitte Digital, McKinsey, BCG, Bain &amp; Company, Ogilvy, Slalom, Monks, Wpromote, R/GA, IBM, TransUnion</v>
      </c>
      <c r="I718" s="11">
        <f>IFERROR(__xludf.DUMMYFUNCTION("""COMPUTED_VALUE"""),1.0)</f>
        <v>1</v>
      </c>
      <c r="J718" s="11">
        <f>IFERROR(__xludf.DUMMYFUNCTION("""COMPUTED_VALUE"""),0.0)</f>
        <v>0</v>
      </c>
      <c r="K718" s="11">
        <f>IFERROR(__xludf.DUMMYFUNCTION("""COMPUTED_VALUE"""),0.0)</f>
        <v>0</v>
      </c>
      <c r="L718" s="11"/>
    </row>
    <row r="719" ht="15.75" customHeight="1">
      <c r="A719" s="10" t="str">
        <f>IFERROR(__xludf.DUMMYFUNCTION("""COMPUTED_VALUE"""),"https://www.bloggingtips.com/assets/outsourcing/seo")</f>
        <v>https://www.bloggingtips.com/assets/outsourcing/seo</v>
      </c>
      <c r="B719" s="11" t="str">
        <f>IFERROR(__xludf.DUMMYFUNCTION("""COMPUTED_VALUE"""),"15+ Best SEO Agencies For 2024 [Ranked]")</f>
        <v>15+ Best SEO Agencies For 2024 [Ranked]</v>
      </c>
      <c r="C719" s="10" t="str">
        <f>IFERROR(__xludf.DUMMYFUNCTION("""COMPUTED_VALUE"""),"bloggingtips.com")</f>
        <v>bloggingtips.com</v>
      </c>
      <c r="D719" s="11" t="str">
        <f>IFERROR(__xludf.DUMMYFUNCTION("""COMPUTED_VALUE"""),"COMPARISON")</f>
        <v>COMPARISON</v>
      </c>
      <c r="E719" s="11" t="str">
        <f>IFERROR(__xludf.DUMMYFUNCTION("""COMPUTED_VALUE"""),"EDITORIAL")</f>
        <v>EDITORIAL</v>
      </c>
      <c r="F719" s="11" t="str">
        <f>IFERROR(__xludf.DUMMYFUNCTION("""COMPUTED_VALUE"""),"Comparison")</f>
        <v>Comparison</v>
      </c>
      <c r="G719" s="11" t="b">
        <f>IFERROR(__xludf.DUMMYFUNCTION("""COMPUTED_VALUE"""),FALSE)</f>
        <v>0</v>
      </c>
      <c r="H719" s="11" t="str">
        <f>IFERROR(__xludf.DUMMYFUNCTION("""COMPUTED_VALUE"""),"Ignite Visibility, SmartSites, WebFX, Seer Interactive")</f>
        <v>Ignite Visibility, SmartSites, WebFX, Seer Interactive</v>
      </c>
      <c r="I719" s="11">
        <f>IFERROR(__xludf.DUMMYFUNCTION("""COMPUTED_VALUE"""),1.0)</f>
        <v>1</v>
      </c>
      <c r="J719" s="11">
        <f>IFERROR(__xludf.DUMMYFUNCTION("""COMPUTED_VALUE"""),0.0)</f>
        <v>0</v>
      </c>
      <c r="K719" s="11">
        <f>IFERROR(__xludf.DUMMYFUNCTION("""COMPUTED_VALUE"""),1.0)</f>
        <v>1</v>
      </c>
      <c r="L719" s="11"/>
    </row>
    <row r="720" ht="15.75" customHeight="1">
      <c r="A720" s="10" t="str">
        <f>IFERROR(__xludf.DUMMYFUNCTION("""COMPUTED_VALUE"""),"https://www.bolderagency.com/journal/startup-branding-agency-guide-2026-best-us-agencies-for-strategic-brand-building")</f>
        <v>https://www.bolderagency.com/journal/startup-branding-agency-guide-2026-best-us-agencies-for-strategic-brand-building</v>
      </c>
      <c r="B720" s="11" t="str">
        <f>IFERROR(__xludf.DUMMYFUNCTION("""COMPUTED_VALUE"""),"Startup branding agency guide: best USA agencies for strategic brand building")</f>
        <v>Startup branding agency guide: best USA agencies for strategic brand building</v>
      </c>
      <c r="C720" s="10" t="str">
        <f>IFERROR(__xludf.DUMMYFUNCTION("""COMPUTED_VALUE"""),"bolderagency.com")</f>
        <v>bolderagency.com</v>
      </c>
      <c r="D720" s="11" t="str">
        <f>IFERROR(__xludf.DUMMYFUNCTION("""COMPUTED_VALUE"""),"LISTICLE")</f>
        <v>LISTICLE</v>
      </c>
      <c r="E720" s="11" t="str">
        <f>IFERROR(__xludf.DUMMYFUNCTION("""COMPUTED_VALUE"""),"CORPORATE")</f>
        <v>CORPORATE</v>
      </c>
      <c r="F720" s="11" t="str">
        <f>IFERROR(__xludf.DUMMYFUNCTION("""COMPUTED_VALUE"""),"Listicle")</f>
        <v>Listicle</v>
      </c>
      <c r="G720" s="11" t="b">
        <f>IFERROR(__xludf.DUMMYFUNCTION("""COMPUTED_VALUE"""),FALSE)</f>
        <v>0</v>
      </c>
      <c r="H720" s="11" t="str">
        <f>IFERROR(__xludf.DUMMYFUNCTION("""COMPUTED_VALUE"""),"Pentagram, Clay, Wolff Olins, Clutch")</f>
        <v>Pentagram, Clay, Wolff Olins, Clutch</v>
      </c>
      <c r="I720" s="11">
        <f>IFERROR(__xludf.DUMMYFUNCTION("""COMPUTED_VALUE"""),1.0)</f>
        <v>1</v>
      </c>
      <c r="J720" s="11">
        <f>IFERROR(__xludf.DUMMYFUNCTION("""COMPUTED_VALUE"""),0.0)</f>
        <v>0</v>
      </c>
      <c r="K720" s="11">
        <f>IFERROR(__xludf.DUMMYFUNCTION("""COMPUTED_VALUE"""),0.0)</f>
        <v>0</v>
      </c>
      <c r="L720" s="11"/>
    </row>
    <row r="721" ht="15.75" customHeight="1">
      <c r="A721" s="10" t="str">
        <f>IFERROR(__xludf.DUMMYFUNCTION("""COMPUTED_VALUE"""),"https://www.brandedagency.com/blog/top-digital-marketing-agencies")</f>
        <v>https://www.brandedagency.com/blog/top-digital-marketing-agencies</v>
      </c>
      <c r="B721" s="11" t="str">
        <f>IFERROR(__xludf.DUMMYFUNCTION("""COMPUTED_VALUE"""),"Best Digital Marketing Agencies for Growth in 2026")</f>
        <v>Best Digital Marketing Agencies for Growth in 2026</v>
      </c>
      <c r="C721" s="10" t="str">
        <f>IFERROR(__xludf.DUMMYFUNCTION("""COMPUTED_VALUE"""),"brandedagency.com")</f>
        <v>brandedagency.com</v>
      </c>
      <c r="D721" s="11" t="str">
        <f>IFERROR(__xludf.DUMMYFUNCTION("""COMPUTED_VALUE"""),"LISTICLE")</f>
        <v>LISTICLE</v>
      </c>
      <c r="E721" s="11" t="str">
        <f>IFERROR(__xludf.DUMMYFUNCTION("""COMPUTED_VALUE"""),"CORPORATE")</f>
        <v>CORPORATE</v>
      </c>
      <c r="F721" s="11" t="str">
        <f>IFERROR(__xludf.DUMMYFUNCTION("""COMPUTED_VALUE"""),"Listicle")</f>
        <v>Listicle</v>
      </c>
      <c r="G721" s="11" t="b">
        <f>IFERROR(__xludf.DUMMYFUNCTION("""COMPUTED_VALUE"""),FALSE)</f>
        <v>0</v>
      </c>
      <c r="H721" s="11" t="str">
        <f>IFERROR(__xludf.DUMMYFUNCTION("""COMPUTED_VALUE"""),"Measured, Clutch, WebFX, Thrive Internet Marketing Agency, LYFE Marketing, Ignite Visibility, NinjaPromo")</f>
        <v>Measured, Clutch, WebFX, Thrive Internet Marketing Agency, LYFE Marketing, Ignite Visibility, NinjaPromo</v>
      </c>
      <c r="I721" s="11">
        <f>IFERROR(__xludf.DUMMYFUNCTION("""COMPUTED_VALUE"""),1.0)</f>
        <v>1</v>
      </c>
      <c r="J721" s="11">
        <f>IFERROR(__xludf.DUMMYFUNCTION("""COMPUTED_VALUE"""),0.0)</f>
        <v>0</v>
      </c>
      <c r="K721" s="11">
        <f>IFERROR(__xludf.DUMMYFUNCTION("""COMPUTED_VALUE"""),1.0)</f>
        <v>1</v>
      </c>
      <c r="L721" s="11"/>
    </row>
    <row r="722" ht="15.75" customHeight="1">
      <c r="A722" s="10" t="str">
        <f>IFERROR(__xludf.DUMMYFUNCTION("""COMPUTED_VALUE"""),"https://www.breakingb2b.com/blog/best-aeo-agency")</f>
        <v>https://www.breakingb2b.com/blog/best-aeo-agency</v>
      </c>
      <c r="B722" s="11" t="str">
        <f>IFERROR(__xludf.DUMMYFUNCTION("""COMPUTED_VALUE"""),"Best AEO Agency: Our Top 11 Picks for 2026")</f>
        <v>Best AEO Agency: Our Top 11 Picks for 2026</v>
      </c>
      <c r="C722" s="10" t="str">
        <f>IFERROR(__xludf.DUMMYFUNCTION("""COMPUTED_VALUE"""),"breakingb2b.com")</f>
        <v>breakingb2b.com</v>
      </c>
      <c r="D722" s="11" t="str">
        <f>IFERROR(__xludf.DUMMYFUNCTION("""COMPUTED_VALUE"""),"LISTICLE")</f>
        <v>LISTICLE</v>
      </c>
      <c r="E722" s="11" t="str">
        <f>IFERROR(__xludf.DUMMYFUNCTION("""COMPUTED_VALUE"""),"CORPORATE")</f>
        <v>CORPORATE</v>
      </c>
      <c r="F722" s="11" t="str">
        <f>IFERROR(__xludf.DUMMYFUNCTION("""COMPUTED_VALUE"""),"Listicle")</f>
        <v>Listicle</v>
      </c>
      <c r="G722" s="11" t="b">
        <f>IFERROR(__xludf.DUMMYFUNCTION("""COMPUTED_VALUE"""),FALSE)</f>
        <v>0</v>
      </c>
      <c r="H722" s="11" t="str">
        <f>IFERROR(__xludf.DUMMYFUNCTION("""COMPUTED_VALUE"""),"Omniscient Digital, Animalz, Siege Media, First Page Sage, NoGood, RevenueZen, Measured")</f>
        <v>Omniscient Digital, Animalz, Siege Media, First Page Sage, NoGood, RevenueZen, Measured</v>
      </c>
      <c r="I722" s="11">
        <f>IFERROR(__xludf.DUMMYFUNCTION("""COMPUTED_VALUE"""),1.0)</f>
        <v>1</v>
      </c>
      <c r="J722" s="11">
        <f>IFERROR(__xludf.DUMMYFUNCTION("""COMPUTED_VALUE"""),0.0)</f>
        <v>0</v>
      </c>
      <c r="K722" s="11">
        <f>IFERROR(__xludf.DUMMYFUNCTION("""COMPUTED_VALUE"""),0.0)</f>
        <v>0</v>
      </c>
      <c r="L722" s="11"/>
    </row>
    <row r="723" ht="15.75" customHeight="1">
      <c r="A723" s="10" t="str">
        <f>IFERROR(__xludf.DUMMYFUNCTION("""COMPUTED_VALUE"""),"https://brillmedia.co/locations/best-ad-agencies-in-california/")</f>
        <v>https://brillmedia.co/locations/best-ad-agencies-in-california/</v>
      </c>
      <c r="B723" s="11" t="str">
        <f>IFERROR(__xludf.DUMMYFUNCTION("""COMPUTED_VALUE"""),"Best Ad Agencies in California | Brill Media")</f>
        <v>Best Ad Agencies in California | Brill Media</v>
      </c>
      <c r="C723" s="10" t="str">
        <f>IFERROR(__xludf.DUMMYFUNCTION("""COMPUTED_VALUE"""),"brillmedia.co")</f>
        <v>brillmedia.co</v>
      </c>
      <c r="D723" s="11" t="str">
        <f>IFERROR(__xludf.DUMMYFUNCTION("""COMPUTED_VALUE"""),"LISTICLE")</f>
        <v>LISTICLE</v>
      </c>
      <c r="E723" s="11" t="str">
        <f>IFERROR(__xludf.DUMMYFUNCTION("""COMPUTED_VALUE"""),"CORPORATE")</f>
        <v>CORPORATE</v>
      </c>
      <c r="F723" s="11" t="str">
        <f>IFERROR(__xludf.DUMMYFUNCTION("""COMPUTED_VALUE"""),"Listicle")</f>
        <v>Listicle</v>
      </c>
      <c r="G723" s="11" t="b">
        <f>IFERROR(__xludf.DUMMYFUNCTION("""COMPUTED_VALUE"""),FALSE)</f>
        <v>0</v>
      </c>
      <c r="H723" s="11" t="str">
        <f>IFERROR(__xludf.DUMMYFUNCTION("""COMPUTED_VALUE"""),"KlientBoost")</f>
        <v>KlientBoost</v>
      </c>
      <c r="I723" s="11">
        <f>IFERROR(__xludf.DUMMYFUNCTION("""COMPUTED_VALUE"""),1.0)</f>
        <v>1</v>
      </c>
      <c r="J723" s="11">
        <f>IFERROR(__xludf.DUMMYFUNCTION("""COMPUTED_VALUE"""),0.0)</f>
        <v>0</v>
      </c>
      <c r="K723" s="11">
        <f>IFERROR(__xludf.DUMMYFUNCTION("""COMPUTED_VALUE"""),1.0)</f>
        <v>1</v>
      </c>
      <c r="L723" s="11"/>
    </row>
    <row r="724" ht="15.75" customHeight="1">
      <c r="A724" s="10" t="str">
        <f>IFERROR(__xludf.DUMMYFUNCTION("""COMPUTED_VALUE"""),"https://brillmedia.co/resources/best-bing-ads-agencies/")</f>
        <v>https://brillmedia.co/resources/best-bing-ads-agencies/</v>
      </c>
      <c r="B724" s="11" t="str">
        <f>IFERROR(__xludf.DUMMYFUNCTION("""COMPUTED_VALUE"""),"Best Bing Ads Agencies | Bing PPC Management Agency")</f>
        <v>Best Bing Ads Agencies | Bing PPC Management Agency</v>
      </c>
      <c r="C724" s="10" t="str">
        <f>IFERROR(__xludf.DUMMYFUNCTION("""COMPUTED_VALUE"""),"brillmedia.co")</f>
        <v>brillmedia.co</v>
      </c>
      <c r="D724" s="11" t="str">
        <f>IFERROR(__xludf.DUMMYFUNCTION("""COMPUTED_VALUE"""),"LISTICLE")</f>
        <v>LISTICLE</v>
      </c>
      <c r="E724" s="11" t="str">
        <f>IFERROR(__xludf.DUMMYFUNCTION("""COMPUTED_VALUE"""),"CORPORATE")</f>
        <v>CORPORATE</v>
      </c>
      <c r="F724" s="11" t="str">
        <f>IFERROR(__xludf.DUMMYFUNCTION("""COMPUTED_VALUE"""),"Listicle")</f>
        <v>Listicle</v>
      </c>
      <c r="G724" s="11" t="b">
        <f>IFERROR(__xludf.DUMMYFUNCTION("""COMPUTED_VALUE"""),FALSE)</f>
        <v>0</v>
      </c>
      <c r="H724" s="11" t="str">
        <f>IFERROR(__xludf.DUMMYFUNCTION("""COMPUTED_VALUE"""),"AdVenture Media, NinjaPromo, Thrive Internet Marketing Agency, Disruptive Advertising")</f>
        <v>AdVenture Media, NinjaPromo, Thrive Internet Marketing Agency, Disruptive Advertising</v>
      </c>
      <c r="I724" s="11">
        <f>IFERROR(__xludf.DUMMYFUNCTION("""COMPUTED_VALUE"""),1.0)</f>
        <v>1</v>
      </c>
      <c r="J724" s="11">
        <f>IFERROR(__xludf.DUMMYFUNCTION("""COMPUTED_VALUE"""),0.0)</f>
        <v>0</v>
      </c>
      <c r="K724" s="11">
        <f>IFERROR(__xludf.DUMMYFUNCTION("""COMPUTED_VALUE"""),1.0)</f>
        <v>1</v>
      </c>
      <c r="L724" s="11"/>
    </row>
    <row r="725" ht="15.75" customHeight="1">
      <c r="A725" s="10" t="str">
        <f>IFERROR(__xludf.DUMMYFUNCTION("""COMPUTED_VALUE"""),"https://brillmedia.co/resources/display-ads-best-practices/")</f>
        <v>https://brillmedia.co/resources/display-ads-best-practices/</v>
      </c>
      <c r="B725" s="11" t="str">
        <f>IFERROR(__xludf.DUMMYFUNCTION("""COMPUTED_VALUE"""),"Display Ads Best Practices 2025 | Brill Media")</f>
        <v>Display Ads Best Practices 2025 | Brill Media</v>
      </c>
      <c r="C725" s="10" t="str">
        <f>IFERROR(__xludf.DUMMYFUNCTION("""COMPUTED_VALUE"""),"brillmedia.co")</f>
        <v>brillmedia.co</v>
      </c>
      <c r="D725" s="11" t="str">
        <f>IFERROR(__xludf.DUMMYFUNCTION("""COMPUTED_VALUE"""),"HOW_TO_GUIDE")</f>
        <v>HOW_TO_GUIDE</v>
      </c>
      <c r="E725" s="11" t="str">
        <f>IFERROR(__xludf.DUMMYFUNCTION("""COMPUTED_VALUE"""),"CORPORATE")</f>
        <v>CORPORATE</v>
      </c>
      <c r="F725" s="11" t="str">
        <f>IFERROR(__xludf.DUMMYFUNCTION("""COMPUTED_VALUE"""),"How-To Guide")</f>
        <v>How-To Guide</v>
      </c>
      <c r="G725" s="11" t="b">
        <f>IFERROR(__xludf.DUMMYFUNCTION("""COMPUTED_VALUE"""),FALSE)</f>
        <v>0</v>
      </c>
      <c r="H725" s="11"/>
      <c r="I725" s="11">
        <f>IFERROR(__xludf.DUMMYFUNCTION("""COMPUTED_VALUE"""),1.0)</f>
        <v>1</v>
      </c>
      <c r="J725" s="11">
        <f>IFERROR(__xludf.DUMMYFUNCTION("""COMPUTED_VALUE"""),0.0)</f>
        <v>0</v>
      </c>
      <c r="K725" s="11">
        <f>IFERROR(__xludf.DUMMYFUNCTION("""COMPUTED_VALUE"""),1.0)</f>
        <v>1</v>
      </c>
      <c r="L725" s="11"/>
    </row>
    <row r="726" ht="15.75" customHeight="1">
      <c r="A726" s="10" t="str">
        <f>IFERROR(__xludf.DUMMYFUNCTION("""COMPUTED_VALUE"""),"https://www.builtincolorado.com/articles/consulting-firms-colorado")</f>
        <v>https://www.builtincolorado.com/articles/consulting-firms-colorado</v>
      </c>
      <c r="B726" s="11" t="str">
        <f>IFERROR(__xludf.DUMMYFUNCTION("""COMPUTED_VALUE"""),"14 Top Colorado Consulting Firms | Built In Colorado")</f>
        <v>14 Top Colorado Consulting Firms | Built In Colorado</v>
      </c>
      <c r="C726" s="10" t="str">
        <f>IFERROR(__xludf.DUMMYFUNCTION("""COMPUTED_VALUE"""),"builtincolorado.com")</f>
        <v>builtincolorado.com</v>
      </c>
      <c r="D726" s="11" t="str">
        <f>IFERROR(__xludf.DUMMYFUNCTION("""COMPUTED_VALUE"""),"LISTICLE")</f>
        <v>LISTICLE</v>
      </c>
      <c r="E726" s="11" t="str">
        <f>IFERROR(__xludf.DUMMYFUNCTION("""COMPUTED_VALUE"""),"EDITORIAL")</f>
        <v>EDITORIAL</v>
      </c>
      <c r="F726" s="11" t="str">
        <f>IFERROR(__xludf.DUMMYFUNCTION("""COMPUTED_VALUE"""),"Listicle")</f>
        <v>Listicle</v>
      </c>
      <c r="G726" s="11" t="b">
        <f>IFERROR(__xludf.DUMMYFUNCTION("""COMPUTED_VALUE"""),FALSE)</f>
        <v>0</v>
      </c>
      <c r="H726" s="11" t="str">
        <f>IFERROR(__xludf.DUMMYFUNCTION("""COMPUTED_VALUE"""),"Adswerve")</f>
        <v>Adswerve</v>
      </c>
      <c r="I726" s="11">
        <f>IFERROR(__xludf.DUMMYFUNCTION("""COMPUTED_VALUE"""),1.0)</f>
        <v>1</v>
      </c>
      <c r="J726" s="11">
        <f>IFERROR(__xludf.DUMMYFUNCTION("""COMPUTED_VALUE"""),0.0)</f>
        <v>0</v>
      </c>
      <c r="K726" s="11">
        <f>IFERROR(__xludf.DUMMYFUNCTION("""COMPUTED_VALUE"""),1.0)</f>
        <v>1</v>
      </c>
      <c r="L726" s="11"/>
    </row>
    <row r="727" ht="15.75" customHeight="1">
      <c r="A727" s="10" t="str">
        <f>IFERROR(__xludf.DUMMYFUNCTION("""COMPUTED_VALUE"""),"https://business.adobe.com/blog/basics/marketing-attribution")</f>
        <v>https://business.adobe.com/blog/basics/marketing-attribution</v>
      </c>
      <c r="B727" s="11" t="str">
        <f>IFERROR(__xludf.DUMMYFUNCTION("""COMPUTED_VALUE"""),"Marketing attribution — models and best practices")</f>
        <v>Marketing attribution — models and best practices</v>
      </c>
      <c r="C727" s="10" t="str">
        <f>IFERROR(__xludf.DUMMYFUNCTION("""COMPUTED_VALUE"""),"adobe.com")</f>
        <v>adobe.com</v>
      </c>
      <c r="D727" s="11" t="str">
        <f>IFERROR(__xludf.DUMMYFUNCTION("""COMPUTED_VALUE"""),"ARTICLE")</f>
        <v>ARTICLE</v>
      </c>
      <c r="E727" s="11" t="str">
        <f>IFERROR(__xludf.DUMMYFUNCTION("""COMPUTED_VALUE"""),"CORPORATE")</f>
        <v>CORPORATE</v>
      </c>
      <c r="F727" s="11" t="str">
        <f>IFERROR(__xludf.DUMMYFUNCTION("""COMPUTED_VALUE"""),"Article")</f>
        <v>Article</v>
      </c>
      <c r="G727" s="11" t="b">
        <f>IFERROR(__xludf.DUMMYFUNCTION("""COMPUTED_VALUE"""),FALSE)</f>
        <v>0</v>
      </c>
      <c r="H727" s="11"/>
      <c r="I727" s="11">
        <f>IFERROR(__xludf.DUMMYFUNCTION("""COMPUTED_VALUE"""),1.0)</f>
        <v>1</v>
      </c>
      <c r="J727" s="11">
        <f>IFERROR(__xludf.DUMMYFUNCTION("""COMPUTED_VALUE"""),0.0)</f>
        <v>0</v>
      </c>
      <c r="K727" s="11">
        <f>IFERROR(__xludf.DUMMYFUNCTION("""COMPUTED_VALUE"""),2.0)</f>
        <v>2</v>
      </c>
      <c r="L727" s="11"/>
    </row>
    <row r="728" ht="15.75" customHeight="1">
      <c r="A728" s="10" t="str">
        <f>IFERROR(__xludf.DUMMYFUNCTION("""COMPUTED_VALUE"""),"https://www.businessinsider.com/top-geo-tips-ai-search-google-microsoft-perplexity-2025-12")</f>
        <v>https://www.businessinsider.com/top-geo-tips-ai-search-google-microsoft-perplexity-2025-12</v>
      </c>
      <c r="B728" s="11" t="str">
        <f>IFERROR(__xludf.DUMMYFUNCTION("""COMPUTED_VALUE"""),"Top GEO Tips for AI Search From Google, Microsoft, Perplexity - Business Insider")</f>
        <v>Top GEO Tips for AI Search From Google, Microsoft, Perplexity - Business Insider</v>
      </c>
      <c r="C728" s="10" t="str">
        <f>IFERROR(__xludf.DUMMYFUNCTION("""COMPUTED_VALUE"""),"businessinsider.com")</f>
        <v>businessinsider.com</v>
      </c>
      <c r="D728" s="11" t="str">
        <f>IFERROR(__xludf.DUMMYFUNCTION("""COMPUTED_VALUE"""),"ARTICLE")</f>
        <v>ARTICLE</v>
      </c>
      <c r="E728" s="11" t="str">
        <f>IFERROR(__xludf.DUMMYFUNCTION("""COMPUTED_VALUE"""),"EDITORIAL")</f>
        <v>EDITORIAL</v>
      </c>
      <c r="F728" s="11" t="str">
        <f>IFERROR(__xludf.DUMMYFUNCTION("""COMPUTED_VALUE"""),"Article")</f>
        <v>Article</v>
      </c>
      <c r="G728" s="11" t="b">
        <f>IFERROR(__xludf.DUMMYFUNCTION("""COMPUTED_VALUE"""),FALSE)</f>
        <v>0</v>
      </c>
      <c r="H728" s="11" t="str">
        <f>IFERROR(__xludf.DUMMYFUNCTION("""COMPUTED_VALUE"""),"McKinsey, WPP")</f>
        <v>McKinsey, WPP</v>
      </c>
      <c r="I728" s="11">
        <f>IFERROR(__xludf.DUMMYFUNCTION("""COMPUTED_VALUE"""),1.0)</f>
        <v>1</v>
      </c>
      <c r="J728" s="11">
        <f>IFERROR(__xludf.DUMMYFUNCTION("""COMPUTED_VALUE"""),0.0)</f>
        <v>0</v>
      </c>
      <c r="K728" s="11">
        <f>IFERROR(__xludf.DUMMYFUNCTION("""COMPUTED_VALUE"""),2.0)</f>
        <v>2</v>
      </c>
      <c r="L728" s="11"/>
    </row>
    <row r="729" ht="15.75" customHeight="1">
      <c r="A729" s="10" t="str">
        <f>IFERROR(__xludf.DUMMYFUNCTION("""COMPUTED_VALUE"""),"https://c3digitus.com/blog/top-digital-marketing-agencies-usa/")</f>
        <v>https://c3digitus.com/blog/top-digital-marketing-agencies-usa/</v>
      </c>
      <c r="B729" s="11" t="str">
        <f>IFERROR(__xludf.DUMMYFUNCTION("""COMPUTED_VALUE"""),"Top 10 Digital Marketing Agencies for Growth in the USA")</f>
        <v>Top 10 Digital Marketing Agencies for Growth in the USA</v>
      </c>
      <c r="C729" s="10" t="str">
        <f>IFERROR(__xludf.DUMMYFUNCTION("""COMPUTED_VALUE"""),"c3digitus.com")</f>
        <v>c3digitus.com</v>
      </c>
      <c r="D729" s="11" t="str">
        <f>IFERROR(__xludf.DUMMYFUNCTION("""COMPUTED_VALUE"""),"LISTICLE")</f>
        <v>LISTICLE</v>
      </c>
      <c r="E729" s="11" t="str">
        <f>IFERROR(__xludf.DUMMYFUNCTION("""COMPUTED_VALUE"""),"CORPORATE")</f>
        <v>CORPORATE</v>
      </c>
      <c r="F729" s="11" t="str">
        <f>IFERROR(__xludf.DUMMYFUNCTION("""COMPUTED_VALUE"""),"Listicle")</f>
        <v>Listicle</v>
      </c>
      <c r="G729" s="11" t="b">
        <f>IFERROR(__xludf.DUMMYFUNCTION("""COMPUTED_VALUE"""),FALSE)</f>
        <v>0</v>
      </c>
      <c r="H729" s="11" t="str">
        <f>IFERROR(__xludf.DUMMYFUNCTION("""COMPUTED_VALUE"""),"WebFX, SmartSites, Ignite Visibility, Disruptive Advertising, NP Digital, Power Digital, KlientBoost, Clutch, IBM")</f>
        <v>WebFX, SmartSites, Ignite Visibility, Disruptive Advertising, NP Digital, Power Digital, KlientBoost, Clutch, IBM</v>
      </c>
      <c r="I729" s="11">
        <f>IFERROR(__xludf.DUMMYFUNCTION("""COMPUTED_VALUE"""),1.0)</f>
        <v>1</v>
      </c>
      <c r="J729" s="11">
        <f>IFERROR(__xludf.DUMMYFUNCTION("""COMPUTED_VALUE"""),0.0)</f>
        <v>0</v>
      </c>
      <c r="K729" s="11">
        <f>IFERROR(__xludf.DUMMYFUNCTION("""COMPUTED_VALUE"""),0.0)</f>
        <v>0</v>
      </c>
      <c r="L729" s="11"/>
    </row>
    <row r="730" ht="15.75" customHeight="1">
      <c r="A730" s="10" t="str">
        <f>IFERROR(__xludf.DUMMYFUNCTION("""COMPUTED_VALUE"""),"https://cabinco.com/best-ai-consulting-firms/")</f>
        <v>https://cabinco.com/best-ai-consulting-firms/</v>
      </c>
      <c r="B730" s="11" t="str">
        <f>IFERROR(__xludf.DUMMYFUNCTION("""COMPUTED_VALUE"""),"Best AI Consulting Firms 2026: Giants vs Boutiques")</f>
        <v>Best AI Consulting Firms 2026: Giants vs Boutiques</v>
      </c>
      <c r="C730" s="10" t="str">
        <f>IFERROR(__xludf.DUMMYFUNCTION("""COMPUTED_VALUE"""),"cabinco.com")</f>
        <v>cabinco.com</v>
      </c>
      <c r="D730" s="11" t="str">
        <f>IFERROR(__xludf.DUMMYFUNCTION("""COMPUTED_VALUE"""),"LISTICLE")</f>
        <v>LISTICLE</v>
      </c>
      <c r="E730" s="11" t="str">
        <f>IFERROR(__xludf.DUMMYFUNCTION("""COMPUTED_VALUE"""),"CORPORATE")</f>
        <v>CORPORATE</v>
      </c>
      <c r="F730" s="11" t="str">
        <f>IFERROR(__xludf.DUMMYFUNCTION("""COMPUTED_VALUE"""),"Listicle")</f>
        <v>Listicle</v>
      </c>
      <c r="G730" s="11" t="b">
        <f>IFERROR(__xludf.DUMMYFUNCTION("""COMPUTED_VALUE"""),FALSE)</f>
        <v>0</v>
      </c>
      <c r="H730" s="11" t="str">
        <f>IFERROR(__xludf.DUMMYFUNCTION("""COMPUTED_VALUE"""),"McKinsey, QuantumBlack, IBM, BCG, Clutch, PwC")</f>
        <v>McKinsey, QuantumBlack, IBM, BCG, Clutch, PwC</v>
      </c>
      <c r="I730" s="11">
        <f>IFERROR(__xludf.DUMMYFUNCTION("""COMPUTED_VALUE"""),1.0)</f>
        <v>1</v>
      </c>
      <c r="J730" s="11">
        <f>IFERROR(__xludf.DUMMYFUNCTION("""COMPUTED_VALUE"""),0.0)</f>
        <v>0</v>
      </c>
      <c r="K730" s="11">
        <f>IFERROR(__xludf.DUMMYFUNCTION("""COMPUTED_VALUE"""),1.0)</f>
        <v>1</v>
      </c>
      <c r="L730" s="11"/>
    </row>
    <row r="731" ht="15.75" customHeight="1">
      <c r="A731" s="10" t="str">
        <f>IFERROR(__xludf.DUMMYFUNCTION("""COMPUTED_VALUE"""),"https://www.callboxinc.com/lead-generation/business-to-business-marketing-companies/#:~:text=Services%3A%20Appointment%20setting%20%C2%B7%20Account%2Dbased%20marketing%20%C2%B7,SaaS%20marketing%20%C2%B7%20SEO.%20%2D%20Refine%20Labs.")</f>
        <v>https://www.callboxinc.com/lead-generation/business-to-business-marketing-companies/#:~:text=Services%3A%20Appointment%20setting%20%C2%B7%20Account%2Dbased%20marketing%20%C2%B7,SaaS%20marketing%20%C2%B7%20SEO.%20%2D%20Refine%20Labs.</v>
      </c>
      <c r="B731" s="11" t="str">
        <f>IFERROR(__xludf.DUMMYFUNCTION("""COMPUTED_VALUE"""),"Top B2B Marketing Companies in 2026 | Callbox")</f>
        <v>Top B2B Marketing Companies in 2026 | Callbox</v>
      </c>
      <c r="C731" s="10" t="str">
        <f>IFERROR(__xludf.DUMMYFUNCTION("""COMPUTED_VALUE"""),"callboxinc.com")</f>
        <v>callboxinc.com</v>
      </c>
      <c r="D731" s="11" t="str">
        <f>IFERROR(__xludf.DUMMYFUNCTION("""COMPUTED_VALUE"""),"LISTICLE")</f>
        <v>LISTICLE</v>
      </c>
      <c r="E731" s="11" t="str">
        <f>IFERROR(__xludf.DUMMYFUNCTION("""COMPUTED_VALUE"""),"CORPORATE")</f>
        <v>CORPORATE</v>
      </c>
      <c r="F731" s="11" t="str">
        <f>IFERROR(__xludf.DUMMYFUNCTION("""COMPUTED_VALUE"""),"Listicle")</f>
        <v>Listicle</v>
      </c>
      <c r="G731" s="11" t="b">
        <f>IFERROR(__xludf.DUMMYFUNCTION("""COMPUTED_VALUE"""),FALSE)</f>
        <v>0</v>
      </c>
      <c r="H731" s="11" t="str">
        <f>IFERROR(__xludf.DUMMYFUNCTION("""COMPUTED_VALUE"""),"Directive, Refine Labs, Siege Media")</f>
        <v>Directive, Refine Labs, Siege Media</v>
      </c>
      <c r="I731" s="11">
        <f>IFERROR(__xludf.DUMMYFUNCTION("""COMPUTED_VALUE"""),1.0)</f>
        <v>1</v>
      </c>
      <c r="J731" s="11">
        <f>IFERROR(__xludf.DUMMYFUNCTION("""COMPUTED_VALUE"""),0.0)</f>
        <v>0</v>
      </c>
      <c r="K731" s="11">
        <f>IFERROR(__xludf.DUMMYFUNCTION("""COMPUTED_VALUE"""),1.0)</f>
        <v>1</v>
      </c>
      <c r="L731" s="11"/>
    </row>
    <row r="732" ht="15.75" customHeight="1">
      <c r="A732" s="10" t="str">
        <f>IFERROR(__xludf.DUMMYFUNCTION("""COMPUTED_VALUE"""),"https://www.campaignlive.com/article/final-2024-us-media-agency-rankings-in-claimed-top-spot/1907166")</f>
        <v>https://www.campaignlive.com/article/final-2024-us-media-agency-rankings-in-claimed-top-spot/1907166</v>
      </c>
      <c r="B732" s="11" t="str">
        <f>IFERROR(__xludf.DUMMYFUNCTION("""COMPUTED_VALUE"""),"Final 2024 US media agency rankings are in: Who claimed the top spot? | Campaign US")</f>
        <v>Final 2024 US media agency rankings are in: Who claimed the top spot? | Campaign US</v>
      </c>
      <c r="C732" s="10" t="str">
        <f>IFERROR(__xludf.DUMMYFUNCTION("""COMPUTED_VALUE"""),"campaignlive.com")</f>
        <v>campaignlive.com</v>
      </c>
      <c r="D732" s="11" t="str">
        <f>IFERROR(__xludf.DUMMYFUNCTION("""COMPUTED_VALUE"""),"ARTICLE")</f>
        <v>ARTICLE</v>
      </c>
      <c r="E732" s="11" t="str">
        <f>IFERROR(__xludf.DUMMYFUNCTION("""COMPUTED_VALUE"""),"EDITORIAL")</f>
        <v>EDITORIAL</v>
      </c>
      <c r="F732" s="11" t="str">
        <f>IFERROR(__xludf.DUMMYFUNCTION("""COMPUTED_VALUE"""),"Article")</f>
        <v>Article</v>
      </c>
      <c r="G732" s="11" t="b">
        <f>IFERROR(__xludf.DUMMYFUNCTION("""COMPUTED_VALUE"""),FALSE)</f>
        <v>0</v>
      </c>
      <c r="H732" s="11" t="str">
        <f>IFERROR(__xludf.DUMMYFUNCTION("""COMPUTED_VALUE"""),"Omnicom Media Group, iProspect, Dentsu, WPP, GroupM, Horizon Media, Publicis Groupe")</f>
        <v>Omnicom Media Group, iProspect, Dentsu, WPP, GroupM, Horizon Media, Publicis Groupe</v>
      </c>
      <c r="I732" s="11">
        <f>IFERROR(__xludf.DUMMYFUNCTION("""COMPUTED_VALUE"""),1.0)</f>
        <v>1</v>
      </c>
      <c r="J732" s="11">
        <f>IFERROR(__xludf.DUMMYFUNCTION("""COMPUTED_VALUE"""),0.0)</f>
        <v>0</v>
      </c>
      <c r="K732" s="11">
        <f>IFERROR(__xludf.DUMMYFUNCTION("""COMPUTED_VALUE"""),3.0)</f>
        <v>3</v>
      </c>
      <c r="L732" s="11"/>
    </row>
    <row r="733" ht="15.75" customHeight="1">
      <c r="A733" s="10" t="str">
        <f>IFERROR(__xludf.DUMMYFUNCTION("""COMPUTED_VALUE"""),"https://www.causalityengine.ai/resources/best-incrementality-testing-platforms")</f>
        <v>https://www.causalityengine.ai/resources/best-incrementality-testing-platforms</v>
      </c>
      <c r="B733" s="11" t="str">
        <f>IFERROR(__xludf.DUMMYFUNCTION("""COMPUTED_VALUE"""),"Best Incrementality Testing Platforms for True ROI. Causality Engine")</f>
        <v>Best Incrementality Testing Platforms for True ROI. Causality Engine</v>
      </c>
      <c r="C733" s="10" t="str">
        <f>IFERROR(__xludf.DUMMYFUNCTION("""COMPUTED_VALUE"""),"causalityengine.ai")</f>
        <v>causalityengine.ai</v>
      </c>
      <c r="D733" s="11" t="str">
        <f>IFERROR(__xludf.DUMMYFUNCTION("""COMPUTED_VALUE"""),"LISTICLE")</f>
        <v>LISTICLE</v>
      </c>
      <c r="E733" s="11" t="str">
        <f>IFERROR(__xludf.DUMMYFUNCTION("""COMPUTED_VALUE"""),"CORPORATE")</f>
        <v>CORPORATE</v>
      </c>
      <c r="F733" s="11" t="str">
        <f>IFERROR(__xludf.DUMMYFUNCTION("""COMPUTED_VALUE"""),"Listicle")</f>
        <v>Listicle</v>
      </c>
      <c r="G733" s="11" t="b">
        <f>IFERROR(__xludf.DUMMYFUNCTION("""COMPUTED_VALUE"""),FALSE)</f>
        <v>0</v>
      </c>
      <c r="H733" s="11" t="str">
        <f>IFERROR(__xludf.DUMMYFUNCTION("""COMPUTED_VALUE"""),"Measured, Recast, Triple Whale, Northbeam, Rockerbox")</f>
        <v>Measured, Recast, Triple Whale, Northbeam, Rockerbox</v>
      </c>
      <c r="I733" s="11">
        <f>IFERROR(__xludf.DUMMYFUNCTION("""COMPUTED_VALUE"""),1.0)</f>
        <v>1</v>
      </c>
      <c r="J733" s="11">
        <f>IFERROR(__xludf.DUMMYFUNCTION("""COMPUTED_VALUE"""),0.0)</f>
        <v>0</v>
      </c>
      <c r="K733" s="11">
        <f>IFERROR(__xludf.DUMMYFUNCTION("""COMPUTED_VALUE"""),0.0)</f>
        <v>0</v>
      </c>
      <c r="L733" s="11"/>
    </row>
    <row r="734" ht="15.75" customHeight="1">
      <c r="A734" s="10" t="str">
        <f>IFERROR(__xludf.DUMMYFUNCTION("""COMPUTED_VALUE"""),"https://cio.economictimes.indiatimes.com/tools/best-customer-data-platforms/127611075")</f>
        <v>https://cio.economictimes.indiatimes.com/tools/best-customer-data-platforms/127611075</v>
      </c>
      <c r="B734" s="11" t="str">
        <f>IFERROR(__xludf.DUMMYFUNCTION("""COMPUTED_VALUE"""),"Top 10 Customer Data Platforms for Enterprises in 2026, ETCIO")</f>
        <v>Top 10 Customer Data Platforms for Enterprises in 2026, ETCIO</v>
      </c>
      <c r="C734" s="10" t="str">
        <f>IFERROR(__xludf.DUMMYFUNCTION("""COMPUTED_VALUE"""),"indiatimes.com")</f>
        <v>indiatimes.com</v>
      </c>
      <c r="D734" s="11" t="str">
        <f>IFERROR(__xludf.DUMMYFUNCTION("""COMPUTED_VALUE"""),"LISTICLE")</f>
        <v>LISTICLE</v>
      </c>
      <c r="E734" s="11" t="str">
        <f>IFERROR(__xludf.DUMMYFUNCTION("""COMPUTED_VALUE"""),"EDITORIAL")</f>
        <v>EDITORIAL</v>
      </c>
      <c r="F734" s="11" t="str">
        <f>IFERROR(__xludf.DUMMYFUNCTION("""COMPUTED_VALUE"""),"Listicle")</f>
        <v>Listicle</v>
      </c>
      <c r="G734" s="11" t="b">
        <f>IFERROR(__xludf.DUMMYFUNCTION("""COMPUTED_VALUE"""),FALSE)</f>
        <v>0</v>
      </c>
      <c r="H734" s="11" t="str">
        <f>IFERROR(__xludf.DUMMYFUNCTION("""COMPUTED_VALUE"""),"McKinsey, Huge")</f>
        <v>McKinsey, Huge</v>
      </c>
      <c r="I734" s="11">
        <f>IFERROR(__xludf.DUMMYFUNCTION("""COMPUTED_VALUE"""),1.0)</f>
        <v>1</v>
      </c>
      <c r="J734" s="11">
        <f>IFERROR(__xludf.DUMMYFUNCTION("""COMPUTED_VALUE"""),0.0)</f>
        <v>0</v>
      </c>
      <c r="K734" s="11">
        <f>IFERROR(__xludf.DUMMYFUNCTION("""COMPUTED_VALUE"""),1.0)</f>
        <v>1</v>
      </c>
      <c r="L734" s="11"/>
    </row>
    <row r="735" ht="15.75" customHeight="1">
      <c r="A735" s="10" t="str">
        <f>IFERROR(__xludf.DUMMYFUNCTION("""COMPUTED_VALUE"""),"https://www.ciocoverage.com/top-10-leading-google-partners-to-watch-in-2022/")</f>
        <v>https://www.ciocoverage.com/top-10-leading-google-partners-to-watch-in-2022/</v>
      </c>
      <c r="B735" s="11" t="str">
        <f>IFERROR(__xludf.DUMMYFUNCTION("""COMPUTED_VALUE"""),"Top 10 Leading Google Partners to Watch in 2022 – CIOCoverage- Driven for Technology Leaders")</f>
        <v>Top 10 Leading Google Partners to Watch in 2022 – CIOCoverage- Driven for Technology Leaders</v>
      </c>
      <c r="C735" s="10" t="str">
        <f>IFERROR(__xludf.DUMMYFUNCTION("""COMPUTED_VALUE"""),"ciocoverage.com")</f>
        <v>ciocoverage.com</v>
      </c>
      <c r="D735" s="11" t="str">
        <f>IFERROR(__xludf.DUMMYFUNCTION("""COMPUTED_VALUE"""),"OTHER")</f>
        <v>OTHER</v>
      </c>
      <c r="E735" s="11" t="str">
        <f>IFERROR(__xludf.DUMMYFUNCTION("""COMPUTED_VALUE"""),"EDITORIAL")</f>
        <v>EDITORIAL</v>
      </c>
      <c r="F735" s="11" t="str">
        <f>IFERROR(__xludf.DUMMYFUNCTION("""COMPUTED_VALUE"""),"Other")</f>
        <v>Other</v>
      </c>
      <c r="G735" s="11" t="b">
        <f>IFERROR(__xludf.DUMMYFUNCTION("""COMPUTED_VALUE"""),FALSE)</f>
        <v>0</v>
      </c>
      <c r="H735" s="11" t="str">
        <f>IFERROR(__xludf.DUMMYFUNCTION("""COMPUTED_VALUE"""),"Adswerve, Bounteous")</f>
        <v>Adswerve, Bounteous</v>
      </c>
      <c r="I735" s="11">
        <f>IFERROR(__xludf.DUMMYFUNCTION("""COMPUTED_VALUE"""),1.0)</f>
        <v>1</v>
      </c>
      <c r="J735" s="11">
        <f>IFERROR(__xludf.DUMMYFUNCTION("""COMPUTED_VALUE"""),0.0)</f>
        <v>0</v>
      </c>
      <c r="K735" s="11">
        <f>IFERROR(__xludf.DUMMYFUNCTION("""COMPUTED_VALUE"""),1.0)</f>
        <v>1</v>
      </c>
      <c r="L735" s="11"/>
    </row>
    <row r="736" ht="15.75" customHeight="1">
      <c r="A736" s="10" t="str">
        <f>IFERROR(__xludf.DUMMYFUNCTION("""COMPUTED_VALUE"""),"https://www.cisin.com/coffee-break/software-development-companies-in-the-usa.html")</f>
        <v>https://www.cisin.com/coffee-break/software-development-companies-in-the-usa.html</v>
      </c>
      <c r="B736" s="11" t="str">
        <f>IFERROR(__xludf.DUMMYFUNCTION("""COMPUTED_VALUE"""),"Top Software Development Companies in the USA: A Guide")</f>
        <v>Top Software Development Companies in the USA: A Guide</v>
      </c>
      <c r="C736" s="10" t="str">
        <f>IFERROR(__xludf.DUMMYFUNCTION("""COMPUTED_VALUE"""),"cisin.com")</f>
        <v>cisin.com</v>
      </c>
      <c r="D736" s="11" t="str">
        <f>IFERROR(__xludf.DUMMYFUNCTION("""COMPUTED_VALUE"""),"LISTICLE")</f>
        <v>LISTICLE</v>
      </c>
      <c r="E736" s="11" t="str">
        <f>IFERROR(__xludf.DUMMYFUNCTION("""COMPUTED_VALUE"""),"CORPORATE")</f>
        <v>CORPORATE</v>
      </c>
      <c r="F736" s="11" t="str">
        <f>IFERROR(__xludf.DUMMYFUNCTION("""COMPUTED_VALUE"""),"Listicle")</f>
        <v>Listicle</v>
      </c>
      <c r="G736" s="11" t="b">
        <f>IFERROR(__xludf.DUMMYFUNCTION("""COMPUTED_VALUE"""),FALSE)</f>
        <v>0</v>
      </c>
      <c r="H736" s="11" t="str">
        <f>IFERROR(__xludf.DUMMYFUNCTION("""COMPUTED_VALUE"""),"Clutch")</f>
        <v>Clutch</v>
      </c>
      <c r="I736" s="11">
        <f>IFERROR(__xludf.DUMMYFUNCTION("""COMPUTED_VALUE"""),1.0)</f>
        <v>1</v>
      </c>
      <c r="J736" s="11">
        <f>IFERROR(__xludf.DUMMYFUNCTION("""COMPUTED_VALUE"""),0.0)</f>
        <v>0</v>
      </c>
      <c r="K736" s="11">
        <f>IFERROR(__xludf.DUMMYFUNCTION("""COMPUTED_VALUE"""),0.0)</f>
        <v>0</v>
      </c>
      <c r="L736" s="11"/>
    </row>
    <row r="737" ht="15.75" customHeight="1">
      <c r="A737" s="10" t="str">
        <f>IFERROR(__xludf.DUMMYFUNCTION("""COMPUTED_VALUE"""),"https://www.citeme.io/ressources/geo-agency")</f>
        <v>https://www.citeme.io/ressources/geo-agency</v>
      </c>
      <c r="B737" s="11" t="str">
        <f>IFERROR(__xludf.DUMMYFUNCTION("""COMPUTED_VALUE"""),"GEO Agency: The 7 Best GEO Agencies in 2026 | Citeme")</f>
        <v>GEO Agency: The 7 Best GEO Agencies in 2026 | Citeme</v>
      </c>
      <c r="C737" s="10" t="str">
        <f>IFERROR(__xludf.DUMMYFUNCTION("""COMPUTED_VALUE"""),"citeme.io")</f>
        <v>citeme.io</v>
      </c>
      <c r="D737" s="11" t="str">
        <f>IFERROR(__xludf.DUMMYFUNCTION("""COMPUTED_VALUE"""),"LISTICLE")</f>
        <v>LISTICLE</v>
      </c>
      <c r="E737" s="11" t="str">
        <f>IFERROR(__xludf.DUMMYFUNCTION("""COMPUTED_VALUE"""),"CORPORATE")</f>
        <v>CORPORATE</v>
      </c>
      <c r="F737" s="11" t="str">
        <f>IFERROR(__xludf.DUMMYFUNCTION("""COMPUTED_VALUE"""),"Listicle")</f>
        <v>Listicle</v>
      </c>
      <c r="G737" s="11" t="b">
        <f>IFERROR(__xludf.DUMMYFUNCTION("""COMPUTED_VALUE"""),FALSE)</f>
        <v>0</v>
      </c>
      <c r="H737" s="11" t="str">
        <f>IFERROR(__xludf.DUMMYFUNCTION("""COMPUTED_VALUE"""),"Measured, Graphite, Omniscient Digital, Go Fish Digital, Siege Media, First Page Sage, Directive")</f>
        <v>Measured, Graphite, Omniscient Digital, Go Fish Digital, Siege Media, First Page Sage, Directive</v>
      </c>
      <c r="I737" s="11">
        <f>IFERROR(__xludf.DUMMYFUNCTION("""COMPUTED_VALUE"""),1.0)</f>
        <v>1</v>
      </c>
      <c r="J737" s="11">
        <f>IFERROR(__xludf.DUMMYFUNCTION("""COMPUTED_VALUE"""),0.0)</f>
        <v>0</v>
      </c>
      <c r="K737" s="11">
        <f>IFERROR(__xludf.DUMMYFUNCTION("""COMPUTED_VALUE"""),2.0)</f>
        <v>2</v>
      </c>
      <c r="L737" s="11"/>
    </row>
    <row r="738" ht="15.75" customHeight="1">
      <c r="A738" s="10" t="str">
        <f>IFERROR(__xludf.DUMMYFUNCTION("""COMPUTED_VALUE"""),"https://citrusbug.com/blog/mobile-app-development-agencies/")</f>
        <v>https://citrusbug.com/blog/mobile-app-development-agencies/</v>
      </c>
      <c r="B738" s="11" t="str">
        <f>IFERROR(__xludf.DUMMYFUNCTION("""COMPUTED_VALUE"""),"Top 10 Best Mobile App Development agencies in 2026")</f>
        <v>Top 10 Best Mobile App Development agencies in 2026</v>
      </c>
      <c r="C738" s="10" t="str">
        <f>IFERROR(__xludf.DUMMYFUNCTION("""COMPUTED_VALUE"""),"citrusbug.com")</f>
        <v>citrusbug.com</v>
      </c>
      <c r="D738" s="11" t="str">
        <f>IFERROR(__xludf.DUMMYFUNCTION("""COMPUTED_VALUE"""),"LISTICLE")</f>
        <v>LISTICLE</v>
      </c>
      <c r="E738" s="11" t="str">
        <f>IFERROR(__xludf.DUMMYFUNCTION("""COMPUTED_VALUE"""),"CORPORATE")</f>
        <v>CORPORATE</v>
      </c>
      <c r="F738" s="11" t="str">
        <f>IFERROR(__xludf.DUMMYFUNCTION("""COMPUTED_VALUE"""),"Listicle")</f>
        <v>Listicle</v>
      </c>
      <c r="G738" s="11" t="b">
        <f>IFERROR(__xludf.DUMMYFUNCTION("""COMPUTED_VALUE"""),FALSE)</f>
        <v>0</v>
      </c>
      <c r="H738" s="11" t="str">
        <f>IFERROR(__xludf.DUMMYFUNCTION("""COMPUTED_VALUE"""),"Clutch")</f>
        <v>Clutch</v>
      </c>
      <c r="I738" s="11">
        <f>IFERROR(__xludf.DUMMYFUNCTION("""COMPUTED_VALUE"""),1.0)</f>
        <v>1</v>
      </c>
      <c r="J738" s="11">
        <f>IFERROR(__xludf.DUMMYFUNCTION("""COMPUTED_VALUE"""),0.0)</f>
        <v>0</v>
      </c>
      <c r="K738" s="11">
        <f>IFERROR(__xludf.DUMMYFUNCTION("""COMPUTED_VALUE"""),0.0)</f>
        <v>0</v>
      </c>
      <c r="L738" s="11"/>
    </row>
    <row r="739" ht="15.75" customHeight="1">
      <c r="A739" s="10" t="str">
        <f>IFERROR(__xludf.DUMMYFUNCTION("""COMPUTED_VALUE"""),"https://clay.global/blog/best-web-design-agencies")</f>
        <v>https://clay.global/blog/best-web-design-agencies</v>
      </c>
      <c r="B739" s="11" t="str">
        <f>IFERROR(__xludf.DUMMYFUNCTION("""COMPUTED_VALUE"""),"Top Web Design Agencies in 2026: Hand-Picked Best Firms for High-Conversion Websites | Clay")</f>
        <v>Top Web Design Agencies in 2026: Hand-Picked Best Firms for High-Conversion Websites | Clay</v>
      </c>
      <c r="C739" s="11" t="str">
        <f>IFERROR(__xludf.DUMMYFUNCTION("""COMPUTED_VALUE"""),"clay.global")</f>
        <v>clay.global</v>
      </c>
      <c r="D739" s="11" t="str">
        <f>IFERROR(__xludf.DUMMYFUNCTION("""COMPUTED_VALUE"""),"LISTICLE")</f>
        <v>LISTICLE</v>
      </c>
      <c r="E739" s="11" t="str">
        <f>IFERROR(__xludf.DUMMYFUNCTION("""COMPUTED_VALUE"""),"CORPORATE")</f>
        <v>CORPORATE</v>
      </c>
      <c r="F739" s="11" t="str">
        <f>IFERROR(__xludf.DUMMYFUNCTION("""COMPUTED_VALUE"""),"Listicle")</f>
        <v>Listicle</v>
      </c>
      <c r="G739" s="11" t="b">
        <f>IFERROR(__xludf.DUMMYFUNCTION("""COMPUTED_VALUE"""),FALSE)</f>
        <v>0</v>
      </c>
      <c r="H739" s="11" t="str">
        <f>IFERROR(__xludf.DUMMYFUNCTION("""COMPUTED_VALUE"""),"Clay, Deloitte Digital, DEPT, R/GA, AKQA, Clutch, Momentum, Pentagram")</f>
        <v>Clay, Deloitte Digital, DEPT, R/GA, AKQA, Clutch, Momentum, Pentagram</v>
      </c>
      <c r="I739" s="11">
        <f>IFERROR(__xludf.DUMMYFUNCTION("""COMPUTED_VALUE"""),1.0)</f>
        <v>1</v>
      </c>
      <c r="J739" s="11">
        <f>IFERROR(__xludf.DUMMYFUNCTION("""COMPUTED_VALUE"""),0.0)</f>
        <v>0</v>
      </c>
      <c r="K739" s="11">
        <f>IFERROR(__xludf.DUMMYFUNCTION("""COMPUTED_VALUE"""),0.0)</f>
        <v>0</v>
      </c>
      <c r="L739" s="11"/>
    </row>
    <row r="740" ht="15.75" customHeight="1">
      <c r="A740" s="10" t="str">
        <f>IFERROR(__xludf.DUMMYFUNCTION("""COMPUTED_VALUE"""),"https://www.clearleaddigital.com/blog/2025-guide-top-seo-marketing-agencies")</f>
        <v>https://www.clearleaddigital.com/blog/2025-guide-top-seo-marketing-agencies</v>
      </c>
      <c r="B740" s="11" t="str">
        <f>IFERROR(__xludf.DUMMYFUNCTION("""COMPUTED_VALUE"""),"Best Search Marketing Agencies 2026: 15 Top Firms Reviewed")</f>
        <v>Best Search Marketing Agencies 2026: 15 Top Firms Reviewed</v>
      </c>
      <c r="C740" s="10" t="str">
        <f>IFERROR(__xludf.DUMMYFUNCTION("""COMPUTED_VALUE"""),"clearleaddigital.com")</f>
        <v>clearleaddigital.com</v>
      </c>
      <c r="D740" s="11" t="str">
        <f>IFERROR(__xludf.DUMMYFUNCTION("""COMPUTED_VALUE"""),"LISTICLE")</f>
        <v>LISTICLE</v>
      </c>
      <c r="E740" s="11" t="str">
        <f>IFERROR(__xludf.DUMMYFUNCTION("""COMPUTED_VALUE"""),"CORPORATE")</f>
        <v>CORPORATE</v>
      </c>
      <c r="F740" s="11" t="str">
        <f>IFERROR(__xludf.DUMMYFUNCTION("""COMPUTED_VALUE"""),"Listicle")</f>
        <v>Listicle</v>
      </c>
      <c r="G740" s="11" t="b">
        <f>IFERROR(__xludf.DUMMYFUNCTION("""COMPUTED_VALUE"""),FALSE)</f>
        <v>0</v>
      </c>
      <c r="H740" s="11" t="str">
        <f>IFERROR(__xludf.DUMMYFUNCTION("""COMPUTED_VALUE"""),"NoGood, SmartSites, Disruptive Advertising, HawkSEM, Funnel Boost Media, KlientBoost, WebFX, Thrive Internet Marketing Agency, Measured, Directive")</f>
        <v>NoGood, SmartSites, Disruptive Advertising, HawkSEM, Funnel Boost Media, KlientBoost, WebFX, Thrive Internet Marketing Agency, Measured, Directive</v>
      </c>
      <c r="I740" s="11">
        <f>IFERROR(__xludf.DUMMYFUNCTION("""COMPUTED_VALUE"""),1.0)</f>
        <v>1</v>
      </c>
      <c r="J740" s="11">
        <f>IFERROR(__xludf.DUMMYFUNCTION("""COMPUTED_VALUE"""),0.0)</f>
        <v>0</v>
      </c>
      <c r="K740" s="11">
        <f>IFERROR(__xludf.DUMMYFUNCTION("""COMPUTED_VALUE"""),1.0)</f>
        <v>1</v>
      </c>
      <c r="L740" s="11"/>
    </row>
    <row r="741" ht="15.75" customHeight="1">
      <c r="A741" s="10" t="str">
        <f>IFERROR(__xludf.DUMMYFUNCTION("""COMPUTED_VALUE"""),"https://clicksgeek.com/best-google-ads-management-companies/")</f>
        <v>https://clicksgeek.com/best-google-ads-management-companies/</v>
      </c>
      <c r="B741" s="11" t="str">
        <f>IFERROR(__xludf.DUMMYFUNCTION("""COMPUTED_VALUE"""),"Best Google Ads Management Companies: 2026 Guide &amp;amp; Tips")</f>
        <v>Best Google Ads Management Companies: 2026 Guide &amp;amp; Tips</v>
      </c>
      <c r="C741" s="10" t="str">
        <f>IFERROR(__xludf.DUMMYFUNCTION("""COMPUTED_VALUE"""),"clicksgeek.com")</f>
        <v>clicksgeek.com</v>
      </c>
      <c r="D741" s="11" t="str">
        <f>IFERROR(__xludf.DUMMYFUNCTION("""COMPUTED_VALUE"""),"LISTICLE")</f>
        <v>LISTICLE</v>
      </c>
      <c r="E741" s="11" t="str">
        <f>IFERROR(__xludf.DUMMYFUNCTION("""COMPUTED_VALUE"""),"CORPORATE")</f>
        <v>CORPORATE</v>
      </c>
      <c r="F741" s="11" t="str">
        <f>IFERROR(__xludf.DUMMYFUNCTION("""COMPUTED_VALUE"""),"Listicle")</f>
        <v>Listicle</v>
      </c>
      <c r="G741" s="11" t="b">
        <f>IFERROR(__xludf.DUMMYFUNCTION("""COMPUTED_VALUE"""),FALSE)</f>
        <v>0</v>
      </c>
      <c r="H741" s="11" t="str">
        <f>IFERROR(__xludf.DUMMYFUNCTION("""COMPUTED_VALUE"""),"Disruptive Advertising, WebFX, KlientBoost, Directive, Tinuiti, Ignite Visibility, Thrive Internet Marketing Agency, Brainlabs")</f>
        <v>Disruptive Advertising, WebFX, KlientBoost, Directive, Tinuiti, Ignite Visibility, Thrive Internet Marketing Agency, Brainlabs</v>
      </c>
      <c r="I741" s="11">
        <f>IFERROR(__xludf.DUMMYFUNCTION("""COMPUTED_VALUE"""),1.0)</f>
        <v>1</v>
      </c>
      <c r="J741" s="11">
        <f>IFERROR(__xludf.DUMMYFUNCTION("""COMPUTED_VALUE"""),0.0)</f>
        <v>0</v>
      </c>
      <c r="K741" s="11">
        <f>IFERROR(__xludf.DUMMYFUNCTION("""COMPUTED_VALUE"""),0.0)</f>
        <v>0</v>
      </c>
      <c r="L741" s="11"/>
    </row>
    <row r="742" ht="15.75" customHeight="1">
      <c r="A742" s="10" t="str">
        <f>IFERROR(__xludf.DUMMYFUNCTION("""COMPUTED_VALUE"""),"https://clicksgeek.com/best-google-premier-partners/")</f>
        <v>https://clicksgeek.com/best-google-premier-partners/</v>
      </c>
      <c r="B742" s="11" t="str">
        <f>IFERROR(__xludf.DUMMYFUNCTION("""COMPUTED_VALUE"""),"Best Google Premier Partners: Agency Selection Guide")</f>
        <v>Best Google Premier Partners: Agency Selection Guide</v>
      </c>
      <c r="C742" s="10" t="str">
        <f>IFERROR(__xludf.DUMMYFUNCTION("""COMPUTED_VALUE"""),"clicksgeek.com")</f>
        <v>clicksgeek.com</v>
      </c>
      <c r="D742" s="11" t="str">
        <f>IFERROR(__xludf.DUMMYFUNCTION("""COMPUTED_VALUE"""),"LISTICLE")</f>
        <v>LISTICLE</v>
      </c>
      <c r="E742" s="11" t="str">
        <f>IFERROR(__xludf.DUMMYFUNCTION("""COMPUTED_VALUE"""),"CORPORATE")</f>
        <v>CORPORATE</v>
      </c>
      <c r="F742" s="11" t="str">
        <f>IFERROR(__xludf.DUMMYFUNCTION("""COMPUTED_VALUE"""),"Listicle")</f>
        <v>Listicle</v>
      </c>
      <c r="G742" s="11" t="b">
        <f>IFERROR(__xludf.DUMMYFUNCTION("""COMPUTED_VALUE"""),FALSE)</f>
        <v>0</v>
      </c>
      <c r="H742" s="11" t="str">
        <f>IFERROR(__xludf.DUMMYFUNCTION("""COMPUTED_VALUE"""),"Momentum")</f>
        <v>Momentum</v>
      </c>
      <c r="I742" s="11">
        <f>IFERROR(__xludf.DUMMYFUNCTION("""COMPUTED_VALUE"""),1.0)</f>
        <v>1</v>
      </c>
      <c r="J742" s="11">
        <f>IFERROR(__xludf.DUMMYFUNCTION("""COMPUTED_VALUE"""),0.0)</f>
        <v>0</v>
      </c>
      <c r="K742" s="11">
        <f>IFERROR(__xludf.DUMMYFUNCTION("""COMPUTED_VALUE"""),0.0)</f>
        <v>0</v>
      </c>
      <c r="L742" s="11"/>
    </row>
    <row r="743" ht="15.75" customHeight="1">
      <c r="A743" s="10" t="str">
        <f>IFERROR(__xludf.DUMMYFUNCTION("""COMPUTED_VALUE"""),"https://clicksgeek.com/best-marketing-agency-for-roi/")</f>
        <v>https://clicksgeek.com/best-marketing-agency-for-roi/</v>
      </c>
      <c r="B743" s="11" t="str">
        <f>IFERROR(__xludf.DUMMYFUNCTION("""COMPUTED_VALUE"""),"Best Marketing Agency For ROI: 7 Proven Strategies")</f>
        <v>Best Marketing Agency For ROI: 7 Proven Strategies</v>
      </c>
      <c r="C743" s="10" t="str">
        <f>IFERROR(__xludf.DUMMYFUNCTION("""COMPUTED_VALUE"""),"clicksgeek.com")</f>
        <v>clicksgeek.com</v>
      </c>
      <c r="D743" s="11" t="str">
        <f>IFERROR(__xludf.DUMMYFUNCTION("""COMPUTED_VALUE"""),"HOW_TO_GUIDE")</f>
        <v>HOW_TO_GUIDE</v>
      </c>
      <c r="E743" s="11" t="str">
        <f>IFERROR(__xludf.DUMMYFUNCTION("""COMPUTED_VALUE"""),"CORPORATE")</f>
        <v>CORPORATE</v>
      </c>
      <c r="F743" s="11" t="str">
        <f>IFERROR(__xludf.DUMMYFUNCTION("""COMPUTED_VALUE"""),"How-To Guide")</f>
        <v>How-To Guide</v>
      </c>
      <c r="G743" s="11" t="b">
        <f>IFERROR(__xludf.DUMMYFUNCTION("""COMPUTED_VALUE"""),FALSE)</f>
        <v>0</v>
      </c>
      <c r="H743" s="11"/>
      <c r="I743" s="11">
        <f>IFERROR(__xludf.DUMMYFUNCTION("""COMPUTED_VALUE"""),1.0)</f>
        <v>1</v>
      </c>
      <c r="J743" s="11">
        <f>IFERROR(__xludf.DUMMYFUNCTION("""COMPUTED_VALUE"""),0.0)</f>
        <v>0</v>
      </c>
      <c r="K743" s="11">
        <f>IFERROR(__xludf.DUMMYFUNCTION("""COMPUTED_VALUE"""),0.0)</f>
        <v>0</v>
      </c>
      <c r="L743" s="11"/>
    </row>
    <row r="744" ht="15.75" customHeight="1">
      <c r="A744" s="10" t="str">
        <f>IFERROR(__xludf.DUMMYFUNCTION("""COMPUTED_VALUE"""),"https://clicksgeek.com/best-roi-digital-marketing-agencies/")</f>
        <v>https://clicksgeek.com/best-roi-digital-marketing-agencies/</v>
      </c>
      <c r="B744" s="11" t="str">
        <f>IFERROR(__xludf.DUMMYFUNCTION("""COMPUTED_VALUE"""),"Best ROI Digital Marketing Agencies: Expert Guide 2026")</f>
        <v>Best ROI Digital Marketing Agencies: Expert Guide 2026</v>
      </c>
      <c r="C744" s="10" t="str">
        <f>IFERROR(__xludf.DUMMYFUNCTION("""COMPUTED_VALUE"""),"clicksgeek.com")</f>
        <v>clicksgeek.com</v>
      </c>
      <c r="D744" s="11" t="str">
        <f>IFERROR(__xludf.DUMMYFUNCTION("""COMPUTED_VALUE"""),"LISTICLE")</f>
        <v>LISTICLE</v>
      </c>
      <c r="E744" s="11" t="str">
        <f>IFERROR(__xludf.DUMMYFUNCTION("""COMPUTED_VALUE"""),"CORPORATE")</f>
        <v>CORPORATE</v>
      </c>
      <c r="F744" s="11" t="str">
        <f>IFERROR(__xludf.DUMMYFUNCTION("""COMPUTED_VALUE"""),"Listicle")</f>
        <v>Listicle</v>
      </c>
      <c r="G744" s="11" t="b">
        <f>IFERROR(__xludf.DUMMYFUNCTION("""COMPUTED_VALUE"""),FALSE)</f>
        <v>0</v>
      </c>
      <c r="H744" s="11"/>
      <c r="I744" s="11">
        <f>IFERROR(__xludf.DUMMYFUNCTION("""COMPUTED_VALUE"""),1.0)</f>
        <v>1</v>
      </c>
      <c r="J744" s="11">
        <f>IFERROR(__xludf.DUMMYFUNCTION("""COMPUTED_VALUE"""),0.0)</f>
        <v>0</v>
      </c>
      <c r="K744" s="11">
        <f>IFERROR(__xludf.DUMMYFUNCTION("""COMPUTED_VALUE"""),0.0)</f>
        <v>0</v>
      </c>
      <c r="L744" s="11"/>
    </row>
    <row r="745" ht="15.75" customHeight="1">
      <c r="A745" s="10" t="str">
        <f>IFERROR(__xludf.DUMMYFUNCTION("""COMPUTED_VALUE"""),"https://clicksgeek.com/best-roi-focused-marketing-agency/")</f>
        <v>https://clicksgeek.com/best-roi-focused-marketing-agency/</v>
      </c>
      <c r="B745" s="11" t="str">
        <f>IFERROR(__xludf.DUMMYFUNCTION("""COMPUTED_VALUE"""),"Best ROI Focused Marketing Agency: 7 Proven Strategies")</f>
        <v>Best ROI Focused Marketing Agency: 7 Proven Strategies</v>
      </c>
      <c r="C745" s="10" t="str">
        <f>IFERROR(__xludf.DUMMYFUNCTION("""COMPUTED_VALUE"""),"clicksgeek.com")</f>
        <v>clicksgeek.com</v>
      </c>
      <c r="D745" s="11" t="str">
        <f>IFERROR(__xludf.DUMMYFUNCTION("""COMPUTED_VALUE"""),"LISTICLE")</f>
        <v>LISTICLE</v>
      </c>
      <c r="E745" s="11" t="str">
        <f>IFERROR(__xludf.DUMMYFUNCTION("""COMPUTED_VALUE"""),"CORPORATE")</f>
        <v>CORPORATE</v>
      </c>
      <c r="F745" s="11" t="str">
        <f>IFERROR(__xludf.DUMMYFUNCTION("""COMPUTED_VALUE"""),"Listicle")</f>
        <v>Listicle</v>
      </c>
      <c r="G745" s="11" t="b">
        <f>IFERROR(__xludf.DUMMYFUNCTION("""COMPUTED_VALUE"""),FALSE)</f>
        <v>0</v>
      </c>
      <c r="H745" s="11"/>
      <c r="I745" s="11">
        <f>IFERROR(__xludf.DUMMYFUNCTION("""COMPUTED_VALUE"""),1.0)</f>
        <v>1</v>
      </c>
      <c r="J745" s="11">
        <f>IFERROR(__xludf.DUMMYFUNCTION("""COMPUTED_VALUE"""),0.0)</f>
        <v>0</v>
      </c>
      <c r="K745" s="11">
        <f>IFERROR(__xludf.DUMMYFUNCTION("""COMPUTED_VALUE"""),0.0)</f>
        <v>0</v>
      </c>
      <c r="L745" s="11"/>
    </row>
    <row r="746" ht="15.75" customHeight="1">
      <c r="A746" s="10" t="str">
        <f>IFERROR(__xludf.DUMMYFUNCTION("""COMPUTED_VALUE"""),"https://clicksgeek.com/best-roi-marketing-agencies/")</f>
        <v>https://clicksgeek.com/best-roi-marketing-agencies/</v>
      </c>
      <c r="B746" s="11" t="str">
        <f>IFERROR(__xludf.DUMMYFUNCTION("""COMPUTED_VALUE"""),"Best ROI Marketing Agencies: 7 Proven Strategies 2026")</f>
        <v>Best ROI Marketing Agencies: 7 Proven Strategies 2026</v>
      </c>
      <c r="C746" s="10" t="str">
        <f>IFERROR(__xludf.DUMMYFUNCTION("""COMPUTED_VALUE"""),"clicksgeek.com")</f>
        <v>clicksgeek.com</v>
      </c>
      <c r="D746" s="11" t="str">
        <f>IFERROR(__xludf.DUMMYFUNCTION("""COMPUTED_VALUE"""),"LISTICLE")</f>
        <v>LISTICLE</v>
      </c>
      <c r="E746" s="11" t="str">
        <f>IFERROR(__xludf.DUMMYFUNCTION("""COMPUTED_VALUE"""),"CORPORATE")</f>
        <v>CORPORATE</v>
      </c>
      <c r="F746" s="11" t="str">
        <f>IFERROR(__xludf.DUMMYFUNCTION("""COMPUTED_VALUE"""),"Listicle")</f>
        <v>Listicle</v>
      </c>
      <c r="G746" s="11" t="b">
        <f>IFERROR(__xludf.DUMMYFUNCTION("""COMPUTED_VALUE"""),FALSE)</f>
        <v>0</v>
      </c>
      <c r="H746" s="11" t="str">
        <f>IFERROR(__xludf.DUMMYFUNCTION("""COMPUTED_VALUE"""),"Measured")</f>
        <v>Measured</v>
      </c>
      <c r="I746" s="11">
        <f>IFERROR(__xludf.DUMMYFUNCTION("""COMPUTED_VALUE"""),1.0)</f>
        <v>1</v>
      </c>
      <c r="J746" s="11">
        <f>IFERROR(__xludf.DUMMYFUNCTION("""COMPUTED_VALUE"""),0.0)</f>
        <v>0</v>
      </c>
      <c r="K746" s="11">
        <f>IFERROR(__xludf.DUMMYFUNCTION("""COMPUTED_VALUE"""),0.0)</f>
        <v>0</v>
      </c>
      <c r="L746" s="11"/>
    </row>
    <row r="747" ht="15.75" customHeight="1">
      <c r="A747" s="10" t="str">
        <f>IFERROR(__xludf.DUMMYFUNCTION("""COMPUTED_VALUE"""),"https://clicksgeek.com/display-advertising-management-services/")</f>
        <v>https://clicksgeek.com/display-advertising-management-services/</v>
      </c>
      <c r="B747" s="11" t="str">
        <f>IFERROR(__xludf.DUMMYFUNCTION("""COMPUTED_VALUE"""),"9 Best Display Advertising Management Services 2026")</f>
        <v>9 Best Display Advertising Management Services 2026</v>
      </c>
      <c r="C747" s="10" t="str">
        <f>IFERROR(__xludf.DUMMYFUNCTION("""COMPUTED_VALUE"""),"clicksgeek.com")</f>
        <v>clicksgeek.com</v>
      </c>
      <c r="D747" s="11" t="str">
        <f>IFERROR(__xludf.DUMMYFUNCTION("""COMPUTED_VALUE"""),"LISTICLE")</f>
        <v>LISTICLE</v>
      </c>
      <c r="E747" s="11" t="str">
        <f>IFERROR(__xludf.DUMMYFUNCTION("""COMPUTED_VALUE"""),"CORPORATE")</f>
        <v>CORPORATE</v>
      </c>
      <c r="F747" s="11" t="str">
        <f>IFERROR(__xludf.DUMMYFUNCTION("""COMPUTED_VALUE"""),"Listicle")</f>
        <v>Listicle</v>
      </c>
      <c r="G747" s="11" t="b">
        <f>IFERROR(__xludf.DUMMYFUNCTION("""COMPUTED_VALUE"""),FALSE)</f>
        <v>0</v>
      </c>
      <c r="H747" s="11" t="str">
        <f>IFERROR(__xludf.DUMMYFUNCTION("""COMPUTED_VALUE"""),"WebFX, Disruptive Advertising, KlientBoost, Directive, Measured, Tinuiti")</f>
        <v>WebFX, Disruptive Advertising, KlientBoost, Directive, Measured, Tinuiti</v>
      </c>
      <c r="I747" s="11">
        <f>IFERROR(__xludf.DUMMYFUNCTION("""COMPUTED_VALUE"""),1.0)</f>
        <v>1</v>
      </c>
      <c r="J747" s="11">
        <f>IFERROR(__xludf.DUMMYFUNCTION("""COMPUTED_VALUE"""),0.0)</f>
        <v>0</v>
      </c>
      <c r="K747" s="11">
        <f>IFERROR(__xludf.DUMMYFUNCTION("""COMPUTED_VALUE"""),2.0)</f>
        <v>2</v>
      </c>
      <c r="L747" s="11"/>
    </row>
    <row r="748" ht="15.75" customHeight="1">
      <c r="A748" s="10" t="str">
        <f>IFERROR(__xludf.DUMMYFUNCTION("""COMPUTED_VALUE"""),"https://clicksgeek.com/paid-media-buying-services/")</f>
        <v>https://clicksgeek.com/paid-media-buying-services/</v>
      </c>
      <c r="B748" s="11" t="str">
        <f>IFERROR(__xludf.DUMMYFUNCTION("""COMPUTED_VALUE"""),"9 Best Paid Media Buying Services to Scale Ads 2026")</f>
        <v>9 Best Paid Media Buying Services to Scale Ads 2026</v>
      </c>
      <c r="C748" s="10" t="str">
        <f>IFERROR(__xludf.DUMMYFUNCTION("""COMPUTED_VALUE"""),"clicksgeek.com")</f>
        <v>clicksgeek.com</v>
      </c>
      <c r="D748" s="11" t="str">
        <f>IFERROR(__xludf.DUMMYFUNCTION("""COMPUTED_VALUE"""),"LISTICLE")</f>
        <v>LISTICLE</v>
      </c>
      <c r="E748" s="11" t="str">
        <f>IFERROR(__xludf.DUMMYFUNCTION("""COMPUTED_VALUE"""),"CORPORATE")</f>
        <v>CORPORATE</v>
      </c>
      <c r="F748" s="11" t="str">
        <f>IFERROR(__xludf.DUMMYFUNCTION("""COMPUTED_VALUE"""),"Listicle")</f>
        <v>Listicle</v>
      </c>
      <c r="G748" s="11" t="b">
        <f>IFERROR(__xludf.DUMMYFUNCTION("""COMPUTED_VALUE"""),FALSE)</f>
        <v>0</v>
      </c>
      <c r="H748" s="11" t="str">
        <f>IFERROR(__xludf.DUMMYFUNCTION("""COMPUTED_VALUE"""),"WebFX, Disruptive Advertising, KlientBoost, Directive, Tinuiti, Ignite Visibility, AdVenture Media")</f>
        <v>WebFX, Disruptive Advertising, KlientBoost, Directive, Tinuiti, Ignite Visibility, AdVenture Media</v>
      </c>
      <c r="I748" s="11">
        <f>IFERROR(__xludf.DUMMYFUNCTION("""COMPUTED_VALUE"""),1.0)</f>
        <v>1</v>
      </c>
      <c r="J748" s="11">
        <f>IFERROR(__xludf.DUMMYFUNCTION("""COMPUTED_VALUE"""),0.0)</f>
        <v>0</v>
      </c>
      <c r="K748" s="11">
        <f>IFERROR(__xludf.DUMMYFUNCTION("""COMPUTED_VALUE"""),0.0)</f>
        <v>0</v>
      </c>
      <c r="L748" s="11"/>
    </row>
    <row r="749" ht="15.75" customHeight="1">
      <c r="A749" s="10" t="str">
        <f>IFERROR(__xludf.DUMMYFUNCTION("""COMPUTED_VALUE"""),"https://clickstrike.com/blog/ai-marketing-agencies/")</f>
        <v>https://clickstrike.com/blog/ai-marketing-agencies/</v>
      </c>
      <c r="B749" s="11" t="str">
        <f>IFERROR(__xludf.DUMMYFUNCTION("""COMPUTED_VALUE"""),"Top AI Marketing Agencies in 2026: 7 Best Partners for AI Companies | Clickstrike")</f>
        <v>Top AI Marketing Agencies in 2026: 7 Best Partners for AI Companies | Clickstrike</v>
      </c>
      <c r="C749" s="10" t="str">
        <f>IFERROR(__xludf.DUMMYFUNCTION("""COMPUTED_VALUE"""),"clickstrike.com")</f>
        <v>clickstrike.com</v>
      </c>
      <c r="D749" s="11" t="str">
        <f>IFERROR(__xludf.DUMMYFUNCTION("""COMPUTED_VALUE"""),"LISTICLE")</f>
        <v>LISTICLE</v>
      </c>
      <c r="E749" s="11" t="str">
        <f>IFERROR(__xludf.DUMMYFUNCTION("""COMPUTED_VALUE"""),"CORPORATE")</f>
        <v>CORPORATE</v>
      </c>
      <c r="F749" s="11" t="str">
        <f>IFERROR(__xludf.DUMMYFUNCTION("""COMPUTED_VALUE"""),"Listicle")</f>
        <v>Listicle</v>
      </c>
      <c r="G749" s="11" t="b">
        <f>IFERROR(__xludf.DUMMYFUNCTION("""COMPUTED_VALUE"""),FALSE)</f>
        <v>0</v>
      </c>
      <c r="H749" s="11" t="str">
        <f>IFERROR(__xludf.DUMMYFUNCTION("""COMPUTED_VALUE"""),"NoGood, Directive, Single Grain, NinjaPromo")</f>
        <v>NoGood, Directive, Single Grain, NinjaPromo</v>
      </c>
      <c r="I749" s="11">
        <f>IFERROR(__xludf.DUMMYFUNCTION("""COMPUTED_VALUE"""),1.0)</f>
        <v>1</v>
      </c>
      <c r="J749" s="11">
        <f>IFERROR(__xludf.DUMMYFUNCTION("""COMPUTED_VALUE"""),0.0)</f>
        <v>0</v>
      </c>
      <c r="K749" s="11">
        <f>IFERROR(__xludf.DUMMYFUNCTION("""COMPUTED_VALUE"""),0.0)</f>
        <v>0</v>
      </c>
      <c r="L749" s="11"/>
    </row>
    <row r="750" ht="15.75" customHeight="1">
      <c r="A750" s="10" t="str">
        <f>IFERROR(__xludf.DUMMYFUNCTION("""COMPUTED_VALUE"""),"https://cloudconsultingfirms.com/insights/it-services-companies/")</f>
        <v>https://cloudconsultingfirms.com/insights/it-services-companies/</v>
      </c>
      <c r="B750" s="11" t="str">
        <f>IFERROR(__xludf.DUMMYFUNCTION("""COMPUTED_VALUE"""),"Top IT Services Companies for Cloud (2026): Independent Comparison")</f>
        <v>Top IT Services Companies for Cloud (2026): Independent Comparison</v>
      </c>
      <c r="C750" s="10" t="str">
        <f>IFERROR(__xludf.DUMMYFUNCTION("""COMPUTED_VALUE"""),"cloudconsultingfirms.com")</f>
        <v>cloudconsultingfirms.com</v>
      </c>
      <c r="D750" s="11" t="str">
        <f>IFERROR(__xludf.DUMMYFUNCTION("""COMPUTED_VALUE"""),"LISTICLE")</f>
        <v>LISTICLE</v>
      </c>
      <c r="E750" s="11" t="str">
        <f>IFERROR(__xludf.DUMMYFUNCTION("""COMPUTED_VALUE"""),"REFERENCE")</f>
        <v>REFERENCE</v>
      </c>
      <c r="F750" s="11" t="str">
        <f>IFERROR(__xludf.DUMMYFUNCTION("""COMPUTED_VALUE"""),"Listicle")</f>
        <v>Listicle</v>
      </c>
      <c r="G750" s="11" t="b">
        <f>IFERROR(__xludf.DUMMYFUNCTION("""COMPUTED_VALUE"""),FALSE)</f>
        <v>0</v>
      </c>
      <c r="H750" s="11" t="str">
        <f>IFERROR(__xludf.DUMMYFUNCTION("""COMPUTED_VALUE"""),"Clutch, Slalom, IBM, Measured")</f>
        <v>Clutch, Slalom, IBM, Measured</v>
      </c>
      <c r="I750" s="11">
        <f>IFERROR(__xludf.DUMMYFUNCTION("""COMPUTED_VALUE"""),1.0)</f>
        <v>1</v>
      </c>
      <c r="J750" s="11">
        <f>IFERROR(__xludf.DUMMYFUNCTION("""COMPUTED_VALUE"""),0.0)</f>
        <v>0</v>
      </c>
      <c r="K750" s="11">
        <f>IFERROR(__xludf.DUMMYFUNCTION("""COMPUTED_VALUE"""),1.0)</f>
        <v>1</v>
      </c>
      <c r="L750" s="11"/>
    </row>
    <row r="751" ht="15.75" customHeight="1">
      <c r="A751" s="10" t="str">
        <f>IFERROR(__xludf.DUMMYFUNCTION("""COMPUTED_VALUE"""),"https://clutch.co/agencies/conversion-optimization/research")</f>
        <v>https://clutch.co/agencies/conversion-optimization/research</v>
      </c>
      <c r="B751" s="11" t="str">
        <f>IFERROR(__xludf.DUMMYFUNCTION("""COMPUTED_VALUE"""),"Top User &amp; Conversion Research Companies - Jul 2026 Rankings \| Clutch.co")</f>
        <v>Top User &amp; Conversion Research Companies - Jul 2026 Rankings \| Clutch.co</v>
      </c>
      <c r="C751" s="10" t="str">
        <f>IFERROR(__xludf.DUMMYFUNCTION("""COMPUTED_VALUE"""),"clutch.co")</f>
        <v>clutch.co</v>
      </c>
      <c r="D751" s="11" t="str">
        <f>IFERROR(__xludf.DUMMYFUNCTION("""COMPUTED_VALUE"""),"CATEGORY_PAGE")</f>
        <v>CATEGORY_PAGE</v>
      </c>
      <c r="E751" s="11" t="str">
        <f>IFERROR(__xludf.DUMMYFUNCTION("""COMPUTED_VALUE"""),"COMPETITOR")</f>
        <v>COMPETITOR</v>
      </c>
      <c r="F751" s="11" t="str">
        <f>IFERROR(__xludf.DUMMYFUNCTION("""COMPUTED_VALUE"""),"Category Page")</f>
        <v>Category Page</v>
      </c>
      <c r="G751" s="11" t="b">
        <f>IFERROR(__xludf.DUMMYFUNCTION("""COMPUTED_VALUE"""),FALSE)</f>
        <v>0</v>
      </c>
      <c r="H751" s="11" t="str">
        <f>IFERROR(__xludf.DUMMYFUNCTION("""COMPUTED_VALUE"""),"Clutch, Searchbloom, AdVenture Media, Huge")</f>
        <v>Clutch, Searchbloom, AdVenture Media, Huge</v>
      </c>
      <c r="I751" s="11">
        <f>IFERROR(__xludf.DUMMYFUNCTION("""COMPUTED_VALUE"""),1.0)</f>
        <v>1</v>
      </c>
      <c r="J751" s="11">
        <f>IFERROR(__xludf.DUMMYFUNCTION("""COMPUTED_VALUE"""),0.0)</f>
        <v>0</v>
      </c>
      <c r="K751" s="11">
        <f>IFERROR(__xludf.DUMMYFUNCTION("""COMPUTED_VALUE"""),0.0)</f>
        <v>0</v>
      </c>
      <c r="L751" s="11"/>
    </row>
    <row r="752" ht="15.75" customHeight="1">
      <c r="A752" s="10" t="str">
        <f>IFERROR(__xludf.DUMMYFUNCTION("""COMPUTED_VALUE"""),"https://clutch.co/agencies/media-buying")</f>
        <v>https://clutch.co/agencies/media-buying</v>
      </c>
      <c r="B752" s="11" t="str">
        <f>IFERROR(__xludf.DUMMYFUNCTION("""COMPUTED_VALUE"""),"Top Media Buying &amp;amp; Planning Agencies - Jul 2026 Rankings | Clutch.co")</f>
        <v>Top Media Buying &amp;amp; Planning Agencies - Jul 2026 Rankings | Clutch.co</v>
      </c>
      <c r="C752" s="10" t="str">
        <f>IFERROR(__xludf.DUMMYFUNCTION("""COMPUTED_VALUE"""),"clutch.co")</f>
        <v>clutch.co</v>
      </c>
      <c r="D752" s="11" t="str">
        <f>IFERROR(__xludf.DUMMYFUNCTION("""COMPUTED_VALUE"""),"CATEGORY_PAGE")</f>
        <v>CATEGORY_PAGE</v>
      </c>
      <c r="E752" s="11" t="str">
        <f>IFERROR(__xludf.DUMMYFUNCTION("""COMPUTED_VALUE"""),"COMPETITOR")</f>
        <v>COMPETITOR</v>
      </c>
      <c r="F752" s="11" t="str">
        <f>IFERROR(__xludf.DUMMYFUNCTION("""COMPUTED_VALUE"""),"Category Page")</f>
        <v>Category Page</v>
      </c>
      <c r="G752" s="11" t="b">
        <f>IFERROR(__xludf.DUMMYFUNCTION("""COMPUTED_VALUE"""),FALSE)</f>
        <v>0</v>
      </c>
      <c r="H752" s="11" t="str">
        <f>IFERROR(__xludf.DUMMYFUNCTION("""COMPUTED_VALUE"""),"Clutch, Momentum, Accelerated Digital Media")</f>
        <v>Clutch, Momentum, Accelerated Digital Media</v>
      </c>
      <c r="I752" s="11">
        <f>IFERROR(__xludf.DUMMYFUNCTION("""COMPUTED_VALUE"""),1.0)</f>
        <v>1</v>
      </c>
      <c r="J752" s="11">
        <f>IFERROR(__xludf.DUMMYFUNCTION("""COMPUTED_VALUE"""),0.0)</f>
        <v>0</v>
      </c>
      <c r="K752" s="11">
        <f>IFERROR(__xludf.DUMMYFUNCTION("""COMPUTED_VALUE"""),0.0)</f>
        <v>0</v>
      </c>
      <c r="L752" s="11"/>
    </row>
    <row r="753" ht="15.75" customHeight="1">
      <c r="A753" s="10" t="str">
        <f>IFERROR(__xludf.DUMMYFUNCTION("""COMPUTED_VALUE"""),"https://clutch.co/agencies/media-buying?page=0")</f>
        <v>https://clutch.co/agencies/media-buying?page=0</v>
      </c>
      <c r="B753" s="11" t="str">
        <f>IFERROR(__xludf.DUMMYFUNCTION("""COMPUTED_VALUE"""),"Top Media Buying &amp; Planning Agencies - Jul 2026 Rankings \| Clutch.co")</f>
        <v>Top Media Buying &amp; Planning Agencies - Jul 2026 Rankings \| Clutch.co</v>
      </c>
      <c r="C753" s="10" t="str">
        <f>IFERROR(__xludf.DUMMYFUNCTION("""COMPUTED_VALUE"""),"clutch.co")</f>
        <v>clutch.co</v>
      </c>
      <c r="D753" s="11" t="str">
        <f>IFERROR(__xludf.DUMMYFUNCTION("""COMPUTED_VALUE"""),"PROFILE")</f>
        <v>PROFILE</v>
      </c>
      <c r="E753" s="11" t="str">
        <f>IFERROR(__xludf.DUMMYFUNCTION("""COMPUTED_VALUE"""),"COMPETITOR")</f>
        <v>COMPETITOR</v>
      </c>
      <c r="F753" s="11" t="str">
        <f>IFERROR(__xludf.DUMMYFUNCTION("""COMPUTED_VALUE"""),"Profile")</f>
        <v>Profile</v>
      </c>
      <c r="G753" s="11" t="b">
        <f>IFERROR(__xludf.DUMMYFUNCTION("""COMPUTED_VALUE"""),FALSE)</f>
        <v>0</v>
      </c>
      <c r="H753" s="11" t="str">
        <f>IFERROR(__xludf.DUMMYFUNCTION("""COMPUTED_VALUE"""),"Clutch, Accelerated Digital Media, Major Tom, NP Digital, Tinuiti")</f>
        <v>Clutch, Accelerated Digital Media, Major Tom, NP Digital, Tinuiti</v>
      </c>
      <c r="I753" s="11">
        <f>IFERROR(__xludf.DUMMYFUNCTION("""COMPUTED_VALUE"""),1.0)</f>
        <v>1</v>
      </c>
      <c r="J753" s="11">
        <f>IFERROR(__xludf.DUMMYFUNCTION("""COMPUTED_VALUE"""),0.0)</f>
        <v>0</v>
      </c>
      <c r="K753" s="11">
        <f>IFERROR(__xludf.DUMMYFUNCTION("""COMPUTED_VALUE"""),0.0)</f>
        <v>0</v>
      </c>
      <c r="L753" s="11"/>
    </row>
    <row r="754" ht="15.75" customHeight="1">
      <c r="A754" s="10" t="str">
        <f>IFERROR(__xludf.DUMMYFUNCTION("""COMPUTED_VALUE"""),"https://clutch.co/agencies/ppc")</f>
        <v>https://clutch.co/agencies/ppc</v>
      </c>
      <c r="B754" s="11" t="str">
        <f>IFERROR(__xludf.DUMMYFUNCTION("""COMPUTED_VALUE"""),"Top PPC Agencies - Jul 2026 Rankings | Clutch.co")</f>
        <v>Top PPC Agencies - Jul 2026 Rankings | Clutch.co</v>
      </c>
      <c r="C754" s="10" t="str">
        <f>IFERROR(__xludf.DUMMYFUNCTION("""COMPUTED_VALUE"""),"clutch.co")</f>
        <v>clutch.co</v>
      </c>
      <c r="D754" s="11" t="str">
        <f>IFERROR(__xludf.DUMMYFUNCTION("""COMPUTED_VALUE"""),"CATEGORY_PAGE")</f>
        <v>CATEGORY_PAGE</v>
      </c>
      <c r="E754" s="11" t="str">
        <f>IFERROR(__xludf.DUMMYFUNCTION("""COMPUTED_VALUE"""),"COMPETITOR")</f>
        <v>COMPETITOR</v>
      </c>
      <c r="F754" s="11" t="str">
        <f>IFERROR(__xludf.DUMMYFUNCTION("""COMPUTED_VALUE"""),"Category Page")</f>
        <v>Category Page</v>
      </c>
      <c r="G754" s="11" t="b">
        <f>IFERROR(__xludf.DUMMYFUNCTION("""COMPUTED_VALUE"""),FALSE)</f>
        <v>0</v>
      </c>
      <c r="H754" s="11" t="str">
        <f>IFERROR(__xludf.DUMMYFUNCTION("""COMPUTED_VALUE"""),"Clutch, Disruptive Advertising, AdVenture Media, KlientBoost, Single Grain, SmartSites, HawkSEM, Intero Digital, Elit-Web, NinjaPromo")</f>
        <v>Clutch, Disruptive Advertising, AdVenture Media, KlientBoost, Single Grain, SmartSites, HawkSEM, Intero Digital, Elit-Web, NinjaPromo</v>
      </c>
      <c r="I754" s="11">
        <f>IFERROR(__xludf.DUMMYFUNCTION("""COMPUTED_VALUE"""),1.0)</f>
        <v>1</v>
      </c>
      <c r="J754" s="11">
        <f>IFERROR(__xludf.DUMMYFUNCTION("""COMPUTED_VALUE"""),0.0)</f>
        <v>0</v>
      </c>
      <c r="K754" s="11">
        <f>IFERROR(__xludf.DUMMYFUNCTION("""COMPUTED_VALUE"""),0.0)</f>
        <v>0</v>
      </c>
      <c r="L754" s="11"/>
    </row>
    <row r="755" ht="15.75" customHeight="1">
      <c r="A755" s="10" t="str">
        <f>IFERROR(__xludf.DUMMYFUNCTION("""COMPUTED_VALUE"""),"https://clutch.co/agencies/ppc/ecommerce-industry")</f>
        <v>https://clutch.co/agencies/ppc/ecommerce-industry</v>
      </c>
      <c r="B755" s="11" t="str">
        <f>IFERROR(__xludf.DUMMYFUNCTION("""COMPUTED_VALUE"""),"Top E-Commerce PPC Companies - Jul 2026 Rankings \| Clutch.co")</f>
        <v>Top E-Commerce PPC Companies - Jul 2026 Rankings \| Clutch.co</v>
      </c>
      <c r="C755" s="10" t="str">
        <f>IFERROR(__xludf.DUMMYFUNCTION("""COMPUTED_VALUE"""),"clutch.co")</f>
        <v>clutch.co</v>
      </c>
      <c r="D755" s="11" t="str">
        <f>IFERROR(__xludf.DUMMYFUNCTION("""COMPUTED_VALUE"""),"CATEGORY_PAGE")</f>
        <v>CATEGORY_PAGE</v>
      </c>
      <c r="E755" s="11" t="str">
        <f>IFERROR(__xludf.DUMMYFUNCTION("""COMPUTED_VALUE"""),"COMPETITOR")</f>
        <v>COMPETITOR</v>
      </c>
      <c r="F755" s="11" t="str">
        <f>IFERROR(__xludf.DUMMYFUNCTION("""COMPUTED_VALUE"""),"Category Page")</f>
        <v>Category Page</v>
      </c>
      <c r="G755" s="11" t="b">
        <f>IFERROR(__xludf.DUMMYFUNCTION("""COMPUTED_VALUE"""),FALSE)</f>
        <v>0</v>
      </c>
      <c r="H755" s="11" t="str">
        <f>IFERROR(__xludf.DUMMYFUNCTION("""COMPUTED_VALUE"""),"Clutch, Disruptive Advertising, KlientBoost, NinjaPromo, AdVenture Media, Elit-Web, HawkSEM, SmartSites, Intero Digital, Storm Brain")</f>
        <v>Clutch, Disruptive Advertising, KlientBoost, NinjaPromo, AdVenture Media, Elit-Web, HawkSEM, SmartSites, Intero Digital, Storm Brain</v>
      </c>
      <c r="I755" s="11">
        <f>IFERROR(__xludf.DUMMYFUNCTION("""COMPUTED_VALUE"""),1.0)</f>
        <v>1</v>
      </c>
      <c r="J755" s="11">
        <f>IFERROR(__xludf.DUMMYFUNCTION("""COMPUTED_VALUE"""),0.0)</f>
        <v>0</v>
      </c>
      <c r="K755" s="11">
        <f>IFERROR(__xludf.DUMMYFUNCTION("""COMPUTED_VALUE"""),0.0)</f>
        <v>0</v>
      </c>
      <c r="L755" s="11"/>
    </row>
    <row r="756" ht="15.75" customHeight="1">
      <c r="A756" s="10" t="str">
        <f>IFERROR(__xludf.DUMMYFUNCTION("""COMPUTED_VALUE"""),"https://clutch.co/agencies/programmatic#:~:text=Version2%20is%20an%20advertising%20agency%20specializing%20in,of%20reviewers%20highlighting%20their%20professionalism%20and%20commitment.")</f>
        <v>https://clutch.co/agencies/programmatic#:~:text=Version2%20is%20an%20advertising%20agency%20specializing%20in,of%20reviewers%20highlighting%20their%20professionalism%20and%20commitment.</v>
      </c>
      <c r="B756" s="11" t="str">
        <f>IFERROR(__xludf.DUMMYFUNCTION("""COMPUTED_VALUE"""),"Top Programmatic Advertising Companies - Jul 2026 Rankings | Clutch.co")</f>
        <v>Top Programmatic Advertising Companies - Jul 2026 Rankings | Clutch.co</v>
      </c>
      <c r="C756" s="10" t="str">
        <f>IFERROR(__xludf.DUMMYFUNCTION("""COMPUTED_VALUE"""),"clutch.co")</f>
        <v>clutch.co</v>
      </c>
      <c r="D756" s="11" t="str">
        <f>IFERROR(__xludf.DUMMYFUNCTION("""COMPUTED_VALUE"""),"LISTICLE")</f>
        <v>LISTICLE</v>
      </c>
      <c r="E756" s="11" t="str">
        <f>IFERROR(__xludf.DUMMYFUNCTION("""COMPUTED_VALUE"""),"COMPETITOR")</f>
        <v>COMPETITOR</v>
      </c>
      <c r="F756" s="11" t="str">
        <f>IFERROR(__xludf.DUMMYFUNCTION("""COMPUTED_VALUE"""),"Listicle")</f>
        <v>Listicle</v>
      </c>
      <c r="G756" s="11" t="b">
        <f>IFERROR(__xludf.DUMMYFUNCTION("""COMPUTED_VALUE"""),FALSE)</f>
        <v>0</v>
      </c>
      <c r="H756" s="11" t="str">
        <f>IFERROR(__xludf.DUMMYFUNCTION("""COMPUTED_VALUE"""),"Clutch, NinjaPromo, SmartSites, Funnel Boost Media, LYFE Marketing, AdVenture Media, The SEO Works, Accelerated Digital Media, Storm Brain")</f>
        <v>Clutch, NinjaPromo, SmartSites, Funnel Boost Media, LYFE Marketing, AdVenture Media, The SEO Works, Accelerated Digital Media, Storm Brain</v>
      </c>
      <c r="I756" s="11">
        <f>IFERROR(__xludf.DUMMYFUNCTION("""COMPUTED_VALUE"""),1.0)</f>
        <v>1</v>
      </c>
      <c r="J756" s="11">
        <f>IFERROR(__xludf.DUMMYFUNCTION("""COMPUTED_VALUE"""),0.0)</f>
        <v>0</v>
      </c>
      <c r="K756" s="11">
        <f>IFERROR(__xludf.DUMMYFUNCTION("""COMPUTED_VALUE"""),2.0)</f>
        <v>2</v>
      </c>
      <c r="L756" s="11"/>
    </row>
    <row r="757" ht="15.75" customHeight="1">
      <c r="A757" s="10" t="str">
        <f>IFERROR(__xludf.DUMMYFUNCTION("""COMPUTED_VALUE"""),"https://clutch.co/us/agencies/branding")</f>
        <v>https://clutch.co/us/agencies/branding</v>
      </c>
      <c r="B757" s="11" t="str">
        <f>IFERROR(__xludf.DUMMYFUNCTION("""COMPUTED_VALUE"""),"Top Branding Agencies in the United States - Jul 2026 Rankings | Clutch.co")</f>
        <v>Top Branding Agencies in the United States - Jul 2026 Rankings | Clutch.co</v>
      </c>
      <c r="C757" s="10" t="str">
        <f>IFERROR(__xludf.DUMMYFUNCTION("""COMPUTED_VALUE"""),"clutch.co")</f>
        <v>clutch.co</v>
      </c>
      <c r="D757" s="11" t="str">
        <f>IFERROR(__xludf.DUMMYFUNCTION("""COMPUTED_VALUE"""),"CATEGORY_PAGE")</f>
        <v>CATEGORY_PAGE</v>
      </c>
      <c r="E757" s="11" t="str">
        <f>IFERROR(__xludf.DUMMYFUNCTION("""COMPUTED_VALUE"""),"COMPETITOR")</f>
        <v>COMPETITOR</v>
      </c>
      <c r="F757" s="11" t="str">
        <f>IFERROR(__xludf.DUMMYFUNCTION("""COMPUTED_VALUE"""),"Category Page")</f>
        <v>Category Page</v>
      </c>
      <c r="G757" s="11" t="b">
        <f>IFERROR(__xludf.DUMMYFUNCTION("""COMPUTED_VALUE"""),FALSE)</f>
        <v>0</v>
      </c>
      <c r="H757" s="11" t="str">
        <f>IFERROR(__xludf.DUMMYFUNCTION("""COMPUTED_VALUE"""),"Clutch, Clay, Huge")</f>
        <v>Clutch, Clay, Huge</v>
      </c>
      <c r="I757" s="11">
        <f>IFERROR(__xludf.DUMMYFUNCTION("""COMPUTED_VALUE"""),1.0)</f>
        <v>1</v>
      </c>
      <c r="J757" s="11">
        <f>IFERROR(__xludf.DUMMYFUNCTION("""COMPUTED_VALUE"""),0.0)</f>
        <v>0</v>
      </c>
      <c r="K757" s="11">
        <f>IFERROR(__xludf.DUMMYFUNCTION("""COMPUTED_VALUE"""),0.0)</f>
        <v>0</v>
      </c>
      <c r="L757" s="11"/>
    </row>
    <row r="758" ht="15.75" customHeight="1">
      <c r="A758" s="10" t="str">
        <f>IFERROR(__xludf.DUMMYFUNCTION("""COMPUTED_VALUE"""),"https://clutch.co/us/agencies/business-services-industry?page=1")</f>
        <v>https://clutch.co/us/agencies/business-services-industry?page=1</v>
      </c>
      <c r="B758" s="11" t="str">
        <f>IFERROR(__xludf.DUMMYFUNCTION("""COMPUTED_VALUE"""),"Page 2 - Top Advertising Agencies for B2B in the United States - Jul 2026 Rankings \| Clutch.co")</f>
        <v>Page 2 - Top Advertising Agencies for B2B in the United States - Jul 2026 Rankings \| Clutch.co</v>
      </c>
      <c r="C758" s="10" t="str">
        <f>IFERROR(__xludf.DUMMYFUNCTION("""COMPUTED_VALUE"""),"clutch.co")</f>
        <v>clutch.co</v>
      </c>
      <c r="D758" s="11" t="str">
        <f>IFERROR(__xludf.DUMMYFUNCTION("""COMPUTED_VALUE"""),"CATEGORY_PAGE")</f>
        <v>CATEGORY_PAGE</v>
      </c>
      <c r="E758" s="11" t="str">
        <f>IFERROR(__xludf.DUMMYFUNCTION("""COMPUTED_VALUE"""),"COMPETITOR")</f>
        <v>COMPETITOR</v>
      </c>
      <c r="F758" s="11" t="str">
        <f>IFERROR(__xludf.DUMMYFUNCTION("""COMPUTED_VALUE"""),"Category Page")</f>
        <v>Category Page</v>
      </c>
      <c r="G758" s="11" t="b">
        <f>IFERROR(__xludf.DUMMYFUNCTION("""COMPUTED_VALUE"""),FALSE)</f>
        <v>0</v>
      </c>
      <c r="H758" s="11" t="str">
        <f>IFERROR(__xludf.DUMMYFUNCTION("""COMPUTED_VALUE"""),"Clutch, NinjaPromo, Power Digital, Huge, Directive")</f>
        <v>Clutch, NinjaPromo, Power Digital, Huge, Directive</v>
      </c>
      <c r="I758" s="11">
        <f>IFERROR(__xludf.DUMMYFUNCTION("""COMPUTED_VALUE"""),1.0)</f>
        <v>1</v>
      </c>
      <c r="J758" s="11">
        <f>IFERROR(__xludf.DUMMYFUNCTION("""COMPUTED_VALUE"""),0.0)</f>
        <v>0</v>
      </c>
      <c r="K758" s="11">
        <f>IFERROR(__xludf.DUMMYFUNCTION("""COMPUTED_VALUE"""),0.0)</f>
        <v>0</v>
      </c>
      <c r="L758" s="11"/>
    </row>
    <row r="759" ht="15.75" customHeight="1">
      <c r="A759" s="10" t="str">
        <f>IFERROR(__xludf.DUMMYFUNCTION("""COMPUTED_VALUE"""),"https://clutch.co/us/agencies/digital-marketing/small-business#:~:text=%2410%2C000%2B%20250%20%2D%20999.%20San%20Diego%2C%20CA.,execution%2C%20strong%20communication%2C%20and%20impressive%20project%20management.")</f>
        <v>https://clutch.co/us/agencies/digital-marketing/small-business#:~:text=%2410%2C000%2B%20250%20%2D%20999.%20San%20Diego%2C%20CA.,execution%2C%20strong%20communication%2C%20and%20impressive%20project%20management.</v>
      </c>
      <c r="B759" s="11" t="str">
        <f>IFERROR(__xludf.DUMMYFUNCTION("""COMPUTED_VALUE"""),"Top Digital Marketing Agencies for Small Business in the United States - Jul 2026 Rankings \| Clutch.co")</f>
        <v>Top Digital Marketing Agencies for Small Business in the United States - Jul 2026 Rankings \| Clutch.co</v>
      </c>
      <c r="C759" s="10" t="str">
        <f>IFERROR(__xludf.DUMMYFUNCTION("""COMPUTED_VALUE"""),"clutch.co")</f>
        <v>clutch.co</v>
      </c>
      <c r="D759" s="11" t="str">
        <f>IFERROR(__xludf.DUMMYFUNCTION("""COMPUTED_VALUE"""),"OTHER")</f>
        <v>OTHER</v>
      </c>
      <c r="E759" s="11" t="str">
        <f>IFERROR(__xludf.DUMMYFUNCTION("""COMPUTED_VALUE"""),"COMPETITOR")</f>
        <v>COMPETITOR</v>
      </c>
      <c r="F759" s="11" t="str">
        <f>IFERROR(__xludf.DUMMYFUNCTION("""COMPUTED_VALUE"""),"Other")</f>
        <v>Other</v>
      </c>
      <c r="G759" s="11" t="b">
        <f>IFERROR(__xludf.DUMMYFUNCTION("""COMPUTED_VALUE"""),FALSE)</f>
        <v>0</v>
      </c>
      <c r="H759" s="11" t="str">
        <f>IFERROR(__xludf.DUMMYFUNCTION("""COMPUTED_VALUE"""),"Clutch, Thrive Internet Marketing Agency, Intero Digital, Disruptive Advertising, Ignite Visibility, Elit-Web, NinjaPromo, SmartSites, HawkSEM, Acadia")</f>
        <v>Clutch, Thrive Internet Marketing Agency, Intero Digital, Disruptive Advertising, Ignite Visibility, Elit-Web, NinjaPromo, SmartSites, HawkSEM, Acadia</v>
      </c>
      <c r="I759" s="11">
        <f>IFERROR(__xludf.DUMMYFUNCTION("""COMPUTED_VALUE"""),1.0)</f>
        <v>1</v>
      </c>
      <c r="J759" s="11">
        <f>IFERROR(__xludf.DUMMYFUNCTION("""COMPUTED_VALUE"""),0.0)</f>
        <v>0</v>
      </c>
      <c r="K759" s="11">
        <f>IFERROR(__xludf.DUMMYFUNCTION("""COMPUTED_VALUE"""),1.0)</f>
        <v>1</v>
      </c>
      <c r="L759" s="11"/>
    </row>
    <row r="760" ht="15.75" customHeight="1">
      <c r="A760" s="10" t="str">
        <f>IFERROR(__xludf.DUMMYFUNCTION("""COMPUTED_VALUE"""),"https://clutch.co/us/agencies/market-research/shopper-marketing")</f>
        <v>https://clutch.co/us/agencies/market-research/shopper-marketing</v>
      </c>
      <c r="B760" s="11" t="str">
        <f>IFERROR(__xludf.DUMMYFUNCTION("""COMPUTED_VALUE"""),"Top Shopper Marketing Agencies in the United States - Jul 2026 Rankings \| Clutch.co")</f>
        <v>Top Shopper Marketing Agencies in the United States - Jul 2026 Rankings \| Clutch.co</v>
      </c>
      <c r="C760" s="10" t="str">
        <f>IFERROR(__xludf.DUMMYFUNCTION("""COMPUTED_VALUE"""),"clutch.co")</f>
        <v>clutch.co</v>
      </c>
      <c r="D760" s="11" t="str">
        <f>IFERROR(__xludf.DUMMYFUNCTION("""COMPUTED_VALUE"""),"CATEGORY_PAGE")</f>
        <v>CATEGORY_PAGE</v>
      </c>
      <c r="E760" s="11" t="str">
        <f>IFERROR(__xludf.DUMMYFUNCTION("""COMPUTED_VALUE"""),"COMPETITOR")</f>
        <v>COMPETITOR</v>
      </c>
      <c r="F760" s="11" t="str">
        <f>IFERROR(__xludf.DUMMYFUNCTION("""COMPUTED_VALUE"""),"Category Page")</f>
        <v>Category Page</v>
      </c>
      <c r="G760" s="11" t="b">
        <f>IFERROR(__xludf.DUMMYFUNCTION("""COMPUTED_VALUE"""),FALSE)</f>
        <v>0</v>
      </c>
      <c r="H760" s="11" t="str">
        <f>IFERROR(__xludf.DUMMYFUNCTION("""COMPUTED_VALUE"""),"Clutch, Epsilon, VML, Circana")</f>
        <v>Clutch, Epsilon, VML, Circana</v>
      </c>
      <c r="I760" s="11">
        <f>IFERROR(__xludf.DUMMYFUNCTION("""COMPUTED_VALUE"""),1.0)</f>
        <v>1</v>
      </c>
      <c r="J760" s="11">
        <f>IFERROR(__xludf.DUMMYFUNCTION("""COMPUTED_VALUE"""),0.0)</f>
        <v>0</v>
      </c>
      <c r="K760" s="11">
        <f>IFERROR(__xludf.DUMMYFUNCTION("""COMPUTED_VALUE"""),0.0)</f>
        <v>0</v>
      </c>
      <c r="L760" s="11"/>
    </row>
    <row r="761" ht="15.75" customHeight="1">
      <c r="A761" s="10" t="str">
        <f>IFERROR(__xludf.DUMMYFUNCTION("""COMPUTED_VALUE"""),"https://clutch.co/us/agencies/ppc/display%3Fpage%3D6")</f>
        <v>https://clutch.co/us/agencies/ppc/display%3Fpage%3D6</v>
      </c>
      <c r="B761" s="11" t="str">
        <f>IFERROR(__xludf.DUMMYFUNCTION("""COMPUTED_VALUE"""),"Top Display Advertising Agencies in the United States - Jul 2026 Rankings | Clutch.co")</f>
        <v>Top Display Advertising Agencies in the United States - Jul 2026 Rankings | Clutch.co</v>
      </c>
      <c r="C761" s="10" t="str">
        <f>IFERROR(__xludf.DUMMYFUNCTION("""COMPUTED_VALUE"""),"clutch.co")</f>
        <v>clutch.co</v>
      </c>
      <c r="D761" s="11" t="str">
        <f>IFERROR(__xludf.DUMMYFUNCTION("""COMPUTED_VALUE"""),"PRODUCT_PAGE")</f>
        <v>PRODUCT_PAGE</v>
      </c>
      <c r="E761" s="11" t="str">
        <f>IFERROR(__xludf.DUMMYFUNCTION("""COMPUTED_VALUE"""),"COMPETITOR")</f>
        <v>COMPETITOR</v>
      </c>
      <c r="F761" s="11" t="str">
        <f>IFERROR(__xludf.DUMMYFUNCTION("""COMPUTED_VALUE"""),"Product Page")</f>
        <v>Product Page</v>
      </c>
      <c r="G761" s="11" t="b">
        <f>IFERROR(__xludf.DUMMYFUNCTION("""COMPUTED_VALUE"""),FALSE)</f>
        <v>0</v>
      </c>
      <c r="H761" s="11" t="str">
        <f>IFERROR(__xludf.DUMMYFUNCTION("""COMPUTED_VALUE"""),"Clutch, Elit-Web, AdVenture Media, Storm Brain")</f>
        <v>Clutch, Elit-Web, AdVenture Media, Storm Brain</v>
      </c>
      <c r="I761" s="11">
        <f>IFERROR(__xludf.DUMMYFUNCTION("""COMPUTED_VALUE"""),1.0)</f>
        <v>1</v>
      </c>
      <c r="J761" s="11">
        <f>IFERROR(__xludf.DUMMYFUNCTION("""COMPUTED_VALUE"""),0.0)</f>
        <v>0</v>
      </c>
      <c r="K761" s="11">
        <f>IFERROR(__xludf.DUMMYFUNCTION("""COMPUTED_VALUE"""),0.0)</f>
        <v>0</v>
      </c>
      <c r="L761" s="11"/>
    </row>
    <row r="762" ht="15.75" customHeight="1">
      <c r="A762" s="10" t="str">
        <f>IFERROR(__xludf.DUMMYFUNCTION("""COMPUTED_VALUE"""),"https://clutch.co/us/agencies/ppc/display%3Fpage%3D8")</f>
        <v>https://clutch.co/us/agencies/ppc/display%3Fpage%3D8</v>
      </c>
      <c r="B762" s="11" t="str">
        <f>IFERROR(__xludf.DUMMYFUNCTION("""COMPUTED_VALUE"""),"Top Display Advertising Agencies in the United States - Jul 2026 Rankings \| Clutch.co")</f>
        <v>Top Display Advertising Agencies in the United States - Jul 2026 Rankings \| Clutch.co</v>
      </c>
      <c r="C762" s="10" t="str">
        <f>IFERROR(__xludf.DUMMYFUNCTION("""COMPUTED_VALUE"""),"clutch.co")</f>
        <v>clutch.co</v>
      </c>
      <c r="D762" s="11" t="str">
        <f>IFERROR(__xludf.DUMMYFUNCTION("""COMPUTED_VALUE"""),"CATEGORY_PAGE")</f>
        <v>CATEGORY_PAGE</v>
      </c>
      <c r="E762" s="11" t="str">
        <f>IFERROR(__xludf.DUMMYFUNCTION("""COMPUTED_VALUE"""),"COMPETITOR")</f>
        <v>COMPETITOR</v>
      </c>
      <c r="F762" s="11" t="str">
        <f>IFERROR(__xludf.DUMMYFUNCTION("""COMPUTED_VALUE"""),"Category Page")</f>
        <v>Category Page</v>
      </c>
      <c r="G762" s="11" t="b">
        <f>IFERROR(__xludf.DUMMYFUNCTION("""COMPUTED_VALUE"""),FALSE)</f>
        <v>0</v>
      </c>
      <c r="H762" s="11" t="str">
        <f>IFERROR(__xludf.DUMMYFUNCTION("""COMPUTED_VALUE"""),"Clutch, Elit-Web, AdVenture Media, Storm Brain")</f>
        <v>Clutch, Elit-Web, AdVenture Media, Storm Brain</v>
      </c>
      <c r="I762" s="11">
        <f>IFERROR(__xludf.DUMMYFUNCTION("""COMPUTED_VALUE"""),1.0)</f>
        <v>1</v>
      </c>
      <c r="J762" s="11">
        <f>IFERROR(__xludf.DUMMYFUNCTION("""COMPUTED_VALUE"""),0.0)</f>
        <v>0</v>
      </c>
      <c r="K762" s="11">
        <f>IFERROR(__xludf.DUMMYFUNCTION("""COMPUTED_VALUE"""),0.0)</f>
        <v>0</v>
      </c>
      <c r="L762" s="11"/>
    </row>
    <row r="763" ht="15.75" customHeight="1">
      <c r="A763" s="10" t="str">
        <f>IFERROR(__xludf.DUMMYFUNCTION("""COMPUTED_VALUE"""),"https://clutch.co/us/agencies/ppc/display?page=10")</f>
        <v>https://clutch.co/us/agencies/ppc/display?page=10</v>
      </c>
      <c r="B763" s="11" t="str">
        <f>IFERROR(__xludf.DUMMYFUNCTION("""COMPUTED_VALUE"""),"Page 10 - Top Display Advertising Agencies in the United States - Jul 2026 Rankings | Clutch.co")</f>
        <v>Page 10 - Top Display Advertising Agencies in the United States - Jul 2026 Rankings | Clutch.co</v>
      </c>
      <c r="C763" s="10" t="str">
        <f>IFERROR(__xludf.DUMMYFUNCTION("""COMPUTED_VALUE"""),"clutch.co")</f>
        <v>clutch.co</v>
      </c>
      <c r="D763" s="11" t="str">
        <f>IFERROR(__xludf.DUMMYFUNCTION("""COMPUTED_VALUE"""),"OTHER")</f>
        <v>OTHER</v>
      </c>
      <c r="E763" s="11" t="str">
        <f>IFERROR(__xludf.DUMMYFUNCTION("""COMPUTED_VALUE"""),"COMPETITOR")</f>
        <v>COMPETITOR</v>
      </c>
      <c r="F763" s="11" t="str">
        <f>IFERROR(__xludf.DUMMYFUNCTION("""COMPUTED_VALUE"""),"Other")</f>
        <v>Other</v>
      </c>
      <c r="G763" s="11" t="b">
        <f>IFERROR(__xludf.DUMMYFUNCTION("""COMPUTED_VALUE"""),FALSE)</f>
        <v>0</v>
      </c>
      <c r="H763" s="11" t="str">
        <f>IFERROR(__xludf.DUMMYFUNCTION("""COMPUTED_VALUE"""),"Clutch, Elit-Web, AdVenture Media, Go Fish Digital, Storm Brain, NoGood, Tinuiti")</f>
        <v>Clutch, Elit-Web, AdVenture Media, Go Fish Digital, Storm Brain, NoGood, Tinuiti</v>
      </c>
      <c r="I763" s="11">
        <f>IFERROR(__xludf.DUMMYFUNCTION("""COMPUTED_VALUE"""),1.0)</f>
        <v>1</v>
      </c>
      <c r="J763" s="11">
        <f>IFERROR(__xludf.DUMMYFUNCTION("""COMPUTED_VALUE"""),0.0)</f>
        <v>0</v>
      </c>
      <c r="K763" s="11">
        <f>IFERROR(__xludf.DUMMYFUNCTION("""COMPUTED_VALUE"""),0.0)</f>
        <v>0</v>
      </c>
      <c r="L763" s="11"/>
    </row>
    <row r="764" ht="15.75" customHeight="1">
      <c r="A764" s="10" t="str">
        <f>IFERROR(__xludf.DUMMYFUNCTION("""COMPUTED_VALUE"""),"https://clutch.co/us/agencies/ppc/display?page=16")</f>
        <v>https://clutch.co/us/agencies/ppc/display?page=16</v>
      </c>
      <c r="B764" s="11" t="str">
        <f>IFERROR(__xludf.DUMMYFUNCTION("""COMPUTED_VALUE"""),"Page 16 - Top Display Advertising Agencies in the United States - Jul 2026 Rankings \| Clutch.co")</f>
        <v>Page 16 - Top Display Advertising Agencies in the United States - Jul 2026 Rankings \| Clutch.co</v>
      </c>
      <c r="C764" s="10" t="str">
        <f>IFERROR(__xludf.DUMMYFUNCTION("""COMPUTED_VALUE"""),"clutch.co")</f>
        <v>clutch.co</v>
      </c>
      <c r="D764" s="11" t="str">
        <f>IFERROR(__xludf.DUMMYFUNCTION("""COMPUTED_VALUE"""),"CATEGORY_PAGE")</f>
        <v>CATEGORY_PAGE</v>
      </c>
      <c r="E764" s="11" t="str">
        <f>IFERROR(__xludf.DUMMYFUNCTION("""COMPUTED_VALUE"""),"COMPETITOR")</f>
        <v>COMPETITOR</v>
      </c>
      <c r="F764" s="11" t="str">
        <f>IFERROR(__xludf.DUMMYFUNCTION("""COMPUTED_VALUE"""),"Category Page")</f>
        <v>Category Page</v>
      </c>
      <c r="G764" s="11" t="b">
        <f>IFERROR(__xludf.DUMMYFUNCTION("""COMPUTED_VALUE"""),FALSE)</f>
        <v>0</v>
      </c>
      <c r="H764" s="11" t="str">
        <f>IFERROR(__xludf.DUMMYFUNCTION("""COMPUTED_VALUE"""),"Clutch, Elit-Web, AdVenture Media, Storm Brain, Huge, Go Fish Digital, NoGood, Tinuiti")</f>
        <v>Clutch, Elit-Web, AdVenture Media, Storm Brain, Huge, Go Fish Digital, NoGood, Tinuiti</v>
      </c>
      <c r="I764" s="11">
        <f>IFERROR(__xludf.DUMMYFUNCTION("""COMPUTED_VALUE"""),1.0)</f>
        <v>1</v>
      </c>
      <c r="J764" s="11">
        <f>IFERROR(__xludf.DUMMYFUNCTION("""COMPUTED_VALUE"""),0.0)</f>
        <v>0</v>
      </c>
      <c r="K764" s="11">
        <f>IFERROR(__xludf.DUMMYFUNCTION("""COMPUTED_VALUE"""),0.0)</f>
        <v>0</v>
      </c>
      <c r="L764" s="11"/>
    </row>
    <row r="765" ht="15.75" customHeight="1">
      <c r="A765" s="10" t="str">
        <f>IFERROR(__xludf.DUMMYFUNCTION("""COMPUTED_VALUE"""),"https://clutch.co/us/agencies/ppc/ecommerce-industry")</f>
        <v>https://clutch.co/us/agencies/ppc/ecommerce-industry</v>
      </c>
      <c r="B765" s="11" t="str">
        <f>IFERROR(__xludf.DUMMYFUNCTION("""COMPUTED_VALUE"""),"Top PPC Agencies for E-Commerce Companies in the United States - Jul 2026 Rankings | Clutch.co")</f>
        <v>Top PPC Agencies for E-Commerce Companies in the United States - Jul 2026 Rankings | Clutch.co</v>
      </c>
      <c r="C765" s="10" t="str">
        <f>IFERROR(__xludf.DUMMYFUNCTION("""COMPUTED_VALUE"""),"clutch.co")</f>
        <v>clutch.co</v>
      </c>
      <c r="D765" s="11" t="str">
        <f>IFERROR(__xludf.DUMMYFUNCTION("""COMPUTED_VALUE"""),"CATEGORY_PAGE")</f>
        <v>CATEGORY_PAGE</v>
      </c>
      <c r="E765" s="11" t="str">
        <f>IFERROR(__xludf.DUMMYFUNCTION("""COMPUTED_VALUE"""),"COMPETITOR")</f>
        <v>COMPETITOR</v>
      </c>
      <c r="F765" s="11" t="str">
        <f>IFERROR(__xludf.DUMMYFUNCTION("""COMPUTED_VALUE"""),"Category Page")</f>
        <v>Category Page</v>
      </c>
      <c r="G765" s="11" t="b">
        <f>IFERROR(__xludf.DUMMYFUNCTION("""COMPUTED_VALUE"""),FALSE)</f>
        <v>0</v>
      </c>
      <c r="H765" s="11" t="str">
        <f>IFERROR(__xludf.DUMMYFUNCTION("""COMPUTED_VALUE"""),"Clutch, KlientBoost, Disruptive Advertising, AdVenture Media, Elit-Web, HawkSEM, SmartSites, Intero Digital, Storm Brain, Acadia")</f>
        <v>Clutch, KlientBoost, Disruptive Advertising, AdVenture Media, Elit-Web, HawkSEM, SmartSites, Intero Digital, Storm Brain, Acadia</v>
      </c>
      <c r="I765" s="11">
        <f>IFERROR(__xludf.DUMMYFUNCTION("""COMPUTED_VALUE"""),1.0)</f>
        <v>1</v>
      </c>
      <c r="J765" s="11">
        <f>IFERROR(__xludf.DUMMYFUNCTION("""COMPUTED_VALUE"""),0.0)</f>
        <v>0</v>
      </c>
      <c r="K765" s="11">
        <f>IFERROR(__xludf.DUMMYFUNCTION("""COMPUTED_VALUE"""),1.0)</f>
        <v>1</v>
      </c>
      <c r="L765" s="11"/>
    </row>
    <row r="766" ht="15.75" customHeight="1">
      <c r="A766" s="10" t="str">
        <f>IFERROR(__xludf.DUMMYFUNCTION("""COMPUTED_VALUE"""),"https://clutch.co/us/agencies/ppc/google-adwords%3Fpage%3D16")</f>
        <v>https://clutch.co/us/agencies/ppc/google-adwords%3Fpage%3D16</v>
      </c>
      <c r="B766" s="11" t="str">
        <f>IFERROR(__xludf.DUMMYFUNCTION("""COMPUTED_VALUE"""),"Top Adwords PPC Agencies in the United States - Jul 2026 Rankings \| Clutch.co")</f>
        <v>Top Adwords PPC Agencies in the United States - Jul 2026 Rankings \| Clutch.co</v>
      </c>
      <c r="C766" s="10" t="str">
        <f>IFERROR(__xludf.DUMMYFUNCTION("""COMPUTED_VALUE"""),"clutch.co")</f>
        <v>clutch.co</v>
      </c>
      <c r="D766" s="11" t="str">
        <f>IFERROR(__xludf.DUMMYFUNCTION("""COMPUTED_VALUE"""),"CATEGORY_PAGE")</f>
        <v>CATEGORY_PAGE</v>
      </c>
      <c r="E766" s="11" t="str">
        <f>IFERROR(__xludf.DUMMYFUNCTION("""COMPUTED_VALUE"""),"COMPETITOR")</f>
        <v>COMPETITOR</v>
      </c>
      <c r="F766" s="11" t="str">
        <f>IFERROR(__xludf.DUMMYFUNCTION("""COMPUTED_VALUE"""),"Category Page")</f>
        <v>Category Page</v>
      </c>
      <c r="G766" s="11" t="b">
        <f>IFERROR(__xludf.DUMMYFUNCTION("""COMPUTED_VALUE"""),FALSE)</f>
        <v>0</v>
      </c>
      <c r="H766" s="11" t="str">
        <f>IFERROR(__xludf.DUMMYFUNCTION("""COMPUTED_VALUE"""),"Clutch, KlientBoost, Disruptive Advertising, AdVenture Media, HawkSEM, SmartSites, Intero Digital, Elit-Web, Accelerated Digital Media, Ignite Visibility, Searchbloom, Funnel Boost Media")</f>
        <v>Clutch, KlientBoost, Disruptive Advertising, AdVenture Media, HawkSEM, SmartSites, Intero Digital, Elit-Web, Accelerated Digital Media, Ignite Visibility, Searchbloom, Funnel Boost Media</v>
      </c>
      <c r="I766" s="11">
        <f>IFERROR(__xludf.DUMMYFUNCTION("""COMPUTED_VALUE"""),1.0)</f>
        <v>1</v>
      </c>
      <c r="J766" s="11">
        <f>IFERROR(__xludf.DUMMYFUNCTION("""COMPUTED_VALUE"""),0.0)</f>
        <v>0</v>
      </c>
      <c r="K766" s="11">
        <f>IFERROR(__xludf.DUMMYFUNCTION("""COMPUTED_VALUE"""),0.0)</f>
        <v>0</v>
      </c>
      <c r="L766" s="11"/>
    </row>
    <row r="767" ht="15.75" customHeight="1">
      <c r="A767" s="10" t="str">
        <f>IFERROR(__xludf.DUMMYFUNCTION("""COMPUTED_VALUE"""),"https://clutch.co/us/agencies/programmatic%3Fpage%3D2")</f>
        <v>https://clutch.co/us/agencies/programmatic%3Fpage%3D2</v>
      </c>
      <c r="B767" s="11" t="str">
        <f>IFERROR(__xludf.DUMMYFUNCTION("""COMPUTED_VALUE"""),"Top Programmatic Advertising Agencies in the United States - Jul 2026 Rankings \| Clutch.co")</f>
        <v>Top Programmatic Advertising Agencies in the United States - Jul 2026 Rankings \| Clutch.co</v>
      </c>
      <c r="C767" s="10" t="str">
        <f>IFERROR(__xludf.DUMMYFUNCTION("""COMPUTED_VALUE"""),"clutch.co")</f>
        <v>clutch.co</v>
      </c>
      <c r="D767" s="11" t="str">
        <f>IFERROR(__xludf.DUMMYFUNCTION("""COMPUTED_VALUE"""),"CATEGORY_PAGE")</f>
        <v>CATEGORY_PAGE</v>
      </c>
      <c r="E767" s="11" t="str">
        <f>IFERROR(__xludf.DUMMYFUNCTION("""COMPUTED_VALUE"""),"COMPETITOR")</f>
        <v>COMPETITOR</v>
      </c>
      <c r="F767" s="11" t="str">
        <f>IFERROR(__xludf.DUMMYFUNCTION("""COMPUTED_VALUE"""),"Category Page")</f>
        <v>Category Page</v>
      </c>
      <c r="G767" s="11" t="b">
        <f>IFERROR(__xludf.DUMMYFUNCTION("""COMPUTED_VALUE"""),FALSE)</f>
        <v>0</v>
      </c>
      <c r="H767" s="11" t="str">
        <f>IFERROR(__xludf.DUMMYFUNCTION("""COMPUTED_VALUE"""),"Clutch, SmartSites, Funnel Boost Media, LYFE Marketing, AdVenture Media, Accelerated Digital Media, Storm Brain")</f>
        <v>Clutch, SmartSites, Funnel Boost Media, LYFE Marketing, AdVenture Media, Accelerated Digital Media, Storm Brain</v>
      </c>
      <c r="I767" s="11">
        <f>IFERROR(__xludf.DUMMYFUNCTION("""COMPUTED_VALUE"""),1.0)</f>
        <v>1</v>
      </c>
      <c r="J767" s="11">
        <f>IFERROR(__xludf.DUMMYFUNCTION("""COMPUTED_VALUE"""),0.0)</f>
        <v>0</v>
      </c>
      <c r="K767" s="11">
        <f>IFERROR(__xludf.DUMMYFUNCTION("""COMPUTED_VALUE"""),0.0)</f>
        <v>0</v>
      </c>
      <c r="L767" s="11"/>
    </row>
    <row r="768" ht="15.75" customHeight="1">
      <c r="A768" s="10" t="str">
        <f>IFERROR(__xludf.DUMMYFUNCTION("""COMPUTED_VALUE"""),"https://clutch.co/us/agencies/programmatic%3Fpage%3D3")</f>
        <v>https://clutch.co/us/agencies/programmatic%3Fpage%3D3</v>
      </c>
      <c r="B768" s="11" t="str">
        <f>IFERROR(__xludf.DUMMYFUNCTION("""COMPUTED_VALUE"""),"Top Programmatic Advertising Agencies in the United States - Jul 2026 Rankings \| Clutch.co")</f>
        <v>Top Programmatic Advertising Agencies in the United States - Jul 2026 Rankings \| Clutch.co</v>
      </c>
      <c r="C768" s="10" t="str">
        <f>IFERROR(__xludf.DUMMYFUNCTION("""COMPUTED_VALUE"""),"clutch.co")</f>
        <v>clutch.co</v>
      </c>
      <c r="D768" s="11" t="str">
        <f>IFERROR(__xludf.DUMMYFUNCTION("""COMPUTED_VALUE"""),"CATEGORY_PAGE")</f>
        <v>CATEGORY_PAGE</v>
      </c>
      <c r="E768" s="11" t="str">
        <f>IFERROR(__xludf.DUMMYFUNCTION("""COMPUTED_VALUE"""),"COMPETITOR")</f>
        <v>COMPETITOR</v>
      </c>
      <c r="F768" s="11" t="str">
        <f>IFERROR(__xludf.DUMMYFUNCTION("""COMPUTED_VALUE"""),"Category Page")</f>
        <v>Category Page</v>
      </c>
      <c r="G768" s="11" t="b">
        <f>IFERROR(__xludf.DUMMYFUNCTION("""COMPUTED_VALUE"""),FALSE)</f>
        <v>0</v>
      </c>
      <c r="H768" s="11" t="str">
        <f>IFERROR(__xludf.DUMMYFUNCTION("""COMPUTED_VALUE"""),"Clutch, SmartSites, Funnel Boost Media, LYFE Marketing, AdVenture Media, Accelerated Digital Media, Storm Brain")</f>
        <v>Clutch, SmartSites, Funnel Boost Media, LYFE Marketing, AdVenture Media, Accelerated Digital Media, Storm Brain</v>
      </c>
      <c r="I768" s="11">
        <f>IFERROR(__xludf.DUMMYFUNCTION("""COMPUTED_VALUE"""),1.0)</f>
        <v>1</v>
      </c>
      <c r="J768" s="11">
        <f>IFERROR(__xludf.DUMMYFUNCTION("""COMPUTED_VALUE"""),0.0)</f>
        <v>0</v>
      </c>
      <c r="K768" s="11">
        <f>IFERROR(__xludf.DUMMYFUNCTION("""COMPUTED_VALUE"""),0.0)</f>
        <v>0</v>
      </c>
      <c r="L768" s="11"/>
    </row>
    <row r="769" ht="15.75" customHeight="1">
      <c r="A769" s="10" t="str">
        <f>IFERROR(__xludf.DUMMYFUNCTION("""COMPUTED_VALUE"""),"https://clutch.co/us/agencies/programmatic%3Fpage%3D7")</f>
        <v>https://clutch.co/us/agencies/programmatic%3Fpage%3D7</v>
      </c>
      <c r="B769" s="11" t="str">
        <f>IFERROR(__xludf.DUMMYFUNCTION("""COMPUTED_VALUE"""),"Top Programmatic Advertising Agencies in the United States - Jul 2026 Rankings \| Clutch.co")</f>
        <v>Top Programmatic Advertising Agencies in the United States - Jul 2026 Rankings \| Clutch.co</v>
      </c>
      <c r="C769" s="10" t="str">
        <f>IFERROR(__xludf.DUMMYFUNCTION("""COMPUTED_VALUE"""),"clutch.co")</f>
        <v>clutch.co</v>
      </c>
      <c r="D769" s="11" t="str">
        <f>IFERROR(__xludf.DUMMYFUNCTION("""COMPUTED_VALUE"""),"CATEGORY_PAGE")</f>
        <v>CATEGORY_PAGE</v>
      </c>
      <c r="E769" s="11" t="str">
        <f>IFERROR(__xludf.DUMMYFUNCTION("""COMPUTED_VALUE"""),"COMPETITOR")</f>
        <v>COMPETITOR</v>
      </c>
      <c r="F769" s="11" t="str">
        <f>IFERROR(__xludf.DUMMYFUNCTION("""COMPUTED_VALUE"""),"Category Page")</f>
        <v>Category Page</v>
      </c>
      <c r="G769" s="11" t="b">
        <f>IFERROR(__xludf.DUMMYFUNCTION("""COMPUTED_VALUE"""),FALSE)</f>
        <v>0</v>
      </c>
      <c r="H769" s="11" t="str">
        <f>IFERROR(__xludf.DUMMYFUNCTION("""COMPUTED_VALUE"""),"Clutch, SmartSites, Funnel Boost Media, LYFE Marketing, AdVenture Media, Accelerated Digital Media, Storm Brain")</f>
        <v>Clutch, SmartSites, Funnel Boost Media, LYFE Marketing, AdVenture Media, Accelerated Digital Media, Storm Brain</v>
      </c>
      <c r="I769" s="11">
        <f>IFERROR(__xludf.DUMMYFUNCTION("""COMPUTED_VALUE"""),1.0)</f>
        <v>1</v>
      </c>
      <c r="J769" s="11">
        <f>IFERROR(__xludf.DUMMYFUNCTION("""COMPUTED_VALUE"""),0.0)</f>
        <v>0</v>
      </c>
      <c r="K769" s="11">
        <f>IFERROR(__xludf.DUMMYFUNCTION("""COMPUTED_VALUE"""),0.0)</f>
        <v>0</v>
      </c>
      <c r="L769" s="11"/>
    </row>
    <row r="770" ht="15.75" customHeight="1">
      <c r="A770" s="10" t="str">
        <f>IFERROR(__xludf.DUMMYFUNCTION("""COMPUTED_VALUE"""),"https://clutch.co/us/agencies/social-media-marketing/influencer/tiktok")</f>
        <v>https://clutch.co/us/agencies/social-media-marketing/influencer/tiktok</v>
      </c>
      <c r="B770" s="11" t="str">
        <f>IFERROR(__xludf.DUMMYFUNCTION("""COMPUTED_VALUE"""),"Top TikTok Influencer Marketing Agencies in the United States - Jul 2026 Rankings \| Clutch.co")</f>
        <v>Top TikTok Influencer Marketing Agencies in the United States - Jul 2026 Rankings \| Clutch.co</v>
      </c>
      <c r="C770" s="10" t="str">
        <f>IFERROR(__xludf.DUMMYFUNCTION("""COMPUTED_VALUE"""),"clutch.co")</f>
        <v>clutch.co</v>
      </c>
      <c r="D770" s="11" t="str">
        <f>IFERROR(__xludf.DUMMYFUNCTION("""COMPUTED_VALUE"""),"CATEGORY_PAGE")</f>
        <v>CATEGORY_PAGE</v>
      </c>
      <c r="E770" s="11" t="str">
        <f>IFERROR(__xludf.DUMMYFUNCTION("""COMPUTED_VALUE"""),"COMPETITOR")</f>
        <v>COMPETITOR</v>
      </c>
      <c r="F770" s="11" t="str">
        <f>IFERROR(__xludf.DUMMYFUNCTION("""COMPUTED_VALUE"""),"Category Page")</f>
        <v>Category Page</v>
      </c>
      <c r="G770" s="11" t="b">
        <f>IFERROR(__xludf.DUMMYFUNCTION("""COMPUTED_VALUE"""),FALSE)</f>
        <v>0</v>
      </c>
      <c r="H770" s="11" t="str">
        <f>IFERROR(__xludf.DUMMYFUNCTION("""COMPUTED_VALUE"""),"Clutch, SmartSites, Sociallyin, Elit-Web, Acadia, Disruptive Advertising, Brighter Click, AdVenture Media, Measured")</f>
        <v>Clutch, SmartSites, Sociallyin, Elit-Web, Acadia, Disruptive Advertising, Brighter Click, AdVenture Media, Measured</v>
      </c>
      <c r="I770" s="11">
        <f>IFERROR(__xludf.DUMMYFUNCTION("""COMPUTED_VALUE"""),1.0)</f>
        <v>1</v>
      </c>
      <c r="J770" s="11">
        <f>IFERROR(__xludf.DUMMYFUNCTION("""COMPUTED_VALUE"""),0.0)</f>
        <v>0</v>
      </c>
      <c r="K770" s="11">
        <f>IFERROR(__xludf.DUMMYFUNCTION("""COMPUTED_VALUE"""),0.0)</f>
        <v>0</v>
      </c>
      <c r="L770" s="11"/>
    </row>
    <row r="771" ht="15.75" customHeight="1">
      <c r="A771" s="10" t="str">
        <f>IFERROR(__xludf.DUMMYFUNCTION("""COMPUTED_VALUE"""),"https://clutch.co/us/agencies/social-media-marketing/tik-tok")</f>
        <v>https://clutch.co/us/agencies/social-media-marketing/tik-tok</v>
      </c>
      <c r="B771" s="11" t="str">
        <f>IFERROR(__xludf.DUMMYFUNCTION("""COMPUTED_VALUE"""),"Top TikTok Advertising Agencies in the United States - Jul 2026 Rankings \| Clutch.co")</f>
        <v>Top TikTok Advertising Agencies in the United States - Jul 2026 Rankings \| Clutch.co</v>
      </c>
      <c r="C771" s="10" t="str">
        <f>IFERROR(__xludf.DUMMYFUNCTION("""COMPUTED_VALUE"""),"clutch.co")</f>
        <v>clutch.co</v>
      </c>
      <c r="D771" s="11" t="str">
        <f>IFERROR(__xludf.DUMMYFUNCTION("""COMPUTED_VALUE"""),"CATEGORY_PAGE")</f>
        <v>CATEGORY_PAGE</v>
      </c>
      <c r="E771" s="11" t="str">
        <f>IFERROR(__xludf.DUMMYFUNCTION("""COMPUTED_VALUE"""),"COMPETITOR")</f>
        <v>COMPETITOR</v>
      </c>
      <c r="F771" s="11" t="str">
        <f>IFERROR(__xludf.DUMMYFUNCTION("""COMPUTED_VALUE"""),"Category Page")</f>
        <v>Category Page</v>
      </c>
      <c r="G771" s="11" t="b">
        <f>IFERROR(__xludf.DUMMYFUNCTION("""COMPUTED_VALUE"""),FALSE)</f>
        <v>0</v>
      </c>
      <c r="H771" s="11" t="str">
        <f>IFERROR(__xludf.DUMMYFUNCTION("""COMPUTED_VALUE"""),"Clutch, Sociallyin, Elit-Web, SmartSites, Viral Nation, Acadia, HawkSEM, Momentum, Accelerated Digital Media")</f>
        <v>Clutch, Sociallyin, Elit-Web, SmartSites, Viral Nation, Acadia, HawkSEM, Momentum, Accelerated Digital Media</v>
      </c>
      <c r="I771" s="11">
        <f>IFERROR(__xludf.DUMMYFUNCTION("""COMPUTED_VALUE"""),1.0)</f>
        <v>1</v>
      </c>
      <c r="J771" s="11">
        <f>IFERROR(__xludf.DUMMYFUNCTION("""COMPUTED_VALUE"""),0.0)</f>
        <v>0</v>
      </c>
      <c r="K771" s="11">
        <f>IFERROR(__xludf.DUMMYFUNCTION("""COMPUTED_VALUE"""),6.0)</f>
        <v>6</v>
      </c>
      <c r="L771" s="11"/>
    </row>
    <row r="772" ht="15.75" customHeight="1">
      <c r="A772" s="10" t="str">
        <f>IFERROR(__xludf.DUMMYFUNCTION("""COMPUTED_VALUE"""),"https://clutch.co/us/consulting/ai/maturation?page=6")</f>
        <v>https://clutch.co/us/consulting/ai/maturation?page=6</v>
      </c>
      <c r="B772" s="11" t="str">
        <f>IFERROR(__xludf.DUMMYFUNCTION("""COMPUTED_VALUE"""),"Page 6 - Top AI Maturation Services in the United States - Jul 2026 Rankings | Clutch.co")</f>
        <v>Page 6 - Top AI Maturation Services in the United States - Jul 2026 Rankings | Clutch.co</v>
      </c>
      <c r="C772" s="10" t="str">
        <f>IFERROR(__xludf.DUMMYFUNCTION("""COMPUTED_VALUE"""),"clutch.co")</f>
        <v>clutch.co</v>
      </c>
      <c r="D772" s="11" t="str">
        <f>IFERROR(__xludf.DUMMYFUNCTION("""COMPUTED_VALUE"""),"CATEGORY_PAGE")</f>
        <v>CATEGORY_PAGE</v>
      </c>
      <c r="E772" s="11" t="str">
        <f>IFERROR(__xludf.DUMMYFUNCTION("""COMPUTED_VALUE"""),"COMPETITOR")</f>
        <v>COMPETITOR</v>
      </c>
      <c r="F772" s="11" t="str">
        <f>IFERROR(__xludf.DUMMYFUNCTION("""COMPUTED_VALUE"""),"Category Page")</f>
        <v>Category Page</v>
      </c>
      <c r="G772" s="11" t="b">
        <f>IFERROR(__xludf.DUMMYFUNCTION("""COMPUTED_VALUE"""),FALSE)</f>
        <v>0</v>
      </c>
      <c r="H772" s="11" t="str">
        <f>IFERROR(__xludf.DUMMYFUNCTION("""COMPUTED_VALUE"""),"Clutch, Go Fish Digital")</f>
        <v>Clutch, Go Fish Digital</v>
      </c>
      <c r="I772" s="11">
        <f>IFERROR(__xludf.DUMMYFUNCTION("""COMPUTED_VALUE"""),1.0)</f>
        <v>1</v>
      </c>
      <c r="J772" s="11">
        <f>IFERROR(__xludf.DUMMYFUNCTION("""COMPUTED_VALUE"""),0.0)</f>
        <v>0</v>
      </c>
      <c r="K772" s="11">
        <f>IFERROR(__xludf.DUMMYFUNCTION("""COMPUTED_VALUE"""),0.0)</f>
        <v>0</v>
      </c>
      <c r="L772" s="11"/>
    </row>
    <row r="773" ht="15.75" customHeight="1">
      <c r="A773" s="10" t="str">
        <f>IFERROR(__xludf.DUMMYFUNCTION("""COMPUTED_VALUE"""),"https://clutch.co/us/developers/artificial-intelligence")</f>
        <v>https://clutch.co/us/developers/artificial-intelligence</v>
      </c>
      <c r="B773" s="11" t="str">
        <f>IFERROR(__xludf.DUMMYFUNCTION("""COMPUTED_VALUE"""),"Top Artificial Intelligence Companies in the United States - Jul 2026 Rankings | Clutch.co")</f>
        <v>Top Artificial Intelligence Companies in the United States - Jul 2026 Rankings | Clutch.co</v>
      </c>
      <c r="C773" s="10" t="str">
        <f>IFERROR(__xludf.DUMMYFUNCTION("""COMPUTED_VALUE"""),"clutch.co")</f>
        <v>clutch.co</v>
      </c>
      <c r="D773" s="11" t="str">
        <f>IFERROR(__xludf.DUMMYFUNCTION("""COMPUTED_VALUE"""),"CATEGORY_PAGE")</f>
        <v>CATEGORY_PAGE</v>
      </c>
      <c r="E773" s="11" t="str">
        <f>IFERROR(__xludf.DUMMYFUNCTION("""COMPUTED_VALUE"""),"COMPETITOR")</f>
        <v>COMPETITOR</v>
      </c>
      <c r="F773" s="11" t="str">
        <f>IFERROR(__xludf.DUMMYFUNCTION("""COMPUTED_VALUE"""),"Category Page")</f>
        <v>Category Page</v>
      </c>
      <c r="G773" s="11" t="b">
        <f>IFERROR(__xludf.DUMMYFUNCTION("""COMPUTED_VALUE"""),FALSE)</f>
        <v>0</v>
      </c>
      <c r="H773" s="11" t="str">
        <f>IFERROR(__xludf.DUMMYFUNCTION("""COMPUTED_VALUE"""),"Clutch, Momentum, Huge")</f>
        <v>Clutch, Momentum, Huge</v>
      </c>
      <c r="I773" s="11">
        <f>IFERROR(__xludf.DUMMYFUNCTION("""COMPUTED_VALUE"""),1.0)</f>
        <v>1</v>
      </c>
      <c r="J773" s="11">
        <f>IFERROR(__xludf.DUMMYFUNCTION("""COMPUTED_VALUE"""),0.0)</f>
        <v>0</v>
      </c>
      <c r="K773" s="11">
        <f>IFERROR(__xludf.DUMMYFUNCTION("""COMPUTED_VALUE"""),0.0)</f>
        <v>0</v>
      </c>
      <c r="L773" s="11"/>
    </row>
    <row r="774" ht="15.75" customHeight="1">
      <c r="A774" s="10" t="str">
        <f>IFERROR(__xludf.DUMMYFUNCTION("""COMPUTED_VALUE"""),"https://clutch.co/us/seo-firms")</f>
        <v>https://clutch.co/us/seo-firms</v>
      </c>
      <c r="B774" s="11" t="str">
        <f>IFERROR(__xludf.DUMMYFUNCTION("""COMPUTED_VALUE"""),"Top SEO Agencies in the United States - Jul 2026 Rankings \| Clutch.co")</f>
        <v>Top SEO Agencies in the United States - Jul 2026 Rankings \| Clutch.co</v>
      </c>
      <c r="C774" s="10" t="str">
        <f>IFERROR(__xludf.DUMMYFUNCTION("""COMPUTED_VALUE"""),"clutch.co")</f>
        <v>clutch.co</v>
      </c>
      <c r="D774" s="11" t="str">
        <f>IFERROR(__xludf.DUMMYFUNCTION("""COMPUTED_VALUE"""),"CATEGORY_PAGE")</f>
        <v>CATEGORY_PAGE</v>
      </c>
      <c r="E774" s="11" t="str">
        <f>IFERROR(__xludf.DUMMYFUNCTION("""COMPUTED_VALUE"""),"COMPETITOR")</f>
        <v>COMPETITOR</v>
      </c>
      <c r="F774" s="11" t="str">
        <f>IFERROR(__xludf.DUMMYFUNCTION("""COMPUTED_VALUE"""),"Category Page")</f>
        <v>Category Page</v>
      </c>
      <c r="G774" s="11" t="b">
        <f>IFERROR(__xludf.DUMMYFUNCTION("""COMPUTED_VALUE"""),FALSE)</f>
        <v>0</v>
      </c>
      <c r="H774" s="11" t="str">
        <f>IFERROR(__xludf.DUMMYFUNCTION("""COMPUTED_VALUE"""),"Clutch, Funnel Boost Media, SmartSites, Victorious, Acadia, WebFX, Intero Digital, Ignite Visibility, Elit-Web, Searchbloom, Thrive Internet Marketing Agency, HawkSEM, KlientBoost, Disruptive Advertising, Storm Brain, Digital Authority Partners, RevenueZe"&amp;"n")</f>
        <v>Clutch, Funnel Boost Media, SmartSites, Victorious, Acadia, WebFX, Intero Digital, Ignite Visibility, Elit-Web, Searchbloom, Thrive Internet Marketing Agency, HawkSEM, KlientBoost, Disruptive Advertising, Storm Brain, Digital Authority Partners, RevenueZen</v>
      </c>
      <c r="I774" s="11">
        <f>IFERROR(__xludf.DUMMYFUNCTION("""COMPUTED_VALUE"""),1.0)</f>
        <v>1</v>
      </c>
      <c r="J774" s="11">
        <f>IFERROR(__xludf.DUMMYFUNCTION("""COMPUTED_VALUE"""),0.0)</f>
        <v>0</v>
      </c>
      <c r="K774" s="11">
        <f>IFERROR(__xludf.DUMMYFUNCTION("""COMPUTED_VALUE"""),0.0)</f>
        <v>0</v>
      </c>
      <c r="L774" s="11"/>
    </row>
    <row r="775" ht="15.75" customHeight="1">
      <c r="A775" s="10" t="str">
        <f>IFERROR(__xludf.DUMMYFUNCTION("""COMPUTED_VALUE"""),"https://clutch.co/us/seo-firms/international")</f>
        <v>https://clutch.co/us/seo-firms/international</v>
      </c>
      <c r="B775" s="11" t="str">
        <f>IFERROR(__xludf.DUMMYFUNCTION("""COMPUTED_VALUE"""),"Top International SEO Agencies in the United States - Jul 2026 Rankings \| Clutch.co")</f>
        <v>Top International SEO Agencies in the United States - Jul 2026 Rankings \| Clutch.co</v>
      </c>
      <c r="C775" s="10" t="str">
        <f>IFERROR(__xludf.DUMMYFUNCTION("""COMPUTED_VALUE"""),"clutch.co")</f>
        <v>clutch.co</v>
      </c>
      <c r="D775" s="11" t="str">
        <f>IFERROR(__xludf.DUMMYFUNCTION("""COMPUTED_VALUE"""),"CATEGORY_PAGE")</f>
        <v>CATEGORY_PAGE</v>
      </c>
      <c r="E775" s="11" t="str">
        <f>IFERROR(__xludf.DUMMYFUNCTION("""COMPUTED_VALUE"""),"COMPETITOR")</f>
        <v>COMPETITOR</v>
      </c>
      <c r="F775" s="11" t="str">
        <f>IFERROR(__xludf.DUMMYFUNCTION("""COMPUTED_VALUE"""),"Category Page")</f>
        <v>Category Page</v>
      </c>
      <c r="G775" s="11" t="b">
        <f>IFERROR(__xludf.DUMMYFUNCTION("""COMPUTED_VALUE"""),FALSE)</f>
        <v>0</v>
      </c>
      <c r="H775" s="11" t="str">
        <f>IFERROR(__xludf.DUMMYFUNCTION("""COMPUTED_VALUE"""),"Clutch, Elit-Web, Searchbloom, Storm Brain, Acadia, NinjaPromo")</f>
        <v>Clutch, Elit-Web, Searchbloom, Storm Brain, Acadia, NinjaPromo</v>
      </c>
      <c r="I775" s="11">
        <f>IFERROR(__xludf.DUMMYFUNCTION("""COMPUTED_VALUE"""),1.0)</f>
        <v>1</v>
      </c>
      <c r="J775" s="11">
        <f>IFERROR(__xludf.DUMMYFUNCTION("""COMPUTED_VALUE"""),0.0)</f>
        <v>0</v>
      </c>
      <c r="K775" s="11">
        <f>IFERROR(__xludf.DUMMYFUNCTION("""COMPUTED_VALUE"""),1.0)</f>
        <v>1</v>
      </c>
      <c r="L775" s="11"/>
    </row>
    <row r="776" ht="15.75" customHeight="1">
      <c r="A776" s="10" t="str">
        <f>IFERROR(__xludf.DUMMYFUNCTION("""COMPUTED_VALUE"""),"https://clutch.co/us/seo-firms/media-industry")</f>
        <v>https://clutch.co/us/seo-firms/media-industry</v>
      </c>
      <c r="B776" s="11" t="str">
        <f>IFERROR(__xludf.DUMMYFUNCTION("""COMPUTED_VALUE"""),"Top SEO Companies for Media in the United States - Jul 2026 Rankings \| Clutch.co")</f>
        <v>Top SEO Companies for Media in the United States - Jul 2026 Rankings \| Clutch.co</v>
      </c>
      <c r="C776" s="10" t="str">
        <f>IFERROR(__xludf.DUMMYFUNCTION("""COMPUTED_VALUE"""),"clutch.co")</f>
        <v>clutch.co</v>
      </c>
      <c r="D776" s="11" t="str">
        <f>IFERROR(__xludf.DUMMYFUNCTION("""COMPUTED_VALUE"""),"CATEGORY_PAGE")</f>
        <v>CATEGORY_PAGE</v>
      </c>
      <c r="E776" s="11" t="str">
        <f>IFERROR(__xludf.DUMMYFUNCTION("""COMPUTED_VALUE"""),"COMPETITOR")</f>
        <v>COMPETITOR</v>
      </c>
      <c r="F776" s="11" t="str">
        <f>IFERROR(__xludf.DUMMYFUNCTION("""COMPUTED_VALUE"""),"Category Page")</f>
        <v>Category Page</v>
      </c>
      <c r="G776" s="11" t="b">
        <f>IFERROR(__xludf.DUMMYFUNCTION("""COMPUTED_VALUE"""),FALSE)</f>
        <v>0</v>
      </c>
      <c r="H776" s="11" t="str">
        <f>IFERROR(__xludf.DUMMYFUNCTION("""COMPUTED_VALUE"""),"Clutch, SmartSites, Funnel Boost Media")</f>
        <v>Clutch, SmartSites, Funnel Boost Media</v>
      </c>
      <c r="I776" s="11">
        <f>IFERROR(__xludf.DUMMYFUNCTION("""COMPUTED_VALUE"""),1.0)</f>
        <v>1</v>
      </c>
      <c r="J776" s="11">
        <f>IFERROR(__xludf.DUMMYFUNCTION("""COMPUTED_VALUE"""),0.0)</f>
        <v>0</v>
      </c>
      <c r="K776" s="11">
        <f>IFERROR(__xludf.DUMMYFUNCTION("""COMPUTED_VALUE"""),0.0)</f>
        <v>0</v>
      </c>
      <c r="L776" s="11"/>
    </row>
    <row r="777" ht="15.75" customHeight="1">
      <c r="A777" s="10" t="str">
        <f>IFERROR(__xludf.DUMMYFUNCTION("""COMPUTED_VALUE"""),"https://clutch.co/video-production/post-production")</f>
        <v>https://clutch.co/video-production/post-production</v>
      </c>
      <c r="B777" s="11" t="str">
        <f>IFERROR(__xludf.DUMMYFUNCTION("""COMPUTED_VALUE"""),"Top Post Production Services - Jul 2026 Rankings \| Clutch.co")</f>
        <v>Top Post Production Services - Jul 2026 Rankings \| Clutch.co</v>
      </c>
      <c r="C777" s="10" t="str">
        <f>IFERROR(__xludf.DUMMYFUNCTION("""COMPUTED_VALUE"""),"clutch.co")</f>
        <v>clutch.co</v>
      </c>
      <c r="D777" s="11" t="str">
        <f>IFERROR(__xludf.DUMMYFUNCTION("""COMPUTED_VALUE"""),"CATEGORY_PAGE")</f>
        <v>CATEGORY_PAGE</v>
      </c>
      <c r="E777" s="11" t="str">
        <f>IFERROR(__xludf.DUMMYFUNCTION("""COMPUTED_VALUE"""),"COMPETITOR")</f>
        <v>COMPETITOR</v>
      </c>
      <c r="F777" s="11" t="str">
        <f>IFERROR(__xludf.DUMMYFUNCTION("""COMPUTED_VALUE"""),"Category Page")</f>
        <v>Category Page</v>
      </c>
      <c r="G777" s="11" t="b">
        <f>IFERROR(__xludf.DUMMYFUNCTION("""COMPUTED_VALUE"""),FALSE)</f>
        <v>0</v>
      </c>
      <c r="H777" s="11" t="str">
        <f>IFERROR(__xludf.DUMMYFUNCTION("""COMPUTED_VALUE"""),"Clutch")</f>
        <v>Clutch</v>
      </c>
      <c r="I777" s="11">
        <f>IFERROR(__xludf.DUMMYFUNCTION("""COMPUTED_VALUE"""),1.0)</f>
        <v>1</v>
      </c>
      <c r="J777" s="11">
        <f>IFERROR(__xludf.DUMMYFUNCTION("""COMPUTED_VALUE"""),0.0)</f>
        <v>0</v>
      </c>
      <c r="K777" s="11">
        <f>IFERROR(__xludf.DUMMYFUNCTION("""COMPUTED_VALUE"""),0.0)</f>
        <v>0</v>
      </c>
      <c r="L777" s="11"/>
    </row>
    <row r="778" ht="15.75" customHeight="1">
      <c r="A778" s="10" t="str">
        <f>IFERROR(__xludf.DUMMYFUNCTION("""COMPUTED_VALUE"""),"https://coinbound.io/top-ai-marketing-agencies/")</f>
        <v>https://coinbound.io/top-ai-marketing-agencies/</v>
      </c>
      <c r="B778" s="11" t="str">
        <f>IFERROR(__xludf.DUMMYFUNCTION("""COMPUTED_VALUE"""),"The Best AI Marketing Agencies for 2026: 5 Top Choices")</f>
        <v>The Best AI Marketing Agencies for 2026: 5 Top Choices</v>
      </c>
      <c r="C778" s="10" t="str">
        <f>IFERROR(__xludf.DUMMYFUNCTION("""COMPUTED_VALUE"""),"coinbound.io")</f>
        <v>coinbound.io</v>
      </c>
      <c r="D778" s="11" t="str">
        <f>IFERROR(__xludf.DUMMYFUNCTION("""COMPUTED_VALUE"""),"LISTICLE")</f>
        <v>LISTICLE</v>
      </c>
      <c r="E778" s="11" t="str">
        <f>IFERROR(__xludf.DUMMYFUNCTION("""COMPUTED_VALUE"""),"CORPORATE")</f>
        <v>CORPORATE</v>
      </c>
      <c r="F778" s="11" t="str">
        <f>IFERROR(__xludf.DUMMYFUNCTION("""COMPUTED_VALUE"""),"Listicle")</f>
        <v>Listicle</v>
      </c>
      <c r="G778" s="11" t="b">
        <f>IFERROR(__xludf.DUMMYFUNCTION("""COMPUTED_VALUE"""),FALSE)</f>
        <v>0</v>
      </c>
      <c r="H778" s="11" t="str">
        <f>IFERROR(__xludf.DUMMYFUNCTION("""COMPUTED_VALUE"""),"NoGood, Single Grain, Momentum")</f>
        <v>NoGood, Single Grain, Momentum</v>
      </c>
      <c r="I778" s="11">
        <f>IFERROR(__xludf.DUMMYFUNCTION("""COMPUTED_VALUE"""),1.0)</f>
        <v>1</v>
      </c>
      <c r="J778" s="11">
        <f>IFERROR(__xludf.DUMMYFUNCTION("""COMPUTED_VALUE"""),0.0)</f>
        <v>0</v>
      </c>
      <c r="K778" s="11">
        <f>IFERROR(__xludf.DUMMYFUNCTION("""COMPUTED_VALUE"""),0.0)</f>
        <v>0</v>
      </c>
      <c r="L778" s="11"/>
    </row>
    <row r="779" ht="15.75" customHeight="1">
      <c r="A779" s="10" t="str">
        <f>IFERROR(__xludf.DUMMYFUNCTION("""COMPUTED_VALUE"""),"https://www.columnfivemedia.com/top-b2b-marketing-agency-for-ai-saas/")</f>
        <v>https://www.columnfivemedia.com/top-b2b-marketing-agency-for-ai-saas/</v>
      </c>
      <c r="B779" s="11" t="str">
        <f>IFERROR(__xludf.DUMMYFUNCTION("""COMPUTED_VALUE"""),"Top B2B Marketing Agency for AI SaaS: 2026 list")</f>
        <v>Top B2B Marketing Agency for AI SaaS: 2026 list</v>
      </c>
      <c r="C779" s="10" t="str">
        <f>IFERROR(__xludf.DUMMYFUNCTION("""COMPUTED_VALUE"""),"columnfivemedia.com")</f>
        <v>columnfivemedia.com</v>
      </c>
      <c r="D779" s="11" t="str">
        <f>IFERROR(__xludf.DUMMYFUNCTION("""COMPUTED_VALUE"""),"CATEGORY_PAGE")</f>
        <v>CATEGORY_PAGE</v>
      </c>
      <c r="E779" s="11" t="str">
        <f>IFERROR(__xludf.DUMMYFUNCTION("""COMPUTED_VALUE"""),"CORPORATE")</f>
        <v>CORPORATE</v>
      </c>
      <c r="F779" s="11" t="str">
        <f>IFERROR(__xludf.DUMMYFUNCTION("""COMPUTED_VALUE"""),"Category Page")</f>
        <v>Category Page</v>
      </c>
      <c r="G779" s="11" t="b">
        <f>IFERROR(__xludf.DUMMYFUNCTION("""COMPUTED_VALUE"""),FALSE)</f>
        <v>0</v>
      </c>
      <c r="H779" s="11" t="str">
        <f>IFERROR(__xludf.DUMMYFUNCTION("""COMPUTED_VALUE"""),"Momentum, Omniscient Digital")</f>
        <v>Momentum, Omniscient Digital</v>
      </c>
      <c r="I779" s="11">
        <f>IFERROR(__xludf.DUMMYFUNCTION("""COMPUTED_VALUE"""),1.0)</f>
        <v>1</v>
      </c>
      <c r="J779" s="11">
        <f>IFERROR(__xludf.DUMMYFUNCTION("""COMPUTED_VALUE"""),0.0)</f>
        <v>0</v>
      </c>
      <c r="K779" s="11">
        <f>IFERROR(__xludf.DUMMYFUNCTION("""COMPUTED_VALUE"""),1.0)</f>
        <v>1</v>
      </c>
      <c r="L779" s="11"/>
    </row>
    <row r="780" ht="15.75" customHeight="1">
      <c r="A780" s="10" t="str">
        <f>IFERROR(__xludf.DUMMYFUNCTION("""COMPUTED_VALUE"""),"https://www.cometly.com/post/agency-marketing-attribution-tools")</f>
        <v>https://www.cometly.com/post/agency-marketing-attribution-tools</v>
      </c>
      <c r="B780" s="11" t="str">
        <f>IFERROR(__xludf.DUMMYFUNCTION("""COMPUTED_VALUE"""),"Top Agency Marketing Attribution Tools for 2026 Tips")</f>
        <v>Top Agency Marketing Attribution Tools for 2026 Tips</v>
      </c>
      <c r="C780" s="10" t="str">
        <f>IFERROR(__xludf.DUMMYFUNCTION("""COMPUTED_VALUE"""),"cometly.com")</f>
        <v>cometly.com</v>
      </c>
      <c r="D780" s="11" t="str">
        <f>IFERROR(__xludf.DUMMYFUNCTION("""COMPUTED_VALUE"""),"LISTICLE")</f>
        <v>LISTICLE</v>
      </c>
      <c r="E780" s="11" t="str">
        <f>IFERROR(__xludf.DUMMYFUNCTION("""COMPUTED_VALUE"""),"COMPETITOR")</f>
        <v>COMPETITOR</v>
      </c>
      <c r="F780" s="11" t="str">
        <f>IFERROR(__xludf.DUMMYFUNCTION("""COMPUTED_VALUE"""),"Listicle")</f>
        <v>Listicle</v>
      </c>
      <c r="G780" s="11" t="b">
        <f>IFERROR(__xludf.DUMMYFUNCTION("""COMPUTED_VALUE"""),FALSE)</f>
        <v>0</v>
      </c>
      <c r="H780" s="11" t="str">
        <f>IFERROR(__xludf.DUMMYFUNCTION("""COMPUTED_VALUE"""),"Cometly, Triple Whale, Anomaly, Northbeam, Rockerbox, Ruler Analytics")</f>
        <v>Cometly, Triple Whale, Anomaly, Northbeam, Rockerbox, Ruler Analytics</v>
      </c>
      <c r="I780" s="11">
        <f>IFERROR(__xludf.DUMMYFUNCTION("""COMPUTED_VALUE"""),1.0)</f>
        <v>1</v>
      </c>
      <c r="J780" s="11">
        <f>IFERROR(__xludf.DUMMYFUNCTION("""COMPUTED_VALUE"""),0.0)</f>
        <v>0</v>
      </c>
      <c r="K780" s="11">
        <f>IFERROR(__xludf.DUMMYFUNCTION("""COMPUTED_VALUE"""),1.0)</f>
        <v>1</v>
      </c>
      <c r="L780" s="11"/>
    </row>
    <row r="781" ht="15.75" customHeight="1">
      <c r="A781" s="10" t="str">
        <f>IFERROR(__xludf.DUMMYFUNCTION("""COMPUTED_VALUE"""),"https://www.cometly.com/post/attribution-data-platform")</f>
        <v>https://www.cometly.com/post/attribution-data-platform</v>
      </c>
      <c r="B781" s="11" t="str">
        <f>IFERROR(__xludf.DUMMYFUNCTION("""COMPUTED_VALUE"""),"9 Best Attribution Data Platforms for Marketers 2026")</f>
        <v>9 Best Attribution Data Platforms for Marketers 2026</v>
      </c>
      <c r="C781" s="10" t="str">
        <f>IFERROR(__xludf.DUMMYFUNCTION("""COMPUTED_VALUE"""),"cometly.com")</f>
        <v>cometly.com</v>
      </c>
      <c r="D781" s="11" t="str">
        <f>IFERROR(__xludf.DUMMYFUNCTION("""COMPUTED_VALUE"""),"LISTICLE")</f>
        <v>LISTICLE</v>
      </c>
      <c r="E781" s="11" t="str">
        <f>IFERROR(__xludf.DUMMYFUNCTION("""COMPUTED_VALUE"""),"COMPETITOR")</f>
        <v>COMPETITOR</v>
      </c>
      <c r="F781" s="11" t="str">
        <f>IFERROR(__xludf.DUMMYFUNCTION("""COMPUTED_VALUE"""),"Listicle")</f>
        <v>Listicle</v>
      </c>
      <c r="G781" s="11" t="b">
        <f>IFERROR(__xludf.DUMMYFUNCTION("""COMPUTED_VALUE"""),FALSE)</f>
        <v>0</v>
      </c>
      <c r="H781" s="11" t="str">
        <f>IFERROR(__xludf.DUMMYFUNCTION("""COMPUTED_VALUE"""),"Cometly, Triple Whale, Northbeam, Rockerbox, Ruler Analytics, HockeyStack")</f>
        <v>Cometly, Triple Whale, Northbeam, Rockerbox, Ruler Analytics, HockeyStack</v>
      </c>
      <c r="I781" s="11">
        <f>IFERROR(__xludf.DUMMYFUNCTION("""COMPUTED_VALUE"""),1.0)</f>
        <v>1</v>
      </c>
      <c r="J781" s="11">
        <f>IFERROR(__xludf.DUMMYFUNCTION("""COMPUTED_VALUE"""),0.0)</f>
        <v>0</v>
      </c>
      <c r="K781" s="11">
        <f>IFERROR(__xludf.DUMMYFUNCTION("""COMPUTED_VALUE"""),1.0)</f>
        <v>1</v>
      </c>
      <c r="L781" s="11"/>
    </row>
    <row r="782" ht="15.75" customHeight="1">
      <c r="A782" s="10" t="str">
        <f>IFERROR(__xludf.DUMMYFUNCTION("""COMPUTED_VALUE"""),"https://www.cometly.com/post/best-ai-powered-marketing-attribution-tools")</f>
        <v>https://www.cometly.com/post/best-ai-powered-marketing-attribution-tools</v>
      </c>
      <c r="B782" s="11" t="str">
        <f>IFERROR(__xludf.DUMMYFUNCTION("""COMPUTED_VALUE"""),"Best AI-Powered Marketing Attribution Tools Guide 2026")</f>
        <v>Best AI-Powered Marketing Attribution Tools Guide 2026</v>
      </c>
      <c r="C782" s="10" t="str">
        <f>IFERROR(__xludf.DUMMYFUNCTION("""COMPUTED_VALUE"""),"cometly.com")</f>
        <v>cometly.com</v>
      </c>
      <c r="D782" s="11" t="str">
        <f>IFERROR(__xludf.DUMMYFUNCTION("""COMPUTED_VALUE"""),"LISTICLE")</f>
        <v>LISTICLE</v>
      </c>
      <c r="E782" s="11" t="str">
        <f>IFERROR(__xludf.DUMMYFUNCTION("""COMPUTED_VALUE"""),"COMPETITOR")</f>
        <v>COMPETITOR</v>
      </c>
      <c r="F782" s="11" t="str">
        <f>IFERROR(__xludf.DUMMYFUNCTION("""COMPUTED_VALUE"""),"Listicle")</f>
        <v>Listicle</v>
      </c>
      <c r="G782" s="11" t="b">
        <f>IFERROR(__xludf.DUMMYFUNCTION("""COMPUTED_VALUE"""),FALSE)</f>
        <v>0</v>
      </c>
      <c r="H782" s="11" t="str">
        <f>IFERROR(__xludf.DUMMYFUNCTION("""COMPUTED_VALUE"""),"Cometly, Northbeam, Triple Whale, Rockerbox, Ruler Analytics")</f>
        <v>Cometly, Northbeam, Triple Whale, Rockerbox, Ruler Analytics</v>
      </c>
      <c r="I782" s="11">
        <f>IFERROR(__xludf.DUMMYFUNCTION("""COMPUTED_VALUE"""),1.0)</f>
        <v>1</v>
      </c>
      <c r="J782" s="11">
        <f>IFERROR(__xludf.DUMMYFUNCTION("""COMPUTED_VALUE"""),0.0)</f>
        <v>0</v>
      </c>
      <c r="K782" s="11">
        <f>IFERROR(__xludf.DUMMYFUNCTION("""COMPUTED_VALUE"""),1.0)</f>
        <v>1</v>
      </c>
      <c r="L782" s="11"/>
    </row>
    <row r="783" ht="15.75" customHeight="1">
      <c r="A783" s="10" t="str">
        <f>IFERROR(__xludf.DUMMYFUNCTION("""COMPUTED_VALUE"""),"https://www.cometly.com/post/best-enterprise-attribution-tools")</f>
        <v>https://www.cometly.com/post/best-enterprise-attribution-tools</v>
      </c>
      <c r="B783" s="11" t="str">
        <f>IFERROR(__xludf.DUMMYFUNCTION("""COMPUTED_VALUE"""),"Best Enterprise Attribution Tools: Complete 2026 Guide")</f>
        <v>Best Enterprise Attribution Tools: Complete 2026 Guide</v>
      </c>
      <c r="C783" s="10" t="str">
        <f>IFERROR(__xludf.DUMMYFUNCTION("""COMPUTED_VALUE"""),"cometly.com")</f>
        <v>cometly.com</v>
      </c>
      <c r="D783" s="11" t="str">
        <f>IFERROR(__xludf.DUMMYFUNCTION("""COMPUTED_VALUE"""),"LISTICLE")</f>
        <v>LISTICLE</v>
      </c>
      <c r="E783" s="11" t="str">
        <f>IFERROR(__xludf.DUMMYFUNCTION("""COMPUTED_VALUE"""),"COMPETITOR")</f>
        <v>COMPETITOR</v>
      </c>
      <c r="F783" s="11" t="str">
        <f>IFERROR(__xludf.DUMMYFUNCTION("""COMPUTED_VALUE"""),"Listicle")</f>
        <v>Listicle</v>
      </c>
      <c r="G783" s="11" t="b">
        <f>IFERROR(__xludf.DUMMYFUNCTION("""COMPUTED_VALUE"""),FALSE)</f>
        <v>0</v>
      </c>
      <c r="H783" s="11" t="str">
        <f>IFERROR(__xludf.DUMMYFUNCTION("""COMPUTED_VALUE"""),"Cometly, Anomaly, Northbeam, Triple Whale, Rockerbox, Ruler Analytics")</f>
        <v>Cometly, Anomaly, Northbeam, Triple Whale, Rockerbox, Ruler Analytics</v>
      </c>
      <c r="I783" s="11">
        <f>IFERROR(__xludf.DUMMYFUNCTION("""COMPUTED_VALUE"""),1.0)</f>
        <v>1</v>
      </c>
      <c r="J783" s="11">
        <f>IFERROR(__xludf.DUMMYFUNCTION("""COMPUTED_VALUE"""),0.0)</f>
        <v>0</v>
      </c>
      <c r="K783" s="11">
        <f>IFERROR(__xludf.DUMMYFUNCTION("""COMPUTED_VALUE"""),1.0)</f>
        <v>1</v>
      </c>
      <c r="L783" s="11"/>
    </row>
    <row r="784" ht="15.75" customHeight="1">
      <c r="A784" s="10" t="str">
        <f>IFERROR(__xludf.DUMMYFUNCTION("""COMPUTED_VALUE"""),"https://www.cometly.com/post/cross-channel-campaign-measurement-solutions")</f>
        <v>https://www.cometly.com/post/cross-channel-campaign-measurement-solutions</v>
      </c>
      <c r="B784" s="11" t="str">
        <f>IFERROR(__xludf.DUMMYFUNCTION("""COMPUTED_VALUE"""),"Top 9 Cross-Channel Campaign Measurement Solutions")</f>
        <v>Top 9 Cross-Channel Campaign Measurement Solutions</v>
      </c>
      <c r="C784" s="10" t="str">
        <f>IFERROR(__xludf.DUMMYFUNCTION("""COMPUTED_VALUE"""),"cometly.com")</f>
        <v>cometly.com</v>
      </c>
      <c r="D784" s="11" t="str">
        <f>IFERROR(__xludf.DUMMYFUNCTION("""COMPUTED_VALUE"""),"LISTICLE")</f>
        <v>LISTICLE</v>
      </c>
      <c r="E784" s="11" t="str">
        <f>IFERROR(__xludf.DUMMYFUNCTION("""COMPUTED_VALUE"""),"COMPETITOR")</f>
        <v>COMPETITOR</v>
      </c>
      <c r="F784" s="11" t="str">
        <f>IFERROR(__xludf.DUMMYFUNCTION("""COMPUTED_VALUE"""),"Listicle")</f>
        <v>Listicle</v>
      </c>
      <c r="G784" s="11" t="b">
        <f>IFERROR(__xludf.DUMMYFUNCTION("""COMPUTED_VALUE"""),FALSE)</f>
        <v>0</v>
      </c>
      <c r="H784" s="11" t="str">
        <f>IFERROR(__xludf.DUMMYFUNCTION("""COMPUTED_VALUE"""),"Cometly, Triple Whale, Northbeam, Rockerbox, Measured")</f>
        <v>Cometly, Triple Whale, Northbeam, Rockerbox, Measured</v>
      </c>
      <c r="I784" s="11">
        <f>IFERROR(__xludf.DUMMYFUNCTION("""COMPUTED_VALUE"""),1.0)</f>
        <v>1</v>
      </c>
      <c r="J784" s="11">
        <f>IFERROR(__xludf.DUMMYFUNCTION("""COMPUTED_VALUE"""),0.0)</f>
        <v>0</v>
      </c>
      <c r="K784" s="11">
        <f>IFERROR(__xludf.DUMMYFUNCTION("""COMPUTED_VALUE"""),1.0)</f>
        <v>1</v>
      </c>
      <c r="L784" s="11"/>
    </row>
    <row r="785" ht="15.75" customHeight="1">
      <c r="A785" s="10" t="str">
        <f>IFERROR(__xludf.DUMMYFUNCTION("""COMPUTED_VALUE"""),"https://www.cometly.com/post/marketing-analytics-platforms-review")</f>
        <v>https://www.cometly.com/post/marketing-analytics-platforms-review</v>
      </c>
      <c r="B785" s="11" t="str">
        <f>IFERROR(__xludf.DUMMYFUNCTION("""COMPUTED_VALUE"""),"9 Best Marketing Analytics Platforms Review Guide 2026")</f>
        <v>9 Best Marketing Analytics Platforms Review Guide 2026</v>
      </c>
      <c r="C785" s="10" t="str">
        <f>IFERROR(__xludf.DUMMYFUNCTION("""COMPUTED_VALUE"""),"cometly.com")</f>
        <v>cometly.com</v>
      </c>
      <c r="D785" s="11" t="str">
        <f>IFERROR(__xludf.DUMMYFUNCTION("""COMPUTED_VALUE"""),"LISTICLE")</f>
        <v>LISTICLE</v>
      </c>
      <c r="E785" s="11" t="str">
        <f>IFERROR(__xludf.DUMMYFUNCTION("""COMPUTED_VALUE"""),"COMPETITOR")</f>
        <v>COMPETITOR</v>
      </c>
      <c r="F785" s="11" t="str">
        <f>IFERROR(__xludf.DUMMYFUNCTION("""COMPUTED_VALUE"""),"Listicle")</f>
        <v>Listicle</v>
      </c>
      <c r="G785" s="11" t="b">
        <f>IFERROR(__xludf.DUMMYFUNCTION("""COMPUTED_VALUE"""),FALSE)</f>
        <v>0</v>
      </c>
      <c r="H785" s="11" t="str">
        <f>IFERROR(__xludf.DUMMYFUNCTION("""COMPUTED_VALUE"""),"Cometly, Anomaly, Triple Whale, Northbeam, Ruler Analytics")</f>
        <v>Cometly, Anomaly, Triple Whale, Northbeam, Ruler Analytics</v>
      </c>
      <c r="I785" s="11">
        <f>IFERROR(__xludf.DUMMYFUNCTION("""COMPUTED_VALUE"""),1.0)</f>
        <v>1</v>
      </c>
      <c r="J785" s="11">
        <f>IFERROR(__xludf.DUMMYFUNCTION("""COMPUTED_VALUE"""),0.0)</f>
        <v>0</v>
      </c>
      <c r="K785" s="11">
        <f>IFERROR(__xludf.DUMMYFUNCTION("""COMPUTED_VALUE"""),1.0)</f>
        <v>1</v>
      </c>
      <c r="L785" s="11"/>
    </row>
    <row r="786" ht="15.75" customHeight="1">
      <c r="A786" s="10" t="str">
        <f>IFERROR(__xludf.DUMMYFUNCTION("""COMPUTED_VALUE"""),"https://www.cometly.com/post/marketing-performance-analytics-tools")</f>
        <v>https://www.cometly.com/post/marketing-performance-analytics-tools</v>
      </c>
      <c r="B786" s="11" t="str">
        <f>IFERROR(__xludf.DUMMYFUNCTION("""COMPUTED_VALUE"""),"9 Best Marketing Performance Analytics Tools for 2026")</f>
        <v>9 Best Marketing Performance Analytics Tools for 2026</v>
      </c>
      <c r="C786" s="10" t="str">
        <f>IFERROR(__xludf.DUMMYFUNCTION("""COMPUTED_VALUE"""),"cometly.com")</f>
        <v>cometly.com</v>
      </c>
      <c r="D786" s="11" t="str">
        <f>IFERROR(__xludf.DUMMYFUNCTION("""COMPUTED_VALUE"""),"LISTICLE")</f>
        <v>LISTICLE</v>
      </c>
      <c r="E786" s="11" t="str">
        <f>IFERROR(__xludf.DUMMYFUNCTION("""COMPUTED_VALUE"""),"COMPETITOR")</f>
        <v>COMPETITOR</v>
      </c>
      <c r="F786" s="11" t="str">
        <f>IFERROR(__xludf.DUMMYFUNCTION("""COMPUTED_VALUE"""),"Listicle")</f>
        <v>Listicle</v>
      </c>
      <c r="G786" s="11" t="b">
        <f>IFERROR(__xludf.DUMMYFUNCTION("""COMPUTED_VALUE"""),FALSE)</f>
        <v>0</v>
      </c>
      <c r="H786" s="11" t="str">
        <f>IFERROR(__xludf.DUMMYFUNCTION("""COMPUTED_VALUE"""),"Cometly, Triple Whale, Northbeam, Rockerbox")</f>
        <v>Cometly, Triple Whale, Northbeam, Rockerbox</v>
      </c>
      <c r="I786" s="11">
        <f>IFERROR(__xludf.DUMMYFUNCTION("""COMPUTED_VALUE"""),1.0)</f>
        <v>1</v>
      </c>
      <c r="J786" s="11">
        <f>IFERROR(__xludf.DUMMYFUNCTION("""COMPUTED_VALUE"""),0.0)</f>
        <v>0</v>
      </c>
      <c r="K786" s="11">
        <f>IFERROR(__xludf.DUMMYFUNCTION("""COMPUTED_VALUE"""),1.0)</f>
        <v>1</v>
      </c>
      <c r="L786" s="11"/>
    </row>
    <row r="787" ht="15.75" customHeight="1">
      <c r="A787" s="10" t="str">
        <f>IFERROR(__xludf.DUMMYFUNCTION("""COMPUTED_VALUE"""),"https://www.cometly.com/post/paid-advertising-analytics-tools")</f>
        <v>https://www.cometly.com/post/paid-advertising-analytics-tools</v>
      </c>
      <c r="B787" s="11" t="str">
        <f>IFERROR(__xludf.DUMMYFUNCTION("""COMPUTED_VALUE"""),"11 Best Paid Advertising Analytics Tools (2026 Guide)")</f>
        <v>11 Best Paid Advertising Analytics Tools (2026 Guide)</v>
      </c>
      <c r="C787" s="10" t="str">
        <f>IFERROR(__xludf.DUMMYFUNCTION("""COMPUTED_VALUE"""),"cometly.com")</f>
        <v>cometly.com</v>
      </c>
      <c r="D787" s="11" t="str">
        <f>IFERROR(__xludf.DUMMYFUNCTION("""COMPUTED_VALUE"""),"LISTICLE")</f>
        <v>LISTICLE</v>
      </c>
      <c r="E787" s="11" t="str">
        <f>IFERROR(__xludf.DUMMYFUNCTION("""COMPUTED_VALUE"""),"COMPETITOR")</f>
        <v>COMPETITOR</v>
      </c>
      <c r="F787" s="11" t="str">
        <f>IFERROR(__xludf.DUMMYFUNCTION("""COMPUTED_VALUE"""),"Listicle")</f>
        <v>Listicle</v>
      </c>
      <c r="G787" s="11" t="b">
        <f>IFERROR(__xludf.DUMMYFUNCTION("""COMPUTED_VALUE"""),FALSE)</f>
        <v>0</v>
      </c>
      <c r="H787" s="11" t="str">
        <f>IFERROR(__xludf.DUMMYFUNCTION("""COMPUTED_VALUE"""),"Cometly, Triple Whale, Northbeam, Rockerbox")</f>
        <v>Cometly, Triple Whale, Northbeam, Rockerbox</v>
      </c>
      <c r="I787" s="11">
        <f>IFERROR(__xludf.DUMMYFUNCTION("""COMPUTED_VALUE"""),1.0)</f>
        <v>1</v>
      </c>
      <c r="J787" s="11">
        <f>IFERROR(__xludf.DUMMYFUNCTION("""COMPUTED_VALUE"""),0.0)</f>
        <v>0</v>
      </c>
      <c r="K787" s="11">
        <f>IFERROR(__xludf.DUMMYFUNCTION("""COMPUTED_VALUE"""),1.0)</f>
        <v>1</v>
      </c>
      <c r="L787" s="11"/>
    </row>
    <row r="788" ht="15.75" customHeight="1">
      <c r="A788" s="10" t="str">
        <f>IFERROR(__xludf.DUMMYFUNCTION("""COMPUTED_VALUE"""),"https://compare.growthmarshal.io/best-ai-search-optimization-agencies-2026/")</f>
        <v>https://compare.growthmarshal.io/best-ai-search-optimization-agencies-2026/</v>
      </c>
      <c r="B788" s="11" t="str">
        <f>IFERROR(__xludf.DUMMYFUNCTION("""COMPUTED_VALUE"""),"Best AI Search Optimization Agencies 2026 | Ranked")</f>
        <v>Best AI Search Optimization Agencies 2026 | Ranked</v>
      </c>
      <c r="C788" s="10" t="str">
        <f>IFERROR(__xludf.DUMMYFUNCTION("""COMPUTED_VALUE"""),"growthmarshal.io")</f>
        <v>growthmarshal.io</v>
      </c>
      <c r="D788" s="11" t="str">
        <f>IFERROR(__xludf.DUMMYFUNCTION("""COMPUTED_VALUE"""),"LISTICLE")</f>
        <v>LISTICLE</v>
      </c>
      <c r="E788" s="11" t="str">
        <f>IFERROR(__xludf.DUMMYFUNCTION("""COMPUTED_VALUE"""),"CORPORATE")</f>
        <v>CORPORATE</v>
      </c>
      <c r="F788" s="11" t="str">
        <f>IFERROR(__xludf.DUMMYFUNCTION("""COMPUTED_VALUE"""),"Listicle")</f>
        <v>Listicle</v>
      </c>
      <c r="G788" s="11" t="b">
        <f>IFERROR(__xludf.DUMMYFUNCTION("""COMPUTED_VALUE"""),FALSE)</f>
        <v>0</v>
      </c>
      <c r="H788" s="11" t="str">
        <f>IFERROR(__xludf.DUMMYFUNCTION("""COMPUTED_VALUE"""),"First Page Sage, Directive, Omniscient Digital, Siege Media, RevenueZen, Animalz")</f>
        <v>First Page Sage, Directive, Omniscient Digital, Siege Media, RevenueZen, Animalz</v>
      </c>
      <c r="I788" s="11">
        <f>IFERROR(__xludf.DUMMYFUNCTION("""COMPUTED_VALUE"""),1.0)</f>
        <v>1</v>
      </c>
      <c r="J788" s="11">
        <f>IFERROR(__xludf.DUMMYFUNCTION("""COMPUTED_VALUE"""),0.0)</f>
        <v>0</v>
      </c>
      <c r="K788" s="11">
        <f>IFERROR(__xludf.DUMMYFUNCTION("""COMPUTED_VALUE"""),0.0)</f>
        <v>0</v>
      </c>
      <c r="L788" s="11"/>
    </row>
    <row r="789" ht="15.75" customHeight="1">
      <c r="A789" s="10" t="str">
        <f>IFERROR(__xludf.DUMMYFUNCTION("""COMPUTED_VALUE"""),"https://contensifyhq.com/blog/best-geo-agencies-for-b2b-saas/")</f>
        <v>https://contensifyhq.com/blog/best-geo-agencies-for-b2b-saas/</v>
      </c>
      <c r="B789" s="11" t="str">
        <f>IFERROR(__xludf.DUMMYFUNCTION("""COMPUTED_VALUE"""),"Best GEO Agencies for B2B SaaS Companies (2026) | Contensify")</f>
        <v>Best GEO Agencies for B2B SaaS Companies (2026) | Contensify</v>
      </c>
      <c r="C789" s="10" t="str">
        <f>IFERROR(__xludf.DUMMYFUNCTION("""COMPUTED_VALUE"""),"contensifyhq.com")</f>
        <v>contensifyhq.com</v>
      </c>
      <c r="D789" s="11" t="str">
        <f>IFERROR(__xludf.DUMMYFUNCTION("""COMPUTED_VALUE"""),"LISTICLE")</f>
        <v>LISTICLE</v>
      </c>
      <c r="E789" s="11" t="str">
        <f>IFERROR(__xludf.DUMMYFUNCTION("""COMPUTED_VALUE"""),"CORPORATE")</f>
        <v>CORPORATE</v>
      </c>
      <c r="F789" s="11" t="str">
        <f>IFERROR(__xludf.DUMMYFUNCTION("""COMPUTED_VALUE"""),"Listicle")</f>
        <v>Listicle</v>
      </c>
      <c r="G789" s="11" t="b">
        <f>IFERROR(__xludf.DUMMYFUNCTION("""COMPUTED_VALUE"""),FALSE)</f>
        <v>0</v>
      </c>
      <c r="H789" s="11" t="str">
        <f>IFERROR(__xludf.DUMMYFUNCTION("""COMPUTED_VALUE"""),"First Page Sage, WebFX, The SEO Works")</f>
        <v>First Page Sage, WebFX, The SEO Works</v>
      </c>
      <c r="I789" s="11">
        <f>IFERROR(__xludf.DUMMYFUNCTION("""COMPUTED_VALUE"""),1.0)</f>
        <v>1</v>
      </c>
      <c r="J789" s="11">
        <f>IFERROR(__xludf.DUMMYFUNCTION("""COMPUTED_VALUE"""),0.0)</f>
        <v>0</v>
      </c>
      <c r="K789" s="11">
        <f>IFERROR(__xludf.DUMMYFUNCTION("""COMPUTED_VALUE"""),1.0)</f>
        <v>1</v>
      </c>
      <c r="L789" s="11"/>
    </row>
    <row r="790" ht="15.75" customHeight="1">
      <c r="A790" s="10" t="str">
        <f>IFERROR(__xludf.DUMMYFUNCTION("""COMPUTED_VALUE"""),"https://contently.com/2025/07/17/top-10-agencies-leading-answer-engine-optimization-aeo-in-2025/#:~:text=New%2DYork%2Dbased%20NoGood%20launched%20a%20stand%2Dalone%20Answer%20Engine,AI%2Dsearch%20wins%20for%20fintech%20and%20health%2Dcare%20clients.")</f>
        <v>https://contently.com/2025/07/17/top-10-agencies-leading-answer-engine-optimization-aeo-in-2025/#:~:text=New%2DYork%2Dbased%20NoGood%20launched%20a%20stand%2Dalone%20Answer%20Engine,AI%2Dsearch%20wins%20for%20fintech%20and%20health%2Dcare%20clients.</v>
      </c>
      <c r="B790" s="11" t="str">
        <f>IFERROR(__xludf.DUMMYFUNCTION("""COMPUTED_VALUE"""),"Top 10 Agencies Leading Answer Engine Optimization (AEO) in 2025 - Contently")</f>
        <v>Top 10 Agencies Leading Answer Engine Optimization (AEO) in 2025 - Contently</v>
      </c>
      <c r="C790" s="10" t="str">
        <f>IFERROR(__xludf.DUMMYFUNCTION("""COMPUTED_VALUE"""),"contently.com")</f>
        <v>contently.com</v>
      </c>
      <c r="D790" s="11" t="str">
        <f>IFERROR(__xludf.DUMMYFUNCTION("""COMPUTED_VALUE"""),"OTHER")</f>
        <v>OTHER</v>
      </c>
      <c r="E790" s="11" t="str">
        <f>IFERROR(__xludf.DUMMYFUNCTION("""COMPUTED_VALUE"""),"CORPORATE")</f>
        <v>CORPORATE</v>
      </c>
      <c r="F790" s="11" t="str">
        <f>IFERROR(__xludf.DUMMYFUNCTION("""COMPUTED_VALUE"""),"Other")</f>
        <v>Other</v>
      </c>
      <c r="G790" s="11" t="b">
        <f>IFERROR(__xludf.DUMMYFUNCTION("""COMPUTED_VALUE"""),FALSE)</f>
        <v>0</v>
      </c>
      <c r="H790" s="11" t="str">
        <f>IFERROR(__xludf.DUMMYFUNCTION("""COMPUTED_VALUE"""),"NoGood, Brainlabs, NP Digital, Single Grain")</f>
        <v>NoGood, Brainlabs, NP Digital, Single Grain</v>
      </c>
      <c r="I790" s="11">
        <f>IFERROR(__xludf.DUMMYFUNCTION("""COMPUTED_VALUE"""),1.0)</f>
        <v>1</v>
      </c>
      <c r="J790" s="11">
        <f>IFERROR(__xludf.DUMMYFUNCTION("""COMPUTED_VALUE"""),0.0)</f>
        <v>0</v>
      </c>
      <c r="K790" s="11">
        <f>IFERROR(__xludf.DUMMYFUNCTION("""COMPUTED_VALUE"""),1.0)</f>
        <v>1</v>
      </c>
      <c r="L790" s="11"/>
    </row>
    <row r="791" ht="15.75" customHeight="1">
      <c r="A791" s="10" t="str">
        <f>IFERROR(__xludf.DUMMYFUNCTION("""COMPUTED_VALUE"""),"https://coolnerdsmarketing.com/best-integrated-marketing-agencies/")</f>
        <v>https://coolnerdsmarketing.com/best-integrated-marketing-agencies/</v>
      </c>
      <c r="B791" s="11" t="str">
        <f>IFERROR(__xludf.DUMMYFUNCTION("""COMPUTED_VALUE"""),"15 Best Integrated Marketing Agencies &amp;amp; Services in 2026")</f>
        <v>15 Best Integrated Marketing Agencies &amp;amp; Services in 2026</v>
      </c>
      <c r="C791" s="10" t="str">
        <f>IFERROR(__xludf.DUMMYFUNCTION("""COMPUTED_VALUE"""),"coolnerdsmarketing.com")</f>
        <v>coolnerdsmarketing.com</v>
      </c>
      <c r="D791" s="11" t="str">
        <f>IFERROR(__xludf.DUMMYFUNCTION("""COMPUTED_VALUE"""),"LISTICLE")</f>
        <v>LISTICLE</v>
      </c>
      <c r="E791" s="11" t="str">
        <f>IFERROR(__xludf.DUMMYFUNCTION("""COMPUTED_VALUE"""),"CORPORATE")</f>
        <v>CORPORATE</v>
      </c>
      <c r="F791" s="11" t="str">
        <f>IFERROR(__xludf.DUMMYFUNCTION("""COMPUTED_VALUE"""),"Listicle")</f>
        <v>Listicle</v>
      </c>
      <c r="G791" s="11" t="b">
        <f>IFERROR(__xludf.DUMMYFUNCTION("""COMPUTED_VALUE"""),FALSE)</f>
        <v>0</v>
      </c>
      <c r="H791" s="11" t="str">
        <f>IFERROR(__xludf.DUMMYFUNCTION("""COMPUTED_VALUE"""),"Wpromote, Tinuiti, Power Digital, Disruptive Advertising, DEPT, NinjaPromo, KlientBoost, WebFX, SmartSites")</f>
        <v>Wpromote, Tinuiti, Power Digital, Disruptive Advertising, DEPT, NinjaPromo, KlientBoost, WebFX, SmartSites</v>
      </c>
      <c r="I791" s="11">
        <f>IFERROR(__xludf.DUMMYFUNCTION("""COMPUTED_VALUE"""),1.0)</f>
        <v>1</v>
      </c>
      <c r="J791" s="11">
        <f>IFERROR(__xludf.DUMMYFUNCTION("""COMPUTED_VALUE"""),0.0)</f>
        <v>0</v>
      </c>
      <c r="K791" s="11">
        <f>IFERROR(__xludf.DUMMYFUNCTION("""COMPUTED_VALUE"""),1.0)</f>
        <v>1</v>
      </c>
      <c r="L791" s="11"/>
    </row>
    <row r="792" ht="15.75" customHeight="1">
      <c r="A792" s="10" t="str">
        <f>IFERROR(__xludf.DUMMYFUNCTION("""COMPUTED_VALUE"""),"https://coolnerdsmarketing.com/marketing-agencies-usa/")</f>
        <v>https://coolnerdsmarketing.com/marketing-agencies-usa/</v>
      </c>
      <c r="B792" s="11" t="str">
        <f>IFERROR(__xludf.DUMMYFUNCTION("""COMPUTED_VALUE"""),"Top Marketing Agencies in the USA (January 2026)")</f>
        <v>Top Marketing Agencies in the USA (January 2026)</v>
      </c>
      <c r="C792" s="10" t="str">
        <f>IFERROR(__xludf.DUMMYFUNCTION("""COMPUTED_VALUE"""),"coolnerdsmarketing.com")</f>
        <v>coolnerdsmarketing.com</v>
      </c>
      <c r="D792" s="11" t="str">
        <f>IFERROR(__xludf.DUMMYFUNCTION("""COMPUTED_VALUE"""),"ARTICLE")</f>
        <v>ARTICLE</v>
      </c>
      <c r="E792" s="11" t="str">
        <f>IFERROR(__xludf.DUMMYFUNCTION("""COMPUTED_VALUE"""),"CORPORATE")</f>
        <v>CORPORATE</v>
      </c>
      <c r="F792" s="11" t="str">
        <f>IFERROR(__xludf.DUMMYFUNCTION("""COMPUTED_VALUE"""),"Article")</f>
        <v>Article</v>
      </c>
      <c r="G792" s="11" t="b">
        <f>IFERROR(__xludf.DUMMYFUNCTION("""COMPUTED_VALUE"""),FALSE)</f>
        <v>0</v>
      </c>
      <c r="H792" s="11" t="str">
        <f>IFERROR(__xludf.DUMMYFUNCTION("""COMPUTED_VALUE"""),"Wieden+Kennedy, Droga5, R/GA, AKQA, Publicis Groupe, 72andSunny, Huge, Ogilvy, VML")</f>
        <v>Wieden+Kennedy, Droga5, R/GA, AKQA, Publicis Groupe, 72andSunny, Huge, Ogilvy, VML</v>
      </c>
      <c r="I792" s="11">
        <f>IFERROR(__xludf.DUMMYFUNCTION("""COMPUTED_VALUE"""),1.0)</f>
        <v>1</v>
      </c>
      <c r="J792" s="11">
        <f>IFERROR(__xludf.DUMMYFUNCTION("""COMPUTED_VALUE"""),0.0)</f>
        <v>0</v>
      </c>
      <c r="K792" s="11">
        <f>IFERROR(__xludf.DUMMYFUNCTION("""COMPUTED_VALUE"""),1.0)</f>
        <v>1</v>
      </c>
      <c r="L792" s="11"/>
    </row>
    <row r="793" ht="15.75" customHeight="1">
      <c r="A793" s="10" t="str">
        <f>IFERROR(__xludf.DUMMYFUNCTION("""COMPUTED_VALUE"""),"https://coolnerdsmarketing.com/top-omnichannel-marketing-agencies/")</f>
        <v>https://coolnerdsmarketing.com/top-omnichannel-marketing-agencies/</v>
      </c>
      <c r="B793" s="11" t="str">
        <f>IFERROR(__xludf.DUMMYFUNCTION("""COMPUTED_VALUE"""),"Top 10 Omnichannel Marketing Agencies in 2026")</f>
        <v>Top 10 Omnichannel Marketing Agencies in 2026</v>
      </c>
      <c r="C793" s="10" t="str">
        <f>IFERROR(__xludf.DUMMYFUNCTION("""COMPUTED_VALUE"""),"coolnerdsmarketing.com")</f>
        <v>coolnerdsmarketing.com</v>
      </c>
      <c r="D793" s="11" t="str">
        <f>IFERROR(__xludf.DUMMYFUNCTION("""COMPUTED_VALUE"""),"LISTICLE")</f>
        <v>LISTICLE</v>
      </c>
      <c r="E793" s="11" t="str">
        <f>IFERROR(__xludf.DUMMYFUNCTION("""COMPUTED_VALUE"""),"CORPORATE")</f>
        <v>CORPORATE</v>
      </c>
      <c r="F793" s="11" t="str">
        <f>IFERROR(__xludf.DUMMYFUNCTION("""COMPUTED_VALUE"""),"Listicle")</f>
        <v>Listicle</v>
      </c>
      <c r="G793" s="11" t="b">
        <f>IFERROR(__xludf.DUMMYFUNCTION("""COMPUTED_VALUE"""),FALSE)</f>
        <v>0</v>
      </c>
      <c r="H793" s="11" t="str">
        <f>IFERROR(__xludf.DUMMYFUNCTION("""COMPUTED_VALUE"""),"R/GA, DEPT, Tinuiti, Bounteous, Huge, AKQA")</f>
        <v>R/GA, DEPT, Tinuiti, Bounteous, Huge, AKQA</v>
      </c>
      <c r="I793" s="11">
        <f>IFERROR(__xludf.DUMMYFUNCTION("""COMPUTED_VALUE"""),1.0)</f>
        <v>1</v>
      </c>
      <c r="J793" s="11">
        <f>IFERROR(__xludf.DUMMYFUNCTION("""COMPUTED_VALUE"""),0.0)</f>
        <v>0</v>
      </c>
      <c r="K793" s="11">
        <f>IFERROR(__xludf.DUMMYFUNCTION("""COMPUTED_VALUE"""),1.0)</f>
        <v>1</v>
      </c>
      <c r="L793" s="11"/>
    </row>
    <row r="794" ht="15.75" customHeight="1">
      <c r="A794" s="10" t="str">
        <f>IFERROR(__xludf.DUMMYFUNCTION("""COMPUTED_VALUE"""),"https://www.coseom.com/best-b2b-marketing-agencies-for-saas-fintech-and-cybersecurity/")</f>
        <v>https://www.coseom.com/best-b2b-marketing-agencies-for-saas-fintech-and-cybersecurity/</v>
      </c>
      <c r="B794" s="11" t="str">
        <f>IFERROR(__xludf.DUMMYFUNCTION("""COMPUTED_VALUE"""),"15 Best B2B Marketing Agencies for SaaS, FinTech, Cybersecurity | COSEOM®")</f>
        <v>15 Best B2B Marketing Agencies for SaaS, FinTech, Cybersecurity | COSEOM®</v>
      </c>
      <c r="C794" s="10" t="str">
        <f>IFERROR(__xludf.DUMMYFUNCTION("""COMPUTED_VALUE"""),"coseom.com")</f>
        <v>coseom.com</v>
      </c>
      <c r="D794" s="11" t="str">
        <f>IFERROR(__xludf.DUMMYFUNCTION("""COMPUTED_VALUE"""),"LISTICLE")</f>
        <v>LISTICLE</v>
      </c>
      <c r="E794" s="11" t="str">
        <f>IFERROR(__xludf.DUMMYFUNCTION("""COMPUTED_VALUE"""),"CORPORATE")</f>
        <v>CORPORATE</v>
      </c>
      <c r="F794" s="11" t="str">
        <f>IFERROR(__xludf.DUMMYFUNCTION("""COMPUTED_VALUE"""),"Listicle")</f>
        <v>Listicle</v>
      </c>
      <c r="G794" s="11" t="b">
        <f>IFERROR(__xludf.DUMMYFUNCTION("""COMPUTED_VALUE"""),FALSE)</f>
        <v>0</v>
      </c>
      <c r="H794" s="11" t="str">
        <f>IFERROR(__xludf.DUMMYFUNCTION("""COMPUTED_VALUE"""),"Measured, Ignite Visibility, KlientBoost, WebFX, Single Grain, Clutch")</f>
        <v>Measured, Ignite Visibility, KlientBoost, WebFX, Single Grain, Clutch</v>
      </c>
      <c r="I794" s="11">
        <f>IFERROR(__xludf.DUMMYFUNCTION("""COMPUTED_VALUE"""),1.0)</f>
        <v>1</v>
      </c>
      <c r="J794" s="11">
        <f>IFERROR(__xludf.DUMMYFUNCTION("""COMPUTED_VALUE"""),0.0)</f>
        <v>0</v>
      </c>
      <c r="K794" s="11">
        <f>IFERROR(__xludf.DUMMYFUNCTION("""COMPUTED_VALUE"""),1.0)</f>
        <v>1</v>
      </c>
      <c r="L794" s="11"/>
    </row>
    <row r="795" ht="15.75" customHeight="1">
      <c r="A795" s="10" t="str">
        <f>IFERROR(__xludf.DUMMYFUNCTION("""COMPUTED_VALUE"""),"https://craftandroot.com/blog/saas-tech-branding-agencies/")</f>
        <v>https://craftandroot.com/blog/saas-tech-branding-agencies/</v>
      </c>
      <c r="B795" s="11" t="str">
        <f>IFERROR(__xludf.DUMMYFUNCTION("""COMPUTED_VALUE"""),"Top 7 SaaS &amp;amp; Tech Branding Agencies in the US (2026)")</f>
        <v>Top 7 SaaS &amp;amp; Tech Branding Agencies in the US (2026)</v>
      </c>
      <c r="C795" s="10" t="str">
        <f>IFERROR(__xludf.DUMMYFUNCTION("""COMPUTED_VALUE"""),"craftandroot.com")</f>
        <v>craftandroot.com</v>
      </c>
      <c r="D795" s="11" t="str">
        <f>IFERROR(__xludf.DUMMYFUNCTION("""COMPUTED_VALUE"""),"LISTICLE")</f>
        <v>LISTICLE</v>
      </c>
      <c r="E795" s="11" t="str">
        <f>IFERROR(__xludf.DUMMYFUNCTION("""COMPUTED_VALUE"""),"CORPORATE")</f>
        <v>CORPORATE</v>
      </c>
      <c r="F795" s="11" t="str">
        <f>IFERROR(__xludf.DUMMYFUNCTION("""COMPUTED_VALUE"""),"Listicle")</f>
        <v>Listicle</v>
      </c>
      <c r="G795" s="11" t="b">
        <f>IFERROR(__xludf.DUMMYFUNCTION("""COMPUTED_VALUE"""),FALSE)</f>
        <v>0</v>
      </c>
      <c r="H795" s="11" t="str">
        <f>IFERROR(__xludf.DUMMYFUNCTION("""COMPUTED_VALUE"""),"Clay, Measured")</f>
        <v>Clay, Measured</v>
      </c>
      <c r="I795" s="11">
        <f>IFERROR(__xludf.DUMMYFUNCTION("""COMPUTED_VALUE"""),1.0)</f>
        <v>1</v>
      </c>
      <c r="J795" s="11">
        <f>IFERROR(__xludf.DUMMYFUNCTION("""COMPUTED_VALUE"""),0.0)</f>
        <v>0</v>
      </c>
      <c r="K795" s="11">
        <f>IFERROR(__xludf.DUMMYFUNCTION("""COMPUTED_VALUE"""),1.0)</f>
        <v>1</v>
      </c>
      <c r="L795" s="11"/>
    </row>
    <row r="796" ht="15.75" customHeight="1">
      <c r="A796" s="10" t="str">
        <f>IFERROR(__xludf.DUMMYFUNCTION("""COMPUTED_VALUE"""),"https://craftandroot.com/blog/web-marketing-agencies/")</f>
        <v>https://craftandroot.com/blog/web-marketing-agencies/</v>
      </c>
      <c r="B796" s="11" t="str">
        <f>IFERROR(__xludf.DUMMYFUNCTION("""COMPUTED_VALUE"""),"Top 7 Web Marketing Agencies - Craft and Root | Branding and Design Agency")</f>
        <v>Top 7 Web Marketing Agencies - Craft and Root | Branding and Design Agency</v>
      </c>
      <c r="C796" s="10" t="str">
        <f>IFERROR(__xludf.DUMMYFUNCTION("""COMPUTED_VALUE"""),"craftandroot.com")</f>
        <v>craftandroot.com</v>
      </c>
      <c r="D796" s="11" t="str">
        <f>IFERROR(__xludf.DUMMYFUNCTION("""COMPUTED_VALUE"""),"LISTICLE")</f>
        <v>LISTICLE</v>
      </c>
      <c r="E796" s="11" t="str">
        <f>IFERROR(__xludf.DUMMYFUNCTION("""COMPUTED_VALUE"""),"CORPORATE")</f>
        <v>CORPORATE</v>
      </c>
      <c r="F796" s="11" t="str">
        <f>IFERROR(__xludf.DUMMYFUNCTION("""COMPUTED_VALUE"""),"Listicle")</f>
        <v>Listicle</v>
      </c>
      <c r="G796" s="11" t="b">
        <f>IFERROR(__xludf.DUMMYFUNCTION("""COMPUTED_VALUE"""),FALSE)</f>
        <v>0</v>
      </c>
      <c r="H796" s="11" t="str">
        <f>IFERROR(__xludf.DUMMYFUNCTION("""COMPUTED_VALUE"""),"Dentsu, Thrive Internet Marketing Agency, WebFX, Ignite Visibility, SmartSites, Disruptive Advertising, Clutch")</f>
        <v>Dentsu, Thrive Internet Marketing Agency, WebFX, Ignite Visibility, SmartSites, Disruptive Advertising, Clutch</v>
      </c>
      <c r="I796" s="11">
        <f>IFERROR(__xludf.DUMMYFUNCTION("""COMPUTED_VALUE"""),1.0)</f>
        <v>1</v>
      </c>
      <c r="J796" s="11">
        <f>IFERROR(__xludf.DUMMYFUNCTION("""COMPUTED_VALUE"""),0.0)</f>
        <v>0</v>
      </c>
      <c r="K796" s="11">
        <f>IFERROR(__xludf.DUMMYFUNCTION("""COMPUTED_VALUE"""),1.0)</f>
        <v>1</v>
      </c>
      <c r="L796" s="11"/>
    </row>
    <row r="797" ht="15.75" customHeight="1">
      <c r="A797" s="10" t="str">
        <f>IFERROR(__xludf.DUMMYFUNCTION("""COMPUTED_VALUE"""),"https://creatif.agency/best-branding-agencies-in-the-us/")</f>
        <v>https://creatif.agency/best-branding-agencies-in-the-us/</v>
      </c>
      <c r="B797" s="11" t="str">
        <f>IFERROR(__xludf.DUMMYFUNCTION("""COMPUTED_VALUE"""),"Best branding agencies in the US")</f>
        <v>Best branding agencies in the US</v>
      </c>
      <c r="C797" s="11" t="str">
        <f>IFERROR(__xludf.DUMMYFUNCTION("""COMPUTED_VALUE"""),"creatif.agency")</f>
        <v>creatif.agency</v>
      </c>
      <c r="D797" s="11" t="str">
        <f>IFERROR(__xludf.DUMMYFUNCTION("""COMPUTED_VALUE"""),"LISTICLE")</f>
        <v>LISTICLE</v>
      </c>
      <c r="E797" s="11" t="str">
        <f>IFERROR(__xludf.DUMMYFUNCTION("""COMPUTED_VALUE"""),"CORPORATE")</f>
        <v>CORPORATE</v>
      </c>
      <c r="F797" s="11" t="str">
        <f>IFERROR(__xludf.DUMMYFUNCTION("""COMPUTED_VALUE"""),"Listicle")</f>
        <v>Listicle</v>
      </c>
      <c r="G797" s="11" t="b">
        <f>IFERROR(__xludf.DUMMYFUNCTION("""COMPUTED_VALUE"""),FALSE)</f>
        <v>0</v>
      </c>
      <c r="H797" s="11" t="str">
        <f>IFERROR(__xludf.DUMMYFUNCTION("""COMPUTED_VALUE"""),"Pentagram, Wolff Olins, Clay")</f>
        <v>Pentagram, Wolff Olins, Clay</v>
      </c>
      <c r="I797" s="11">
        <f>IFERROR(__xludf.DUMMYFUNCTION("""COMPUTED_VALUE"""),1.0)</f>
        <v>1</v>
      </c>
      <c r="J797" s="11">
        <f>IFERROR(__xludf.DUMMYFUNCTION("""COMPUTED_VALUE"""),0.0)</f>
        <v>0</v>
      </c>
      <c r="K797" s="11">
        <f>IFERROR(__xludf.DUMMYFUNCTION("""COMPUTED_VALUE"""),0.0)</f>
        <v>0</v>
      </c>
      <c r="L797" s="11"/>
    </row>
    <row r="798" ht="15.75" customHeight="1">
      <c r="A798" s="10" t="str">
        <f>IFERROR(__xludf.DUMMYFUNCTION("""COMPUTED_VALUE"""),"https://creativeformore.com/top-cross-border-marketing-agencies-helping-u-s-brands-expand-into-asia/")</f>
        <v>https://creativeformore.com/top-cross-border-marketing-agencies-helping-u-s-brands-expand-into-asia/</v>
      </c>
      <c r="B798" s="11" t="str">
        <f>IFERROR(__xludf.DUMMYFUNCTION("""COMPUTED_VALUE"""),"Top Cross-Border Marketing Agencies for U.S. Brands Expanding Into Asia (2026)")</f>
        <v>Top Cross-Border Marketing Agencies for U.S. Brands Expanding Into Asia (2026)</v>
      </c>
      <c r="C798" s="10" t="str">
        <f>IFERROR(__xludf.DUMMYFUNCTION("""COMPUTED_VALUE"""),"creativeformore.com")</f>
        <v>creativeformore.com</v>
      </c>
      <c r="D798" s="11" t="str">
        <f>IFERROR(__xludf.DUMMYFUNCTION("""COMPUTED_VALUE"""),"LISTICLE")</f>
        <v>LISTICLE</v>
      </c>
      <c r="E798" s="11" t="str">
        <f>IFERROR(__xludf.DUMMYFUNCTION("""COMPUTED_VALUE"""),"CORPORATE")</f>
        <v>CORPORATE</v>
      </c>
      <c r="F798" s="11" t="str">
        <f>IFERROR(__xludf.DUMMYFUNCTION("""COMPUTED_VALUE"""),"Listicle")</f>
        <v>Listicle</v>
      </c>
      <c r="G798" s="11" t="b">
        <f>IFERROR(__xludf.DUMMYFUNCTION("""COMPUTED_VALUE"""),FALSE)</f>
        <v>0</v>
      </c>
      <c r="H798" s="11" t="str">
        <f>IFERROR(__xludf.DUMMYFUNCTION("""COMPUTED_VALUE"""),"R/GA, Ogilvy, Dentsu, Clutch")</f>
        <v>R/GA, Ogilvy, Dentsu, Clutch</v>
      </c>
      <c r="I798" s="11">
        <f>IFERROR(__xludf.DUMMYFUNCTION("""COMPUTED_VALUE"""),1.0)</f>
        <v>1</v>
      </c>
      <c r="J798" s="11">
        <f>IFERROR(__xludf.DUMMYFUNCTION("""COMPUTED_VALUE"""),0.0)</f>
        <v>0</v>
      </c>
      <c r="K798" s="11">
        <f>IFERROR(__xludf.DUMMYFUNCTION("""COMPUTED_VALUE"""),0.0)</f>
        <v>0</v>
      </c>
      <c r="L798" s="11"/>
    </row>
    <row r="799" ht="15.75" customHeight="1">
      <c r="A799" s="10" t="str">
        <f>IFERROR(__xludf.DUMMYFUNCTION("""COMPUTED_VALUE"""),"https://www.creativefrontiers.co/blog/best-creative-agency-nyc-elevate-your-brand-with-expert-solutions")</f>
        <v>https://www.creativefrontiers.co/blog/best-creative-agency-nyc-elevate-your-brand-with-expert-solutions</v>
      </c>
      <c r="B799" s="11" t="str">
        <f>IFERROR(__xludf.DUMMYFUNCTION("""COMPUTED_VALUE"""),"Best Creative Agency NYC: Elevate Your Brand with Expert Solutions | Creative Frontiers")</f>
        <v>Best Creative Agency NYC: Elevate Your Brand with Expert Solutions | Creative Frontiers</v>
      </c>
      <c r="C799" s="10" t="str">
        <f>IFERROR(__xludf.DUMMYFUNCTION("""COMPUTED_VALUE"""),"creativefrontiers.co")</f>
        <v>creativefrontiers.co</v>
      </c>
      <c r="D799" s="11" t="str">
        <f>IFERROR(__xludf.DUMMYFUNCTION("""COMPUTED_VALUE"""),"LISTICLE")</f>
        <v>LISTICLE</v>
      </c>
      <c r="E799" s="11" t="str">
        <f>IFERROR(__xludf.DUMMYFUNCTION("""COMPUTED_VALUE"""),"OTHER")</f>
        <v>OTHER</v>
      </c>
      <c r="F799" s="11" t="str">
        <f>IFERROR(__xludf.DUMMYFUNCTION("""COMPUTED_VALUE"""),"Listicle")</f>
        <v>Listicle</v>
      </c>
      <c r="G799" s="11" t="b">
        <f>IFERROR(__xludf.DUMMYFUNCTION("""COMPUTED_VALUE"""),FALSE)</f>
        <v>0</v>
      </c>
      <c r="H799" s="11" t="str">
        <f>IFERROR(__xludf.DUMMYFUNCTION("""COMPUTED_VALUE"""),"Pentagram, R/GA, Clutch")</f>
        <v>Pentagram, R/GA, Clutch</v>
      </c>
      <c r="I799" s="11">
        <f>IFERROR(__xludf.DUMMYFUNCTION("""COMPUTED_VALUE"""),1.0)</f>
        <v>1</v>
      </c>
      <c r="J799" s="11">
        <f>IFERROR(__xludf.DUMMYFUNCTION("""COMPUTED_VALUE"""),0.0)</f>
        <v>0</v>
      </c>
      <c r="K799" s="11">
        <f>IFERROR(__xludf.DUMMYFUNCTION("""COMPUTED_VALUE"""),0.0)</f>
        <v>0</v>
      </c>
      <c r="L799" s="11"/>
    </row>
    <row r="800" ht="15.75" customHeight="1">
      <c r="A800" s="10" t="str">
        <f>IFERROR(__xludf.DUMMYFUNCTION("""COMPUTED_VALUE"""),"https://creativemediahouse.ae/top-10-creative-agencies-in-gcc/")</f>
        <v>https://creativemediahouse.ae/top-10-creative-agencies-in-gcc/</v>
      </c>
      <c r="B800" s="11" t="str">
        <f>IFERROR(__xludf.DUMMYFUNCTION("""COMPUTED_VALUE"""),"Top 10 Emirati Creative Agencies in GCC | Creative Maketing")</f>
        <v>Top 10 Emirati Creative Agencies in GCC | Creative Maketing</v>
      </c>
      <c r="C800" s="10" t="str">
        <f>IFERROR(__xludf.DUMMYFUNCTION("""COMPUTED_VALUE"""),"creativemediahouse.ae")</f>
        <v>creativemediahouse.ae</v>
      </c>
      <c r="D800" s="11" t="str">
        <f>IFERROR(__xludf.DUMMYFUNCTION("""COMPUTED_VALUE"""),"LISTICLE")</f>
        <v>LISTICLE</v>
      </c>
      <c r="E800" s="11" t="str">
        <f>IFERROR(__xludf.DUMMYFUNCTION("""COMPUTED_VALUE"""),"CORPORATE")</f>
        <v>CORPORATE</v>
      </c>
      <c r="F800" s="11" t="str">
        <f>IFERROR(__xludf.DUMMYFUNCTION("""COMPUTED_VALUE"""),"Listicle")</f>
        <v>Listicle</v>
      </c>
      <c r="G800" s="11" t="b">
        <f>IFERROR(__xludf.DUMMYFUNCTION("""COMPUTED_VALUE"""),FALSE)</f>
        <v>0</v>
      </c>
      <c r="H800" s="11" t="str">
        <f>IFERROR(__xludf.DUMMYFUNCTION("""COMPUTED_VALUE"""),"Ogilvy")</f>
        <v>Ogilvy</v>
      </c>
      <c r="I800" s="11">
        <f>IFERROR(__xludf.DUMMYFUNCTION("""COMPUTED_VALUE"""),1.0)</f>
        <v>1</v>
      </c>
      <c r="J800" s="11">
        <f>IFERROR(__xludf.DUMMYFUNCTION("""COMPUTED_VALUE"""),0.0)</f>
        <v>0</v>
      </c>
      <c r="K800" s="11">
        <f>IFERROR(__xludf.DUMMYFUNCTION("""COMPUTED_VALUE"""),1.0)</f>
        <v>1</v>
      </c>
      <c r="L800" s="11"/>
    </row>
    <row r="801" ht="15.75" customHeight="1">
      <c r="A801" s="10" t="str">
        <f>IFERROR(__xludf.DUMMYFUNCTION("""COMPUTED_VALUE"""),"https://cybersecuritymarketingagencies.com/best-cybersecurity-marketing-agency")</f>
        <v>https://cybersecuritymarketingagencies.com/best-cybersecurity-marketing-agency</v>
      </c>
      <c r="B801" s="11" t="str">
        <f>IFERROR(__xludf.DUMMYFUNCTION("""COMPUTED_VALUE"""),"Best Cybersecurity Marketing Agency 2026: How to Compare and Choose")</f>
        <v>Best Cybersecurity Marketing Agency 2026: How to Compare and Choose</v>
      </c>
      <c r="C801" s="10" t="str">
        <f>IFERROR(__xludf.DUMMYFUNCTION("""COMPUTED_VALUE"""),"cybersecuritymarketingagencies.com")</f>
        <v>cybersecuritymarketingagencies.com</v>
      </c>
      <c r="D801" s="11" t="str">
        <f>IFERROR(__xludf.DUMMYFUNCTION("""COMPUTED_VALUE"""),"PROFILE")</f>
        <v>PROFILE</v>
      </c>
      <c r="E801" s="11" t="str">
        <f>IFERROR(__xludf.DUMMYFUNCTION("""COMPUTED_VALUE"""),"REFERENCE")</f>
        <v>REFERENCE</v>
      </c>
      <c r="F801" s="11" t="str">
        <f>IFERROR(__xludf.DUMMYFUNCTION("""COMPUTED_VALUE"""),"Profile")</f>
        <v>Profile</v>
      </c>
      <c r="G801" s="11" t="b">
        <f>IFERROR(__xludf.DUMMYFUNCTION("""COMPUTED_VALUE"""),FALSE)</f>
        <v>0</v>
      </c>
      <c r="H801" s="11" t="str">
        <f>IFERROR(__xludf.DUMMYFUNCTION("""COMPUTED_VALUE"""),"Clutch")</f>
        <v>Clutch</v>
      </c>
      <c r="I801" s="11">
        <f>IFERROR(__xludf.DUMMYFUNCTION("""COMPUTED_VALUE"""),1.0)</f>
        <v>1</v>
      </c>
      <c r="J801" s="11">
        <f>IFERROR(__xludf.DUMMYFUNCTION("""COMPUTED_VALUE"""),0.0)</f>
        <v>0</v>
      </c>
      <c r="K801" s="11">
        <f>IFERROR(__xludf.DUMMYFUNCTION("""COMPUTED_VALUE"""),1.0)</f>
        <v>1</v>
      </c>
      <c r="L801" s="11"/>
    </row>
    <row r="802" ht="15.75" customHeight="1">
      <c r="A802" s="10" t="str">
        <f>IFERROR(__xludf.DUMMYFUNCTION("""COMPUTED_VALUE"""),"https://www.daasity.com/post/best-ecommerce-analytics-software-for-fast-growing-dtc-brands")</f>
        <v>https://www.daasity.com/post/best-ecommerce-analytics-software-for-fast-growing-dtc-brands</v>
      </c>
      <c r="B802" s="11" t="str">
        <f>IFERROR(__xludf.DUMMYFUNCTION("""COMPUTED_VALUE"""),"Best Ecommerce Analytics Software for Fast-Growing DTC Brands | Daasity")</f>
        <v>Best Ecommerce Analytics Software for Fast-Growing DTC Brands | Daasity</v>
      </c>
      <c r="C802" s="10" t="str">
        <f>IFERROR(__xludf.DUMMYFUNCTION("""COMPUTED_VALUE"""),"daasity.com")</f>
        <v>daasity.com</v>
      </c>
      <c r="D802" s="11" t="str">
        <f>IFERROR(__xludf.DUMMYFUNCTION("""COMPUTED_VALUE"""),"LISTICLE")</f>
        <v>LISTICLE</v>
      </c>
      <c r="E802" s="11" t="str">
        <f>IFERROR(__xludf.DUMMYFUNCTION("""COMPUTED_VALUE"""),"CORPORATE")</f>
        <v>CORPORATE</v>
      </c>
      <c r="F802" s="11" t="str">
        <f>IFERROR(__xludf.DUMMYFUNCTION("""COMPUTED_VALUE"""),"Listicle")</f>
        <v>Listicle</v>
      </c>
      <c r="G802" s="11" t="b">
        <f>IFERROR(__xludf.DUMMYFUNCTION("""COMPUTED_VALUE"""),FALSE)</f>
        <v>0</v>
      </c>
      <c r="H802" s="11" t="str">
        <f>IFERROR(__xludf.DUMMYFUNCTION("""COMPUTED_VALUE"""),"Triple Whale, Northbeam")</f>
        <v>Triple Whale, Northbeam</v>
      </c>
      <c r="I802" s="11">
        <f>IFERROR(__xludf.DUMMYFUNCTION("""COMPUTED_VALUE"""),1.0)</f>
        <v>1</v>
      </c>
      <c r="J802" s="11">
        <f>IFERROR(__xludf.DUMMYFUNCTION("""COMPUTED_VALUE"""),0.0)</f>
        <v>0</v>
      </c>
      <c r="K802" s="11">
        <f>IFERROR(__xludf.DUMMYFUNCTION("""COMPUTED_VALUE"""),1.0)</f>
        <v>1</v>
      </c>
      <c r="L802" s="11"/>
    </row>
    <row r="803" ht="15.75" customHeight="1">
      <c r="A803" s="10" t="str">
        <f>IFERROR(__xludf.DUMMYFUNCTION("""COMPUTED_VALUE"""),"https://www.darkroomagency.com/observatory/10-best-growth-marketing-agencies-in-2026-%28ranked-for-online-sales%29")</f>
        <v>https://www.darkroomagency.com/observatory/10-best-growth-marketing-agencies-in-2026-%28ranked-for-online-sales%29</v>
      </c>
      <c r="B803" s="11" t="str">
        <f>IFERROR(__xludf.DUMMYFUNCTION("""COMPUTED_VALUE"""),"Growth Marketing Solutions: 10 Best Agencies (2026)")</f>
        <v>Growth Marketing Solutions: 10 Best Agencies (2026)</v>
      </c>
      <c r="C803" s="10" t="str">
        <f>IFERROR(__xludf.DUMMYFUNCTION("""COMPUTED_VALUE"""),"darkroomagency.com")</f>
        <v>darkroomagency.com</v>
      </c>
      <c r="D803" s="11" t="str">
        <f>IFERROR(__xludf.DUMMYFUNCTION("""COMPUTED_VALUE"""),"LISTICLE")</f>
        <v>LISTICLE</v>
      </c>
      <c r="E803" s="11" t="str">
        <f>IFERROR(__xludf.DUMMYFUNCTION("""COMPUTED_VALUE"""),"COMPETITOR")</f>
        <v>COMPETITOR</v>
      </c>
      <c r="F803" s="11" t="str">
        <f>IFERROR(__xludf.DUMMYFUNCTION("""COMPUTED_VALUE"""),"Listicle")</f>
        <v>Listicle</v>
      </c>
      <c r="G803" s="11" t="b">
        <f>IFERROR(__xludf.DUMMYFUNCTION("""COMPUTED_VALUE"""),FALSE)</f>
        <v>0</v>
      </c>
      <c r="H803" s="11" t="str">
        <f>IFERROR(__xludf.DUMMYFUNCTION("""COMPUTED_VALUE"""),"Darkroom, Tinuiti, Wpromote, Brainlabs, Common Thread Collective, Disruptive Advertising, Power Digital, NoGood, Right Side Up, KlientBoost, Droga5")</f>
        <v>Darkroom, Tinuiti, Wpromote, Brainlabs, Common Thread Collective, Disruptive Advertising, Power Digital, NoGood, Right Side Up, KlientBoost, Droga5</v>
      </c>
      <c r="I803" s="11">
        <f>IFERROR(__xludf.DUMMYFUNCTION("""COMPUTED_VALUE"""),1.0)</f>
        <v>1</v>
      </c>
      <c r="J803" s="11">
        <f>IFERROR(__xludf.DUMMYFUNCTION("""COMPUTED_VALUE"""),0.0)</f>
        <v>0</v>
      </c>
      <c r="K803" s="11">
        <f>IFERROR(__xludf.DUMMYFUNCTION("""COMPUTED_VALUE"""),3.0)</f>
        <v>3</v>
      </c>
      <c r="L803" s="11"/>
    </row>
    <row r="804" ht="15.75" customHeight="1">
      <c r="A804" s="10" t="str">
        <f>IFERROR(__xludf.DUMMYFUNCTION("""COMPUTED_VALUE"""),"https://www.darkroomagency.com/observatory/what-is-a-growth-hacking-agency-definition-and-top-12-picks-for-2026")</f>
        <v>https://www.darkroomagency.com/observatory/what-is-a-growth-hacking-agency-definition-and-top-12-picks-for-2026</v>
      </c>
      <c r="B804" s="11" t="str">
        <f>IFERROR(__xludf.DUMMYFUNCTION("""COMPUTED_VALUE"""),"What Is a Growth Hacking Agency? Top Picks for 2026")</f>
        <v>What Is a Growth Hacking Agency? Top Picks for 2026</v>
      </c>
      <c r="C804" s="10" t="str">
        <f>IFERROR(__xludf.DUMMYFUNCTION("""COMPUTED_VALUE"""),"darkroomagency.com")</f>
        <v>darkroomagency.com</v>
      </c>
      <c r="D804" s="11" t="str">
        <f>IFERROR(__xludf.DUMMYFUNCTION("""COMPUTED_VALUE"""),"LISTICLE")</f>
        <v>LISTICLE</v>
      </c>
      <c r="E804" s="11" t="str">
        <f>IFERROR(__xludf.DUMMYFUNCTION("""COMPUTED_VALUE"""),"COMPETITOR")</f>
        <v>COMPETITOR</v>
      </c>
      <c r="F804" s="11" t="str">
        <f>IFERROR(__xludf.DUMMYFUNCTION("""COMPUTED_VALUE"""),"Listicle")</f>
        <v>Listicle</v>
      </c>
      <c r="G804" s="11" t="b">
        <f>IFERROR(__xludf.DUMMYFUNCTION("""COMPUTED_VALUE"""),FALSE)</f>
        <v>0</v>
      </c>
      <c r="H804" s="11" t="str">
        <f>IFERROR(__xludf.DUMMYFUNCTION("""COMPUTED_VALUE"""),"Darkroom, Measured, NoGood, Right Side Up, Tinuiti, Power Digital, MuteSix, Droga5")</f>
        <v>Darkroom, Measured, NoGood, Right Side Up, Tinuiti, Power Digital, MuteSix, Droga5</v>
      </c>
      <c r="I804" s="11">
        <f>IFERROR(__xludf.DUMMYFUNCTION("""COMPUTED_VALUE"""),1.0)</f>
        <v>1</v>
      </c>
      <c r="J804" s="11">
        <f>IFERROR(__xludf.DUMMYFUNCTION("""COMPUTED_VALUE"""),0.0)</f>
        <v>0</v>
      </c>
      <c r="K804" s="11">
        <f>IFERROR(__xludf.DUMMYFUNCTION("""COMPUTED_VALUE"""),1.0)</f>
        <v>1</v>
      </c>
      <c r="L804" s="11"/>
    </row>
    <row r="805" ht="15.75" customHeight="1">
      <c r="A805" s="10" t="str">
        <f>IFERROR(__xludf.DUMMYFUNCTION("""COMPUTED_VALUE"""),"https://www.darwinapps.com/blog/9-best-marketing-measurement-tools-for-attribution-analytics-and-data-integration-in-2026/")</f>
        <v>https://www.darwinapps.com/blog/9-best-marketing-measurement-tools-for-attribution-analytics-and-data-integration-in-2026/</v>
      </c>
      <c r="B805" s="11" t="str">
        <f>IFERROR(__xludf.DUMMYFUNCTION("""COMPUTED_VALUE"""),"9 Best Marketing Measurement Tools for Attribution, Analytics &amp;amp; Data Integration in 2026 · DarwinApps")</f>
        <v>9 Best Marketing Measurement Tools for Attribution, Analytics &amp;amp; Data Integration in 2026 · DarwinApps</v>
      </c>
      <c r="C805" s="10" t="str">
        <f>IFERROR(__xludf.DUMMYFUNCTION("""COMPUTED_VALUE"""),"darwinapps.com")</f>
        <v>darwinapps.com</v>
      </c>
      <c r="D805" s="11" t="str">
        <f>IFERROR(__xludf.DUMMYFUNCTION("""COMPUTED_VALUE"""),"LISTICLE")</f>
        <v>LISTICLE</v>
      </c>
      <c r="E805" s="11" t="str">
        <f>IFERROR(__xludf.DUMMYFUNCTION("""COMPUTED_VALUE"""),"CORPORATE")</f>
        <v>CORPORATE</v>
      </c>
      <c r="F805" s="11" t="str">
        <f>IFERROR(__xludf.DUMMYFUNCTION("""COMPUTED_VALUE"""),"Listicle")</f>
        <v>Listicle</v>
      </c>
      <c r="G805" s="11" t="b">
        <f>IFERROR(__xludf.DUMMYFUNCTION("""COMPUTED_VALUE"""),FALSE)</f>
        <v>0</v>
      </c>
      <c r="H805" s="11" t="str">
        <f>IFERROR(__xludf.DUMMYFUNCTION("""COMPUTED_VALUE"""),"SegmentStream, Triple Whale, Northbeam, Measured, Rockerbox")</f>
        <v>SegmentStream, Triple Whale, Northbeam, Measured, Rockerbox</v>
      </c>
      <c r="I805" s="11">
        <f>IFERROR(__xludf.DUMMYFUNCTION("""COMPUTED_VALUE"""),1.0)</f>
        <v>1</v>
      </c>
      <c r="J805" s="11">
        <f>IFERROR(__xludf.DUMMYFUNCTION("""COMPUTED_VALUE"""),0.0)</f>
        <v>0</v>
      </c>
      <c r="K805" s="11">
        <f>IFERROR(__xludf.DUMMYFUNCTION("""COMPUTED_VALUE"""),0.0)</f>
        <v>0</v>
      </c>
      <c r="L805" s="11"/>
    </row>
    <row r="806" ht="15.75" customHeight="1">
      <c r="A806" s="10" t="str">
        <f>IFERROR(__xludf.DUMMYFUNCTION("""COMPUTED_VALUE"""),"https://www.dataally.ai/blog/best-beauty-marketing-agencies")</f>
        <v>https://www.dataally.ai/blog/best-beauty-marketing-agencies</v>
      </c>
      <c r="B806" s="11" t="str">
        <f>IFERROR(__xludf.DUMMYFUNCTION("""COMPUTED_VALUE"""),"12 Best Beauty Marketing Agencies in 2026 (Ranked &amp;amp; Reviewed)")</f>
        <v>12 Best Beauty Marketing Agencies in 2026 (Ranked &amp;amp; Reviewed)</v>
      </c>
      <c r="C806" s="10" t="str">
        <f>IFERROR(__xludf.DUMMYFUNCTION("""COMPUTED_VALUE"""),"dataally.ai")</f>
        <v>dataally.ai</v>
      </c>
      <c r="D806" s="11" t="str">
        <f>IFERROR(__xludf.DUMMYFUNCTION("""COMPUTED_VALUE"""),"LISTICLE")</f>
        <v>LISTICLE</v>
      </c>
      <c r="E806" s="11" t="str">
        <f>IFERROR(__xludf.DUMMYFUNCTION("""COMPUTED_VALUE"""),"CORPORATE")</f>
        <v>CORPORATE</v>
      </c>
      <c r="F806" s="11" t="str">
        <f>IFERROR(__xludf.DUMMYFUNCTION("""COMPUTED_VALUE"""),"Listicle")</f>
        <v>Listicle</v>
      </c>
      <c r="G806" s="11" t="b">
        <f>IFERROR(__xludf.DUMMYFUNCTION("""COMPUTED_VALUE"""),FALSE)</f>
        <v>0</v>
      </c>
      <c r="H806" s="11" t="str">
        <f>IFERROR(__xludf.DUMMYFUNCTION("""COMPUTED_VALUE"""),"Brighter Click, Common Thread Collective, NoGood, inBeat")</f>
        <v>Brighter Click, Common Thread Collective, NoGood, inBeat</v>
      </c>
      <c r="I806" s="11">
        <f>IFERROR(__xludf.DUMMYFUNCTION("""COMPUTED_VALUE"""),1.0)</f>
        <v>1</v>
      </c>
      <c r="J806" s="11">
        <f>IFERROR(__xludf.DUMMYFUNCTION("""COMPUTED_VALUE"""),0.0)</f>
        <v>0</v>
      </c>
      <c r="K806" s="11">
        <f>IFERROR(__xludf.DUMMYFUNCTION("""COMPUTED_VALUE"""),1.0)</f>
        <v>1</v>
      </c>
      <c r="L806" s="11"/>
    </row>
    <row r="807" ht="15.75" customHeight="1">
      <c r="A807" s="10" t="str">
        <f>IFERROR(__xludf.DUMMYFUNCTION("""COMPUTED_VALUE"""),"https://www.dataally.ai/blog/best-saas-marketing-agencies")</f>
        <v>https://www.dataally.ai/blog/best-saas-marketing-agencies</v>
      </c>
      <c r="B807" s="11" t="str">
        <f>IFERROR(__xludf.DUMMYFUNCTION("""COMPUTED_VALUE"""),"11 Best SaaS Marketing Agencies in 2026")</f>
        <v>11 Best SaaS Marketing Agencies in 2026</v>
      </c>
      <c r="C807" s="10" t="str">
        <f>IFERROR(__xludf.DUMMYFUNCTION("""COMPUTED_VALUE"""),"dataally.ai")</f>
        <v>dataally.ai</v>
      </c>
      <c r="D807" s="11" t="str">
        <f>IFERROR(__xludf.DUMMYFUNCTION("""COMPUTED_VALUE"""),"LISTICLE")</f>
        <v>LISTICLE</v>
      </c>
      <c r="E807" s="11" t="str">
        <f>IFERROR(__xludf.DUMMYFUNCTION("""COMPUTED_VALUE"""),"CORPORATE")</f>
        <v>CORPORATE</v>
      </c>
      <c r="F807" s="11" t="str">
        <f>IFERROR(__xludf.DUMMYFUNCTION("""COMPUTED_VALUE"""),"Listicle")</f>
        <v>Listicle</v>
      </c>
      <c r="G807" s="11" t="b">
        <f>IFERROR(__xludf.DUMMYFUNCTION("""COMPUTED_VALUE"""),FALSE)</f>
        <v>0</v>
      </c>
      <c r="H807" s="11" t="str">
        <f>IFERROR(__xludf.DUMMYFUNCTION("""COMPUTED_VALUE"""),"Brighter Click, Directive, Animalz, Siege Media, KlientBoost")</f>
        <v>Brighter Click, Directive, Animalz, Siege Media, KlientBoost</v>
      </c>
      <c r="I807" s="11">
        <f>IFERROR(__xludf.DUMMYFUNCTION("""COMPUTED_VALUE"""),1.0)</f>
        <v>1</v>
      </c>
      <c r="J807" s="11">
        <f>IFERROR(__xludf.DUMMYFUNCTION("""COMPUTED_VALUE"""),0.0)</f>
        <v>0</v>
      </c>
      <c r="K807" s="11">
        <f>IFERROR(__xludf.DUMMYFUNCTION("""COMPUTED_VALUE"""),0.0)</f>
        <v>0</v>
      </c>
      <c r="L807" s="11"/>
    </row>
    <row r="808" ht="15.75" customHeight="1">
      <c r="A808" s="10" t="str">
        <f>IFERROR(__xludf.DUMMYFUNCTION("""COMPUTED_VALUE"""),"https://delivix.digital/marketing/marketing-agencies-in-the-usa/")</f>
        <v>https://delivix.digital/marketing/marketing-agencies-in-the-usa/</v>
      </c>
      <c r="B808" s="11" t="str">
        <f>IFERROR(__xludf.DUMMYFUNCTION("""COMPUTED_VALUE"""),"Top 10 Marketing Agencies in the USA | Best Digital Marketing Firms 2026")</f>
        <v>Top 10 Marketing Agencies in the USA | Best Digital Marketing Firms 2026</v>
      </c>
      <c r="C808" s="11" t="str">
        <f>IFERROR(__xludf.DUMMYFUNCTION("""COMPUTED_VALUE"""),"delivix.digital")</f>
        <v>delivix.digital</v>
      </c>
      <c r="D808" s="11" t="str">
        <f>IFERROR(__xludf.DUMMYFUNCTION("""COMPUTED_VALUE"""),"LISTICLE")</f>
        <v>LISTICLE</v>
      </c>
      <c r="E808" s="11" t="str">
        <f>IFERROR(__xludf.DUMMYFUNCTION("""COMPUTED_VALUE"""),"CORPORATE")</f>
        <v>CORPORATE</v>
      </c>
      <c r="F808" s="11" t="str">
        <f>IFERROR(__xludf.DUMMYFUNCTION("""COMPUTED_VALUE"""),"Listicle")</f>
        <v>Listicle</v>
      </c>
      <c r="G808" s="11" t="b">
        <f>IFERROR(__xludf.DUMMYFUNCTION("""COMPUTED_VALUE"""),FALSE)</f>
        <v>0</v>
      </c>
      <c r="H808" s="11" t="str">
        <f>IFERROR(__xludf.DUMMYFUNCTION("""COMPUTED_VALUE"""),"WebFX, SmartSites, Disruptive Advertising, Ignite Visibility, Power Digital, Ogilvy, Intero Digital, Victorious, KlientBoost")</f>
        <v>WebFX, SmartSites, Disruptive Advertising, Ignite Visibility, Power Digital, Ogilvy, Intero Digital, Victorious, KlientBoost</v>
      </c>
      <c r="I808" s="11">
        <f>IFERROR(__xludf.DUMMYFUNCTION("""COMPUTED_VALUE"""),1.0)</f>
        <v>1</v>
      </c>
      <c r="J808" s="11">
        <f>IFERROR(__xludf.DUMMYFUNCTION("""COMPUTED_VALUE"""),0.0)</f>
        <v>0</v>
      </c>
      <c r="K808" s="11">
        <f>IFERROR(__xludf.DUMMYFUNCTION("""COMPUTED_VALUE"""),1.0)</f>
        <v>1</v>
      </c>
      <c r="L808" s="11"/>
    </row>
    <row r="809" ht="15.75" customHeight="1">
      <c r="A809" s="10" t="str">
        <f>IFERROR(__xludf.DUMMYFUNCTION("""COMPUTED_VALUE"""),"https://delivix.digital/seo/top-10-social-media-agencies-globally/")</f>
        <v>https://delivix.digital/seo/top-10-social-media-agencies-globally/</v>
      </c>
      <c r="B809" s="11" t="str">
        <f>IFERROR(__xludf.DUMMYFUNCTION("""COMPUTED_VALUE"""),"Top 10 Social Media Agencies Globally - Delivix")</f>
        <v>Top 10 Social Media Agencies Globally - Delivix</v>
      </c>
      <c r="C809" s="11" t="str">
        <f>IFERROR(__xludf.DUMMYFUNCTION("""COMPUTED_VALUE"""),"delivix.digital")</f>
        <v>delivix.digital</v>
      </c>
      <c r="D809" s="11" t="str">
        <f>IFERROR(__xludf.DUMMYFUNCTION("""COMPUTED_VALUE"""),"LISTICLE")</f>
        <v>LISTICLE</v>
      </c>
      <c r="E809" s="11" t="str">
        <f>IFERROR(__xludf.DUMMYFUNCTION("""COMPUTED_VALUE"""),"CORPORATE")</f>
        <v>CORPORATE</v>
      </c>
      <c r="F809" s="11" t="str">
        <f>IFERROR(__xludf.DUMMYFUNCTION("""COMPUTED_VALUE"""),"Listicle")</f>
        <v>Listicle</v>
      </c>
      <c r="G809" s="11" t="b">
        <f>IFERROR(__xludf.DUMMYFUNCTION("""COMPUTED_VALUE"""),FALSE)</f>
        <v>0</v>
      </c>
      <c r="H809" s="11" t="str">
        <f>IFERROR(__xludf.DUMMYFUNCTION("""COMPUTED_VALUE"""),"LYFE Marketing, WebFX, Clutch, Viral Nation, The Social Shepherd, Disruptive Advertising, SmartSites")</f>
        <v>LYFE Marketing, WebFX, Clutch, Viral Nation, The Social Shepherd, Disruptive Advertising, SmartSites</v>
      </c>
      <c r="I809" s="11">
        <f>IFERROR(__xludf.DUMMYFUNCTION("""COMPUTED_VALUE"""),1.0)</f>
        <v>1</v>
      </c>
      <c r="J809" s="11">
        <f>IFERROR(__xludf.DUMMYFUNCTION("""COMPUTED_VALUE"""),0.0)</f>
        <v>0</v>
      </c>
      <c r="K809" s="11">
        <f>IFERROR(__xludf.DUMMYFUNCTION("""COMPUTED_VALUE"""),1.0)</f>
        <v>1</v>
      </c>
      <c r="L809" s="11"/>
    </row>
    <row r="810" ht="15.75" customHeight="1">
      <c r="A810" s="10" t="str">
        <f>IFERROR(__xludf.DUMMYFUNCTION("""COMPUTED_VALUE"""),"https://www.demandsage.com/saas-content-marketing-agencies/")</f>
        <v>https://www.demandsage.com/saas-content-marketing-agencies/</v>
      </c>
      <c r="B810" s="11" t="str">
        <f>IFERROR(__xludf.DUMMYFUNCTION("""COMPUTED_VALUE"""),"13 Best SaaS Content Marketing Agencies 2026 [Ranked]")</f>
        <v>13 Best SaaS Content Marketing Agencies 2026 [Ranked]</v>
      </c>
      <c r="C810" s="10" t="str">
        <f>IFERROR(__xludf.DUMMYFUNCTION("""COMPUTED_VALUE"""),"demandsage.com")</f>
        <v>demandsage.com</v>
      </c>
      <c r="D810" s="11" t="str">
        <f>IFERROR(__xludf.DUMMYFUNCTION("""COMPUTED_VALUE"""),"LISTICLE")</f>
        <v>LISTICLE</v>
      </c>
      <c r="E810" s="11" t="str">
        <f>IFERROR(__xludf.DUMMYFUNCTION("""COMPUTED_VALUE"""),"EDITORIAL")</f>
        <v>EDITORIAL</v>
      </c>
      <c r="F810" s="11" t="str">
        <f>IFERROR(__xludf.DUMMYFUNCTION("""COMPUTED_VALUE"""),"Listicle")</f>
        <v>Listicle</v>
      </c>
      <c r="G810" s="11" t="b">
        <f>IFERROR(__xludf.DUMMYFUNCTION("""COMPUTED_VALUE"""),FALSE)</f>
        <v>0</v>
      </c>
      <c r="H810" s="11" t="str">
        <f>IFERROR(__xludf.DUMMYFUNCTION("""COMPUTED_VALUE"""),"Omniscient Digital, Animalz, Siege Media, Hey Digital, Directive, NoGood, NP Digital, Measured, Clutch")</f>
        <v>Omniscient Digital, Animalz, Siege Media, Hey Digital, Directive, NoGood, NP Digital, Measured, Clutch</v>
      </c>
      <c r="I810" s="11">
        <f>IFERROR(__xludf.DUMMYFUNCTION("""COMPUTED_VALUE"""),1.0)</f>
        <v>1</v>
      </c>
      <c r="J810" s="11">
        <f>IFERROR(__xludf.DUMMYFUNCTION("""COMPUTED_VALUE"""),0.0)</f>
        <v>0</v>
      </c>
      <c r="K810" s="11">
        <f>IFERROR(__xludf.DUMMYFUNCTION("""COMPUTED_VALUE"""),1.0)</f>
        <v>1</v>
      </c>
      <c r="L810" s="11"/>
    </row>
    <row r="811" ht="15.75" customHeight="1">
      <c r="A811" s="10" t="str">
        <f>IFERROR(__xludf.DUMMYFUNCTION("""COMPUTED_VALUE"""),"https://www.designity.com/blog/best-branding-agencies-for-startups")</f>
        <v>https://www.designity.com/blog/best-branding-agencies-for-startups</v>
      </c>
      <c r="B811" s="11" t="str">
        <f>IFERROR(__xludf.DUMMYFUNCTION("""COMPUTED_VALUE"""),"10 Best Branding Agencies for Startups in 2026 - Designity - Designity")</f>
        <v>10 Best Branding Agencies for Startups in 2026 - Designity - Designity</v>
      </c>
      <c r="C811" s="10" t="str">
        <f>IFERROR(__xludf.DUMMYFUNCTION("""COMPUTED_VALUE"""),"designity.com")</f>
        <v>designity.com</v>
      </c>
      <c r="D811" s="11" t="str">
        <f>IFERROR(__xludf.DUMMYFUNCTION("""COMPUTED_VALUE"""),"LISTICLE")</f>
        <v>LISTICLE</v>
      </c>
      <c r="E811" s="11" t="str">
        <f>IFERROR(__xludf.DUMMYFUNCTION("""COMPUTED_VALUE"""),"CORPORATE")</f>
        <v>CORPORATE</v>
      </c>
      <c r="F811" s="11" t="str">
        <f>IFERROR(__xludf.DUMMYFUNCTION("""COMPUTED_VALUE"""),"Listicle")</f>
        <v>Listicle</v>
      </c>
      <c r="G811" s="11" t="b">
        <f>IFERROR(__xludf.DUMMYFUNCTION("""COMPUTED_VALUE"""),FALSE)</f>
        <v>0</v>
      </c>
      <c r="H811" s="11" t="str">
        <f>IFERROR(__xludf.DUMMYFUNCTION("""COMPUTED_VALUE"""),"Pentagram, Clutch, Clay, Ogilvy, IBM")</f>
        <v>Pentagram, Clutch, Clay, Ogilvy, IBM</v>
      </c>
      <c r="I811" s="11">
        <f>IFERROR(__xludf.DUMMYFUNCTION("""COMPUTED_VALUE"""),1.0)</f>
        <v>1</v>
      </c>
      <c r="J811" s="11">
        <f>IFERROR(__xludf.DUMMYFUNCTION("""COMPUTED_VALUE"""),0.0)</f>
        <v>0</v>
      </c>
      <c r="K811" s="11">
        <f>IFERROR(__xludf.DUMMYFUNCTION("""COMPUTED_VALUE"""),1.0)</f>
        <v>1</v>
      </c>
      <c r="L811" s="11"/>
    </row>
    <row r="812" ht="15.75" customHeight="1">
      <c r="A812" s="10" t="str">
        <f>IFERROR(__xludf.DUMMYFUNCTION("""COMPUTED_VALUE"""),"https://www.designrush.com/agency/ad-agencies/missouri/kansas-city")</f>
        <v>https://www.designrush.com/agency/ad-agencies/missouri/kansas-city</v>
      </c>
      <c r="B812" s="11" t="str">
        <f>IFERROR(__xludf.DUMMYFUNCTION("""COMPUTED_VALUE"""),"Top Advertising Agencies in Kansas City | 2026")</f>
        <v>Top Advertising Agencies in Kansas City | 2026</v>
      </c>
      <c r="C812" s="10" t="str">
        <f>IFERROR(__xludf.DUMMYFUNCTION("""COMPUTED_VALUE"""),"designrush.com")</f>
        <v>designrush.com</v>
      </c>
      <c r="D812" s="11" t="str">
        <f>IFERROR(__xludf.DUMMYFUNCTION("""COMPUTED_VALUE"""),"CATEGORY_PAGE")</f>
        <v>CATEGORY_PAGE</v>
      </c>
      <c r="E812" s="11" t="str">
        <f>IFERROR(__xludf.DUMMYFUNCTION("""COMPUTED_VALUE"""),"CORPORATE")</f>
        <v>CORPORATE</v>
      </c>
      <c r="F812" s="11" t="str">
        <f>IFERROR(__xludf.DUMMYFUNCTION("""COMPUTED_VALUE"""),"Category Page")</f>
        <v>Category Page</v>
      </c>
      <c r="G812" s="11" t="b">
        <f>IFERROR(__xludf.DUMMYFUNCTION("""COMPUTED_VALUE"""),FALSE)</f>
        <v>0</v>
      </c>
      <c r="H812" s="11" t="str">
        <f>IFERROR(__xludf.DUMMYFUNCTION("""COMPUTED_VALUE"""),"Searchbloom, Funnel Boost Media, Huge, SmartSites, Disruptive Advertising, VML")</f>
        <v>Searchbloom, Funnel Boost Media, Huge, SmartSites, Disruptive Advertising, VML</v>
      </c>
      <c r="I812" s="11">
        <f>IFERROR(__xludf.DUMMYFUNCTION("""COMPUTED_VALUE"""),1.0)</f>
        <v>1</v>
      </c>
      <c r="J812" s="11">
        <f>IFERROR(__xludf.DUMMYFUNCTION("""COMPUTED_VALUE"""),0.0)</f>
        <v>0</v>
      </c>
      <c r="K812" s="11">
        <f>IFERROR(__xludf.DUMMYFUNCTION("""COMPUTED_VALUE"""),0.0)</f>
        <v>0</v>
      </c>
      <c r="L812" s="11"/>
    </row>
    <row r="813" ht="15.75" customHeight="1">
      <c r="A813" s="10" t="str">
        <f>IFERROR(__xludf.DUMMYFUNCTION("""COMPUTED_VALUE"""),"https://www.designrush.com/agency/digital-marketing/digital-advertising/us")</f>
        <v>https://www.designrush.com/agency/digital-marketing/digital-advertising/us</v>
      </c>
      <c r="B813" s="11" t="str">
        <f>IFERROR(__xludf.DUMMYFUNCTION("""COMPUTED_VALUE"""),"Top Digital Advertising Agencies in the United States | 2026")</f>
        <v>Top Digital Advertising Agencies in the United States | 2026</v>
      </c>
      <c r="C813" s="10" t="str">
        <f>IFERROR(__xludf.DUMMYFUNCTION("""COMPUTED_VALUE"""),"designrush.com")</f>
        <v>designrush.com</v>
      </c>
      <c r="D813" s="11" t="str">
        <f>IFERROR(__xludf.DUMMYFUNCTION("""COMPUTED_VALUE"""),"CATEGORY_PAGE")</f>
        <v>CATEGORY_PAGE</v>
      </c>
      <c r="E813" s="11" t="str">
        <f>IFERROR(__xludf.DUMMYFUNCTION("""COMPUTED_VALUE"""),"CORPORATE")</f>
        <v>CORPORATE</v>
      </c>
      <c r="F813" s="11" t="str">
        <f>IFERROR(__xludf.DUMMYFUNCTION("""COMPUTED_VALUE"""),"Category Page")</f>
        <v>Category Page</v>
      </c>
      <c r="G813" s="11" t="b">
        <f>IFERROR(__xludf.DUMMYFUNCTION("""COMPUTED_VALUE"""),FALSE)</f>
        <v>0</v>
      </c>
      <c r="H813" s="11" t="str">
        <f>IFERROR(__xludf.DUMMYFUNCTION("""COMPUTED_VALUE"""),"Searchbloom, Funnel Boost Media, Huge, SmartSites, Disruptive Advertising, IBM, Silverback Strategies, Intero Digital, PwC, NinjaPromo, Elit-Web, Major Tom")</f>
        <v>Searchbloom, Funnel Boost Media, Huge, SmartSites, Disruptive Advertising, IBM, Silverback Strategies, Intero Digital, PwC, NinjaPromo, Elit-Web, Major Tom</v>
      </c>
      <c r="I813" s="11">
        <f>IFERROR(__xludf.DUMMYFUNCTION("""COMPUTED_VALUE"""),1.0)</f>
        <v>1</v>
      </c>
      <c r="J813" s="11">
        <f>IFERROR(__xludf.DUMMYFUNCTION("""COMPUTED_VALUE"""),0.0)</f>
        <v>0</v>
      </c>
      <c r="K813" s="11">
        <f>IFERROR(__xludf.DUMMYFUNCTION("""COMPUTED_VALUE"""),0.0)</f>
        <v>0</v>
      </c>
      <c r="L813" s="11"/>
    </row>
    <row r="814" ht="15.75" customHeight="1">
      <c r="A814" s="10" t="str">
        <f>IFERROR(__xludf.DUMMYFUNCTION("""COMPUTED_VALUE"""),"https://www.designrush.com/agency/media-buying-agencies/us")</f>
        <v>https://www.designrush.com/agency/media-buying-agencies/us</v>
      </c>
      <c r="B814" s="11" t="str">
        <f>IFERROR(__xludf.DUMMYFUNCTION("""COMPUTED_VALUE"""),"Top Media Buying Agencies in US 2026 | DesignRush")</f>
        <v>Top Media Buying Agencies in US 2026 | DesignRush</v>
      </c>
      <c r="C814" s="10" t="str">
        <f>IFERROR(__xludf.DUMMYFUNCTION("""COMPUTED_VALUE"""),"designrush.com")</f>
        <v>designrush.com</v>
      </c>
      <c r="D814" s="11" t="str">
        <f>IFERROR(__xludf.DUMMYFUNCTION("""COMPUTED_VALUE"""),"CATEGORY_PAGE")</f>
        <v>CATEGORY_PAGE</v>
      </c>
      <c r="E814" s="11" t="str">
        <f>IFERROR(__xludf.DUMMYFUNCTION("""COMPUTED_VALUE"""),"CORPORATE")</f>
        <v>CORPORATE</v>
      </c>
      <c r="F814" s="11" t="str">
        <f>IFERROR(__xludf.DUMMYFUNCTION("""COMPUTED_VALUE"""),"Category Page")</f>
        <v>Category Page</v>
      </c>
      <c r="G814" s="11" t="b">
        <f>IFERROR(__xludf.DUMMYFUNCTION("""COMPUTED_VALUE"""),FALSE)</f>
        <v>0</v>
      </c>
      <c r="H814" s="11" t="str">
        <f>IFERROR(__xludf.DUMMYFUNCTION("""COMPUTED_VALUE"""),"Searchbloom, AdVenture Media, Clutch, Nielsen, Web Tonic, Measured")</f>
        <v>Searchbloom, AdVenture Media, Clutch, Nielsen, Web Tonic, Measured</v>
      </c>
      <c r="I814" s="11">
        <f>IFERROR(__xludf.DUMMYFUNCTION("""COMPUTED_VALUE"""),1.0)</f>
        <v>1</v>
      </c>
      <c r="J814" s="11">
        <f>IFERROR(__xludf.DUMMYFUNCTION("""COMPUTED_VALUE"""),0.0)</f>
        <v>0</v>
      </c>
      <c r="K814" s="11">
        <f>IFERROR(__xludf.DUMMYFUNCTION("""COMPUTED_VALUE"""),0.0)</f>
        <v>0</v>
      </c>
      <c r="L814" s="11"/>
    </row>
    <row r="815" ht="15.75" customHeight="1">
      <c r="A815" s="10" t="str">
        <f>IFERROR(__xludf.DUMMYFUNCTION("""COMPUTED_VALUE"""),"https://deviatelabs.com/resources/12-best-performance-marketing-agencies-crushing-kpis/#:~:text=With%20%244B%20in%20digital%20media%20under%20management,achieve%20perfect%20harmony.%20What%20makes%20Tinuiti%20special%3F")</f>
        <v>https://deviatelabs.com/resources/12-best-performance-marketing-agencies-crushing-kpis/#:~:text=With%20%244B%20in%20digital%20media%20under%20management,achieve%20perfect%20harmony.%20What%20makes%20Tinuiti%20special%3F</v>
      </c>
      <c r="B815" s="11" t="str">
        <f>IFERROR(__xludf.DUMMYFUNCTION("""COMPUTED_VALUE"""),"12 Best Performance Marketing Agencies Crushing KPIs in 2026 \| Deviate Labs")</f>
        <v>12 Best Performance Marketing Agencies Crushing KPIs in 2026 \| Deviate Labs</v>
      </c>
      <c r="C815" s="10" t="str">
        <f>IFERROR(__xludf.DUMMYFUNCTION("""COMPUTED_VALUE"""),"deviatelabs.com")</f>
        <v>deviatelabs.com</v>
      </c>
      <c r="D815" s="11" t="str">
        <f>IFERROR(__xludf.DUMMYFUNCTION("""COMPUTED_VALUE"""),"LISTICLE")</f>
        <v>LISTICLE</v>
      </c>
      <c r="E815" s="11" t="str">
        <f>IFERROR(__xludf.DUMMYFUNCTION("""COMPUTED_VALUE"""),"CORPORATE")</f>
        <v>CORPORATE</v>
      </c>
      <c r="F815" s="11" t="str">
        <f>IFERROR(__xludf.DUMMYFUNCTION("""COMPUTED_VALUE"""),"Listicle")</f>
        <v>Listicle</v>
      </c>
      <c r="G815" s="11" t="b">
        <f>IFERROR(__xludf.DUMMYFUNCTION("""COMPUTED_VALUE"""),FALSE)</f>
        <v>0</v>
      </c>
      <c r="H815" s="11"/>
      <c r="I815" s="11">
        <f>IFERROR(__xludf.DUMMYFUNCTION("""COMPUTED_VALUE"""),1.0)</f>
        <v>1</v>
      </c>
      <c r="J815" s="11">
        <f>IFERROR(__xludf.DUMMYFUNCTION("""COMPUTED_VALUE"""),0.0)</f>
        <v>0</v>
      </c>
      <c r="K815" s="11">
        <f>IFERROR(__xludf.DUMMYFUNCTION("""COMPUTED_VALUE"""),1.0)</f>
        <v>1</v>
      </c>
      <c r="L815" s="11"/>
    </row>
    <row r="816" ht="15.75" customHeight="1">
      <c r="A816" s="10" t="str">
        <f>IFERROR(__xludf.DUMMYFUNCTION("""COMPUTED_VALUE"""),"https://diceus.com/top-generative-ai-consulting-companies/")</f>
        <v>https://diceus.com/top-generative-ai-consulting-companies/</v>
      </c>
      <c r="B816" s="11" t="str">
        <f>IFERROR(__xludf.DUMMYFUNCTION("""COMPUTED_VALUE"""),"Top 10 Generative AI Consulting Companies for 2026 \| DICEUS")</f>
        <v>Top 10 Generative AI Consulting Companies for 2026 \| DICEUS</v>
      </c>
      <c r="C816" s="10" t="str">
        <f>IFERROR(__xludf.DUMMYFUNCTION("""COMPUTED_VALUE"""),"diceus.com")</f>
        <v>diceus.com</v>
      </c>
      <c r="D816" s="11" t="str">
        <f>IFERROR(__xludf.DUMMYFUNCTION("""COMPUTED_VALUE"""),"LISTICLE")</f>
        <v>LISTICLE</v>
      </c>
      <c r="E816" s="11" t="str">
        <f>IFERROR(__xludf.DUMMYFUNCTION("""COMPUTED_VALUE"""),"CORPORATE")</f>
        <v>CORPORATE</v>
      </c>
      <c r="F816" s="11" t="str">
        <f>IFERROR(__xludf.DUMMYFUNCTION("""COMPUTED_VALUE"""),"Listicle")</f>
        <v>Listicle</v>
      </c>
      <c r="G816" s="11" t="b">
        <f>IFERROR(__xludf.DUMMYFUNCTION("""COMPUTED_VALUE"""),FALSE)</f>
        <v>0</v>
      </c>
      <c r="H816" s="11" t="str">
        <f>IFERROR(__xludf.DUMMYFUNCTION("""COMPUTED_VALUE"""),"McKinsey, QuantumBlack, PwC, IBM, Clutch")</f>
        <v>McKinsey, QuantumBlack, PwC, IBM, Clutch</v>
      </c>
      <c r="I816" s="11">
        <f>IFERROR(__xludf.DUMMYFUNCTION("""COMPUTED_VALUE"""),1.0)</f>
        <v>1</v>
      </c>
      <c r="J816" s="11">
        <f>IFERROR(__xludf.DUMMYFUNCTION("""COMPUTED_VALUE"""),0.0)</f>
        <v>0</v>
      </c>
      <c r="K816" s="11">
        <f>IFERROR(__xludf.DUMMYFUNCTION("""COMPUTED_VALUE"""),1.0)</f>
        <v>1</v>
      </c>
      <c r="L816" s="11"/>
    </row>
    <row r="817" ht="15.75" customHeight="1">
      <c r="A817" s="10" t="str">
        <f>IFERROR(__xludf.DUMMYFUNCTION("""COMPUTED_VALUE"""),"https://www.digidir.com/digital-marketing-service-in-usa/")</f>
        <v>https://www.digidir.com/digital-marketing-service-in-usa/</v>
      </c>
      <c r="B817" s="11" t="str">
        <f>IFERROR(__xludf.DUMMYFUNCTION("""COMPUTED_VALUE"""),"Digital Marketing Agency in USA | Best Advertising and Social Media Service Provider Company USA")</f>
        <v>Digital Marketing Agency in USA | Best Advertising and Social Media Service Provider Company USA</v>
      </c>
      <c r="C817" s="10" t="str">
        <f>IFERROR(__xludf.DUMMYFUNCTION("""COMPUTED_VALUE"""),"digidir.com")</f>
        <v>digidir.com</v>
      </c>
      <c r="D817" s="11" t="str">
        <f>IFERROR(__xludf.DUMMYFUNCTION("""COMPUTED_VALUE"""),"PRODUCT_PAGE")</f>
        <v>PRODUCT_PAGE</v>
      </c>
      <c r="E817" s="11" t="str">
        <f>IFERROR(__xludf.DUMMYFUNCTION("""COMPUTED_VALUE"""),"CORPORATE")</f>
        <v>CORPORATE</v>
      </c>
      <c r="F817" s="11" t="str">
        <f>IFERROR(__xludf.DUMMYFUNCTION("""COMPUTED_VALUE"""),"Product Page")</f>
        <v>Product Page</v>
      </c>
      <c r="G817" s="11" t="b">
        <f>IFERROR(__xludf.DUMMYFUNCTION("""COMPUTED_VALUE"""),FALSE)</f>
        <v>0</v>
      </c>
      <c r="H817" s="11"/>
      <c r="I817" s="11">
        <f>IFERROR(__xludf.DUMMYFUNCTION("""COMPUTED_VALUE"""),1.0)</f>
        <v>1</v>
      </c>
      <c r="J817" s="11">
        <f>IFERROR(__xludf.DUMMYFUNCTION("""COMPUTED_VALUE"""),0.0)</f>
        <v>0</v>
      </c>
      <c r="K817" s="11">
        <f>IFERROR(__xludf.DUMMYFUNCTION("""COMPUTED_VALUE"""),1.0)</f>
        <v>1</v>
      </c>
      <c r="L817" s="11"/>
    </row>
    <row r="818" ht="15.75" customHeight="1">
      <c r="A818" s="10" t="str">
        <f>IFERROR(__xludf.DUMMYFUNCTION("""COMPUTED_VALUE"""),"https://digital-hunch.com/blog/best-fractional-cmo-companies/")</f>
        <v>https://digital-hunch.com/blog/best-fractional-cmo-companies/</v>
      </c>
      <c r="B818" s="11" t="str">
        <f>IFERROR(__xludf.DUMMYFUNCTION("""COMPUTED_VALUE"""),"Best Fractional CMO Companies | Clutch-Verified List 2026")</f>
        <v>Best Fractional CMO Companies | Clutch-Verified List 2026</v>
      </c>
      <c r="C818" s="10" t="str">
        <f>IFERROR(__xludf.DUMMYFUNCTION("""COMPUTED_VALUE"""),"digital-hunch.com")</f>
        <v>digital-hunch.com</v>
      </c>
      <c r="D818" s="11" t="str">
        <f>IFERROR(__xludf.DUMMYFUNCTION("""COMPUTED_VALUE"""),"LISTICLE")</f>
        <v>LISTICLE</v>
      </c>
      <c r="E818" s="11" t="str">
        <f>IFERROR(__xludf.DUMMYFUNCTION("""COMPUTED_VALUE"""),"CORPORATE")</f>
        <v>CORPORATE</v>
      </c>
      <c r="F818" s="11" t="str">
        <f>IFERROR(__xludf.DUMMYFUNCTION("""COMPUTED_VALUE"""),"Listicle")</f>
        <v>Listicle</v>
      </c>
      <c r="G818" s="11" t="b">
        <f>IFERROR(__xludf.DUMMYFUNCTION("""COMPUTED_VALUE"""),FALSE)</f>
        <v>0</v>
      </c>
      <c r="H818" s="11" t="str">
        <f>IFERROR(__xludf.DUMMYFUNCTION("""COMPUTED_VALUE"""),"Clutch, NoGood, Momentum")</f>
        <v>Clutch, NoGood, Momentum</v>
      </c>
      <c r="I818" s="11">
        <f>IFERROR(__xludf.DUMMYFUNCTION("""COMPUTED_VALUE"""),1.0)</f>
        <v>1</v>
      </c>
      <c r="J818" s="11">
        <f>IFERROR(__xludf.DUMMYFUNCTION("""COMPUTED_VALUE"""),0.0)</f>
        <v>0</v>
      </c>
      <c r="K818" s="11">
        <f>IFERROR(__xludf.DUMMYFUNCTION("""COMPUTED_VALUE"""),1.0)</f>
        <v>1</v>
      </c>
      <c r="L818" s="11"/>
    </row>
    <row r="819" ht="15.75" customHeight="1">
      <c r="A819" s="10" t="str">
        <f>IFERROR(__xludf.DUMMYFUNCTION("""COMPUTED_VALUE"""),"https://digitalagencynetwork.com/agencies/san-diego/")</f>
        <v>https://digitalagencynetwork.com/agencies/san-diego/</v>
      </c>
      <c r="B819" s="11" t="str">
        <f>IFERROR(__xludf.DUMMYFUNCTION("""COMPUTED_VALUE"""),"Best Digital Marketing Agencies in San Diego | Digital Agency Network")</f>
        <v>Best Digital Marketing Agencies in San Diego | Digital Agency Network</v>
      </c>
      <c r="C819" s="10" t="str">
        <f>IFERROR(__xludf.DUMMYFUNCTION("""COMPUTED_VALUE"""),"digitalagencynetwork.com")</f>
        <v>digitalagencynetwork.com</v>
      </c>
      <c r="D819" s="11" t="str">
        <f>IFERROR(__xludf.DUMMYFUNCTION("""COMPUTED_VALUE"""),"CATEGORY_PAGE")</f>
        <v>CATEGORY_PAGE</v>
      </c>
      <c r="E819" s="11" t="str">
        <f>IFERROR(__xludf.DUMMYFUNCTION("""COMPUTED_VALUE"""),"REFERENCE")</f>
        <v>REFERENCE</v>
      </c>
      <c r="F819" s="11" t="str">
        <f>IFERROR(__xludf.DUMMYFUNCTION("""COMPUTED_VALUE"""),"Category Page")</f>
        <v>Category Page</v>
      </c>
      <c r="G819" s="11" t="b">
        <f>IFERROR(__xludf.DUMMYFUNCTION("""COMPUTED_VALUE"""),FALSE)</f>
        <v>0</v>
      </c>
      <c r="H819" s="11" t="str">
        <f>IFERROR(__xludf.DUMMYFUNCTION("""COMPUTED_VALUE"""),"Ignite Visibility, SmartSites, Amsive, Power Digital, Storm Brain")</f>
        <v>Ignite Visibility, SmartSites, Amsive, Power Digital, Storm Brain</v>
      </c>
      <c r="I819" s="11">
        <f>IFERROR(__xludf.DUMMYFUNCTION("""COMPUTED_VALUE"""),1.0)</f>
        <v>1</v>
      </c>
      <c r="J819" s="11">
        <f>IFERROR(__xludf.DUMMYFUNCTION("""COMPUTED_VALUE"""),0.0)</f>
        <v>0</v>
      </c>
      <c r="K819" s="11">
        <f>IFERROR(__xludf.DUMMYFUNCTION("""COMPUTED_VALUE"""),1.0)</f>
        <v>1</v>
      </c>
      <c r="L819" s="11"/>
    </row>
    <row r="820" ht="15.75" customHeight="1">
      <c r="A820" s="10" t="str">
        <f>IFERROR(__xludf.DUMMYFUNCTION("""COMPUTED_VALUE"""),"https://digitalagencynetwork.com/agencies/usa/industry/travel-tourism/")</f>
        <v>https://digitalagencynetwork.com/agencies/usa/industry/travel-tourism/</v>
      </c>
      <c r="B820" s="11" t="str">
        <f>IFERROR(__xludf.DUMMYFUNCTION("""COMPUTED_VALUE"""),"Top Travel &amp;amp; Tourism Marketing Agencies in USA | Digital Agency Network")</f>
        <v>Top Travel &amp;amp; Tourism Marketing Agencies in USA | Digital Agency Network</v>
      </c>
      <c r="C820" s="10" t="str">
        <f>IFERROR(__xludf.DUMMYFUNCTION("""COMPUTED_VALUE"""),"digitalagencynetwork.com")</f>
        <v>digitalagencynetwork.com</v>
      </c>
      <c r="D820" s="11" t="str">
        <f>IFERROR(__xludf.DUMMYFUNCTION("""COMPUTED_VALUE"""),"CATEGORY_PAGE")</f>
        <v>CATEGORY_PAGE</v>
      </c>
      <c r="E820" s="11" t="str">
        <f>IFERROR(__xludf.DUMMYFUNCTION("""COMPUTED_VALUE"""),"REFERENCE")</f>
        <v>REFERENCE</v>
      </c>
      <c r="F820" s="11" t="str">
        <f>IFERROR(__xludf.DUMMYFUNCTION("""COMPUTED_VALUE"""),"Category Page")</f>
        <v>Category Page</v>
      </c>
      <c r="G820" s="11" t="b">
        <f>IFERROR(__xludf.DUMMYFUNCTION("""COMPUTED_VALUE"""),FALSE)</f>
        <v>0</v>
      </c>
      <c r="H820" s="11" t="str">
        <f>IFERROR(__xludf.DUMMYFUNCTION("""COMPUTED_VALUE"""),"Victorious, BCG, Monks, Web Tonic, Major Tom, PwC")</f>
        <v>Victorious, BCG, Monks, Web Tonic, Major Tom, PwC</v>
      </c>
      <c r="I820" s="11">
        <f>IFERROR(__xludf.DUMMYFUNCTION("""COMPUTED_VALUE"""),1.0)</f>
        <v>1</v>
      </c>
      <c r="J820" s="11">
        <f>IFERROR(__xludf.DUMMYFUNCTION("""COMPUTED_VALUE"""),0.0)</f>
        <v>0</v>
      </c>
      <c r="K820" s="11">
        <f>IFERROR(__xludf.DUMMYFUNCTION("""COMPUTED_VALUE"""),1.0)</f>
        <v>1</v>
      </c>
      <c r="L820" s="11"/>
    </row>
    <row r="821" ht="15.75" customHeight="1">
      <c r="A821" s="10" t="str">
        <f>IFERROR(__xludf.DUMMYFUNCTION("""COMPUTED_VALUE"""),"https://digitalagencynetwork.com/geo-agency/")</f>
        <v>https://digitalagencynetwork.com/geo-agency/</v>
      </c>
      <c r="B821" s="11" t="str">
        <f>IFERROR(__xludf.DUMMYFUNCTION("""COMPUTED_VALUE"""),"What is a GEO Agency? Top 10 GEO Agencies Leading AI Search Optimization")</f>
        <v>What is a GEO Agency? Top 10 GEO Agencies Leading AI Search Optimization</v>
      </c>
      <c r="C821" s="10" t="str">
        <f>IFERROR(__xludf.DUMMYFUNCTION("""COMPUTED_VALUE"""),"digitalagencynetwork.com")</f>
        <v>digitalagencynetwork.com</v>
      </c>
      <c r="D821" s="11" t="str">
        <f>IFERROR(__xludf.DUMMYFUNCTION("""COMPUTED_VALUE"""),"ARTICLE")</f>
        <v>ARTICLE</v>
      </c>
      <c r="E821" s="11" t="str">
        <f>IFERROR(__xludf.DUMMYFUNCTION("""COMPUTED_VALUE"""),"REFERENCE")</f>
        <v>REFERENCE</v>
      </c>
      <c r="F821" s="11" t="str">
        <f>IFERROR(__xludf.DUMMYFUNCTION("""COMPUTED_VALUE"""),"Article")</f>
        <v>Article</v>
      </c>
      <c r="G821" s="11" t="b">
        <f>IFERROR(__xludf.DUMMYFUNCTION("""COMPUTED_VALUE"""),FALSE)</f>
        <v>0</v>
      </c>
      <c r="H821" s="11" t="str">
        <f>IFERROR(__xludf.DUMMYFUNCTION("""COMPUTED_VALUE"""),"McKinsey, QuantumBlack, BCG, Major Tom, SmartSites, The SEO Works")</f>
        <v>McKinsey, QuantumBlack, BCG, Major Tom, SmartSites, The SEO Works</v>
      </c>
      <c r="I821" s="11">
        <f>IFERROR(__xludf.DUMMYFUNCTION("""COMPUTED_VALUE"""),1.0)</f>
        <v>1</v>
      </c>
      <c r="J821" s="11">
        <f>IFERROR(__xludf.DUMMYFUNCTION("""COMPUTED_VALUE"""),0.0)</f>
        <v>0</v>
      </c>
      <c r="K821" s="11">
        <f>IFERROR(__xludf.DUMMYFUNCTION("""COMPUTED_VALUE"""),2.0)</f>
        <v>2</v>
      </c>
      <c r="L821" s="11"/>
    </row>
    <row r="822" ht="15.75" customHeight="1">
      <c r="A822" s="10" t="str">
        <f>IFERROR(__xludf.DUMMYFUNCTION("""COMPUTED_VALUE"""),"https://www.digitalreference.co/insights/marketing-professionals/best-marketing-companies-firms-in-the-usa")</f>
        <v>https://www.digitalreference.co/insights/marketing-professionals/best-marketing-companies-firms-in-the-usa</v>
      </c>
      <c r="B822" s="11" t="str">
        <f>IFERROR(__xludf.DUMMYFUNCTION("""COMPUTED_VALUE"""),"Best Marketing Companies &amp;amp; Agencies in the USA")</f>
        <v>Best Marketing Companies &amp;amp; Agencies in the USA</v>
      </c>
      <c r="C822" s="10" t="str">
        <f>IFERROR(__xludf.DUMMYFUNCTION("""COMPUTED_VALUE"""),"digitalreference.co")</f>
        <v>digitalreference.co</v>
      </c>
      <c r="D822" s="11" t="str">
        <f>IFERROR(__xludf.DUMMYFUNCTION("""COMPUTED_VALUE"""),"LISTICLE")</f>
        <v>LISTICLE</v>
      </c>
      <c r="E822" s="11" t="str">
        <f>IFERROR(__xludf.DUMMYFUNCTION("""COMPUTED_VALUE"""),"UGC")</f>
        <v>UGC</v>
      </c>
      <c r="F822" s="11" t="str">
        <f>IFERROR(__xludf.DUMMYFUNCTION("""COMPUTED_VALUE"""),"Listicle")</f>
        <v>Listicle</v>
      </c>
      <c r="G822" s="11" t="b">
        <f>IFERROR(__xludf.DUMMYFUNCTION("""COMPUTED_VALUE"""),FALSE)</f>
        <v>0</v>
      </c>
      <c r="H822" s="11" t="str">
        <f>IFERROR(__xludf.DUMMYFUNCTION("""COMPUTED_VALUE"""),"Momentum")</f>
        <v>Momentum</v>
      </c>
      <c r="I822" s="11">
        <f>IFERROR(__xludf.DUMMYFUNCTION("""COMPUTED_VALUE"""),1.0)</f>
        <v>1</v>
      </c>
      <c r="J822" s="11">
        <f>IFERROR(__xludf.DUMMYFUNCTION("""COMPUTED_VALUE"""),0.0)</f>
        <v>0</v>
      </c>
      <c r="K822" s="11">
        <f>IFERROR(__xludf.DUMMYFUNCTION("""COMPUTED_VALUE"""),0.0)</f>
        <v>0</v>
      </c>
      <c r="L822" s="11"/>
    </row>
    <row r="823" ht="15.75" customHeight="1">
      <c r="A823" s="10" t="str">
        <f>IFERROR(__xludf.DUMMYFUNCTION("""COMPUTED_VALUE"""),"https://www.digitalsilk.com/branding-agency/branding-trends/best-branding-agencies/")</f>
        <v>https://www.digitalsilk.com/branding-agency/branding-trends/best-branding-agencies/</v>
      </c>
      <c r="B823" s="11" t="str">
        <f>IFERROR(__xludf.DUMMYFUNCTION("""COMPUTED_VALUE"""),"Top Branding Agency For Growing Brands \| Digital Silk")</f>
        <v>Top Branding Agency For Growing Brands \| Digital Silk</v>
      </c>
      <c r="C823" s="10" t="str">
        <f>IFERROR(__xludf.DUMMYFUNCTION("""COMPUTED_VALUE"""),"digitalsilk.com")</f>
        <v>digitalsilk.com</v>
      </c>
      <c r="D823" s="11" t="str">
        <f>IFERROR(__xludf.DUMMYFUNCTION("""COMPUTED_VALUE"""),"LISTICLE")</f>
        <v>LISTICLE</v>
      </c>
      <c r="E823" s="11" t="str">
        <f>IFERROR(__xludf.DUMMYFUNCTION("""COMPUTED_VALUE"""),"CORPORATE")</f>
        <v>CORPORATE</v>
      </c>
      <c r="F823" s="11" t="str">
        <f>IFERROR(__xludf.DUMMYFUNCTION("""COMPUTED_VALUE"""),"Listicle")</f>
        <v>Listicle</v>
      </c>
      <c r="G823" s="11" t="b">
        <f>IFERROR(__xludf.DUMMYFUNCTION("""COMPUTED_VALUE"""),FALSE)</f>
        <v>0</v>
      </c>
      <c r="H823" s="11" t="str">
        <f>IFERROR(__xludf.DUMMYFUNCTION("""COMPUTED_VALUE"""),"IBM, Clutch")</f>
        <v>IBM, Clutch</v>
      </c>
      <c r="I823" s="11">
        <f>IFERROR(__xludf.DUMMYFUNCTION("""COMPUTED_VALUE"""),1.0)</f>
        <v>1</v>
      </c>
      <c r="J823" s="11">
        <f>IFERROR(__xludf.DUMMYFUNCTION("""COMPUTED_VALUE"""),0.0)</f>
        <v>0</v>
      </c>
      <c r="K823" s="11">
        <f>IFERROR(__xludf.DUMMYFUNCTION("""COMPUTED_VALUE"""),2.0)</f>
        <v>2</v>
      </c>
      <c r="L823" s="11"/>
    </row>
    <row r="824" ht="15.75" customHeight="1">
      <c r="A824" s="10" t="str">
        <f>IFERROR(__xludf.DUMMYFUNCTION("""COMPUTED_VALUE"""),"https://directiveconsulting.com/blog/27-seo-agencies-built-for-b2b-growth-2026/")</f>
        <v>https://directiveconsulting.com/blog/27-seo-agencies-built-for-b2b-growth-2026/</v>
      </c>
      <c r="B824" s="11" t="str">
        <f>IFERROR(__xludf.DUMMYFUNCTION("""COMPUTED_VALUE"""),"27 Best SEO Agencies For B2B - Directive")</f>
        <v>27 Best SEO Agencies For B2B - Directive</v>
      </c>
      <c r="C824" s="10" t="str">
        <f>IFERROR(__xludf.DUMMYFUNCTION("""COMPUTED_VALUE"""),"directiveconsulting.com")</f>
        <v>directiveconsulting.com</v>
      </c>
      <c r="D824" s="11" t="str">
        <f>IFERROR(__xludf.DUMMYFUNCTION("""COMPUTED_VALUE"""),"LISTICLE")</f>
        <v>LISTICLE</v>
      </c>
      <c r="E824" s="11" t="str">
        <f>IFERROR(__xludf.DUMMYFUNCTION("""COMPUTED_VALUE"""),"COMPETITOR")</f>
        <v>COMPETITOR</v>
      </c>
      <c r="F824" s="11" t="str">
        <f>IFERROR(__xludf.DUMMYFUNCTION("""COMPUTED_VALUE"""),"Listicle")</f>
        <v>Listicle</v>
      </c>
      <c r="G824" s="11" t="b">
        <f>IFERROR(__xludf.DUMMYFUNCTION("""COMPUTED_VALUE"""),FALSE)</f>
        <v>0</v>
      </c>
      <c r="H824" s="11" t="str">
        <f>IFERROR(__xludf.DUMMYFUNCTION("""COMPUTED_VALUE"""),"Directive, iPullRank, Omniscient Digital, Siege Media, RevenueZen, First Page Sage, Animalz, Amsive, Ignite Visibility, WebFX, Victorious, Silverback Strategies, Intero Digital, Clutch")</f>
        <v>Directive, iPullRank, Omniscient Digital, Siege Media, RevenueZen, First Page Sage, Animalz, Amsive, Ignite Visibility, WebFX, Victorious, Silverback Strategies, Intero Digital, Clutch</v>
      </c>
      <c r="I824" s="11">
        <f>IFERROR(__xludf.DUMMYFUNCTION("""COMPUTED_VALUE"""),1.0)</f>
        <v>1</v>
      </c>
      <c r="J824" s="11">
        <f>IFERROR(__xludf.DUMMYFUNCTION("""COMPUTED_VALUE"""),0.0)</f>
        <v>0</v>
      </c>
      <c r="K824" s="11">
        <f>IFERROR(__xludf.DUMMYFUNCTION("""COMPUTED_VALUE"""),1.0)</f>
        <v>1</v>
      </c>
      <c r="L824" s="11"/>
    </row>
    <row r="825" ht="15.75" customHeight="1">
      <c r="A825" s="10" t="str">
        <f>IFERROR(__xludf.DUMMYFUNCTION("""COMPUTED_VALUE"""),"https://directiveconsulting.com/blog/performance-marketing-agencies/")</f>
        <v>https://directiveconsulting.com/blog/performance-marketing-agencies/</v>
      </c>
      <c r="B825" s="11" t="str">
        <f>IFERROR(__xludf.DUMMYFUNCTION("""COMPUTED_VALUE"""),"5 Top Performance Marketing Agencies Celebrating 10+ Years - Directive")</f>
        <v>5 Top Performance Marketing Agencies Celebrating 10+ Years - Directive</v>
      </c>
      <c r="C825" s="10" t="str">
        <f>IFERROR(__xludf.DUMMYFUNCTION("""COMPUTED_VALUE"""),"directiveconsulting.com")</f>
        <v>directiveconsulting.com</v>
      </c>
      <c r="D825" s="11" t="str">
        <f>IFERROR(__xludf.DUMMYFUNCTION("""COMPUTED_VALUE"""),"LISTICLE")</f>
        <v>LISTICLE</v>
      </c>
      <c r="E825" s="11" t="str">
        <f>IFERROR(__xludf.DUMMYFUNCTION("""COMPUTED_VALUE"""),"COMPETITOR")</f>
        <v>COMPETITOR</v>
      </c>
      <c r="F825" s="11" t="str">
        <f>IFERROR(__xludf.DUMMYFUNCTION("""COMPUTED_VALUE"""),"Listicle")</f>
        <v>Listicle</v>
      </c>
      <c r="G825" s="11" t="b">
        <f>IFERROR(__xludf.DUMMYFUNCTION("""COMPUTED_VALUE"""),FALSE)</f>
        <v>0</v>
      </c>
      <c r="H825" s="11" t="str">
        <f>IFERROR(__xludf.DUMMYFUNCTION("""COMPUTED_VALUE"""),"Directive, Single Grain, Tinuiti, Wpromote, Clutch")</f>
        <v>Directive, Single Grain, Tinuiti, Wpromote, Clutch</v>
      </c>
      <c r="I825" s="11">
        <f>IFERROR(__xludf.DUMMYFUNCTION("""COMPUTED_VALUE"""),1.0)</f>
        <v>1</v>
      </c>
      <c r="J825" s="11">
        <f>IFERROR(__xludf.DUMMYFUNCTION("""COMPUTED_VALUE"""),0.0)</f>
        <v>0</v>
      </c>
      <c r="K825" s="11">
        <f>IFERROR(__xludf.DUMMYFUNCTION("""COMPUTED_VALUE"""),1.0)</f>
        <v>1</v>
      </c>
      <c r="L825" s="11"/>
    </row>
    <row r="826" ht="15.75" customHeight="1">
      <c r="A826" s="10" t="str">
        <f>IFERROR(__xludf.DUMMYFUNCTION("""COMPUTED_VALUE"""),"https://disruptiveadvertising.com/blog/business/top-digital-marketing-agencies-in-utah/")</f>
        <v>https://disruptiveadvertising.com/blog/business/top-digital-marketing-agencies-in-utah/</v>
      </c>
      <c r="B826" s="11" t="str">
        <f>IFERROR(__xludf.DUMMYFUNCTION("""COMPUTED_VALUE"""),"Top Digital Marketing Agencies in Utah for 2026 | Disruptive Advertising")</f>
        <v>Top Digital Marketing Agencies in Utah for 2026 | Disruptive Advertising</v>
      </c>
      <c r="C826" s="10" t="str">
        <f>IFERROR(__xludf.DUMMYFUNCTION("""COMPUTED_VALUE"""),"disruptiveadvertising.com")</f>
        <v>disruptiveadvertising.com</v>
      </c>
      <c r="D826" s="11" t="str">
        <f>IFERROR(__xludf.DUMMYFUNCTION("""COMPUTED_VALUE"""),"LISTICLE")</f>
        <v>LISTICLE</v>
      </c>
      <c r="E826" s="11" t="str">
        <f>IFERROR(__xludf.DUMMYFUNCTION("""COMPUTED_VALUE"""),"COMPETITOR")</f>
        <v>COMPETITOR</v>
      </c>
      <c r="F826" s="11" t="str">
        <f>IFERROR(__xludf.DUMMYFUNCTION("""COMPUTED_VALUE"""),"Listicle")</f>
        <v>Listicle</v>
      </c>
      <c r="G826" s="11" t="b">
        <f>IFERROR(__xludf.DUMMYFUNCTION("""COMPUTED_VALUE"""),FALSE)</f>
        <v>0</v>
      </c>
      <c r="H826" s="11" t="str">
        <f>IFERROR(__xludf.DUMMYFUNCTION("""COMPUTED_VALUE"""),"Disruptive Advertising, Searchbloom, Funnel Boost Media, Huge")</f>
        <v>Disruptive Advertising, Searchbloom, Funnel Boost Media, Huge</v>
      </c>
      <c r="I826" s="11">
        <f>IFERROR(__xludf.DUMMYFUNCTION("""COMPUTED_VALUE"""),1.0)</f>
        <v>1</v>
      </c>
      <c r="J826" s="11">
        <f>IFERROR(__xludf.DUMMYFUNCTION("""COMPUTED_VALUE"""),0.0)</f>
        <v>0</v>
      </c>
      <c r="K826" s="11">
        <f>IFERROR(__xludf.DUMMYFUNCTION("""COMPUTED_VALUE"""),1.0)</f>
        <v>1</v>
      </c>
      <c r="L826" s="11"/>
    </row>
    <row r="827" ht="15.75" customHeight="1">
      <c r="A827" s="10" t="str">
        <f>IFERROR(__xludf.DUMMYFUNCTION("""COMPUTED_VALUE"""),"https://disruptiveadvertising.com/blog/marketing/top-generative-engine-optimization-geo-agencies-in-2026/")</f>
        <v>https://disruptiveadvertising.com/blog/marketing/top-generative-engine-optimization-geo-agencies-in-2026/</v>
      </c>
      <c r="B827" s="11" t="str">
        <f>IFERROR(__xludf.DUMMYFUNCTION("""COMPUTED_VALUE"""),"Top GEO Agencies In 2026 | Disruptive Advertising")</f>
        <v>Top GEO Agencies In 2026 | Disruptive Advertising</v>
      </c>
      <c r="C827" s="10" t="str">
        <f>IFERROR(__xludf.DUMMYFUNCTION("""COMPUTED_VALUE"""),"disruptiveadvertising.com")</f>
        <v>disruptiveadvertising.com</v>
      </c>
      <c r="D827" s="11" t="str">
        <f>IFERROR(__xludf.DUMMYFUNCTION("""COMPUTED_VALUE"""),"LISTICLE")</f>
        <v>LISTICLE</v>
      </c>
      <c r="E827" s="11" t="str">
        <f>IFERROR(__xludf.DUMMYFUNCTION("""COMPUTED_VALUE"""),"COMPETITOR")</f>
        <v>COMPETITOR</v>
      </c>
      <c r="F827" s="11" t="str">
        <f>IFERROR(__xludf.DUMMYFUNCTION("""COMPUTED_VALUE"""),"Listicle")</f>
        <v>Listicle</v>
      </c>
      <c r="G827" s="11" t="b">
        <f>IFERROR(__xludf.DUMMYFUNCTION("""COMPUTED_VALUE"""),FALSE)</f>
        <v>0</v>
      </c>
      <c r="H827" s="11" t="str">
        <f>IFERROR(__xludf.DUMMYFUNCTION("""COMPUTED_VALUE"""),"Disruptive Advertising, Elit-Web, Ignite Visibility, Thrive Internet Marketing Agency, Avenue Z, Victorious")</f>
        <v>Disruptive Advertising, Elit-Web, Ignite Visibility, Thrive Internet Marketing Agency, Avenue Z, Victorious</v>
      </c>
      <c r="I827" s="11">
        <f>IFERROR(__xludf.DUMMYFUNCTION("""COMPUTED_VALUE"""),1.0)</f>
        <v>1</v>
      </c>
      <c r="J827" s="11">
        <f>IFERROR(__xludf.DUMMYFUNCTION("""COMPUTED_VALUE"""),0.0)</f>
        <v>0</v>
      </c>
      <c r="K827" s="11">
        <f>IFERROR(__xludf.DUMMYFUNCTION("""COMPUTED_VALUE"""),1.0)</f>
        <v>1</v>
      </c>
      <c r="L827" s="11"/>
    </row>
    <row r="828" ht="15.75" customHeight="1">
      <c r="A828" s="10" t="str">
        <f>IFERROR(__xludf.DUMMYFUNCTION("""COMPUTED_VALUE"""),"https://www.dslxcontent.com/blog/saas-marketing-agencies")</f>
        <v>https://www.dslxcontent.com/blog/saas-marketing-agencies</v>
      </c>
      <c r="B828" s="11" t="str">
        <f>IFERROR(__xludf.DUMMYFUNCTION("""COMPUTED_VALUE"""),"The 10 Best SaaS Marketing Agencies to Supercharge Your Growth | dslx")</f>
        <v>The 10 Best SaaS Marketing Agencies to Supercharge Your Growth | dslx</v>
      </c>
      <c r="C828" s="10" t="str">
        <f>IFERROR(__xludf.DUMMYFUNCTION("""COMPUTED_VALUE"""),"dslxcontent.com")</f>
        <v>dslxcontent.com</v>
      </c>
      <c r="D828" s="11" t="str">
        <f>IFERROR(__xludf.DUMMYFUNCTION("""COMPUTED_VALUE"""),"LISTICLE")</f>
        <v>LISTICLE</v>
      </c>
      <c r="E828" s="11" t="str">
        <f>IFERROR(__xludf.DUMMYFUNCTION("""COMPUTED_VALUE"""),"OTHER")</f>
        <v>OTHER</v>
      </c>
      <c r="F828" s="11" t="str">
        <f>IFERROR(__xludf.DUMMYFUNCTION("""COMPUTED_VALUE"""),"Listicle")</f>
        <v>Listicle</v>
      </c>
      <c r="G828" s="11" t="b">
        <f>IFERROR(__xludf.DUMMYFUNCTION("""COMPUTED_VALUE"""),FALSE)</f>
        <v>0</v>
      </c>
      <c r="H828" s="11" t="str">
        <f>IFERROR(__xludf.DUMMYFUNCTION("""COMPUTED_VALUE"""),"Momentum, NP Digital, Monks")</f>
        <v>Momentum, NP Digital, Monks</v>
      </c>
      <c r="I828" s="11">
        <f>IFERROR(__xludf.DUMMYFUNCTION("""COMPUTED_VALUE"""),1.0)</f>
        <v>1</v>
      </c>
      <c r="J828" s="11">
        <f>IFERROR(__xludf.DUMMYFUNCTION("""COMPUTED_VALUE"""),0.0)</f>
        <v>0</v>
      </c>
      <c r="K828" s="11">
        <f>IFERROR(__xludf.DUMMYFUNCTION("""COMPUTED_VALUE"""),0.0)</f>
        <v>0</v>
      </c>
      <c r="L828" s="11"/>
    </row>
    <row r="829" ht="15.75" customHeight="1">
      <c r="A829" s="10" t="str">
        <f>IFERROR(__xludf.DUMMYFUNCTION("""COMPUTED_VALUE"""),"https://www.ebaqdesign.com/blog/top-branding-agencies")</f>
        <v>https://www.ebaqdesign.com/blog/top-branding-agencies</v>
      </c>
      <c r="B829" s="11" t="str">
        <f>IFERROR(__xludf.DUMMYFUNCTION("""COMPUTED_VALUE"""),"Top 30 Branding Agencies in 2026 (Expert Rankings)")</f>
        <v>Top 30 Branding Agencies in 2026 (Expert Rankings)</v>
      </c>
      <c r="C829" s="10" t="str">
        <f>IFERROR(__xludf.DUMMYFUNCTION("""COMPUTED_VALUE"""),"ebaqdesign.com")</f>
        <v>ebaqdesign.com</v>
      </c>
      <c r="D829" s="11" t="str">
        <f>IFERROR(__xludf.DUMMYFUNCTION("""COMPUTED_VALUE"""),"LISTICLE")</f>
        <v>LISTICLE</v>
      </c>
      <c r="E829" s="11" t="str">
        <f>IFERROR(__xludf.DUMMYFUNCTION("""COMPUTED_VALUE"""),"CORPORATE")</f>
        <v>CORPORATE</v>
      </c>
      <c r="F829" s="11" t="str">
        <f>IFERROR(__xludf.DUMMYFUNCTION("""COMPUTED_VALUE"""),"Listicle")</f>
        <v>Listicle</v>
      </c>
      <c r="G829" s="11" t="b">
        <f>IFERROR(__xludf.DUMMYFUNCTION("""COMPUTED_VALUE"""),FALSE)</f>
        <v>0</v>
      </c>
      <c r="H829" s="11" t="str">
        <f>IFERROR(__xludf.DUMMYFUNCTION("""COMPUTED_VALUE"""),"Pentagram, WPP")</f>
        <v>Pentagram, WPP</v>
      </c>
      <c r="I829" s="11">
        <f>IFERROR(__xludf.DUMMYFUNCTION("""COMPUTED_VALUE"""),1.0)</f>
        <v>1</v>
      </c>
      <c r="J829" s="11">
        <f>IFERROR(__xludf.DUMMYFUNCTION("""COMPUTED_VALUE"""),0.0)</f>
        <v>0</v>
      </c>
      <c r="K829" s="11">
        <f>IFERROR(__xludf.DUMMYFUNCTION("""COMPUTED_VALUE"""),1.0)</f>
        <v>1</v>
      </c>
      <c r="L829" s="11"/>
    </row>
    <row r="830" ht="15.75" customHeight="1">
      <c r="A830" s="10" t="str">
        <f>IFERROR(__xludf.DUMMYFUNCTION("""COMPUTED_VALUE"""),"https://echo-factory.com/the-12-best-pr-agencies-in-los-angeles/")</f>
        <v>https://echo-factory.com/the-12-best-pr-agencies-in-los-angeles/</v>
      </c>
      <c r="B830" s="11" t="str">
        <f>IFERROR(__xludf.DUMMYFUNCTION("""COMPUTED_VALUE"""),"Top Los Angeles Area Media Relations and PR Agencies in 2026")</f>
        <v>Top Los Angeles Area Media Relations and PR Agencies in 2026</v>
      </c>
      <c r="C830" s="10" t="str">
        <f>IFERROR(__xludf.DUMMYFUNCTION("""COMPUTED_VALUE"""),"echo-factory.com")</f>
        <v>echo-factory.com</v>
      </c>
      <c r="D830" s="11" t="str">
        <f>IFERROR(__xludf.DUMMYFUNCTION("""COMPUTED_VALUE"""),"LISTICLE")</f>
        <v>LISTICLE</v>
      </c>
      <c r="E830" s="11" t="str">
        <f>IFERROR(__xludf.DUMMYFUNCTION("""COMPUTED_VALUE"""),"CORPORATE")</f>
        <v>CORPORATE</v>
      </c>
      <c r="F830" s="11" t="str">
        <f>IFERROR(__xludf.DUMMYFUNCTION("""COMPUTED_VALUE"""),"Listicle")</f>
        <v>Listicle</v>
      </c>
      <c r="G830" s="11" t="b">
        <f>IFERROR(__xludf.DUMMYFUNCTION("""COMPUTED_VALUE"""),FALSE)</f>
        <v>0</v>
      </c>
      <c r="H830" s="11" t="str">
        <f>IFERROR(__xludf.DUMMYFUNCTION("""COMPUTED_VALUE"""),"Hawke Media")</f>
        <v>Hawke Media</v>
      </c>
      <c r="I830" s="11">
        <f>IFERROR(__xludf.DUMMYFUNCTION("""COMPUTED_VALUE"""),1.0)</f>
        <v>1</v>
      </c>
      <c r="J830" s="11">
        <f>IFERROR(__xludf.DUMMYFUNCTION("""COMPUTED_VALUE"""),0.0)</f>
        <v>0</v>
      </c>
      <c r="K830" s="11">
        <f>IFERROR(__xludf.DUMMYFUNCTION("""COMPUTED_VALUE"""),1.0)</f>
        <v>1</v>
      </c>
      <c r="L830" s="11"/>
    </row>
    <row r="831" ht="15.75" customHeight="1">
      <c r="A831" s="10" t="str">
        <f>IFERROR(__xludf.DUMMYFUNCTION("""COMPUTED_VALUE"""),"https://ecommercefastlane.com/best-amazon-brand-management-agencies/")</f>
        <v>https://ecommercefastlane.com/best-amazon-brand-management-agencies/</v>
      </c>
      <c r="B831" s="11" t="str">
        <f>IFERROR(__xludf.DUMMYFUNCTION("""COMPUTED_VALUE"""),"Best Amazon Brand Management Agencies For Brands Expanding To Amazon In 2026 | Ecommerce Fastlane")</f>
        <v>Best Amazon Brand Management Agencies For Brands Expanding To Amazon In 2026 | Ecommerce Fastlane</v>
      </c>
      <c r="C831" s="10" t="str">
        <f>IFERROR(__xludf.DUMMYFUNCTION("""COMPUTED_VALUE"""),"ecommercefastlane.com")</f>
        <v>ecommercefastlane.com</v>
      </c>
      <c r="D831" s="11" t="str">
        <f>IFERROR(__xludf.DUMMYFUNCTION("""COMPUTED_VALUE"""),"LISTICLE")</f>
        <v>LISTICLE</v>
      </c>
      <c r="E831" s="11" t="str">
        <f>IFERROR(__xludf.DUMMYFUNCTION("""COMPUTED_VALUE"""),"OTHER")</f>
        <v>OTHER</v>
      </c>
      <c r="F831" s="11" t="str">
        <f>IFERROR(__xludf.DUMMYFUNCTION("""COMPUTED_VALUE"""),"Listicle")</f>
        <v>Listicle</v>
      </c>
      <c r="G831" s="11" t="b">
        <f>IFERROR(__xludf.DUMMYFUNCTION("""COMPUTED_VALUE"""),FALSE)</f>
        <v>0</v>
      </c>
      <c r="H831" s="11" t="str">
        <f>IFERROR(__xludf.DUMMYFUNCTION("""COMPUTED_VALUE"""),"Tinuiti")</f>
        <v>Tinuiti</v>
      </c>
      <c r="I831" s="11">
        <f>IFERROR(__xludf.DUMMYFUNCTION("""COMPUTED_VALUE"""),1.0)</f>
        <v>1</v>
      </c>
      <c r="J831" s="11">
        <f>IFERROR(__xludf.DUMMYFUNCTION("""COMPUTED_VALUE"""),0.0)</f>
        <v>0</v>
      </c>
      <c r="K831" s="11">
        <f>IFERROR(__xludf.DUMMYFUNCTION("""COMPUTED_VALUE"""),1.0)</f>
        <v>1</v>
      </c>
      <c r="L831" s="11"/>
    </row>
    <row r="832" ht="15.75" customHeight="1">
      <c r="A832" s="10" t="str">
        <f>IFERROR(__xludf.DUMMYFUNCTION("""COMPUTED_VALUE"""),"https://elementor.com/blog/best-seo-geo-agencies/")</f>
        <v>https://elementor.com/blog/best-seo-geo-agencies/</v>
      </c>
      <c r="B832" s="11" t="str">
        <f>IFERROR(__xludf.DUMMYFUNCTION("""COMPUTED_VALUE"""),"15 Best SEO &amp;amp; GEO Agencies In 2026")</f>
        <v>15 Best SEO &amp;amp; GEO Agencies In 2026</v>
      </c>
      <c r="C832" s="10" t="str">
        <f>IFERROR(__xludf.DUMMYFUNCTION("""COMPUTED_VALUE"""),"elementor.com")</f>
        <v>elementor.com</v>
      </c>
      <c r="D832" s="11" t="str">
        <f>IFERROR(__xludf.DUMMYFUNCTION("""COMPUTED_VALUE"""),"LISTICLE")</f>
        <v>LISTICLE</v>
      </c>
      <c r="E832" s="11" t="str">
        <f>IFERROR(__xludf.DUMMYFUNCTION("""COMPUTED_VALUE"""),"CORPORATE")</f>
        <v>CORPORATE</v>
      </c>
      <c r="F832" s="11" t="str">
        <f>IFERROR(__xludf.DUMMYFUNCTION("""COMPUTED_VALUE"""),"Listicle")</f>
        <v>Listicle</v>
      </c>
      <c r="G832" s="11" t="b">
        <f>IFERROR(__xludf.DUMMYFUNCTION("""COMPUTED_VALUE"""),FALSE)</f>
        <v>0</v>
      </c>
      <c r="H832" s="11" t="str">
        <f>IFERROR(__xludf.DUMMYFUNCTION("""COMPUTED_VALUE"""),"NP Digital, Wpromote, VaynerMedia, Tinuiti, Hawke Media, Huge, Common Thread Collective, Momentum")</f>
        <v>NP Digital, Wpromote, VaynerMedia, Tinuiti, Hawke Media, Huge, Common Thread Collective, Momentum</v>
      </c>
      <c r="I832" s="11">
        <f>IFERROR(__xludf.DUMMYFUNCTION("""COMPUTED_VALUE"""),1.0)</f>
        <v>1</v>
      </c>
      <c r="J832" s="11">
        <f>IFERROR(__xludf.DUMMYFUNCTION("""COMPUTED_VALUE"""),0.0)</f>
        <v>0</v>
      </c>
      <c r="K832" s="11">
        <f>IFERROR(__xludf.DUMMYFUNCTION("""COMPUTED_VALUE"""),2.0)</f>
        <v>2</v>
      </c>
      <c r="L832" s="11"/>
    </row>
    <row r="833" ht="15.75" customHeight="1">
      <c r="A833" s="10" t="str">
        <f>IFERROR(__xludf.DUMMYFUNCTION("""COMPUTED_VALUE"""),"https://www.elsner.com/top-answer-engine-optimization-companies/")</f>
        <v>https://www.elsner.com/top-answer-engine-optimization-companies/</v>
      </c>
      <c r="B833" s="11" t="str">
        <f>IFERROR(__xludf.DUMMYFUNCTION("""COMPUTED_VALUE"""),"Top Answer Engine Optimization (AEO) Companies for 2026")</f>
        <v>Top Answer Engine Optimization (AEO) Companies for 2026</v>
      </c>
      <c r="C833" s="10" t="str">
        <f>IFERROR(__xludf.DUMMYFUNCTION("""COMPUTED_VALUE"""),"elsner.com")</f>
        <v>elsner.com</v>
      </c>
      <c r="D833" s="11" t="str">
        <f>IFERROR(__xludf.DUMMYFUNCTION("""COMPUTED_VALUE"""),"LISTICLE")</f>
        <v>LISTICLE</v>
      </c>
      <c r="E833" s="11" t="str">
        <f>IFERROR(__xludf.DUMMYFUNCTION("""COMPUTED_VALUE"""),"CORPORATE")</f>
        <v>CORPORATE</v>
      </c>
      <c r="F833" s="11" t="str">
        <f>IFERROR(__xludf.DUMMYFUNCTION("""COMPUTED_VALUE"""),"Listicle")</f>
        <v>Listicle</v>
      </c>
      <c r="G833" s="11" t="b">
        <f>IFERROR(__xludf.DUMMYFUNCTION("""COMPUTED_VALUE"""),FALSE)</f>
        <v>0</v>
      </c>
      <c r="H833" s="11" t="str">
        <f>IFERROR(__xludf.DUMMYFUNCTION("""COMPUTED_VALUE"""),"Marcel Digital, Amsive, NoGood")</f>
        <v>Marcel Digital, Amsive, NoGood</v>
      </c>
      <c r="I833" s="11">
        <f>IFERROR(__xludf.DUMMYFUNCTION("""COMPUTED_VALUE"""),1.0)</f>
        <v>1</v>
      </c>
      <c r="J833" s="11">
        <f>IFERROR(__xludf.DUMMYFUNCTION("""COMPUTED_VALUE"""),0.0)</f>
        <v>0</v>
      </c>
      <c r="K833" s="11">
        <f>IFERROR(__xludf.DUMMYFUNCTION("""COMPUTED_VALUE"""),1.0)</f>
        <v>1</v>
      </c>
      <c r="L833" s="11"/>
    </row>
    <row r="834" ht="15.75" customHeight="1">
      <c r="A834" s="10" t="str">
        <f>IFERROR(__xludf.DUMMYFUNCTION("""COMPUTED_VALUE"""),"https://www.embarque.io/post/we-found-30-ai-seo-agencies-for-ranking-ai-results-2026")</f>
        <v>https://www.embarque.io/post/we-found-30-ai-seo-agencies-for-ranking-ai-results-2026</v>
      </c>
      <c r="B834" s="11" t="str">
        <f>IFERROR(__xludf.DUMMYFUNCTION("""COMPUTED_VALUE"""),"We Found 30 of the Best AI SEO Agencies for Ranking in AI Results in 2026 | Embarque")</f>
        <v>We Found 30 of the Best AI SEO Agencies for Ranking in AI Results in 2026 | Embarque</v>
      </c>
      <c r="C834" s="10" t="str">
        <f>IFERROR(__xludf.DUMMYFUNCTION("""COMPUTED_VALUE"""),"embarque.io")</f>
        <v>embarque.io</v>
      </c>
      <c r="D834" s="11" t="str">
        <f>IFERROR(__xludf.DUMMYFUNCTION("""COMPUTED_VALUE"""),"LISTICLE")</f>
        <v>LISTICLE</v>
      </c>
      <c r="E834" s="11" t="str">
        <f>IFERROR(__xludf.DUMMYFUNCTION("""COMPUTED_VALUE"""),"CORPORATE")</f>
        <v>CORPORATE</v>
      </c>
      <c r="F834" s="11" t="str">
        <f>IFERROR(__xludf.DUMMYFUNCTION("""COMPUTED_VALUE"""),"Listicle")</f>
        <v>Listicle</v>
      </c>
      <c r="G834" s="11" t="b">
        <f>IFERROR(__xludf.DUMMYFUNCTION("""COMPUTED_VALUE"""),FALSE)</f>
        <v>0</v>
      </c>
      <c r="H834" s="11" t="str">
        <f>IFERROR(__xludf.DUMMYFUNCTION("""COMPUTED_VALUE"""),"NoGood, Marcel Digital, WebFX, iPullRank, Siege Media, Single Grain, Graphite, First Page Sage, Omniscient Digital, Animalz, Measured, Clutch, Huge, IBM")</f>
        <v>NoGood, Marcel Digital, WebFX, iPullRank, Siege Media, Single Grain, Graphite, First Page Sage, Omniscient Digital, Animalz, Measured, Clutch, Huge, IBM</v>
      </c>
      <c r="I834" s="11">
        <f>IFERROR(__xludf.DUMMYFUNCTION("""COMPUTED_VALUE"""),1.0)</f>
        <v>1</v>
      </c>
      <c r="J834" s="11">
        <f>IFERROR(__xludf.DUMMYFUNCTION("""COMPUTED_VALUE"""),0.0)</f>
        <v>0</v>
      </c>
      <c r="K834" s="11">
        <f>IFERROR(__xludf.DUMMYFUNCTION("""COMPUTED_VALUE"""),1.0)</f>
        <v>1</v>
      </c>
      <c r="L834" s="11"/>
    </row>
    <row r="835" ht="15.75" customHeight="1">
      <c r="A835" s="10" t="str">
        <f>IFERROR(__xludf.DUMMYFUNCTION("""COMPUTED_VALUE"""),"https://www.emrgmedia.com/best-experiential-marketing-agencies/")</f>
        <v>https://www.emrgmedia.com/best-experiential-marketing-agencies/</v>
      </c>
      <c r="B835" s="11" t="str">
        <f>IFERROR(__xludf.DUMMYFUNCTION("""COMPUTED_VALUE"""),"Unveiling the Best Experiential Marketing Agencies: Your Complete Guide - Top Event Planner New York City | Corporate Event Planning &amp;amp; Marketing Company in NYC")</f>
        <v>Unveiling the Best Experiential Marketing Agencies: Your Complete Guide - Top Event Planner New York City | Corporate Event Planning &amp;amp; Marketing Company in NYC</v>
      </c>
      <c r="C835" s="10" t="str">
        <f>IFERROR(__xludf.DUMMYFUNCTION("""COMPUTED_VALUE"""),"emrgmedia.com")</f>
        <v>emrgmedia.com</v>
      </c>
      <c r="D835" s="11" t="str">
        <f>IFERROR(__xludf.DUMMYFUNCTION("""COMPUTED_VALUE"""),"LISTICLE")</f>
        <v>LISTICLE</v>
      </c>
      <c r="E835" s="11" t="str">
        <f>IFERROR(__xludf.DUMMYFUNCTION("""COMPUTED_VALUE"""),"CORPORATE")</f>
        <v>CORPORATE</v>
      </c>
      <c r="F835" s="11" t="str">
        <f>IFERROR(__xludf.DUMMYFUNCTION("""COMPUTED_VALUE"""),"Listicle")</f>
        <v>Listicle</v>
      </c>
      <c r="G835" s="11" t="b">
        <f>IFERROR(__xludf.DUMMYFUNCTION("""COMPUTED_VALUE"""),FALSE)</f>
        <v>0</v>
      </c>
      <c r="H835" s="11" t="str">
        <f>IFERROR(__xludf.DUMMYFUNCTION("""COMPUTED_VALUE"""),"Clutch")</f>
        <v>Clutch</v>
      </c>
      <c r="I835" s="11">
        <f>IFERROR(__xludf.DUMMYFUNCTION("""COMPUTED_VALUE"""),1.0)</f>
        <v>1</v>
      </c>
      <c r="J835" s="11">
        <f>IFERROR(__xludf.DUMMYFUNCTION("""COMPUTED_VALUE"""),0.0)</f>
        <v>0</v>
      </c>
      <c r="K835" s="11">
        <f>IFERROR(__xludf.DUMMYFUNCTION("""COMPUTED_VALUE"""),1.0)</f>
        <v>1</v>
      </c>
      <c r="L835" s="11"/>
    </row>
    <row r="836" ht="15.75" customHeight="1">
      <c r="A836" s="10" t="str">
        <f>IFERROR(__xludf.DUMMYFUNCTION("""COMPUTED_VALUE"""),"https://ensun.io/search/geospatial-gis/united-states#:~:text=Esri%20is%20a%20leading%20provider,insights%20from%20location%2Dbased%20data.")</f>
        <v>https://ensun.io/search/geospatial-gis/united-states#:~:text=Esri%20is%20a%20leading%20provider,insights%20from%20location%2Dbased%20data.</v>
      </c>
      <c r="B836" s="11" t="str">
        <f>IFERROR(__xludf.DUMMYFUNCTION("""COMPUTED_VALUE"""),"Top 100 Geospatial (Gis) Companies in United States (2026) \| ensun")</f>
        <v>Top 100 Geospatial (Gis) Companies in United States (2026) \| ensun</v>
      </c>
      <c r="C836" s="10" t="str">
        <f>IFERROR(__xludf.DUMMYFUNCTION("""COMPUTED_VALUE"""),"ensun.io")</f>
        <v>ensun.io</v>
      </c>
      <c r="D836" s="11" t="str">
        <f>IFERROR(__xludf.DUMMYFUNCTION("""COMPUTED_VALUE"""),"OTHER")</f>
        <v>OTHER</v>
      </c>
      <c r="E836" s="11" t="str">
        <f>IFERROR(__xludf.DUMMYFUNCTION("""COMPUTED_VALUE"""),"OTHER")</f>
        <v>OTHER</v>
      </c>
      <c r="F836" s="11" t="str">
        <f>IFERROR(__xludf.DUMMYFUNCTION("""COMPUTED_VALUE"""),"Other")</f>
        <v>Other</v>
      </c>
      <c r="G836" s="11" t="b">
        <f>IFERROR(__xludf.DUMMYFUNCTION("""COMPUTED_VALUE"""),FALSE)</f>
        <v>0</v>
      </c>
      <c r="H836" s="11"/>
      <c r="I836" s="11">
        <f>IFERROR(__xludf.DUMMYFUNCTION("""COMPUTED_VALUE"""),1.0)</f>
        <v>1</v>
      </c>
      <c r="J836" s="11">
        <f>IFERROR(__xludf.DUMMYFUNCTION("""COMPUTED_VALUE"""),0.0)</f>
        <v>0</v>
      </c>
      <c r="K836" s="11">
        <f>IFERROR(__xludf.DUMMYFUNCTION("""COMPUTED_VALUE"""),1.0)</f>
        <v>1</v>
      </c>
      <c r="L836" s="11"/>
    </row>
    <row r="837" ht="15.75" customHeight="1">
      <c r="A837" s="10" t="str">
        <f>IFERROR(__xludf.DUMMYFUNCTION("""COMPUTED_VALUE"""),"https://www.epicslope.partners/buyers-guide/generative-engine-optimization-agencies")</f>
        <v>https://www.epicslope.partners/buyers-guide/generative-engine-optimization-agencies</v>
      </c>
      <c r="B837" s="11" t="str">
        <f>IFERROR(__xludf.DUMMYFUNCTION("""COMPUTED_VALUE"""),"Top Generative Engine Optimization Agencies in 2026 (Reviewed)")</f>
        <v>Top Generative Engine Optimization Agencies in 2026 (Reviewed)</v>
      </c>
      <c r="C837" s="11" t="str">
        <f>IFERROR(__xludf.DUMMYFUNCTION("""COMPUTED_VALUE"""),"epicslope.partners")</f>
        <v>epicslope.partners</v>
      </c>
      <c r="D837" s="11" t="str">
        <f>IFERROR(__xludf.DUMMYFUNCTION("""COMPUTED_VALUE"""),"LISTICLE")</f>
        <v>LISTICLE</v>
      </c>
      <c r="E837" s="11" t="str">
        <f>IFERROR(__xludf.DUMMYFUNCTION("""COMPUTED_VALUE"""),"CORPORATE")</f>
        <v>CORPORATE</v>
      </c>
      <c r="F837" s="11" t="str">
        <f>IFERROR(__xludf.DUMMYFUNCTION("""COMPUTED_VALUE"""),"Listicle")</f>
        <v>Listicle</v>
      </c>
      <c r="G837" s="11" t="b">
        <f>IFERROR(__xludf.DUMMYFUNCTION("""COMPUTED_VALUE"""),FALSE)</f>
        <v>0</v>
      </c>
      <c r="H837" s="11" t="str">
        <f>IFERROR(__xludf.DUMMYFUNCTION("""COMPUTED_VALUE"""),"First Page Sage, Intero Digital, Omniscient Digital, iPullRank, Avenue Z, Victorious, Clutch, Measured")</f>
        <v>First Page Sage, Intero Digital, Omniscient Digital, iPullRank, Avenue Z, Victorious, Clutch, Measured</v>
      </c>
      <c r="I837" s="11">
        <f>IFERROR(__xludf.DUMMYFUNCTION("""COMPUTED_VALUE"""),1.0)</f>
        <v>1</v>
      </c>
      <c r="J837" s="11">
        <f>IFERROR(__xludf.DUMMYFUNCTION("""COMPUTED_VALUE"""),0.0)</f>
        <v>0</v>
      </c>
      <c r="K837" s="11">
        <f>IFERROR(__xludf.DUMMYFUNCTION("""COMPUTED_VALUE"""),4.0)</f>
        <v>4</v>
      </c>
      <c r="L837" s="11"/>
    </row>
    <row r="838" ht="15.75" customHeight="1">
      <c r="A838" s="10" t="str">
        <f>IFERROR(__xludf.DUMMYFUNCTION("""COMPUTED_VALUE"""),"https://epinium.com/en/best-amazon-agencies/")</f>
        <v>https://epinium.com/en/best-amazon-agencies/</v>
      </c>
      <c r="B838" s="11" t="str">
        <f>IFERROR(__xludf.DUMMYFUNCTION("""COMPUTED_VALUE"""),"Best Amazon Agencies (2026): Ranked | Epinium")</f>
        <v>Best Amazon Agencies (2026): Ranked | Epinium</v>
      </c>
      <c r="C838" s="10" t="str">
        <f>IFERROR(__xludf.DUMMYFUNCTION("""COMPUTED_VALUE"""),"epinium.com")</f>
        <v>epinium.com</v>
      </c>
      <c r="D838" s="11" t="str">
        <f>IFERROR(__xludf.DUMMYFUNCTION("""COMPUTED_VALUE"""),"PROFILE")</f>
        <v>PROFILE</v>
      </c>
      <c r="E838" s="11" t="str">
        <f>IFERROR(__xludf.DUMMYFUNCTION("""COMPUTED_VALUE"""),"CORPORATE")</f>
        <v>CORPORATE</v>
      </c>
      <c r="F838" s="11" t="str">
        <f>IFERROR(__xludf.DUMMYFUNCTION("""COMPUTED_VALUE"""),"Profile")</f>
        <v>Profile</v>
      </c>
      <c r="G838" s="11" t="b">
        <f>IFERROR(__xludf.DUMMYFUNCTION("""COMPUTED_VALUE"""),FALSE)</f>
        <v>0</v>
      </c>
      <c r="H838" s="11" t="str">
        <f>IFERROR(__xludf.DUMMYFUNCTION("""COMPUTED_VALUE"""),"Tinuiti, Acadia")</f>
        <v>Tinuiti, Acadia</v>
      </c>
      <c r="I838" s="11">
        <f>IFERROR(__xludf.DUMMYFUNCTION("""COMPUTED_VALUE"""),1.0)</f>
        <v>1</v>
      </c>
      <c r="J838" s="11">
        <f>IFERROR(__xludf.DUMMYFUNCTION("""COMPUTED_VALUE"""),0.0)</f>
        <v>0</v>
      </c>
      <c r="K838" s="11">
        <f>IFERROR(__xludf.DUMMYFUNCTION("""COMPUTED_VALUE"""),1.0)</f>
        <v>1</v>
      </c>
      <c r="L838" s="11"/>
    </row>
    <row r="839" ht="15.75" customHeight="1">
      <c r="A839" s="10" t="str">
        <f>IFERROR(__xludf.DUMMYFUNCTION("""COMPUTED_VALUE"""),"https://evincedev.com/blog/best-display-ad-networks/")</f>
        <v>https://evincedev.com/blog/best-display-ad-networks/</v>
      </c>
      <c r="B839" s="11" t="str">
        <f>IFERROR(__xludf.DUMMYFUNCTION("""COMPUTED_VALUE"""),"Top 10 Best Display Ad Networks in 2026 (CPM Comparison)")</f>
        <v>Top 10 Best Display Ad Networks in 2026 (CPM Comparison)</v>
      </c>
      <c r="C839" s="10" t="str">
        <f>IFERROR(__xludf.DUMMYFUNCTION("""COMPUTED_VALUE"""),"evincedev.com")</f>
        <v>evincedev.com</v>
      </c>
      <c r="D839" s="11" t="str">
        <f>IFERROR(__xludf.DUMMYFUNCTION("""COMPUTED_VALUE"""),"LISTICLE")</f>
        <v>LISTICLE</v>
      </c>
      <c r="E839" s="11" t="str">
        <f>IFERROR(__xludf.DUMMYFUNCTION("""COMPUTED_VALUE"""),"CORPORATE")</f>
        <v>CORPORATE</v>
      </c>
      <c r="F839" s="11" t="str">
        <f>IFERROR(__xludf.DUMMYFUNCTION("""COMPUTED_VALUE"""),"Listicle")</f>
        <v>Listicle</v>
      </c>
      <c r="G839" s="11" t="b">
        <f>IFERROR(__xludf.DUMMYFUNCTION("""COMPUTED_VALUE"""),FALSE)</f>
        <v>0</v>
      </c>
      <c r="H839" s="11"/>
      <c r="I839" s="11">
        <f>IFERROR(__xludf.DUMMYFUNCTION("""COMPUTED_VALUE"""),1.0)</f>
        <v>1</v>
      </c>
      <c r="J839" s="11">
        <f>IFERROR(__xludf.DUMMYFUNCTION("""COMPUTED_VALUE"""),0.0)</f>
        <v>0</v>
      </c>
      <c r="K839" s="11">
        <f>IFERROR(__xludf.DUMMYFUNCTION("""COMPUTED_VALUE"""),0.0)</f>
        <v>0</v>
      </c>
      <c r="L839" s="11"/>
    </row>
    <row r="840" ht="15.75" customHeight="1">
      <c r="A840" s="10" t="str">
        <f>IFERROR(__xludf.DUMMYFUNCTION("""COMPUTED_VALUE"""),"https://www.f6s.com/software/category/first-party-data-activation")</f>
        <v>https://www.f6s.com/software/category/first-party-data-activation</v>
      </c>
      <c r="B840" s="11" t="str">
        <f>IFERROR(__xludf.DUMMYFUNCTION("""COMPUTED_VALUE"""),"Best First-Party Data Activation Software • March 2026 \| F6S")</f>
        <v>Best First-Party Data Activation Software • March 2026 \| F6S</v>
      </c>
      <c r="C840" s="10" t="str">
        <f>IFERROR(__xludf.DUMMYFUNCTION("""COMPUTED_VALUE"""),"f6s.com")</f>
        <v>f6s.com</v>
      </c>
      <c r="D840" s="11" t="str">
        <f>IFERROR(__xludf.DUMMYFUNCTION("""COMPUTED_VALUE"""),"OTHER")</f>
        <v>OTHER</v>
      </c>
      <c r="E840" s="11" t="str">
        <f>IFERROR(__xludf.DUMMYFUNCTION("""COMPUTED_VALUE"""),"UGC")</f>
        <v>UGC</v>
      </c>
      <c r="F840" s="11" t="str">
        <f>IFERROR(__xludf.DUMMYFUNCTION("""COMPUTED_VALUE"""),"Other")</f>
        <v>Other</v>
      </c>
      <c r="G840" s="11" t="b">
        <f>IFERROR(__xludf.DUMMYFUNCTION("""COMPUTED_VALUE"""),FALSE)</f>
        <v>0</v>
      </c>
      <c r="H840" s="11"/>
      <c r="I840" s="11">
        <f>IFERROR(__xludf.DUMMYFUNCTION("""COMPUTED_VALUE"""),1.0)</f>
        <v>1</v>
      </c>
      <c r="J840" s="11">
        <f>IFERROR(__xludf.DUMMYFUNCTION("""COMPUTED_VALUE"""),0.0)</f>
        <v>0</v>
      </c>
      <c r="K840" s="11">
        <f>IFERROR(__xludf.DUMMYFUNCTION("""COMPUTED_VALUE"""),0.0)</f>
        <v>0</v>
      </c>
      <c r="L840" s="11"/>
    </row>
    <row r="841" ht="15.75" customHeight="1">
      <c r="A841" s="10" t="str">
        <f>IFERROR(__xludf.DUMMYFUNCTION("""COMPUTED_VALUE"""),"https://www.factors.ai/blog/top-7-marketing-attribution-tools")</f>
        <v>https://www.factors.ai/blog/top-7-marketing-attribution-tools</v>
      </c>
      <c r="B841" s="11" t="str">
        <f>IFERROR(__xludf.DUMMYFUNCTION("""COMPUTED_VALUE"""),"Top 12 Marketing Attribution Tools in 2026 (Compared)")</f>
        <v>Top 12 Marketing Attribution Tools in 2026 (Compared)</v>
      </c>
      <c r="C841" s="10" t="str">
        <f>IFERROR(__xludf.DUMMYFUNCTION("""COMPUTED_VALUE"""),"factors.ai")</f>
        <v>factors.ai</v>
      </c>
      <c r="D841" s="11" t="str">
        <f>IFERROR(__xludf.DUMMYFUNCTION("""COMPUTED_VALUE"""),"LISTICLE")</f>
        <v>LISTICLE</v>
      </c>
      <c r="E841" s="11" t="str">
        <f>IFERROR(__xludf.DUMMYFUNCTION("""COMPUTED_VALUE"""),"CORPORATE")</f>
        <v>CORPORATE</v>
      </c>
      <c r="F841" s="11" t="str">
        <f>IFERROR(__xludf.DUMMYFUNCTION("""COMPUTED_VALUE"""),"Listicle")</f>
        <v>Listicle</v>
      </c>
      <c r="G841" s="11" t="b">
        <f>IFERROR(__xludf.DUMMYFUNCTION("""COMPUTED_VALUE"""),FALSE)</f>
        <v>0</v>
      </c>
      <c r="H841" s="11" t="str">
        <f>IFERROR(__xludf.DUMMYFUNCTION("""COMPUTED_VALUE"""),"HockeyStack, Triple Whale, Huge, Cometly, Rockerbox, Northbeam, Ruler Analytics")</f>
        <v>HockeyStack, Triple Whale, Huge, Cometly, Rockerbox, Northbeam, Ruler Analytics</v>
      </c>
      <c r="I841" s="11">
        <f>IFERROR(__xludf.DUMMYFUNCTION("""COMPUTED_VALUE"""),1.0)</f>
        <v>1</v>
      </c>
      <c r="J841" s="11">
        <f>IFERROR(__xludf.DUMMYFUNCTION("""COMPUTED_VALUE"""),0.0)</f>
        <v>0</v>
      </c>
      <c r="K841" s="11">
        <f>IFERROR(__xludf.DUMMYFUNCTION("""COMPUTED_VALUE"""),0.0)</f>
        <v>0</v>
      </c>
      <c r="L841" s="11"/>
    </row>
    <row r="842" ht="15.75" customHeight="1">
      <c r="A842" s="10" t="str">
        <f>IFERROR(__xludf.DUMMYFUNCTION("""COMPUTED_VALUE"""),"https://www.featuredcustomers.com/services/digital-marketing-agencies")</f>
        <v>https://www.featuredcustomers.com/services/digital-marketing-agencies</v>
      </c>
      <c r="B842" s="11" t="str">
        <f>IFERROR(__xludf.DUMMYFUNCTION("""COMPUTED_VALUE"""),"Best Digital Marketing Agencies 2026 - Reviews, Case Studies &amp;amp; Videos")</f>
        <v>Best Digital Marketing Agencies 2026 - Reviews, Case Studies &amp;amp; Videos</v>
      </c>
      <c r="C842" s="10" t="str">
        <f>IFERROR(__xludf.DUMMYFUNCTION("""COMPUTED_VALUE"""),"featuredcustomers.com")</f>
        <v>featuredcustomers.com</v>
      </c>
      <c r="D842" s="11" t="str">
        <f>IFERROR(__xludf.DUMMYFUNCTION("""COMPUTED_VALUE"""),"CATEGORY_PAGE")</f>
        <v>CATEGORY_PAGE</v>
      </c>
      <c r="E842" s="11" t="str">
        <f>IFERROR(__xludf.DUMMYFUNCTION("""COMPUTED_VALUE"""),"REFERENCE")</f>
        <v>REFERENCE</v>
      </c>
      <c r="F842" s="11" t="str">
        <f>IFERROR(__xludf.DUMMYFUNCTION("""COMPUTED_VALUE"""),"Category Page")</f>
        <v>Category Page</v>
      </c>
      <c r="G842" s="11" t="b">
        <f>IFERROR(__xludf.DUMMYFUNCTION("""COMPUTED_VALUE"""),FALSE)</f>
        <v>0</v>
      </c>
      <c r="H842" s="11" t="str">
        <f>IFERROR(__xludf.DUMMYFUNCTION("""COMPUTED_VALUE"""),"Huge")</f>
        <v>Huge</v>
      </c>
      <c r="I842" s="11">
        <f>IFERROR(__xludf.DUMMYFUNCTION("""COMPUTED_VALUE"""),1.0)</f>
        <v>1</v>
      </c>
      <c r="J842" s="11">
        <f>IFERROR(__xludf.DUMMYFUNCTION("""COMPUTED_VALUE"""),0.0)</f>
        <v>0</v>
      </c>
      <c r="K842" s="11">
        <f>IFERROR(__xludf.DUMMYFUNCTION("""COMPUTED_VALUE"""),0.0)</f>
        <v>0</v>
      </c>
      <c r="L842" s="11"/>
    </row>
    <row r="843" ht="15.75" customHeight="1">
      <c r="A843" s="10" t="str">
        <f>IFERROR(__xludf.DUMMYFUNCTION("""COMPUTED_VALUE"""),"https://www.featuredcustomers.com/software/customer-data-audience-activation")</f>
        <v>https://www.featuredcustomers.com/software/customer-data-audience-activation</v>
      </c>
      <c r="B843" s="11" t="str">
        <f>IFERROR(__xludf.DUMMYFUNCTION("""COMPUTED_VALUE"""),"Best Customer Data &amp;amp; Audience Activation 2026 - Reviews, Case Studies &amp;amp; Videos")</f>
        <v>Best Customer Data &amp;amp; Audience Activation 2026 - Reviews, Case Studies &amp;amp; Videos</v>
      </c>
      <c r="C843" s="10" t="str">
        <f>IFERROR(__xludf.DUMMYFUNCTION("""COMPUTED_VALUE"""),"featuredcustomers.com")</f>
        <v>featuredcustomers.com</v>
      </c>
      <c r="D843" s="11" t="str">
        <f>IFERROR(__xludf.DUMMYFUNCTION("""COMPUTED_VALUE"""),"CATEGORY_PAGE")</f>
        <v>CATEGORY_PAGE</v>
      </c>
      <c r="E843" s="11" t="str">
        <f>IFERROR(__xludf.DUMMYFUNCTION("""COMPUTED_VALUE"""),"REFERENCE")</f>
        <v>REFERENCE</v>
      </c>
      <c r="F843" s="11" t="str">
        <f>IFERROR(__xludf.DUMMYFUNCTION("""COMPUTED_VALUE"""),"Category Page")</f>
        <v>Category Page</v>
      </c>
      <c r="G843" s="11" t="b">
        <f>IFERROR(__xludf.DUMMYFUNCTION("""COMPUTED_VALUE"""),FALSE)</f>
        <v>0</v>
      </c>
      <c r="H843" s="11"/>
      <c r="I843" s="11">
        <f>IFERROR(__xludf.DUMMYFUNCTION("""COMPUTED_VALUE"""),1.0)</f>
        <v>1</v>
      </c>
      <c r="J843" s="11">
        <f>IFERROR(__xludf.DUMMYFUNCTION("""COMPUTED_VALUE"""),0.0)</f>
        <v>0</v>
      </c>
      <c r="K843" s="11">
        <f>IFERROR(__xludf.DUMMYFUNCTION("""COMPUTED_VALUE"""),0.0)</f>
        <v>0</v>
      </c>
      <c r="L843" s="11"/>
    </row>
    <row r="844" ht="15.75" customHeight="1">
      <c r="A844" s="10" t="str">
        <f>IFERROR(__xludf.DUMMYFUNCTION("""COMPUTED_VALUE"""),"https://www.featuredcustomers.com/software/first-party-data-solutions")</f>
        <v>https://www.featuredcustomers.com/software/first-party-data-solutions</v>
      </c>
      <c r="B844" s="11" t="str">
        <f>IFERROR(__xludf.DUMMYFUNCTION("""COMPUTED_VALUE"""),"Best First-Party Data Solutions 2026 - Reviews, Case Studies &amp;amp; Videos")</f>
        <v>Best First-Party Data Solutions 2026 - Reviews, Case Studies &amp;amp; Videos</v>
      </c>
      <c r="C844" s="10" t="str">
        <f>IFERROR(__xludf.DUMMYFUNCTION("""COMPUTED_VALUE"""),"featuredcustomers.com")</f>
        <v>featuredcustomers.com</v>
      </c>
      <c r="D844" s="11" t="str">
        <f>IFERROR(__xludf.DUMMYFUNCTION("""COMPUTED_VALUE"""),"CATEGORY_PAGE")</f>
        <v>CATEGORY_PAGE</v>
      </c>
      <c r="E844" s="11" t="str">
        <f>IFERROR(__xludf.DUMMYFUNCTION("""COMPUTED_VALUE"""),"REFERENCE")</f>
        <v>REFERENCE</v>
      </c>
      <c r="F844" s="11" t="str">
        <f>IFERROR(__xludf.DUMMYFUNCTION("""COMPUTED_VALUE"""),"Category Page")</f>
        <v>Category Page</v>
      </c>
      <c r="G844" s="11" t="b">
        <f>IFERROR(__xludf.DUMMYFUNCTION("""COMPUTED_VALUE"""),FALSE)</f>
        <v>0</v>
      </c>
      <c r="H844" s="11"/>
      <c r="I844" s="11">
        <f>IFERROR(__xludf.DUMMYFUNCTION("""COMPUTED_VALUE"""),1.0)</f>
        <v>1</v>
      </c>
      <c r="J844" s="11">
        <f>IFERROR(__xludf.DUMMYFUNCTION("""COMPUTED_VALUE"""),0.0)</f>
        <v>0</v>
      </c>
      <c r="K844" s="11">
        <f>IFERROR(__xludf.DUMMYFUNCTION("""COMPUTED_VALUE"""),0.0)</f>
        <v>0</v>
      </c>
      <c r="L844" s="11"/>
    </row>
    <row r="845" ht="15.75" customHeight="1">
      <c r="A845" s="10" t="str">
        <f>IFERROR(__xludf.DUMMYFUNCTION("""COMPUTED_VALUE"""),"https://fibr.ai/geo/best-generative-engine-optimization-brands-for-ai")</f>
        <v>https://fibr.ai/geo/best-generative-engine-optimization-brands-for-ai</v>
      </c>
      <c r="B845" s="11" t="str">
        <f>IFERROR(__xludf.DUMMYFUNCTION("""COMPUTED_VALUE"""),"11 Best GEO Agencies for AI Search Visibility (2026)")</f>
        <v>11 Best GEO Agencies for AI Search Visibility (2026)</v>
      </c>
      <c r="C845" s="10" t="str">
        <f>IFERROR(__xludf.DUMMYFUNCTION("""COMPUTED_VALUE"""),"fibr.ai")</f>
        <v>fibr.ai</v>
      </c>
      <c r="D845" s="11" t="str">
        <f>IFERROR(__xludf.DUMMYFUNCTION("""COMPUTED_VALUE"""),"LISTICLE")</f>
        <v>LISTICLE</v>
      </c>
      <c r="E845" s="11" t="str">
        <f>IFERROR(__xludf.DUMMYFUNCTION("""COMPUTED_VALUE"""),"CORPORATE")</f>
        <v>CORPORATE</v>
      </c>
      <c r="F845" s="11" t="str">
        <f>IFERROR(__xludf.DUMMYFUNCTION("""COMPUTED_VALUE"""),"Listicle")</f>
        <v>Listicle</v>
      </c>
      <c r="G845" s="11" t="b">
        <f>IFERROR(__xludf.DUMMYFUNCTION("""COMPUTED_VALUE"""),FALSE)</f>
        <v>0</v>
      </c>
      <c r="H845" s="11"/>
      <c r="I845" s="11">
        <f>IFERROR(__xludf.DUMMYFUNCTION("""COMPUTED_VALUE"""),1.0)</f>
        <v>1</v>
      </c>
      <c r="J845" s="11">
        <f>IFERROR(__xludf.DUMMYFUNCTION("""COMPUTED_VALUE"""),0.0)</f>
        <v>0</v>
      </c>
      <c r="K845" s="11">
        <f>IFERROR(__xludf.DUMMYFUNCTION("""COMPUTED_VALUE"""),2.0)</f>
        <v>2</v>
      </c>
      <c r="L845" s="11"/>
    </row>
    <row r="846" ht="15.75" customHeight="1">
      <c r="A846" s="10" t="str">
        <f>IFERROR(__xludf.DUMMYFUNCTION("""COMPUTED_VALUE"""),"https://www.fieldtrip.agency/post/top-enterprise-growth-marketing-agencies#:~:text=The%20agency%20has%20officially%20partnered%20with%20some,work%20with%20big%20clients%20with%20massive%20budgets.")</f>
        <v>https://www.fieldtrip.agency/post/top-enterprise-growth-marketing-agencies#:~:text=The%20agency%20has%20officially%20partnered%20with%20some,work%20with%20big%20clients%20with%20massive%20budgets.</v>
      </c>
      <c r="B846" s="11" t="str">
        <f>IFERROR(__xludf.DUMMYFUNCTION("""COMPUTED_VALUE"""),"Top Growth Marketing Agencies for Enterprise &amp;amp; Late-Stage Brands")</f>
        <v>Top Growth Marketing Agencies for Enterprise &amp;amp; Late-Stage Brands</v>
      </c>
      <c r="C846" s="11" t="str">
        <f>IFERROR(__xludf.DUMMYFUNCTION("""COMPUTED_VALUE"""),"fieldtrip.agency")</f>
        <v>fieldtrip.agency</v>
      </c>
      <c r="D846" s="11" t="str">
        <f>IFERROR(__xludf.DUMMYFUNCTION("""COMPUTED_VALUE"""),"LISTICLE")</f>
        <v>LISTICLE</v>
      </c>
      <c r="E846" s="11" t="str">
        <f>IFERROR(__xludf.DUMMYFUNCTION("""COMPUTED_VALUE"""),"CORPORATE")</f>
        <v>CORPORATE</v>
      </c>
      <c r="F846" s="11" t="str">
        <f>IFERROR(__xludf.DUMMYFUNCTION("""COMPUTED_VALUE"""),"Listicle")</f>
        <v>Listicle</v>
      </c>
      <c r="G846" s="11" t="b">
        <f>IFERROR(__xludf.DUMMYFUNCTION("""COMPUTED_VALUE"""),FALSE)</f>
        <v>0</v>
      </c>
      <c r="H846" s="11" t="str">
        <f>IFERROR(__xludf.DUMMYFUNCTION("""COMPUTED_VALUE"""),"Tinuiti, NP Digital, DEPT, Brainlabs, Jellyfish, NoGood, Measured, inBeat")</f>
        <v>Tinuiti, NP Digital, DEPT, Brainlabs, Jellyfish, NoGood, Measured, inBeat</v>
      </c>
      <c r="I846" s="11">
        <f>IFERROR(__xludf.DUMMYFUNCTION("""COMPUTED_VALUE"""),1.0)</f>
        <v>1</v>
      </c>
      <c r="J846" s="11">
        <f>IFERROR(__xludf.DUMMYFUNCTION("""COMPUTED_VALUE"""),0.0)</f>
        <v>0</v>
      </c>
      <c r="K846" s="11">
        <f>IFERROR(__xludf.DUMMYFUNCTION("""COMPUTED_VALUE"""),8.0)</f>
        <v>8</v>
      </c>
      <c r="L846" s="11"/>
    </row>
    <row r="847" ht="15.75" customHeight="1">
      <c r="A847" s="10" t="str">
        <f>IFERROR(__xludf.DUMMYFUNCTION("""COMPUTED_VALUE"""),"https://finance.yahoo.com/news/designrush-recognizes-top-10-digital-114500778.html")</f>
        <v>https://finance.yahoo.com/news/designrush-recognizes-top-10-digital-114500778.html</v>
      </c>
      <c r="B847" s="11" t="str">
        <f>IFERROR(__xludf.DUMMYFUNCTION("""COMPUTED_VALUE"""),"DesignRush Recognizes Top 10 Digital Marketing Agencies for Campaign Performance in March 2026 Rankings")</f>
        <v>DesignRush Recognizes Top 10 Digital Marketing Agencies for Campaign Performance in March 2026 Rankings</v>
      </c>
      <c r="C847" s="10" t="str">
        <f>IFERROR(__xludf.DUMMYFUNCTION("""COMPUTED_VALUE"""),"yahoo.com")</f>
        <v>yahoo.com</v>
      </c>
      <c r="D847" s="11" t="str">
        <f>IFERROR(__xludf.DUMMYFUNCTION("""COMPUTED_VALUE"""),"LISTICLE")</f>
        <v>LISTICLE</v>
      </c>
      <c r="E847" s="11" t="str">
        <f>IFERROR(__xludf.DUMMYFUNCTION("""COMPUTED_VALUE"""),"OTHER")</f>
        <v>OTHER</v>
      </c>
      <c r="F847" s="11" t="str">
        <f>IFERROR(__xludf.DUMMYFUNCTION("""COMPUTED_VALUE"""),"Listicle")</f>
        <v>Listicle</v>
      </c>
      <c r="G847" s="11" t="b">
        <f>IFERROR(__xludf.DUMMYFUNCTION("""COMPUTED_VALUE"""),FALSE)</f>
        <v>0</v>
      </c>
      <c r="H847" s="11" t="str">
        <f>IFERROR(__xludf.DUMMYFUNCTION("""COMPUTED_VALUE"""),"Funnel Boost Media, SmartSites, Silverback Strategies, WebFX, Intero Digital, Disruptive Advertising, Searchbloom")</f>
        <v>Funnel Boost Media, SmartSites, Silverback Strategies, WebFX, Intero Digital, Disruptive Advertising, Searchbloom</v>
      </c>
      <c r="I847" s="11">
        <f>IFERROR(__xludf.DUMMYFUNCTION("""COMPUTED_VALUE"""),1.0)</f>
        <v>1</v>
      </c>
      <c r="J847" s="11">
        <f>IFERROR(__xludf.DUMMYFUNCTION("""COMPUTED_VALUE"""),0.0)</f>
        <v>0</v>
      </c>
      <c r="K847" s="11">
        <f>IFERROR(__xludf.DUMMYFUNCTION("""COMPUTED_VALUE"""),0.0)</f>
        <v>0</v>
      </c>
      <c r="L847" s="11"/>
    </row>
    <row r="848" ht="15.75" customHeight="1">
      <c r="A848" s="10" t="str">
        <f>IFERROR(__xludf.DUMMYFUNCTION("""COMPUTED_VALUE"""),"https://firstpagesage.com/seo-blog/the-top-ecommerce-agentic-search-optimization-aso-agencies")</f>
        <v>https://firstpagesage.com/seo-blog/the-top-ecommerce-agentic-search-optimization-aso-agencies</v>
      </c>
      <c r="B848" s="11" t="str">
        <f>IFERROR(__xludf.DUMMYFUNCTION("""COMPUTED_VALUE"""),"The Top eCommerce Agentic Search Optimization (ASO) Agencies of 2026 – First Page Sage")</f>
        <v>The Top eCommerce Agentic Search Optimization (ASO) Agencies of 2026 – First Page Sage</v>
      </c>
      <c r="C848" s="10" t="str">
        <f>IFERROR(__xludf.DUMMYFUNCTION("""COMPUTED_VALUE"""),"firstpagesage.com")</f>
        <v>firstpagesage.com</v>
      </c>
      <c r="D848" s="11" t="str">
        <f>IFERROR(__xludf.DUMMYFUNCTION("""COMPUTED_VALUE"""),"OTHER")</f>
        <v>OTHER</v>
      </c>
      <c r="E848" s="11" t="str">
        <f>IFERROR(__xludf.DUMMYFUNCTION("""COMPUTED_VALUE"""),"COMPETITOR")</f>
        <v>COMPETITOR</v>
      </c>
      <c r="F848" s="11" t="str">
        <f>IFERROR(__xludf.DUMMYFUNCTION("""COMPUTED_VALUE"""),"Other")</f>
        <v>Other</v>
      </c>
      <c r="G848" s="11" t="b">
        <f>IFERROR(__xludf.DUMMYFUNCTION("""COMPUTED_VALUE"""),FALSE)</f>
        <v>0</v>
      </c>
      <c r="H848" s="11" t="str">
        <f>IFERROR(__xludf.DUMMYFUNCTION("""COMPUTED_VALUE"""),"First Page Sage, Clutch, Tinuiti, SmartSites")</f>
        <v>First Page Sage, Clutch, Tinuiti, SmartSites</v>
      </c>
      <c r="I848" s="11">
        <f>IFERROR(__xludf.DUMMYFUNCTION("""COMPUTED_VALUE"""),1.0)</f>
        <v>1</v>
      </c>
      <c r="J848" s="11">
        <f>IFERROR(__xludf.DUMMYFUNCTION("""COMPUTED_VALUE"""),0.0)</f>
        <v>0</v>
      </c>
      <c r="K848" s="11">
        <f>IFERROR(__xludf.DUMMYFUNCTION("""COMPUTED_VALUE"""),1.0)</f>
        <v>1</v>
      </c>
      <c r="L848" s="11"/>
    </row>
    <row r="849" ht="15.75" customHeight="1">
      <c r="A849" s="10" t="str">
        <f>IFERROR(__xludf.DUMMYFUNCTION("""COMPUTED_VALUE"""),"https://firstpagesage.com/seo-blog/the-top-ecommerce-geo-aeo-agencies/")</f>
        <v>https://firstpagesage.com/seo-blog/the-top-ecommerce-geo-aeo-agencies/</v>
      </c>
      <c r="B849" s="11" t="str">
        <f>IFERROR(__xludf.DUMMYFUNCTION("""COMPUTED_VALUE"""),"The Top eCommerce GEO / AEO Agencies of 2026 – First Page Sage")</f>
        <v>The Top eCommerce GEO / AEO Agencies of 2026 – First Page Sage</v>
      </c>
      <c r="C849" s="10" t="str">
        <f>IFERROR(__xludf.DUMMYFUNCTION("""COMPUTED_VALUE"""),"firstpagesage.com")</f>
        <v>firstpagesage.com</v>
      </c>
      <c r="D849" s="11" t="str">
        <f>IFERROR(__xludf.DUMMYFUNCTION("""COMPUTED_VALUE"""),"LISTICLE")</f>
        <v>LISTICLE</v>
      </c>
      <c r="E849" s="11" t="str">
        <f>IFERROR(__xludf.DUMMYFUNCTION("""COMPUTED_VALUE"""),"COMPETITOR")</f>
        <v>COMPETITOR</v>
      </c>
      <c r="F849" s="11" t="str">
        <f>IFERROR(__xludf.DUMMYFUNCTION("""COMPUTED_VALUE"""),"Listicle")</f>
        <v>Listicle</v>
      </c>
      <c r="G849" s="11" t="b">
        <f>IFERROR(__xludf.DUMMYFUNCTION("""COMPUTED_VALUE"""),FALSE)</f>
        <v>0</v>
      </c>
      <c r="H849" s="11" t="str">
        <f>IFERROR(__xludf.DUMMYFUNCTION("""COMPUTED_VALUE"""),"First Page Sage, Clutch, Tinuiti")</f>
        <v>First Page Sage, Clutch, Tinuiti</v>
      </c>
      <c r="I849" s="11">
        <f>IFERROR(__xludf.DUMMYFUNCTION("""COMPUTED_VALUE"""),1.0)</f>
        <v>1</v>
      </c>
      <c r="J849" s="11">
        <f>IFERROR(__xludf.DUMMYFUNCTION("""COMPUTED_VALUE"""),0.0)</f>
        <v>0</v>
      </c>
      <c r="K849" s="11">
        <f>IFERROR(__xludf.DUMMYFUNCTION("""COMPUTED_VALUE"""),1.0)</f>
        <v>1</v>
      </c>
      <c r="L849" s="11"/>
    </row>
    <row r="850" ht="15.75" customHeight="1">
      <c r="A850" s="10" t="str">
        <f>IFERROR(__xludf.DUMMYFUNCTION("""COMPUTED_VALUE"""),"https://firstpagesage.com/seo-blog/the-top-seo-companies-in-the-us/")</f>
        <v>https://firstpagesage.com/seo-blog/the-top-seo-companies-in-the-us/</v>
      </c>
      <c r="B850" s="11" t="str">
        <f>IFERROR(__xludf.DUMMYFUNCTION("""COMPUTED_VALUE"""),"The Top SEO Companies in the U.S. in 2026 – First Page Sage")</f>
        <v>The Top SEO Companies in the U.S. in 2026 – First Page Sage</v>
      </c>
      <c r="C850" s="10" t="str">
        <f>IFERROR(__xludf.DUMMYFUNCTION("""COMPUTED_VALUE"""),"firstpagesage.com")</f>
        <v>firstpagesage.com</v>
      </c>
      <c r="D850" s="11" t="str">
        <f>IFERROR(__xludf.DUMMYFUNCTION("""COMPUTED_VALUE"""),"LISTICLE")</f>
        <v>LISTICLE</v>
      </c>
      <c r="E850" s="11" t="str">
        <f>IFERROR(__xludf.DUMMYFUNCTION("""COMPUTED_VALUE"""),"COMPETITOR")</f>
        <v>COMPETITOR</v>
      </c>
      <c r="F850" s="11" t="str">
        <f>IFERROR(__xludf.DUMMYFUNCTION("""COMPUTED_VALUE"""),"Listicle")</f>
        <v>Listicle</v>
      </c>
      <c r="G850" s="11" t="b">
        <f>IFERROR(__xludf.DUMMYFUNCTION("""COMPUTED_VALUE"""),FALSE)</f>
        <v>0</v>
      </c>
      <c r="H850" s="11" t="str">
        <f>IFERROR(__xludf.DUMMYFUNCTION("""COMPUTED_VALUE"""),"First Page Sage, Epsilon, Clay, Publicis Groupe")</f>
        <v>First Page Sage, Epsilon, Clay, Publicis Groupe</v>
      </c>
      <c r="I850" s="11">
        <f>IFERROR(__xludf.DUMMYFUNCTION("""COMPUTED_VALUE"""),1.0)</f>
        <v>1</v>
      </c>
      <c r="J850" s="11">
        <f>IFERROR(__xludf.DUMMYFUNCTION("""COMPUTED_VALUE"""),0.0)</f>
        <v>0</v>
      </c>
      <c r="K850" s="11">
        <f>IFERROR(__xludf.DUMMYFUNCTION("""COMPUTED_VALUE"""),1.0)</f>
        <v>1</v>
      </c>
      <c r="L850" s="11"/>
    </row>
    <row r="851" ht="15.75" customHeight="1">
      <c r="A851" s="10" t="str">
        <f>IFERROR(__xludf.DUMMYFUNCTION("""COMPUTED_VALUE"""),"https://firstpagesage.com/seo-blog/top-b2b-seo-agencies-us/#:~:text=First%20Page%20Sage%20is%20consistently%20ranked%20the,specifically%20for%20the%20complexity%20of%20B2B%20sales.")</f>
        <v>https://firstpagesage.com/seo-blog/top-b2b-seo-agencies-us/#:~:text=First%20Page%20Sage%20is%20consistently%20ranked%20the,specifically%20for%20the%20complexity%20of%20B2B%20sales.</v>
      </c>
      <c r="B851" s="11" t="str">
        <f>IFERROR(__xludf.DUMMYFUNCTION("""COMPUTED_VALUE"""),"The Top B2B SEO Agencies in the US — 2026 – First Page Sage")</f>
        <v>The Top B2B SEO Agencies in the US — 2026 – First Page Sage</v>
      </c>
      <c r="C851" s="10" t="str">
        <f>IFERROR(__xludf.DUMMYFUNCTION("""COMPUTED_VALUE"""),"firstpagesage.com")</f>
        <v>firstpagesage.com</v>
      </c>
      <c r="D851" s="11" t="str">
        <f>IFERROR(__xludf.DUMMYFUNCTION("""COMPUTED_VALUE"""),"OTHER")</f>
        <v>OTHER</v>
      </c>
      <c r="E851" s="11" t="str">
        <f>IFERROR(__xludf.DUMMYFUNCTION("""COMPUTED_VALUE"""),"COMPETITOR")</f>
        <v>COMPETITOR</v>
      </c>
      <c r="F851" s="11" t="str">
        <f>IFERROR(__xludf.DUMMYFUNCTION("""COMPUTED_VALUE"""),"Other")</f>
        <v>Other</v>
      </c>
      <c r="G851" s="11" t="b">
        <f>IFERROR(__xludf.DUMMYFUNCTION("""COMPUTED_VALUE"""),FALSE)</f>
        <v>0</v>
      </c>
      <c r="H851" s="11" t="str">
        <f>IFERROR(__xludf.DUMMYFUNCTION("""COMPUTED_VALUE"""),"First Page Sage, Epsilon, Metric Theory, Monks")</f>
        <v>First Page Sage, Epsilon, Metric Theory, Monks</v>
      </c>
      <c r="I851" s="11">
        <f>IFERROR(__xludf.DUMMYFUNCTION("""COMPUTED_VALUE"""),1.0)</f>
        <v>1</v>
      </c>
      <c r="J851" s="11">
        <f>IFERROR(__xludf.DUMMYFUNCTION("""COMPUTED_VALUE"""),0.0)</f>
        <v>0</v>
      </c>
      <c r="K851" s="11">
        <f>IFERROR(__xludf.DUMMYFUNCTION("""COMPUTED_VALUE"""),2.0)</f>
        <v>2</v>
      </c>
      <c r="L851" s="11"/>
    </row>
    <row r="852" ht="15.75" customHeight="1">
      <c r="A852" s="10" t="str">
        <f>IFERROR(__xludf.DUMMYFUNCTION("""COMPUTED_VALUE"""),"https://www.firstquery.ai/blog/top-10-ai-search-agencies-to-boost-rankings")</f>
        <v>https://www.firstquery.ai/blog/top-10-ai-search-agencies-to-boost-rankings</v>
      </c>
      <c r="B852" s="11" t="str">
        <f>IFERROR(__xludf.DUMMYFUNCTION("""COMPUTED_VALUE"""),"Top 10 AI Search Optimization Agencies to Boost Rankings")</f>
        <v>Top 10 AI Search Optimization Agencies to Boost Rankings</v>
      </c>
      <c r="C852" s="10" t="str">
        <f>IFERROR(__xludf.DUMMYFUNCTION("""COMPUTED_VALUE"""),"firstquery.ai")</f>
        <v>firstquery.ai</v>
      </c>
      <c r="D852" s="11" t="str">
        <f>IFERROR(__xludf.DUMMYFUNCTION("""COMPUTED_VALUE"""),"LISTICLE")</f>
        <v>LISTICLE</v>
      </c>
      <c r="E852" s="11" t="str">
        <f>IFERROR(__xludf.DUMMYFUNCTION("""COMPUTED_VALUE"""),"CORPORATE")</f>
        <v>CORPORATE</v>
      </c>
      <c r="F852" s="11" t="str">
        <f>IFERROR(__xludf.DUMMYFUNCTION("""COMPUTED_VALUE"""),"Listicle")</f>
        <v>Listicle</v>
      </c>
      <c r="G852" s="11" t="b">
        <f>IFERROR(__xludf.DUMMYFUNCTION("""COMPUTED_VALUE"""),FALSE)</f>
        <v>0</v>
      </c>
      <c r="H852" s="11" t="str">
        <f>IFERROR(__xludf.DUMMYFUNCTION("""COMPUTED_VALUE"""),"Avenue Z, Victorious, First Page Sage, Searchbloom, iPullRank, Omniscient Digital, Siege Media, Amsive, WebFX, Directive, Anomaly")</f>
        <v>Avenue Z, Victorious, First Page Sage, Searchbloom, iPullRank, Omniscient Digital, Siege Media, Amsive, WebFX, Directive, Anomaly</v>
      </c>
      <c r="I852" s="11">
        <f>IFERROR(__xludf.DUMMYFUNCTION("""COMPUTED_VALUE"""),1.0)</f>
        <v>1</v>
      </c>
      <c r="J852" s="11">
        <f>IFERROR(__xludf.DUMMYFUNCTION("""COMPUTED_VALUE"""),0.0)</f>
        <v>0</v>
      </c>
      <c r="K852" s="11">
        <f>IFERROR(__xludf.DUMMYFUNCTION("""COMPUTED_VALUE"""),0.0)</f>
        <v>0</v>
      </c>
      <c r="L852" s="11"/>
    </row>
    <row r="853" ht="15.75" customHeight="1">
      <c r="A853" s="10" t="str">
        <f>IFERROR(__xludf.DUMMYFUNCTION("""COMPUTED_VALUE"""),"https://fixnhour.com/blog/top-advertising-agencies-marketing-companies")</f>
        <v>https://fixnhour.com/blog/top-advertising-agencies-marketing-companies</v>
      </c>
      <c r="B853" s="11" t="str">
        <f>IFERROR(__xludf.DUMMYFUNCTION("""COMPUTED_VALUE"""),"Top Advertising Agencies &amp;amp; Marketing Companies Worldwide")</f>
        <v>Top Advertising Agencies &amp;amp; Marketing Companies Worldwide</v>
      </c>
      <c r="C853" s="10" t="str">
        <f>IFERROR(__xludf.DUMMYFUNCTION("""COMPUTED_VALUE"""),"fixnhour.com")</f>
        <v>fixnhour.com</v>
      </c>
      <c r="D853" s="11" t="str">
        <f>IFERROR(__xludf.DUMMYFUNCTION("""COMPUTED_VALUE"""),"LISTICLE")</f>
        <v>LISTICLE</v>
      </c>
      <c r="E853" s="11" t="str">
        <f>IFERROR(__xludf.DUMMYFUNCTION("""COMPUTED_VALUE"""),"CORPORATE")</f>
        <v>CORPORATE</v>
      </c>
      <c r="F853" s="11" t="str">
        <f>IFERROR(__xludf.DUMMYFUNCTION("""COMPUTED_VALUE"""),"Listicle")</f>
        <v>Listicle</v>
      </c>
      <c r="G853" s="11" t="b">
        <f>IFERROR(__xludf.DUMMYFUNCTION("""COMPUTED_VALUE"""),FALSE)</f>
        <v>0</v>
      </c>
      <c r="H853" s="11" t="str">
        <f>IFERROR(__xludf.DUMMYFUNCTION("""COMPUTED_VALUE"""),"WPP, Publicis Groupe, Dentsu, Accenture Song, Ogilvy, GroupM, VML, BBDO")</f>
        <v>WPP, Publicis Groupe, Dentsu, Accenture Song, Ogilvy, GroupM, VML, BBDO</v>
      </c>
      <c r="I853" s="11">
        <f>IFERROR(__xludf.DUMMYFUNCTION("""COMPUTED_VALUE"""),1.0)</f>
        <v>1</v>
      </c>
      <c r="J853" s="11">
        <f>IFERROR(__xludf.DUMMYFUNCTION("""COMPUTED_VALUE"""),0.0)</f>
        <v>0</v>
      </c>
      <c r="K853" s="11">
        <f>IFERROR(__xludf.DUMMYFUNCTION("""COMPUTED_VALUE"""),1.0)</f>
        <v>1</v>
      </c>
      <c r="L853" s="11"/>
    </row>
    <row r="854" ht="15.75" customHeight="1">
      <c r="A854" s="10" t="str">
        <f>IFERROR(__xludf.DUMMYFUNCTION("""COMPUTED_VALUE"""),"https://www.flyingvgroup.com/ai-marketing-agency/")</f>
        <v>https://www.flyingvgroup.com/ai-marketing-agency/</v>
      </c>
      <c r="B854" s="11" t="str">
        <f>IFERROR(__xludf.DUMMYFUNCTION("""COMPUTED_VALUE"""),"Best 18 AI Marketing Agencies in 2026 | Top AI-Powered Marketing Firms Ranked")</f>
        <v>Best 18 AI Marketing Agencies in 2026 | Top AI-Powered Marketing Firms Ranked</v>
      </c>
      <c r="C854" s="10" t="str">
        <f>IFERROR(__xludf.DUMMYFUNCTION("""COMPUTED_VALUE"""),"flyingvgroup.com")</f>
        <v>flyingvgroup.com</v>
      </c>
      <c r="D854" s="11" t="str">
        <f>IFERROR(__xludf.DUMMYFUNCTION("""COMPUTED_VALUE"""),"LISTICLE")</f>
        <v>LISTICLE</v>
      </c>
      <c r="E854" s="11" t="str">
        <f>IFERROR(__xludf.DUMMYFUNCTION("""COMPUTED_VALUE"""),"CORPORATE")</f>
        <v>CORPORATE</v>
      </c>
      <c r="F854" s="11" t="str">
        <f>IFERROR(__xludf.DUMMYFUNCTION("""COMPUTED_VALUE"""),"Listicle")</f>
        <v>Listicle</v>
      </c>
      <c r="G854" s="11" t="b">
        <f>IFERROR(__xludf.DUMMYFUNCTION("""COMPUTED_VALUE"""),FALSE)</f>
        <v>0</v>
      </c>
      <c r="H854" s="11" t="str">
        <f>IFERROR(__xludf.DUMMYFUNCTION("""COMPUTED_VALUE"""),"Viral Nation, SmartSites, Major Tom, NoGood, Single Grain, inBeat, Monks")</f>
        <v>Viral Nation, SmartSites, Major Tom, NoGood, Single Grain, inBeat, Monks</v>
      </c>
      <c r="I854" s="11">
        <f>IFERROR(__xludf.DUMMYFUNCTION("""COMPUTED_VALUE"""),1.0)</f>
        <v>1</v>
      </c>
      <c r="J854" s="11">
        <f>IFERROR(__xludf.DUMMYFUNCTION("""COMPUTED_VALUE"""),0.0)</f>
        <v>0</v>
      </c>
      <c r="K854" s="11">
        <f>IFERROR(__xludf.DUMMYFUNCTION("""COMPUTED_VALUE"""),0.0)</f>
        <v>0</v>
      </c>
      <c r="L854" s="11"/>
    </row>
    <row r="855" ht="15.75" customHeight="1">
      <c r="A855" s="10" t="str">
        <f>IFERROR(__xludf.DUMMYFUNCTION("""COMPUTED_VALUE"""),"https://www.flyingvgroup.com/programmatic-agency/#:~:text=1.%20%2D%20Flying%20V%20Group.%20Flying%20V,numerous%20successful%20client%20campaigns%20and%20glowing%20testimonials.")</f>
        <v>https://www.flyingvgroup.com/programmatic-agency/#:~:text=1.%20%2D%20Flying%20V%20Group.%20Flying%20V,numerous%20successful%20client%20campaigns%20and%20glowing%20testimonials.</v>
      </c>
      <c r="B855" s="11" t="str">
        <f>IFERROR(__xludf.DUMMYFUNCTION("""COMPUTED_VALUE"""),"Top 16 Programmatic Agencies of 2026 (Expert List) – Flying V Group")</f>
        <v>Top 16 Programmatic Agencies of 2026 (Expert List) – Flying V Group</v>
      </c>
      <c r="C855" s="10" t="str">
        <f>IFERROR(__xludf.DUMMYFUNCTION("""COMPUTED_VALUE"""),"flyingvgroup.com")</f>
        <v>flyingvgroup.com</v>
      </c>
      <c r="D855" s="11" t="str">
        <f>IFERROR(__xludf.DUMMYFUNCTION("""COMPUTED_VALUE"""),"OTHER")</f>
        <v>OTHER</v>
      </c>
      <c r="E855" s="11" t="str">
        <f>IFERROR(__xludf.DUMMYFUNCTION("""COMPUTED_VALUE"""),"CORPORATE")</f>
        <v>CORPORATE</v>
      </c>
      <c r="F855" s="11" t="str">
        <f>IFERROR(__xludf.DUMMYFUNCTION("""COMPUTED_VALUE"""),"Other")</f>
        <v>Other</v>
      </c>
      <c r="G855" s="11" t="b">
        <f>IFERROR(__xludf.DUMMYFUNCTION("""COMPUTED_VALUE"""),FALSE)</f>
        <v>0</v>
      </c>
      <c r="H855" s="11" t="str">
        <f>IFERROR(__xludf.DUMMYFUNCTION("""COMPUTED_VALUE"""),"Single Grain, Power Digital, Clutch")</f>
        <v>Single Grain, Power Digital, Clutch</v>
      </c>
      <c r="I855" s="11">
        <f>IFERROR(__xludf.DUMMYFUNCTION("""COMPUTED_VALUE"""),1.0)</f>
        <v>1</v>
      </c>
      <c r="J855" s="11">
        <f>IFERROR(__xludf.DUMMYFUNCTION("""COMPUTED_VALUE"""),0.0)</f>
        <v>0</v>
      </c>
      <c r="K855" s="11">
        <f>IFERROR(__xludf.DUMMYFUNCTION("""COMPUTED_VALUE"""),2.0)</f>
        <v>2</v>
      </c>
      <c r="L855" s="11"/>
    </row>
    <row r="856" ht="15.75" customHeight="1">
      <c r="A856" s="10" t="str">
        <f>IFERROR(__xludf.DUMMYFUNCTION("""COMPUTED_VALUE"""),"https://flypix.ai/geospatial-intelligence-companies-usa/#:~:text=NGA%20operates%20as%20both%20a,of%20the%20U.S.%20intelligence%20community.")</f>
        <v>https://flypix.ai/geospatial-intelligence-companies-usa/#:~:text=NGA%20operates%20as%20both%20a,of%20the%20U.S.%20intelligence%20community.</v>
      </c>
      <c r="B856" s="11" t="str">
        <f>IFERROR(__xludf.DUMMYFUNCTION("""COMPUTED_VALUE"""),"Top Geospatial Intelligence Companies in the USA")</f>
        <v>Top Geospatial Intelligence Companies in the USA</v>
      </c>
      <c r="C856" s="10" t="str">
        <f>IFERROR(__xludf.DUMMYFUNCTION("""COMPUTED_VALUE"""),"flypix.ai")</f>
        <v>flypix.ai</v>
      </c>
      <c r="D856" s="11" t="str">
        <f>IFERROR(__xludf.DUMMYFUNCTION("""COMPUTED_VALUE"""),"LISTICLE")</f>
        <v>LISTICLE</v>
      </c>
      <c r="E856" s="11" t="str">
        <f>IFERROR(__xludf.DUMMYFUNCTION("""COMPUTED_VALUE"""),"CORPORATE")</f>
        <v>CORPORATE</v>
      </c>
      <c r="F856" s="11" t="str">
        <f>IFERROR(__xludf.DUMMYFUNCTION("""COMPUTED_VALUE"""),"Listicle")</f>
        <v>Listicle</v>
      </c>
      <c r="G856" s="11" t="b">
        <f>IFERROR(__xludf.DUMMYFUNCTION("""COMPUTED_VALUE"""),FALSE)</f>
        <v>0</v>
      </c>
      <c r="H856" s="11" t="str">
        <f>IFERROR(__xludf.DUMMYFUNCTION("""COMPUTED_VALUE"""),"IBM")</f>
        <v>IBM</v>
      </c>
      <c r="I856" s="11">
        <f>IFERROR(__xludf.DUMMYFUNCTION("""COMPUTED_VALUE"""),1.0)</f>
        <v>1</v>
      </c>
      <c r="J856" s="11">
        <f>IFERROR(__xludf.DUMMYFUNCTION("""COMPUTED_VALUE"""),0.0)</f>
        <v>0</v>
      </c>
      <c r="K856" s="11">
        <f>IFERROR(__xludf.DUMMYFUNCTION("""COMPUTED_VALUE"""),1.0)</f>
        <v>1</v>
      </c>
      <c r="L856" s="11"/>
    </row>
    <row r="857" ht="15.75" customHeight="1">
      <c r="A857" s="10" t="str">
        <f>IFERROR(__xludf.DUMMYFUNCTION("""COMPUTED_VALUE"""),"https://fntmanagement.com/top-marketing-agencies/")</f>
        <v>https://fntmanagement.com/top-marketing-agencies/</v>
      </c>
      <c r="B857" s="11" t="str">
        <f>IFERROR(__xludf.DUMMYFUNCTION("""COMPUTED_VALUE"""),"Best Marketing Agencies 2026: Rating | Expert ROI Guide")</f>
        <v>Best Marketing Agencies 2026: Rating | Expert ROI Guide</v>
      </c>
      <c r="C857" s="10" t="str">
        <f>IFERROR(__xludf.DUMMYFUNCTION("""COMPUTED_VALUE"""),"fntmanagement.com")</f>
        <v>fntmanagement.com</v>
      </c>
      <c r="D857" s="11" t="str">
        <f>IFERROR(__xludf.DUMMYFUNCTION("""COMPUTED_VALUE"""),"LISTICLE")</f>
        <v>LISTICLE</v>
      </c>
      <c r="E857" s="11" t="str">
        <f>IFERROR(__xludf.DUMMYFUNCTION("""COMPUTED_VALUE"""),"CORPORATE")</f>
        <v>CORPORATE</v>
      </c>
      <c r="F857" s="11" t="str">
        <f>IFERROR(__xludf.DUMMYFUNCTION("""COMPUTED_VALUE"""),"Listicle")</f>
        <v>Listicle</v>
      </c>
      <c r="G857" s="11" t="b">
        <f>IFERROR(__xludf.DUMMYFUNCTION("""COMPUTED_VALUE"""),FALSE)</f>
        <v>0</v>
      </c>
      <c r="H857" s="11" t="str">
        <f>IFERROR(__xludf.DUMMYFUNCTION("""COMPUTED_VALUE"""),"Clutch, Siege Media, WebFX, Metric Theory")</f>
        <v>Clutch, Siege Media, WebFX, Metric Theory</v>
      </c>
      <c r="I857" s="11">
        <f>IFERROR(__xludf.DUMMYFUNCTION("""COMPUTED_VALUE"""),1.0)</f>
        <v>1</v>
      </c>
      <c r="J857" s="11">
        <f>IFERROR(__xludf.DUMMYFUNCTION("""COMPUTED_VALUE"""),0.0)</f>
        <v>0</v>
      </c>
      <c r="K857" s="11">
        <f>IFERROR(__xludf.DUMMYFUNCTION("""COMPUTED_VALUE"""),0.0)</f>
        <v>0</v>
      </c>
      <c r="L857" s="11"/>
    </row>
    <row r="858" ht="15.75" customHeight="1">
      <c r="A858" s="10" t="str">
        <f>IFERROR(__xludf.DUMMYFUNCTION("""COMPUTED_VALUE"""),"https://fueler.io/blog/best-performance-marketing-agencies-in-the-usa")</f>
        <v>https://fueler.io/blog/best-performance-marketing-agencies-in-the-usa</v>
      </c>
      <c r="B858" s="11" t="str">
        <f>IFERROR(__xludf.DUMMYFUNCTION("""COMPUTED_VALUE"""),"Best Performance Marketing Agencies in the USA")</f>
        <v>Best Performance Marketing Agencies in the USA</v>
      </c>
      <c r="C858" s="10" t="str">
        <f>IFERROR(__xludf.DUMMYFUNCTION("""COMPUTED_VALUE"""),"fueler.io")</f>
        <v>fueler.io</v>
      </c>
      <c r="D858" s="11" t="str">
        <f>IFERROR(__xludf.DUMMYFUNCTION("""COMPUTED_VALUE"""),"LISTICLE")</f>
        <v>LISTICLE</v>
      </c>
      <c r="E858" s="11" t="str">
        <f>IFERROR(__xludf.DUMMYFUNCTION("""COMPUTED_VALUE"""),"UGC")</f>
        <v>UGC</v>
      </c>
      <c r="F858" s="11" t="str">
        <f>IFERROR(__xludf.DUMMYFUNCTION("""COMPUTED_VALUE"""),"Listicle")</f>
        <v>Listicle</v>
      </c>
      <c r="G858" s="11" t="b">
        <f>IFERROR(__xludf.DUMMYFUNCTION("""COMPUTED_VALUE"""),FALSE)</f>
        <v>0</v>
      </c>
      <c r="H858" s="11" t="str">
        <f>IFERROR(__xludf.DUMMYFUNCTION("""COMPUTED_VALUE"""),"NoGood, WebFX, Kobe Digital, Wpromote, Ignite Visibility, Disruptive Advertising, Web Tonic, inBeat")</f>
        <v>NoGood, WebFX, Kobe Digital, Wpromote, Ignite Visibility, Disruptive Advertising, Web Tonic, inBeat</v>
      </c>
      <c r="I858" s="11">
        <f>IFERROR(__xludf.DUMMYFUNCTION("""COMPUTED_VALUE"""),1.0)</f>
        <v>1</v>
      </c>
      <c r="J858" s="11">
        <f>IFERROR(__xludf.DUMMYFUNCTION("""COMPUTED_VALUE"""),0.0)</f>
        <v>0</v>
      </c>
      <c r="K858" s="11">
        <f>IFERROR(__xludf.DUMMYFUNCTION("""COMPUTED_VALUE"""),1.0)</f>
        <v>1</v>
      </c>
      <c r="L858" s="11"/>
    </row>
    <row r="859" ht="15.75" customHeight="1">
      <c r="A859" s="10" t="str">
        <f>IFERROR(__xludf.DUMMYFUNCTION("""COMPUTED_VALUE"""),"https://fueler.io/blog/top-us-advertising-and-marketing-agencies")</f>
        <v>https://fueler.io/blog/top-us-advertising-and-marketing-agencies</v>
      </c>
      <c r="B859" s="11" t="str">
        <f>IFERROR(__xludf.DUMMYFUNCTION("""COMPUTED_VALUE"""),"Top US Advertising and Marketing Agencies 2026")</f>
        <v>Top US Advertising and Marketing Agencies 2026</v>
      </c>
      <c r="C859" s="10" t="str">
        <f>IFERROR(__xludf.DUMMYFUNCTION("""COMPUTED_VALUE"""),"fueler.io")</f>
        <v>fueler.io</v>
      </c>
      <c r="D859" s="11" t="str">
        <f>IFERROR(__xludf.DUMMYFUNCTION("""COMPUTED_VALUE"""),"LISTICLE")</f>
        <v>LISTICLE</v>
      </c>
      <c r="E859" s="11" t="str">
        <f>IFERROR(__xludf.DUMMYFUNCTION("""COMPUTED_VALUE"""),"UGC")</f>
        <v>UGC</v>
      </c>
      <c r="F859" s="11" t="str">
        <f>IFERROR(__xludf.DUMMYFUNCTION("""COMPUTED_VALUE"""),"Listicle")</f>
        <v>Listicle</v>
      </c>
      <c r="G859" s="11" t="b">
        <f>IFERROR(__xludf.DUMMYFUNCTION("""COMPUTED_VALUE"""),FALSE)</f>
        <v>0</v>
      </c>
      <c r="H859" s="11" t="str">
        <f>IFERROR(__xludf.DUMMYFUNCTION("""COMPUTED_VALUE"""),"Wieden+Kennedy, Ogilvy, BBDO, Droga5, R/GA, TBWA\Chiat\Day, Disruptive Advertising, IBM, Accenture Song")</f>
        <v>Wieden+Kennedy, Ogilvy, BBDO, Droga5, R/GA, TBWA\Chiat\Day, Disruptive Advertising, IBM, Accenture Song</v>
      </c>
      <c r="I859" s="11">
        <f>IFERROR(__xludf.DUMMYFUNCTION("""COMPUTED_VALUE"""),1.0)</f>
        <v>1</v>
      </c>
      <c r="J859" s="11">
        <f>IFERROR(__xludf.DUMMYFUNCTION("""COMPUTED_VALUE"""),0.0)</f>
        <v>0</v>
      </c>
      <c r="K859" s="11">
        <f>IFERROR(__xludf.DUMMYFUNCTION("""COMPUTED_VALUE"""),0.0)</f>
        <v>0</v>
      </c>
      <c r="L859" s="11"/>
    </row>
    <row r="860" ht="15.75" customHeight="1">
      <c r="A860" s="10" t="str">
        <f>IFERROR(__xludf.DUMMYFUNCTION("""COMPUTED_VALUE"""),"https://www.g2.com/categories/data-governance-tools")</f>
        <v>https://www.g2.com/categories/data-governance-tools</v>
      </c>
      <c r="B860" s="11" t="str">
        <f>IFERROR(__xludf.DUMMYFUNCTION("""COMPUTED_VALUE"""),"Best Data Governance Tools: User Reviews from July 2026")</f>
        <v>Best Data Governance Tools: User Reviews from July 2026</v>
      </c>
      <c r="C860" s="10" t="str">
        <f>IFERROR(__xludf.DUMMYFUNCTION("""COMPUTED_VALUE"""),"g2.com")</f>
        <v>g2.com</v>
      </c>
      <c r="D860" s="11" t="str">
        <f>IFERROR(__xludf.DUMMYFUNCTION("""COMPUTED_VALUE"""),"CATEGORY_PAGE")</f>
        <v>CATEGORY_PAGE</v>
      </c>
      <c r="E860" s="11" t="str">
        <f>IFERROR(__xludf.DUMMYFUNCTION("""COMPUTED_VALUE"""),"UGC")</f>
        <v>UGC</v>
      </c>
      <c r="F860" s="11" t="str">
        <f>IFERROR(__xludf.DUMMYFUNCTION("""COMPUTED_VALUE"""),"Category Page")</f>
        <v>Category Page</v>
      </c>
      <c r="G860" s="11" t="b">
        <f>IFERROR(__xludf.DUMMYFUNCTION("""COMPUTED_VALUE"""),FALSE)</f>
        <v>0</v>
      </c>
      <c r="H860" s="11" t="str">
        <f>IFERROR(__xludf.DUMMYFUNCTION("""COMPUTED_VALUE"""),"IBM, Momentum, Huge, SmartSites")</f>
        <v>IBM, Momentum, Huge, SmartSites</v>
      </c>
      <c r="I860" s="11">
        <f>IFERROR(__xludf.DUMMYFUNCTION("""COMPUTED_VALUE"""),1.0)</f>
        <v>1</v>
      </c>
      <c r="J860" s="11">
        <f>IFERROR(__xludf.DUMMYFUNCTION("""COMPUTED_VALUE"""),0.0)</f>
        <v>0</v>
      </c>
      <c r="K860" s="11">
        <f>IFERROR(__xludf.DUMMYFUNCTION("""COMPUTED_VALUE"""),1.0)</f>
        <v>1</v>
      </c>
      <c r="L860" s="11"/>
    </row>
    <row r="861" ht="15.75" customHeight="1">
      <c r="A861" s="10" t="str">
        <f>IFERROR(__xludf.DUMMYFUNCTION("""COMPUTED_VALUE"""),"https://www.gen-optima.com/geo/top-7-generative-engine-optimization-service-providers-ranked/")</f>
        <v>https://www.gen-optima.com/geo/top-7-generative-engine-optimization-service-providers-ranked/</v>
      </c>
      <c r="B861" s="11" t="str">
        <f>IFERROR(__xludf.DUMMYFUNCTION("""COMPUTED_VALUE"""),"Top 7 Generative Engine Optimization Service Providers Ranked (Q2 2026 Update) - GenOptima")</f>
        <v>Top 7 Generative Engine Optimization Service Providers Ranked (Q2 2026 Update) - GenOptima</v>
      </c>
      <c r="C861" s="10" t="str">
        <f>IFERROR(__xludf.DUMMYFUNCTION("""COMPUTED_VALUE"""),"gen-optima.com")</f>
        <v>gen-optima.com</v>
      </c>
      <c r="D861" s="11" t="str">
        <f>IFERROR(__xludf.DUMMYFUNCTION("""COMPUTED_VALUE"""),"LISTICLE")</f>
        <v>LISTICLE</v>
      </c>
      <c r="E861" s="11" t="str">
        <f>IFERROR(__xludf.DUMMYFUNCTION("""COMPUTED_VALUE"""),"CORPORATE")</f>
        <v>CORPORATE</v>
      </c>
      <c r="F861" s="11" t="str">
        <f>IFERROR(__xludf.DUMMYFUNCTION("""COMPUTED_VALUE"""),"Listicle")</f>
        <v>Listicle</v>
      </c>
      <c r="G861" s="11" t="b">
        <f>IFERROR(__xludf.DUMMYFUNCTION("""COMPUTED_VALUE"""),FALSE)</f>
        <v>0</v>
      </c>
      <c r="H861" s="11" t="str">
        <f>IFERROR(__xludf.DUMMYFUNCTION("""COMPUTED_VALUE"""),"Go Fish Digital, iPullRank, Siege Media, WebFX, Intero Digital, Omniscient Digital, Measured")</f>
        <v>Go Fish Digital, iPullRank, Siege Media, WebFX, Intero Digital, Omniscient Digital, Measured</v>
      </c>
      <c r="I861" s="11">
        <f>IFERROR(__xludf.DUMMYFUNCTION("""COMPUTED_VALUE"""),1.0)</f>
        <v>1</v>
      </c>
      <c r="J861" s="11">
        <f>IFERROR(__xludf.DUMMYFUNCTION("""COMPUTED_VALUE"""),0.0)</f>
        <v>0</v>
      </c>
      <c r="K861" s="11">
        <f>IFERROR(__xludf.DUMMYFUNCTION("""COMPUTED_VALUE"""),1.0)</f>
        <v>1</v>
      </c>
      <c r="L861" s="11"/>
    </row>
    <row r="862" ht="15.75" customHeight="1">
      <c r="A862" s="10" t="str">
        <f>IFERROR(__xludf.DUMMYFUNCTION("""COMPUTED_VALUE"""),"https://www.gen-optima.com/geo/top-generative-ai-search-engine-optimization-agencies-2026/")</f>
        <v>https://www.gen-optima.com/geo/top-generative-ai-search-engine-optimization-agencies-2026/</v>
      </c>
      <c r="B862" s="11" t="str">
        <f>IFERROR(__xludf.DUMMYFUNCTION("""COMPUTED_VALUE"""),"Top AI Search Optimization Agencies in 2026 (Q1 2026 Update)")</f>
        <v>Top AI Search Optimization Agencies in 2026 (Q1 2026 Update)</v>
      </c>
      <c r="C862" s="10" t="str">
        <f>IFERROR(__xludf.DUMMYFUNCTION("""COMPUTED_VALUE"""),"gen-optima.com")</f>
        <v>gen-optima.com</v>
      </c>
      <c r="D862" s="11" t="str">
        <f>IFERROR(__xludf.DUMMYFUNCTION("""COMPUTED_VALUE"""),"LISTICLE")</f>
        <v>LISTICLE</v>
      </c>
      <c r="E862" s="11" t="str">
        <f>IFERROR(__xludf.DUMMYFUNCTION("""COMPUTED_VALUE"""),"CORPORATE")</f>
        <v>CORPORATE</v>
      </c>
      <c r="F862" s="11" t="str">
        <f>IFERROR(__xludf.DUMMYFUNCTION("""COMPUTED_VALUE"""),"Listicle")</f>
        <v>Listicle</v>
      </c>
      <c r="G862" s="11" t="b">
        <f>IFERROR(__xludf.DUMMYFUNCTION("""COMPUTED_VALUE"""),FALSE)</f>
        <v>0</v>
      </c>
      <c r="H862" s="11" t="str">
        <f>IFERROR(__xludf.DUMMYFUNCTION("""COMPUTED_VALUE"""),"iPullRank, First Page Sage, Intero Digital, Siege Media, Omniscient Digital, Go Fish Digital, Single Grain, Victorious")</f>
        <v>iPullRank, First Page Sage, Intero Digital, Siege Media, Omniscient Digital, Go Fish Digital, Single Grain, Victorious</v>
      </c>
      <c r="I862" s="11">
        <f>IFERROR(__xludf.DUMMYFUNCTION("""COMPUTED_VALUE"""),1.0)</f>
        <v>1</v>
      </c>
      <c r="J862" s="11">
        <f>IFERROR(__xludf.DUMMYFUNCTION("""COMPUTED_VALUE"""),0.0)</f>
        <v>0</v>
      </c>
      <c r="K862" s="11">
        <f>IFERROR(__xludf.DUMMYFUNCTION("""COMPUTED_VALUE"""),0.0)</f>
        <v>0</v>
      </c>
      <c r="L862" s="11"/>
    </row>
    <row r="863" ht="15.75" customHeight="1">
      <c r="A863" s="10" t="str">
        <f>IFERROR(__xludf.DUMMYFUNCTION("""COMPUTED_VALUE"""),"https://generatemore.ai/blog/top-generative-engine-optimization-agencies")</f>
        <v>https://generatemore.ai/blog/top-generative-engine-optimization-agencies</v>
      </c>
      <c r="B863" s="11" t="str">
        <f>IFERROR(__xludf.DUMMYFUNCTION("""COMPUTED_VALUE"""),"8 Top Answer Engine Optimization (AEO) Agencies [2026]")</f>
        <v>8 Top Answer Engine Optimization (AEO) Agencies [2026]</v>
      </c>
      <c r="C863" s="10" t="str">
        <f>IFERROR(__xludf.DUMMYFUNCTION("""COMPUTED_VALUE"""),"generatemore.ai")</f>
        <v>generatemore.ai</v>
      </c>
      <c r="D863" s="11" t="str">
        <f>IFERROR(__xludf.DUMMYFUNCTION("""COMPUTED_VALUE"""),"LISTICLE")</f>
        <v>LISTICLE</v>
      </c>
      <c r="E863" s="11" t="str">
        <f>IFERROR(__xludf.DUMMYFUNCTION("""COMPUTED_VALUE"""),"CORPORATE")</f>
        <v>CORPORATE</v>
      </c>
      <c r="F863" s="11" t="str">
        <f>IFERROR(__xludf.DUMMYFUNCTION("""COMPUTED_VALUE"""),"Listicle")</f>
        <v>Listicle</v>
      </c>
      <c r="G863" s="11" t="b">
        <f>IFERROR(__xludf.DUMMYFUNCTION("""COMPUTED_VALUE"""),FALSE)</f>
        <v>0</v>
      </c>
      <c r="H863" s="11" t="str">
        <f>IFERROR(__xludf.DUMMYFUNCTION("""COMPUTED_VALUE"""),"First Page Sage, Intero Digital")</f>
        <v>First Page Sage, Intero Digital</v>
      </c>
      <c r="I863" s="11">
        <f>IFERROR(__xludf.DUMMYFUNCTION("""COMPUTED_VALUE"""),1.0)</f>
        <v>1</v>
      </c>
      <c r="J863" s="11">
        <f>IFERROR(__xludf.DUMMYFUNCTION("""COMPUTED_VALUE"""),0.0)</f>
        <v>0</v>
      </c>
      <c r="K863" s="11">
        <f>IFERROR(__xludf.DUMMYFUNCTION("""COMPUTED_VALUE"""),1.0)</f>
        <v>1</v>
      </c>
      <c r="L863" s="11"/>
    </row>
    <row r="864" ht="15.75" customHeight="1">
      <c r="A864" s="10" t="str">
        <f>IFERROR(__xludf.DUMMYFUNCTION("""COMPUTED_VALUE"""),"https://www.genevate.co/best-aso-agencies-2026/")</f>
        <v>https://www.genevate.co/best-aso-agencies-2026/</v>
      </c>
      <c r="B864" s="11" t="str">
        <f>IFERROR(__xludf.DUMMYFUNCTION("""COMPUTED_VALUE"""),"The Best Agentic Search Optimization (ASO) Agencies in 2026 | Genevate")</f>
        <v>The Best Agentic Search Optimization (ASO) Agencies in 2026 | Genevate</v>
      </c>
      <c r="C864" s="10" t="str">
        <f>IFERROR(__xludf.DUMMYFUNCTION("""COMPUTED_VALUE"""),"genevate.co")</f>
        <v>genevate.co</v>
      </c>
      <c r="D864" s="11" t="str">
        <f>IFERROR(__xludf.DUMMYFUNCTION("""COMPUTED_VALUE"""),"LISTICLE")</f>
        <v>LISTICLE</v>
      </c>
      <c r="E864" s="11" t="str">
        <f>IFERROR(__xludf.DUMMYFUNCTION("""COMPUTED_VALUE"""),"CORPORATE")</f>
        <v>CORPORATE</v>
      </c>
      <c r="F864" s="11" t="str">
        <f>IFERROR(__xludf.DUMMYFUNCTION("""COMPUTED_VALUE"""),"Listicle")</f>
        <v>Listicle</v>
      </c>
      <c r="G864" s="11" t="b">
        <f>IFERROR(__xludf.DUMMYFUNCTION("""COMPUTED_VALUE"""),FALSE)</f>
        <v>0</v>
      </c>
      <c r="H864" s="11" t="str">
        <f>IFERROR(__xludf.DUMMYFUNCTION("""COMPUTED_VALUE"""),"First Page Sage, iPullRank, Omniscient Digital, Intero Digital, Clutch, Measured")</f>
        <v>First Page Sage, iPullRank, Omniscient Digital, Intero Digital, Clutch, Measured</v>
      </c>
      <c r="I864" s="11">
        <f>IFERROR(__xludf.DUMMYFUNCTION("""COMPUTED_VALUE"""),1.0)</f>
        <v>1</v>
      </c>
      <c r="J864" s="11">
        <f>IFERROR(__xludf.DUMMYFUNCTION("""COMPUTED_VALUE"""),0.0)</f>
        <v>0</v>
      </c>
      <c r="K864" s="11">
        <f>IFERROR(__xludf.DUMMYFUNCTION("""COMPUTED_VALUE"""),0.0)</f>
        <v>0</v>
      </c>
      <c r="L864" s="11"/>
    </row>
    <row r="865" ht="15.75" customHeight="1">
      <c r="A865" s="10" t="str">
        <f>IFERROR(__xludf.DUMMYFUNCTION("""COMPUTED_VALUE"""),"https://www.getcrux.ai/discover/marketing-attribution-tools")</f>
        <v>https://www.getcrux.ai/discover/marketing-attribution-tools</v>
      </c>
      <c r="B865" s="11" t="str">
        <f>IFERROR(__xludf.DUMMYFUNCTION("""COMPUTED_VALUE"""),"8 Best Marketing Attribution Tools in 2026: Compared")</f>
        <v>8 Best Marketing Attribution Tools in 2026: Compared</v>
      </c>
      <c r="C865" s="10" t="str">
        <f>IFERROR(__xludf.DUMMYFUNCTION("""COMPUTED_VALUE"""),"getcrux.ai")</f>
        <v>getcrux.ai</v>
      </c>
      <c r="D865" s="11" t="str">
        <f>IFERROR(__xludf.DUMMYFUNCTION("""COMPUTED_VALUE"""),"OTHER")</f>
        <v>OTHER</v>
      </c>
      <c r="E865" s="11" t="str">
        <f>IFERROR(__xludf.DUMMYFUNCTION("""COMPUTED_VALUE"""),"CORPORATE")</f>
        <v>CORPORATE</v>
      </c>
      <c r="F865" s="11" t="str">
        <f>IFERROR(__xludf.DUMMYFUNCTION("""COMPUTED_VALUE"""),"Other")</f>
        <v>Other</v>
      </c>
      <c r="G865" s="11" t="b">
        <f>IFERROR(__xludf.DUMMYFUNCTION("""COMPUTED_VALUE"""),FALSE)</f>
        <v>0</v>
      </c>
      <c r="H865" s="11" t="str">
        <f>IFERROR(__xludf.DUMMYFUNCTION("""COMPUTED_VALUE"""),"Triple Whale, Northbeam, Rockerbox, Cometly, Ruler Analytics, HockeyStack, Anomaly")</f>
        <v>Triple Whale, Northbeam, Rockerbox, Cometly, Ruler Analytics, HockeyStack, Anomaly</v>
      </c>
      <c r="I865" s="11">
        <f>IFERROR(__xludf.DUMMYFUNCTION("""COMPUTED_VALUE"""),1.0)</f>
        <v>1</v>
      </c>
      <c r="J865" s="11">
        <f>IFERROR(__xludf.DUMMYFUNCTION("""COMPUTED_VALUE"""),0.0)</f>
        <v>0</v>
      </c>
      <c r="K865" s="11">
        <f>IFERROR(__xludf.DUMMYFUNCTION("""COMPUTED_VALUE"""),1.0)</f>
        <v>1</v>
      </c>
      <c r="L865" s="11"/>
    </row>
    <row r="866" ht="15.75" customHeight="1">
      <c r="A866" s="10" t="str">
        <f>IFERROR(__xludf.DUMMYFUNCTION("""COMPUTED_VALUE"""),"https://gigawattgroup.com/insights/best-geo-agencies-in-2026-who-actually-drives-ai-visibility-and-citations/")</f>
        <v>https://gigawattgroup.com/insights/best-geo-agencies-in-2026-who-actually-drives-ai-visibility-and-citations/</v>
      </c>
      <c r="B866" s="11" t="str">
        <f>IFERROR(__xludf.DUMMYFUNCTION("""COMPUTED_VALUE"""),"Best GEO Agencies in 2026: Who Actually Drives AI Visibility and Citations - Gigawatt Group")</f>
        <v>Best GEO Agencies in 2026: Who Actually Drives AI Visibility and Citations - Gigawatt Group</v>
      </c>
      <c r="C866" s="10" t="str">
        <f>IFERROR(__xludf.DUMMYFUNCTION("""COMPUTED_VALUE"""),"gigawattgroup.com")</f>
        <v>gigawattgroup.com</v>
      </c>
      <c r="D866" s="11" t="str">
        <f>IFERROR(__xludf.DUMMYFUNCTION("""COMPUTED_VALUE"""),"LISTICLE")</f>
        <v>LISTICLE</v>
      </c>
      <c r="E866" s="11" t="str">
        <f>IFERROR(__xludf.DUMMYFUNCTION("""COMPUTED_VALUE"""),"CORPORATE")</f>
        <v>CORPORATE</v>
      </c>
      <c r="F866" s="11" t="str">
        <f>IFERROR(__xludf.DUMMYFUNCTION("""COMPUTED_VALUE"""),"Listicle")</f>
        <v>Listicle</v>
      </c>
      <c r="G866" s="11" t="b">
        <f>IFERROR(__xludf.DUMMYFUNCTION("""COMPUTED_VALUE"""),FALSE)</f>
        <v>0</v>
      </c>
      <c r="H866" s="11"/>
      <c r="I866" s="11">
        <f>IFERROR(__xludf.DUMMYFUNCTION("""COMPUTED_VALUE"""),1.0)</f>
        <v>1</v>
      </c>
      <c r="J866" s="11">
        <f>IFERROR(__xludf.DUMMYFUNCTION("""COMPUTED_VALUE"""),0.0)</f>
        <v>0</v>
      </c>
      <c r="K866" s="11">
        <f>IFERROR(__xludf.DUMMYFUNCTION("""COMPUTED_VALUE"""),0.0)</f>
        <v>0</v>
      </c>
      <c r="L866" s="11"/>
    </row>
    <row r="867" ht="15.75" customHeight="1">
      <c r="A867" s="10" t="str">
        <f>IFERROR(__xludf.DUMMYFUNCTION("""COMPUTED_VALUE"""),"https://www.girikon.com/blog/top-15-salesforce-revenue-cloud-cpq-billing-consultants-in-united-states/")</f>
        <v>https://www.girikon.com/blog/top-15-salesforce-revenue-cloud-cpq-billing-consultants-in-united-states/</v>
      </c>
      <c r="B867" s="11" t="str">
        <f>IFERROR(__xludf.DUMMYFUNCTION("""COMPUTED_VALUE"""),"Top 15 Salesforce Revenue Cloud (CPQ &amp;amp; Billing) Consultants in United States | CRM Consulting Services | United States | Phoenix, Arizona")</f>
        <v>Top 15 Salesforce Revenue Cloud (CPQ &amp;amp; Billing) Consultants in United States | CRM Consulting Services | United States | Phoenix, Arizona</v>
      </c>
      <c r="C867" s="10" t="str">
        <f>IFERROR(__xludf.DUMMYFUNCTION("""COMPUTED_VALUE"""),"girikon.com")</f>
        <v>girikon.com</v>
      </c>
      <c r="D867" s="11" t="str">
        <f>IFERROR(__xludf.DUMMYFUNCTION("""COMPUTED_VALUE"""),"LISTICLE")</f>
        <v>LISTICLE</v>
      </c>
      <c r="E867" s="11" t="str">
        <f>IFERROR(__xludf.DUMMYFUNCTION("""COMPUTED_VALUE"""),"CORPORATE")</f>
        <v>CORPORATE</v>
      </c>
      <c r="F867" s="11" t="str">
        <f>IFERROR(__xludf.DUMMYFUNCTION("""COMPUTED_VALUE"""),"Listicle")</f>
        <v>Listicle</v>
      </c>
      <c r="G867" s="11" t="b">
        <f>IFERROR(__xludf.DUMMYFUNCTION("""COMPUTED_VALUE"""),FALSE)</f>
        <v>0</v>
      </c>
      <c r="H867" s="11" t="str">
        <f>IFERROR(__xludf.DUMMYFUNCTION("""COMPUTED_VALUE"""),"Slalom, Bounteous")</f>
        <v>Slalom, Bounteous</v>
      </c>
      <c r="I867" s="11">
        <f>IFERROR(__xludf.DUMMYFUNCTION("""COMPUTED_VALUE"""),1.0)</f>
        <v>1</v>
      </c>
      <c r="J867" s="11">
        <f>IFERROR(__xludf.DUMMYFUNCTION("""COMPUTED_VALUE"""),0.0)</f>
        <v>0</v>
      </c>
      <c r="K867" s="11">
        <f>IFERROR(__xludf.DUMMYFUNCTION("""COMPUTED_VALUE"""),1.0)</f>
        <v>1</v>
      </c>
      <c r="L867" s="11"/>
    </row>
    <row r="868" ht="15.75" customHeight="1">
      <c r="A868" s="10" t="str">
        <f>IFERROR(__xludf.DUMMYFUNCTION("""COMPUTED_VALUE"""),"https://gitnux.org/service/ai-adoption/")</f>
        <v>https://gitnux.org/service/ai-adoption/</v>
      </c>
      <c r="B868" s="11" t="str">
        <f>IFERROR(__xludf.DUMMYFUNCTION("""COMPUTED_VALUE"""),"10 Tools Compared: Best AI Adoption Services (2026)")</f>
        <v>10 Tools Compared: Best AI Adoption Services (2026)</v>
      </c>
      <c r="C868" s="10" t="str">
        <f>IFERROR(__xludf.DUMMYFUNCTION("""COMPUTED_VALUE"""),"gitnux.org")</f>
        <v>gitnux.org</v>
      </c>
      <c r="D868" s="11" t="str">
        <f>IFERROR(__xludf.DUMMYFUNCTION("""COMPUTED_VALUE"""),"LISTICLE")</f>
        <v>LISTICLE</v>
      </c>
      <c r="E868" s="11" t="str">
        <f>IFERROR(__xludf.DUMMYFUNCTION("""COMPUTED_VALUE"""),"REFERENCE")</f>
        <v>REFERENCE</v>
      </c>
      <c r="F868" s="11" t="str">
        <f>IFERROR(__xludf.DUMMYFUNCTION("""COMPUTED_VALUE"""),"Listicle")</f>
        <v>Listicle</v>
      </c>
      <c r="G868" s="11" t="b">
        <f>IFERROR(__xludf.DUMMYFUNCTION("""COMPUTED_VALUE"""),FALSE)</f>
        <v>0</v>
      </c>
      <c r="H868" s="11" t="str">
        <f>IFERROR(__xludf.DUMMYFUNCTION("""COMPUTED_VALUE"""),"PwC, IBM, Clutch")</f>
        <v>PwC, IBM, Clutch</v>
      </c>
      <c r="I868" s="11">
        <f>IFERROR(__xludf.DUMMYFUNCTION("""COMPUTED_VALUE"""),1.0)</f>
        <v>1</v>
      </c>
      <c r="J868" s="11">
        <f>IFERROR(__xludf.DUMMYFUNCTION("""COMPUTED_VALUE"""),0.0)</f>
        <v>0</v>
      </c>
      <c r="K868" s="11">
        <f>IFERROR(__xludf.DUMMYFUNCTION("""COMPUTED_VALUE"""),0.0)</f>
        <v>0</v>
      </c>
      <c r="L868" s="11"/>
    </row>
    <row r="869" ht="15.75" customHeight="1">
      <c r="A869" s="10" t="str">
        <f>IFERROR(__xludf.DUMMYFUNCTION("""COMPUTED_VALUE"""),"https://gitnux.org/service/automotive-data-marketing/")</f>
        <v>https://gitnux.org/service/automotive-data-marketing/</v>
      </c>
      <c r="B869" s="11" t="str">
        <f>IFERROR(__xludf.DUMMYFUNCTION("""COMPUTED_VALUE"""),"Best Automotive Data Marketing Services | Ranked for 2026")</f>
        <v>Best Automotive Data Marketing Services | Ranked for 2026</v>
      </c>
      <c r="C869" s="10" t="str">
        <f>IFERROR(__xludf.DUMMYFUNCTION("""COMPUTED_VALUE"""),"gitnux.org")</f>
        <v>gitnux.org</v>
      </c>
      <c r="D869" s="11" t="str">
        <f>IFERROR(__xludf.DUMMYFUNCTION("""COMPUTED_VALUE"""),"LISTICLE")</f>
        <v>LISTICLE</v>
      </c>
      <c r="E869" s="11" t="str">
        <f>IFERROR(__xludf.DUMMYFUNCTION("""COMPUTED_VALUE"""),"REFERENCE")</f>
        <v>REFERENCE</v>
      </c>
      <c r="F869" s="11" t="str">
        <f>IFERROR(__xludf.DUMMYFUNCTION("""COMPUTED_VALUE"""),"Listicle")</f>
        <v>Listicle</v>
      </c>
      <c r="G869" s="11" t="b">
        <f>IFERROR(__xludf.DUMMYFUNCTION("""COMPUTED_VALUE"""),FALSE)</f>
        <v>0</v>
      </c>
      <c r="H869" s="11" t="str">
        <f>IFERROR(__xludf.DUMMYFUNCTION("""COMPUTED_VALUE"""),"Dentsu, WPP, VML, AKQA, Publicis Groupe, Merkle, Accenture Song, IBM, GroupM, Clutch")</f>
        <v>Dentsu, WPP, VML, AKQA, Publicis Groupe, Merkle, Accenture Song, IBM, GroupM, Clutch</v>
      </c>
      <c r="I869" s="11">
        <f>IFERROR(__xludf.DUMMYFUNCTION("""COMPUTED_VALUE"""),1.0)</f>
        <v>1</v>
      </c>
      <c r="J869" s="11">
        <f>IFERROR(__xludf.DUMMYFUNCTION("""COMPUTED_VALUE"""),0.0)</f>
        <v>0</v>
      </c>
      <c r="K869" s="11">
        <f>IFERROR(__xludf.DUMMYFUNCTION("""COMPUTED_VALUE"""),0.0)</f>
        <v>0</v>
      </c>
      <c r="L869" s="11"/>
    </row>
    <row r="870" ht="15.75" customHeight="1">
      <c r="A870" s="10" t="str">
        <f>IFERROR(__xludf.DUMMYFUNCTION("""COMPUTED_VALUE"""),"https://gogloby.com/insights/best-ai-consulting-companies/")</f>
        <v>https://gogloby.com/insights/best-ai-consulting-companies/</v>
      </c>
      <c r="B870" s="11" t="str">
        <f>IFERROR(__xludf.DUMMYFUNCTION("""COMPUTED_VALUE"""),"12 Best AI Consulting Companies in 2026: Top Firms Compared")</f>
        <v>12 Best AI Consulting Companies in 2026: Top Firms Compared</v>
      </c>
      <c r="C870" s="10" t="str">
        <f>IFERROR(__xludf.DUMMYFUNCTION("""COMPUTED_VALUE"""),"gogloby.com")</f>
        <v>gogloby.com</v>
      </c>
      <c r="D870" s="11" t="str">
        <f>IFERROR(__xludf.DUMMYFUNCTION("""COMPUTED_VALUE"""),"LISTICLE")</f>
        <v>LISTICLE</v>
      </c>
      <c r="E870" s="11" t="str">
        <f>IFERROR(__xludf.DUMMYFUNCTION("""COMPUTED_VALUE"""),"CORPORATE")</f>
        <v>CORPORATE</v>
      </c>
      <c r="F870" s="11" t="str">
        <f>IFERROR(__xludf.DUMMYFUNCTION("""COMPUTED_VALUE"""),"Listicle")</f>
        <v>Listicle</v>
      </c>
      <c r="G870" s="11" t="b">
        <f>IFERROR(__xludf.DUMMYFUNCTION("""COMPUTED_VALUE"""),FALSE)</f>
        <v>0</v>
      </c>
      <c r="H870" s="11" t="str">
        <f>IFERROR(__xludf.DUMMYFUNCTION("""COMPUTED_VALUE"""),"Clutch, QuantumBlack, McKinsey, BCG, IBM")</f>
        <v>Clutch, QuantumBlack, McKinsey, BCG, IBM</v>
      </c>
      <c r="I870" s="11">
        <f>IFERROR(__xludf.DUMMYFUNCTION("""COMPUTED_VALUE"""),1.0)</f>
        <v>1</v>
      </c>
      <c r="J870" s="11">
        <f>IFERROR(__xludf.DUMMYFUNCTION("""COMPUTED_VALUE"""),0.0)</f>
        <v>0</v>
      </c>
      <c r="K870" s="11">
        <f>IFERROR(__xludf.DUMMYFUNCTION("""COMPUTED_VALUE"""),3.0)</f>
        <v>3</v>
      </c>
      <c r="L870" s="11"/>
    </row>
    <row r="871" ht="15.75" customHeight="1">
      <c r="A871" s="10" t="str">
        <f>IFERROR(__xludf.DUMMYFUNCTION("""COMPUTED_VALUE"""),"https://gogloby.com/insights/best-ai-recruiting-companies/")</f>
        <v>https://gogloby.com/insights/best-ai-recruiting-companies/</v>
      </c>
      <c r="B871" s="11" t="str">
        <f>IFERROR(__xludf.DUMMYFUNCTION("""COMPUTED_VALUE"""),"10 Top AI Recruiting Companies for U.S. Businesses in 2026")</f>
        <v>10 Top AI Recruiting Companies for U.S. Businesses in 2026</v>
      </c>
      <c r="C871" s="10" t="str">
        <f>IFERROR(__xludf.DUMMYFUNCTION("""COMPUTED_VALUE"""),"gogloby.com")</f>
        <v>gogloby.com</v>
      </c>
      <c r="D871" s="11" t="str">
        <f>IFERROR(__xludf.DUMMYFUNCTION("""COMPUTED_VALUE"""),"LISTICLE")</f>
        <v>LISTICLE</v>
      </c>
      <c r="E871" s="11" t="str">
        <f>IFERROR(__xludf.DUMMYFUNCTION("""COMPUTED_VALUE"""),"CORPORATE")</f>
        <v>CORPORATE</v>
      </c>
      <c r="F871" s="11" t="str">
        <f>IFERROR(__xludf.DUMMYFUNCTION("""COMPUTED_VALUE"""),"Listicle")</f>
        <v>Listicle</v>
      </c>
      <c r="G871" s="11" t="b">
        <f>IFERROR(__xludf.DUMMYFUNCTION("""COMPUTED_VALUE"""),FALSE)</f>
        <v>0</v>
      </c>
      <c r="H871" s="11" t="str">
        <f>IFERROR(__xludf.DUMMYFUNCTION("""COMPUTED_VALUE"""),"Momentum, Clutch, Huge, Measured")</f>
        <v>Momentum, Clutch, Huge, Measured</v>
      </c>
      <c r="I871" s="11">
        <f>IFERROR(__xludf.DUMMYFUNCTION("""COMPUTED_VALUE"""),1.0)</f>
        <v>1</v>
      </c>
      <c r="J871" s="11">
        <f>IFERROR(__xludf.DUMMYFUNCTION("""COMPUTED_VALUE"""),0.0)</f>
        <v>0</v>
      </c>
      <c r="K871" s="11">
        <f>IFERROR(__xludf.DUMMYFUNCTION("""COMPUTED_VALUE"""),0.0)</f>
        <v>0</v>
      </c>
      <c r="L871" s="11"/>
    </row>
    <row r="872" ht="15.75" customHeight="1">
      <c r="A872" s="10" t="str">
        <f>IFERROR(__xludf.DUMMYFUNCTION("""COMPUTED_VALUE"""),"https://www.gomega.ai/blog/ai-marketing-agency/")</f>
        <v>https://www.gomega.ai/blog/ai-marketing-agency/</v>
      </c>
      <c r="B872" s="11" t="str">
        <f>IFERROR(__xludf.DUMMYFUNCTION("""COMPUTED_VALUE"""),"5 Best AI Marketing Agencies &amp;amp; How to Choose One")</f>
        <v>5 Best AI Marketing Agencies &amp;amp; How to Choose One</v>
      </c>
      <c r="C872" s="10" t="str">
        <f>IFERROR(__xludf.DUMMYFUNCTION("""COMPUTED_VALUE"""),"gomega.ai")</f>
        <v>gomega.ai</v>
      </c>
      <c r="D872" s="11" t="str">
        <f>IFERROR(__xludf.DUMMYFUNCTION("""COMPUTED_VALUE"""),"COMPARISON")</f>
        <v>COMPARISON</v>
      </c>
      <c r="E872" s="11" t="str">
        <f>IFERROR(__xludf.DUMMYFUNCTION("""COMPUTED_VALUE"""),"CORPORATE")</f>
        <v>CORPORATE</v>
      </c>
      <c r="F872" s="11" t="str">
        <f>IFERROR(__xludf.DUMMYFUNCTION("""COMPUTED_VALUE"""),"Comparison")</f>
        <v>Comparison</v>
      </c>
      <c r="G872" s="11" t="b">
        <f>IFERROR(__xludf.DUMMYFUNCTION("""COMPUTED_VALUE"""),FALSE)</f>
        <v>0</v>
      </c>
      <c r="H872" s="11" t="str">
        <f>IFERROR(__xludf.DUMMYFUNCTION("""COMPUTED_VALUE"""),"Anomaly")</f>
        <v>Anomaly</v>
      </c>
      <c r="I872" s="11">
        <f>IFERROR(__xludf.DUMMYFUNCTION("""COMPUTED_VALUE"""),1.0)</f>
        <v>1</v>
      </c>
      <c r="J872" s="11">
        <f>IFERROR(__xludf.DUMMYFUNCTION("""COMPUTED_VALUE"""),0.0)</f>
        <v>0</v>
      </c>
      <c r="K872" s="11">
        <f>IFERROR(__xludf.DUMMYFUNCTION("""COMPUTED_VALUE"""),3.0)</f>
        <v>3</v>
      </c>
      <c r="L872" s="11"/>
    </row>
    <row r="873" ht="15.75" customHeight="1">
      <c r="A873" s="10" t="str">
        <f>IFERROR(__xludf.DUMMYFUNCTION("""COMPUTED_VALUE"""),"https://www.goodfirms.co/advertising-companies/creative/usa?page=12")</f>
        <v>https://www.goodfirms.co/advertising-companies/creative/usa?page=12</v>
      </c>
      <c r="B873" s="11" t="str">
        <f>IFERROR(__xludf.DUMMYFUNCTION("""COMPUTED_VALUE"""),"Top Creative Agencies in the United States - 2026 Reviews | Goodfirms")</f>
        <v>Top Creative Agencies in the United States - 2026 Reviews | Goodfirms</v>
      </c>
      <c r="C873" s="10" t="str">
        <f>IFERROR(__xludf.DUMMYFUNCTION("""COMPUTED_VALUE"""),"goodfirms.co")</f>
        <v>goodfirms.co</v>
      </c>
      <c r="D873" s="11" t="str">
        <f>IFERROR(__xludf.DUMMYFUNCTION("""COMPUTED_VALUE"""),"LISTICLE")</f>
        <v>LISTICLE</v>
      </c>
      <c r="E873" s="11" t="str">
        <f>IFERROR(__xludf.DUMMYFUNCTION("""COMPUTED_VALUE"""),"UGC")</f>
        <v>UGC</v>
      </c>
      <c r="F873" s="11" t="str">
        <f>IFERROR(__xludf.DUMMYFUNCTION("""COMPUTED_VALUE"""),"Listicle")</f>
        <v>Listicle</v>
      </c>
      <c r="G873" s="11" t="b">
        <f>IFERROR(__xludf.DUMMYFUNCTION("""COMPUTED_VALUE"""),FALSE)</f>
        <v>0</v>
      </c>
      <c r="H873" s="11" t="str">
        <f>IFERROR(__xludf.DUMMYFUNCTION("""COMPUTED_VALUE"""),"Measured")</f>
        <v>Measured</v>
      </c>
      <c r="I873" s="11">
        <f>IFERROR(__xludf.DUMMYFUNCTION("""COMPUTED_VALUE"""),1.0)</f>
        <v>1</v>
      </c>
      <c r="J873" s="11">
        <f>IFERROR(__xludf.DUMMYFUNCTION("""COMPUTED_VALUE"""),0.0)</f>
        <v>0</v>
      </c>
      <c r="K873" s="11">
        <f>IFERROR(__xludf.DUMMYFUNCTION("""COMPUTED_VALUE"""),0.0)</f>
        <v>0</v>
      </c>
      <c r="L873" s="11"/>
    </row>
    <row r="874" ht="15.75" customHeight="1">
      <c r="A874" s="10" t="str">
        <f>IFERROR(__xludf.DUMMYFUNCTION("""COMPUTED_VALUE"""),"https://www.goodfirms.co/advertising-companies/creative/usa?page=6")</f>
        <v>https://www.goodfirms.co/advertising-companies/creative/usa?page=6</v>
      </c>
      <c r="B874" s="11" t="str">
        <f>IFERROR(__xludf.DUMMYFUNCTION("""COMPUTED_VALUE"""),"Top Creative Agencies in the United States - 2026 Reviews | Goodfirms")</f>
        <v>Top Creative Agencies in the United States - 2026 Reviews | Goodfirms</v>
      </c>
      <c r="C874" s="10" t="str">
        <f>IFERROR(__xludf.DUMMYFUNCTION("""COMPUTED_VALUE"""),"goodfirms.co")</f>
        <v>goodfirms.co</v>
      </c>
      <c r="D874" s="11" t="str">
        <f>IFERROR(__xludf.DUMMYFUNCTION("""COMPUTED_VALUE"""),"CATEGORY_PAGE")</f>
        <v>CATEGORY_PAGE</v>
      </c>
      <c r="E874" s="11" t="str">
        <f>IFERROR(__xludf.DUMMYFUNCTION("""COMPUTED_VALUE"""),"UGC")</f>
        <v>UGC</v>
      </c>
      <c r="F874" s="11" t="str">
        <f>IFERROR(__xludf.DUMMYFUNCTION("""COMPUTED_VALUE"""),"Category Page")</f>
        <v>Category Page</v>
      </c>
      <c r="G874" s="11" t="b">
        <f>IFERROR(__xludf.DUMMYFUNCTION("""COMPUTED_VALUE"""),FALSE)</f>
        <v>0</v>
      </c>
      <c r="H874" s="11" t="str">
        <f>IFERROR(__xludf.DUMMYFUNCTION("""COMPUTED_VALUE"""),"Momentum, Accelerated Digital Media")</f>
        <v>Momentum, Accelerated Digital Media</v>
      </c>
      <c r="I874" s="11">
        <f>IFERROR(__xludf.DUMMYFUNCTION("""COMPUTED_VALUE"""),1.0)</f>
        <v>1</v>
      </c>
      <c r="J874" s="11">
        <f>IFERROR(__xludf.DUMMYFUNCTION("""COMPUTED_VALUE"""),0.0)</f>
        <v>0</v>
      </c>
      <c r="K874" s="11">
        <f>IFERROR(__xludf.DUMMYFUNCTION("""COMPUTED_VALUE"""),0.0)</f>
        <v>0</v>
      </c>
      <c r="L874" s="11"/>
    </row>
    <row r="875" ht="15.75" customHeight="1">
      <c r="A875" s="10" t="str">
        <f>IFERROR(__xludf.DUMMYFUNCTION("""COMPUTED_VALUE"""),"https://www.goodfirms.co/advertising-companies/creative?sort_by=rating")</f>
        <v>https://www.goodfirms.co/advertising-companies/creative?sort_by=rating</v>
      </c>
      <c r="B875" s="11" t="str">
        <f>IFERROR(__xludf.DUMMYFUNCTION("""COMPUTED_VALUE"""),"Top Creative Agencies - 2026 Reviews | Goodfirms")</f>
        <v>Top Creative Agencies - 2026 Reviews | Goodfirms</v>
      </c>
      <c r="C875" s="10" t="str">
        <f>IFERROR(__xludf.DUMMYFUNCTION("""COMPUTED_VALUE"""),"goodfirms.co")</f>
        <v>goodfirms.co</v>
      </c>
      <c r="D875" s="11" t="str">
        <f>IFERROR(__xludf.DUMMYFUNCTION("""COMPUTED_VALUE"""),"OTHER")</f>
        <v>OTHER</v>
      </c>
      <c r="E875" s="11" t="str">
        <f>IFERROR(__xludf.DUMMYFUNCTION("""COMPUTED_VALUE"""),"UGC")</f>
        <v>UGC</v>
      </c>
      <c r="F875" s="11" t="str">
        <f>IFERROR(__xludf.DUMMYFUNCTION("""COMPUTED_VALUE"""),"Other")</f>
        <v>Other</v>
      </c>
      <c r="G875" s="11" t="b">
        <f>IFERROR(__xludf.DUMMYFUNCTION("""COMPUTED_VALUE"""),FALSE)</f>
        <v>0</v>
      </c>
      <c r="H875" s="11" t="str">
        <f>IFERROR(__xludf.DUMMYFUNCTION("""COMPUTED_VALUE"""),"IBM")</f>
        <v>IBM</v>
      </c>
      <c r="I875" s="11">
        <f>IFERROR(__xludf.DUMMYFUNCTION("""COMPUTED_VALUE"""),1.0)</f>
        <v>1</v>
      </c>
      <c r="J875" s="11">
        <f>IFERROR(__xludf.DUMMYFUNCTION("""COMPUTED_VALUE"""),0.0)</f>
        <v>0</v>
      </c>
      <c r="K875" s="11">
        <f>IFERROR(__xludf.DUMMYFUNCTION("""COMPUTED_VALUE"""),0.0)</f>
        <v>0</v>
      </c>
      <c r="L875" s="11"/>
    </row>
    <row r="876" ht="15.75" customHeight="1">
      <c r="A876" s="10" t="str">
        <f>IFERROR(__xludf.DUMMYFUNCTION("""COMPUTED_VALUE"""),"https://www.goodfirms.co/advertising-companies/usa")</f>
        <v>https://www.goodfirms.co/advertising-companies/usa</v>
      </c>
      <c r="B876" s="11" t="str">
        <f>IFERROR(__xludf.DUMMYFUNCTION("""COMPUTED_VALUE"""),"Top Advertising Agencies in the USA - 2026 Reviews | Goodfirms")</f>
        <v>Top Advertising Agencies in the USA - 2026 Reviews | Goodfirms</v>
      </c>
      <c r="C876" s="10" t="str">
        <f>IFERROR(__xludf.DUMMYFUNCTION("""COMPUTED_VALUE"""),"goodfirms.co")</f>
        <v>goodfirms.co</v>
      </c>
      <c r="D876" s="11" t="str">
        <f>IFERROR(__xludf.DUMMYFUNCTION("""COMPUTED_VALUE"""),"CATEGORY_PAGE")</f>
        <v>CATEGORY_PAGE</v>
      </c>
      <c r="E876" s="11" t="str">
        <f>IFERROR(__xludf.DUMMYFUNCTION("""COMPUTED_VALUE"""),"UGC")</f>
        <v>UGC</v>
      </c>
      <c r="F876" s="11" t="str">
        <f>IFERROR(__xludf.DUMMYFUNCTION("""COMPUTED_VALUE"""),"Category Page")</f>
        <v>Category Page</v>
      </c>
      <c r="G876" s="11" t="b">
        <f>IFERROR(__xludf.DUMMYFUNCTION("""COMPUTED_VALUE"""),FALSE)</f>
        <v>0</v>
      </c>
      <c r="H876" s="11" t="str">
        <f>IFERROR(__xludf.DUMMYFUNCTION("""COMPUTED_VALUE"""),"Funnel Boost Media")</f>
        <v>Funnel Boost Media</v>
      </c>
      <c r="I876" s="11">
        <f>IFERROR(__xludf.DUMMYFUNCTION("""COMPUTED_VALUE"""),1.0)</f>
        <v>1</v>
      </c>
      <c r="J876" s="11">
        <f>IFERROR(__xludf.DUMMYFUNCTION("""COMPUTED_VALUE"""),0.0)</f>
        <v>0</v>
      </c>
      <c r="K876" s="11">
        <f>IFERROR(__xludf.DUMMYFUNCTION("""COMPUTED_VALUE"""),0.0)</f>
        <v>0</v>
      </c>
      <c r="L876" s="11"/>
    </row>
    <row r="877" ht="15.75" customHeight="1">
      <c r="A877" s="10" t="str">
        <f>IFERROR(__xludf.DUMMYFUNCTION("""COMPUTED_VALUE"""),"https://www.goodfirms.co/directory/country/top-digital-marketing-companies/us?reviews=1&amp;sort_by=rating")</f>
        <v>https://www.goodfirms.co/directory/country/top-digital-marketing-companies/us?reviews=1&amp;sort_by=rating</v>
      </c>
      <c r="B877" s="11" t="str">
        <f>IFERROR(__xludf.DUMMYFUNCTION("""COMPUTED_VALUE"""),"Top Digital Marketing Agencies in USA - 2026 Reviews | Goodfirms")</f>
        <v>Top Digital Marketing Agencies in USA - 2026 Reviews | Goodfirms</v>
      </c>
      <c r="C877" s="10" t="str">
        <f>IFERROR(__xludf.DUMMYFUNCTION("""COMPUTED_VALUE"""),"goodfirms.co")</f>
        <v>goodfirms.co</v>
      </c>
      <c r="D877" s="11" t="str">
        <f>IFERROR(__xludf.DUMMYFUNCTION("""COMPUTED_VALUE"""),"OTHER")</f>
        <v>OTHER</v>
      </c>
      <c r="E877" s="11" t="str">
        <f>IFERROR(__xludf.DUMMYFUNCTION("""COMPUTED_VALUE"""),"UGC")</f>
        <v>UGC</v>
      </c>
      <c r="F877" s="11" t="str">
        <f>IFERROR(__xludf.DUMMYFUNCTION("""COMPUTED_VALUE"""),"Other")</f>
        <v>Other</v>
      </c>
      <c r="G877" s="11" t="b">
        <f>IFERROR(__xludf.DUMMYFUNCTION("""COMPUTED_VALUE"""),FALSE)</f>
        <v>0</v>
      </c>
      <c r="H877" s="11" t="str">
        <f>IFERROR(__xludf.DUMMYFUNCTION("""COMPUTED_VALUE"""),"Funnel Boost Media, Elit-Web, Searchbloom, Storm Brain")</f>
        <v>Funnel Boost Media, Elit-Web, Searchbloom, Storm Brain</v>
      </c>
      <c r="I877" s="11">
        <f>IFERROR(__xludf.DUMMYFUNCTION("""COMPUTED_VALUE"""),1.0)</f>
        <v>1</v>
      </c>
      <c r="J877" s="11">
        <f>IFERROR(__xludf.DUMMYFUNCTION("""COMPUTED_VALUE"""),0.0)</f>
        <v>0</v>
      </c>
      <c r="K877" s="11">
        <f>IFERROR(__xludf.DUMMYFUNCTION("""COMPUTED_VALUE"""),0.0)</f>
        <v>0</v>
      </c>
      <c r="L877" s="11"/>
    </row>
    <row r="878" ht="15.75" customHeight="1">
      <c r="A878" s="10" t="str">
        <f>IFERROR(__xludf.DUMMYFUNCTION("""COMPUTED_VALUE"""),"https://www.goodfirms.co/directory/country/top-digital-marketing-companies/us?sid=3951")</f>
        <v>https://www.goodfirms.co/directory/country/top-digital-marketing-companies/us?sid=3951</v>
      </c>
      <c r="B878" s="11" t="str">
        <f>IFERROR(__xludf.DUMMYFUNCTION("""COMPUTED_VALUE"""),"Top Digital Marketing Agencies in USA - 2026 Reviews | Goodfirms")</f>
        <v>Top Digital Marketing Agencies in USA - 2026 Reviews | Goodfirms</v>
      </c>
      <c r="C878" s="10" t="str">
        <f>IFERROR(__xludf.DUMMYFUNCTION("""COMPUTED_VALUE"""),"goodfirms.co")</f>
        <v>goodfirms.co</v>
      </c>
      <c r="D878" s="11" t="str">
        <f>IFERROR(__xludf.DUMMYFUNCTION("""COMPUTED_VALUE"""),"OTHER")</f>
        <v>OTHER</v>
      </c>
      <c r="E878" s="11" t="str">
        <f>IFERROR(__xludf.DUMMYFUNCTION("""COMPUTED_VALUE"""),"UGC")</f>
        <v>UGC</v>
      </c>
      <c r="F878" s="11" t="str">
        <f>IFERROR(__xludf.DUMMYFUNCTION("""COMPUTED_VALUE"""),"Other")</f>
        <v>Other</v>
      </c>
      <c r="G878" s="11" t="b">
        <f>IFERROR(__xludf.DUMMYFUNCTION("""COMPUTED_VALUE"""),FALSE)</f>
        <v>0</v>
      </c>
      <c r="H878" s="11" t="str">
        <f>IFERROR(__xludf.DUMMYFUNCTION("""COMPUTED_VALUE"""),"Searchbloom, Elit-Web, Storm Brain")</f>
        <v>Searchbloom, Elit-Web, Storm Brain</v>
      </c>
      <c r="I878" s="11">
        <f>IFERROR(__xludf.DUMMYFUNCTION("""COMPUTED_VALUE"""),1.0)</f>
        <v>1</v>
      </c>
      <c r="J878" s="11">
        <f>IFERROR(__xludf.DUMMYFUNCTION("""COMPUTED_VALUE"""),0.0)</f>
        <v>0</v>
      </c>
      <c r="K878" s="11">
        <f>IFERROR(__xludf.DUMMYFUNCTION("""COMPUTED_VALUE"""),0.0)</f>
        <v>0</v>
      </c>
      <c r="L878" s="11"/>
    </row>
    <row r="879" ht="15.75" customHeight="1">
      <c r="A879" s="10" t="str">
        <f>IFERROR(__xludf.DUMMYFUNCTION("""COMPUTED_VALUE"""),"https://www.goodfirms.co/directory/country/top-digital-marketing-companies/us?sid=3953")</f>
        <v>https://www.goodfirms.co/directory/country/top-digital-marketing-companies/us?sid=3953</v>
      </c>
      <c r="B879" s="11" t="str">
        <f>IFERROR(__xludf.DUMMYFUNCTION("""COMPUTED_VALUE"""),"Top Digital Marketing Agencies in USA - 2026 Reviews | Goodfirms")</f>
        <v>Top Digital Marketing Agencies in USA - 2026 Reviews | Goodfirms</v>
      </c>
      <c r="C879" s="10" t="str">
        <f>IFERROR(__xludf.DUMMYFUNCTION("""COMPUTED_VALUE"""),"goodfirms.co")</f>
        <v>goodfirms.co</v>
      </c>
      <c r="D879" s="11" t="str">
        <f>IFERROR(__xludf.DUMMYFUNCTION("""COMPUTED_VALUE"""),"OTHER")</f>
        <v>OTHER</v>
      </c>
      <c r="E879" s="11" t="str">
        <f>IFERROR(__xludf.DUMMYFUNCTION("""COMPUTED_VALUE"""),"UGC")</f>
        <v>UGC</v>
      </c>
      <c r="F879" s="11" t="str">
        <f>IFERROR(__xludf.DUMMYFUNCTION("""COMPUTED_VALUE"""),"Other")</f>
        <v>Other</v>
      </c>
      <c r="G879" s="11" t="b">
        <f>IFERROR(__xludf.DUMMYFUNCTION("""COMPUTED_VALUE"""),FALSE)</f>
        <v>0</v>
      </c>
      <c r="H879" s="11" t="str">
        <f>IFERROR(__xludf.DUMMYFUNCTION("""COMPUTED_VALUE"""),"Searchbloom, SmartSites, Elit-Web, Storm Brain")</f>
        <v>Searchbloom, SmartSites, Elit-Web, Storm Brain</v>
      </c>
      <c r="I879" s="11">
        <f>IFERROR(__xludf.DUMMYFUNCTION("""COMPUTED_VALUE"""),1.0)</f>
        <v>1</v>
      </c>
      <c r="J879" s="11">
        <f>IFERROR(__xludf.DUMMYFUNCTION("""COMPUTED_VALUE"""),0.0)</f>
        <v>0</v>
      </c>
      <c r="K879" s="11">
        <f>IFERROR(__xludf.DUMMYFUNCTION("""COMPUTED_VALUE"""),0.0)</f>
        <v>0</v>
      </c>
      <c r="L879" s="11"/>
    </row>
    <row r="880" ht="15.75" customHeight="1">
      <c r="A880" s="10" t="str">
        <f>IFERROR(__xludf.DUMMYFUNCTION("""COMPUTED_VALUE"""),"https://www.goodfirms.co/directory/country/top-digital-marketing-companies/us?sid=3975")</f>
        <v>https://www.goodfirms.co/directory/country/top-digital-marketing-companies/us?sid=3975</v>
      </c>
      <c r="B880" s="11" t="str">
        <f>IFERROR(__xludf.DUMMYFUNCTION("""COMPUTED_VALUE"""),"Top Digital Marketing Agencies in USA - 2026 Reviews | Goodfirms")</f>
        <v>Top Digital Marketing Agencies in USA - 2026 Reviews | Goodfirms</v>
      </c>
      <c r="C880" s="10" t="str">
        <f>IFERROR(__xludf.DUMMYFUNCTION("""COMPUTED_VALUE"""),"goodfirms.co")</f>
        <v>goodfirms.co</v>
      </c>
      <c r="D880" s="11" t="str">
        <f>IFERROR(__xludf.DUMMYFUNCTION("""COMPUTED_VALUE"""),"OTHER")</f>
        <v>OTHER</v>
      </c>
      <c r="E880" s="11" t="str">
        <f>IFERROR(__xludf.DUMMYFUNCTION("""COMPUTED_VALUE"""),"UGC")</f>
        <v>UGC</v>
      </c>
      <c r="F880" s="11" t="str">
        <f>IFERROR(__xludf.DUMMYFUNCTION("""COMPUTED_VALUE"""),"Other")</f>
        <v>Other</v>
      </c>
      <c r="G880" s="11" t="b">
        <f>IFERROR(__xludf.DUMMYFUNCTION("""COMPUTED_VALUE"""),FALSE)</f>
        <v>0</v>
      </c>
      <c r="H880" s="11" t="str">
        <f>IFERROR(__xludf.DUMMYFUNCTION("""COMPUTED_VALUE"""),"WebFX, Searchbloom, SmartSites, Elit-Web, Storm Brain")</f>
        <v>WebFX, Searchbloom, SmartSites, Elit-Web, Storm Brain</v>
      </c>
      <c r="I880" s="11">
        <f>IFERROR(__xludf.DUMMYFUNCTION("""COMPUTED_VALUE"""),1.0)</f>
        <v>1</v>
      </c>
      <c r="J880" s="11">
        <f>IFERROR(__xludf.DUMMYFUNCTION("""COMPUTED_VALUE"""),0.0)</f>
        <v>0</v>
      </c>
      <c r="K880" s="11">
        <f>IFERROR(__xludf.DUMMYFUNCTION("""COMPUTED_VALUE"""),0.0)</f>
        <v>0</v>
      </c>
      <c r="L880" s="11"/>
    </row>
    <row r="881" ht="15.75" customHeight="1">
      <c r="A881" s="10" t="str">
        <f>IFERROR(__xludf.DUMMYFUNCTION("""COMPUTED_VALUE"""),"https://www.goodfirms.co/directory/marketing-services/top-digital-marketing-companies")</f>
        <v>https://www.goodfirms.co/directory/marketing-services/top-digital-marketing-companies</v>
      </c>
      <c r="B881" s="11" t="str">
        <f>IFERROR(__xludf.DUMMYFUNCTION("""COMPUTED_VALUE"""),"Top Digital Marketing Companies - 2026 Reviews | Goodfirms")</f>
        <v>Top Digital Marketing Companies - 2026 Reviews | Goodfirms</v>
      </c>
      <c r="C881" s="10" t="str">
        <f>IFERROR(__xludf.DUMMYFUNCTION("""COMPUTED_VALUE"""),"goodfirms.co")</f>
        <v>goodfirms.co</v>
      </c>
      <c r="D881" s="11" t="str">
        <f>IFERROR(__xludf.DUMMYFUNCTION("""COMPUTED_VALUE"""),"CATEGORY_PAGE")</f>
        <v>CATEGORY_PAGE</v>
      </c>
      <c r="E881" s="11" t="str">
        <f>IFERROR(__xludf.DUMMYFUNCTION("""COMPUTED_VALUE"""),"UGC")</f>
        <v>UGC</v>
      </c>
      <c r="F881" s="11" t="str">
        <f>IFERROR(__xludf.DUMMYFUNCTION("""COMPUTED_VALUE"""),"Category Page")</f>
        <v>Category Page</v>
      </c>
      <c r="G881" s="11" t="b">
        <f>IFERROR(__xludf.DUMMYFUNCTION("""COMPUTED_VALUE"""),FALSE)</f>
        <v>0</v>
      </c>
      <c r="H881" s="11" t="str">
        <f>IFERROR(__xludf.DUMMYFUNCTION("""COMPUTED_VALUE"""),"WebFX, Searchbloom, SmartSites, Funnel Boost Media, Elit-Web, Power Digital")</f>
        <v>WebFX, Searchbloom, SmartSites, Funnel Boost Media, Elit-Web, Power Digital</v>
      </c>
      <c r="I881" s="11">
        <f>IFERROR(__xludf.DUMMYFUNCTION("""COMPUTED_VALUE"""),1.0)</f>
        <v>1</v>
      </c>
      <c r="J881" s="11">
        <f>IFERROR(__xludf.DUMMYFUNCTION("""COMPUTED_VALUE"""),0.0)</f>
        <v>0</v>
      </c>
      <c r="K881" s="11">
        <f>IFERROR(__xludf.DUMMYFUNCTION("""COMPUTED_VALUE"""),0.0)</f>
        <v>0</v>
      </c>
      <c r="L881" s="11"/>
    </row>
    <row r="882" ht="15.75" customHeight="1">
      <c r="A882" s="10" t="str">
        <f>IFERROR(__xludf.DUMMYFUNCTION("""COMPUTED_VALUE"""),"https://www.goodfirms.co/directory/marketing-services/top-digital-marketing-companies/generative-engine-optimization")</f>
        <v>https://www.goodfirms.co/directory/marketing-services/top-digital-marketing-companies/generative-engine-optimization</v>
      </c>
      <c r="B882" s="11" t="str">
        <f>IFERROR(__xludf.DUMMYFUNCTION("""COMPUTED_VALUE"""),"Top Generative Engine Optimization (GEO) Companies - 2026 Reviews | Goodfirms")</f>
        <v>Top Generative Engine Optimization (GEO) Companies - 2026 Reviews | Goodfirms</v>
      </c>
      <c r="C882" s="10" t="str">
        <f>IFERROR(__xludf.DUMMYFUNCTION("""COMPUTED_VALUE"""),"goodfirms.co")</f>
        <v>goodfirms.co</v>
      </c>
      <c r="D882" s="11" t="str">
        <f>IFERROR(__xludf.DUMMYFUNCTION("""COMPUTED_VALUE"""),"CATEGORY_PAGE")</f>
        <v>CATEGORY_PAGE</v>
      </c>
      <c r="E882" s="11" t="str">
        <f>IFERROR(__xludf.DUMMYFUNCTION("""COMPUTED_VALUE"""),"UGC")</f>
        <v>UGC</v>
      </c>
      <c r="F882" s="11" t="str">
        <f>IFERROR(__xludf.DUMMYFUNCTION("""COMPUTED_VALUE"""),"Category Page")</f>
        <v>Category Page</v>
      </c>
      <c r="G882" s="11" t="b">
        <f>IFERROR(__xludf.DUMMYFUNCTION("""COMPUTED_VALUE"""),FALSE)</f>
        <v>0</v>
      </c>
      <c r="H882" s="11" t="str">
        <f>IFERROR(__xludf.DUMMYFUNCTION("""COMPUTED_VALUE"""),"WebFX, Searchbloom, Elit-Web, Intero Digital, Go Fish Digital, Ignite Visibility, Measured, Funnel Boost Media")</f>
        <v>WebFX, Searchbloom, Elit-Web, Intero Digital, Go Fish Digital, Ignite Visibility, Measured, Funnel Boost Media</v>
      </c>
      <c r="I882" s="11">
        <f>IFERROR(__xludf.DUMMYFUNCTION("""COMPUTED_VALUE"""),1.0)</f>
        <v>1</v>
      </c>
      <c r="J882" s="11">
        <f>IFERROR(__xludf.DUMMYFUNCTION("""COMPUTED_VALUE"""),0.0)</f>
        <v>0</v>
      </c>
      <c r="K882" s="11">
        <f>IFERROR(__xludf.DUMMYFUNCTION("""COMPUTED_VALUE"""),0.0)</f>
        <v>0</v>
      </c>
      <c r="L882" s="11"/>
    </row>
    <row r="883" ht="15.75" customHeight="1">
      <c r="A883" s="10" t="str">
        <f>IFERROR(__xludf.DUMMYFUNCTION("""COMPUTED_VALUE"""),"https://www.greenbook.org/market-research-firms/tracking")</f>
        <v>https://www.greenbook.org/market-research-firms/tracking</v>
      </c>
      <c r="B883" s="11" t="str">
        <f>IFERROR(__xludf.DUMMYFUNCTION("""COMPUTED_VALUE"""),"Top Tracking Research Companies — Greenbook")</f>
        <v>Top Tracking Research Companies — Greenbook</v>
      </c>
      <c r="C883" s="10" t="str">
        <f>IFERROR(__xludf.DUMMYFUNCTION("""COMPUTED_VALUE"""),"greenbook.org")</f>
        <v>greenbook.org</v>
      </c>
      <c r="D883" s="11" t="str">
        <f>IFERROR(__xludf.DUMMYFUNCTION("""COMPUTED_VALUE"""),"CATEGORY_PAGE")</f>
        <v>CATEGORY_PAGE</v>
      </c>
      <c r="E883" s="11" t="str">
        <f>IFERROR(__xludf.DUMMYFUNCTION("""COMPUTED_VALUE"""),"REFERENCE")</f>
        <v>REFERENCE</v>
      </c>
      <c r="F883" s="11" t="str">
        <f>IFERROR(__xludf.DUMMYFUNCTION("""COMPUTED_VALUE"""),"Category Page")</f>
        <v>Category Page</v>
      </c>
      <c r="G883" s="11" t="b">
        <f>IFERROR(__xludf.DUMMYFUNCTION("""COMPUTED_VALUE"""),FALSE)</f>
        <v>0</v>
      </c>
      <c r="H883" s="11"/>
      <c r="I883" s="11">
        <f>IFERROR(__xludf.DUMMYFUNCTION("""COMPUTED_VALUE"""),1.0)</f>
        <v>1</v>
      </c>
      <c r="J883" s="11">
        <f>IFERROR(__xludf.DUMMYFUNCTION("""COMPUTED_VALUE"""),0.0)</f>
        <v>0</v>
      </c>
      <c r="K883" s="11">
        <f>IFERROR(__xludf.DUMMYFUNCTION("""COMPUTED_VALUE"""),0.0)</f>
        <v>0</v>
      </c>
      <c r="L883" s="11"/>
    </row>
    <row r="884" ht="15.75" customHeight="1">
      <c r="A884" s="10" t="str">
        <f>IFERROR(__xludf.DUMMYFUNCTION("""COMPUTED_VALUE"""),"https://gripped.io/b2b-marketing/top-marketing-agencies-uk/")</f>
        <v>https://gripped.io/b2b-marketing/top-marketing-agencies-uk/</v>
      </c>
      <c r="B884" s="11" t="str">
        <f>IFERROR(__xludf.DUMMYFUNCTION("""COMPUTED_VALUE"""),"Top 50 UK Marketing Agencies: Expert Picks for SEO, PPC &amp;amp; ABM")</f>
        <v>Top 50 UK Marketing Agencies: Expert Picks for SEO, PPC &amp;amp; ABM</v>
      </c>
      <c r="C884" s="10" t="str">
        <f>IFERROR(__xludf.DUMMYFUNCTION("""COMPUTED_VALUE"""),"gripped.io")</f>
        <v>gripped.io</v>
      </c>
      <c r="D884" s="11" t="str">
        <f>IFERROR(__xludf.DUMMYFUNCTION("""COMPUTED_VALUE"""),"LISTICLE")</f>
        <v>LISTICLE</v>
      </c>
      <c r="E884" s="11" t="str">
        <f>IFERROR(__xludf.DUMMYFUNCTION("""COMPUTED_VALUE"""),"OTHER")</f>
        <v>OTHER</v>
      </c>
      <c r="F884" s="11" t="str">
        <f>IFERROR(__xludf.DUMMYFUNCTION("""COMPUTED_VALUE"""),"Listicle")</f>
        <v>Listicle</v>
      </c>
      <c r="G884" s="11" t="b">
        <f>IFERROR(__xludf.DUMMYFUNCTION("""COMPUTED_VALUE"""),TRUE)</f>
        <v>1</v>
      </c>
      <c r="H884" s="11" t="str">
        <f>IFERROR(__xludf.DUMMYFUNCTION("""COMPUTED_VALUE"""),"Brainlabs, Croud, Jellyfish, VML, Ogilvy, Measured, Accenture Song, iProspect, Dentsu, Publicis Groupe, Merkle, Incubeta")</f>
        <v>Brainlabs, Croud, Jellyfish, VML, Ogilvy, Measured, Accenture Song, iProspect, Dentsu, Publicis Groupe, Merkle, Incubeta</v>
      </c>
      <c r="I884" s="11">
        <f>IFERROR(__xludf.DUMMYFUNCTION("""COMPUTED_VALUE"""),1.0)</f>
        <v>1</v>
      </c>
      <c r="J884" s="11">
        <f>IFERROR(__xludf.DUMMYFUNCTION("""COMPUTED_VALUE"""),0.0)</f>
        <v>0</v>
      </c>
      <c r="K884" s="11">
        <f>IFERROR(__xludf.DUMMYFUNCTION("""COMPUTED_VALUE"""),1.0)</f>
        <v>1</v>
      </c>
      <c r="L884" s="11"/>
    </row>
    <row r="885" ht="15.75" customHeight="1">
      <c r="A885" s="10" t="str">
        <f>IFERROR(__xludf.DUMMYFUNCTION("""COMPUTED_VALUE"""),"https://gripped.io/digital-marketing-strategy/b2b-performance-marketing-agency/")</f>
        <v>https://gripped.io/digital-marketing-strategy/b2b-performance-marketing-agency/</v>
      </c>
      <c r="B885" s="11" t="str">
        <f>IFERROR(__xludf.DUMMYFUNCTION("""COMPUTED_VALUE"""),"Top 10 B2B Performance Marketing Agency Picks UPDATED for 2025 | Gripped")</f>
        <v>Top 10 B2B Performance Marketing Agency Picks UPDATED for 2025 | Gripped</v>
      </c>
      <c r="C885" s="10" t="str">
        <f>IFERROR(__xludf.DUMMYFUNCTION("""COMPUTED_VALUE"""),"gripped.io")</f>
        <v>gripped.io</v>
      </c>
      <c r="D885" s="11" t="str">
        <f>IFERROR(__xludf.DUMMYFUNCTION("""COMPUTED_VALUE"""),"LISTICLE")</f>
        <v>LISTICLE</v>
      </c>
      <c r="E885" s="11" t="str">
        <f>IFERROR(__xludf.DUMMYFUNCTION("""COMPUTED_VALUE"""),"OTHER")</f>
        <v>OTHER</v>
      </c>
      <c r="F885" s="11" t="str">
        <f>IFERROR(__xludf.DUMMYFUNCTION("""COMPUTED_VALUE"""),"Listicle")</f>
        <v>Listicle</v>
      </c>
      <c r="G885" s="11" t="b">
        <f>IFERROR(__xludf.DUMMYFUNCTION("""COMPUTED_VALUE"""),FALSE)</f>
        <v>0</v>
      </c>
      <c r="H885" s="11" t="str">
        <f>IFERROR(__xludf.DUMMYFUNCTION("""COMPUTED_VALUE"""),"Directive, Ogilvy, Momentum")</f>
        <v>Directive, Ogilvy, Momentum</v>
      </c>
      <c r="I885" s="11">
        <f>IFERROR(__xludf.DUMMYFUNCTION("""COMPUTED_VALUE"""),1.0)</f>
        <v>1</v>
      </c>
      <c r="J885" s="11">
        <f>IFERROR(__xludf.DUMMYFUNCTION("""COMPUTED_VALUE"""),0.0)</f>
        <v>0</v>
      </c>
      <c r="K885" s="11">
        <f>IFERROR(__xludf.DUMMYFUNCTION("""COMPUTED_VALUE"""),1.0)</f>
        <v>1</v>
      </c>
      <c r="L885" s="11"/>
    </row>
    <row r="886" ht="15.75" customHeight="1">
      <c r="A886" s="10" t="str">
        <f>IFERROR(__xludf.DUMMYFUNCTION("""COMPUTED_VALUE"""),"https://www.growtal.com/8-best-fractional-cmos-for-fast-growing-e-commerce-companies/")</f>
        <v>https://www.growtal.com/8-best-fractional-cmos-for-fast-growing-e-commerce-companies/</v>
      </c>
      <c r="B886" s="11" t="str">
        <f>IFERROR(__xludf.DUMMYFUNCTION("""COMPUTED_VALUE"""),"8 Best Fractional CMOs for Fast-Growing E-commerce Companies - GrowTal")</f>
        <v>8 Best Fractional CMOs for Fast-Growing E-commerce Companies - GrowTal</v>
      </c>
      <c r="C886" s="10" t="str">
        <f>IFERROR(__xludf.DUMMYFUNCTION("""COMPUTED_VALUE"""),"growtal.com")</f>
        <v>growtal.com</v>
      </c>
      <c r="D886" s="11" t="str">
        <f>IFERROR(__xludf.DUMMYFUNCTION("""COMPUTED_VALUE"""),"LISTICLE")</f>
        <v>LISTICLE</v>
      </c>
      <c r="E886" s="11" t="str">
        <f>IFERROR(__xludf.DUMMYFUNCTION("""COMPUTED_VALUE"""),"CORPORATE")</f>
        <v>CORPORATE</v>
      </c>
      <c r="F886" s="11" t="str">
        <f>IFERROR(__xludf.DUMMYFUNCTION("""COMPUTED_VALUE"""),"Listicle")</f>
        <v>Listicle</v>
      </c>
      <c r="G886" s="11" t="b">
        <f>IFERROR(__xludf.DUMMYFUNCTION("""COMPUTED_VALUE"""),FALSE)</f>
        <v>0</v>
      </c>
      <c r="H886" s="11" t="str">
        <f>IFERROR(__xludf.DUMMYFUNCTION("""COMPUTED_VALUE"""),"Hawke Media, Huge")</f>
        <v>Hawke Media, Huge</v>
      </c>
      <c r="I886" s="11">
        <f>IFERROR(__xludf.DUMMYFUNCTION("""COMPUTED_VALUE"""),1.0)</f>
        <v>1</v>
      </c>
      <c r="J886" s="11">
        <f>IFERROR(__xludf.DUMMYFUNCTION("""COMPUTED_VALUE"""),0.0)</f>
        <v>0</v>
      </c>
      <c r="K886" s="11">
        <f>IFERROR(__xludf.DUMMYFUNCTION("""COMPUTED_VALUE"""),1.0)</f>
        <v>1</v>
      </c>
      <c r="L886" s="11"/>
    </row>
    <row r="887" ht="15.75" customHeight="1">
      <c r="A887" s="10" t="str">
        <f>IFERROR(__xludf.DUMMYFUNCTION("""COMPUTED_VALUE"""),"https://growth.cx/blog/best-performance-marketing-agencies/")</f>
        <v>https://growth.cx/blog/best-performance-marketing-agencies/</v>
      </c>
      <c r="B887" s="11" t="str">
        <f>IFERROR(__xludf.DUMMYFUNCTION("""COMPUTED_VALUE"""),"13 Best Performance Marketing Agencies to Boost ROI in 2026")</f>
        <v>13 Best Performance Marketing Agencies to Boost ROI in 2026</v>
      </c>
      <c r="C887" s="10" t="str">
        <f>IFERROR(__xludf.DUMMYFUNCTION("""COMPUTED_VALUE"""),"growth.cx")</f>
        <v>growth.cx</v>
      </c>
      <c r="D887" s="11" t="str">
        <f>IFERROR(__xludf.DUMMYFUNCTION("""COMPUTED_VALUE"""),"LISTICLE")</f>
        <v>LISTICLE</v>
      </c>
      <c r="E887" s="11" t="str">
        <f>IFERROR(__xludf.DUMMYFUNCTION("""COMPUTED_VALUE"""),"CORPORATE")</f>
        <v>CORPORATE</v>
      </c>
      <c r="F887" s="11" t="str">
        <f>IFERROR(__xludf.DUMMYFUNCTION("""COMPUTED_VALUE"""),"Listicle")</f>
        <v>Listicle</v>
      </c>
      <c r="G887" s="11" t="b">
        <f>IFERROR(__xludf.DUMMYFUNCTION("""COMPUTED_VALUE"""),FALSE)</f>
        <v>0</v>
      </c>
      <c r="H887" s="11" t="str">
        <f>IFERROR(__xludf.DUMMYFUNCTION("""COMPUTED_VALUE"""),"Ignite Visibility, Tinuiti, Kobe Digital, NoGood, Wpromote")</f>
        <v>Ignite Visibility, Tinuiti, Kobe Digital, NoGood, Wpromote</v>
      </c>
      <c r="I887" s="11">
        <f>IFERROR(__xludf.DUMMYFUNCTION("""COMPUTED_VALUE"""),1.0)</f>
        <v>1</v>
      </c>
      <c r="J887" s="11">
        <f>IFERROR(__xludf.DUMMYFUNCTION("""COMPUTED_VALUE"""),0.0)</f>
        <v>0</v>
      </c>
      <c r="K887" s="11">
        <f>IFERROR(__xludf.DUMMYFUNCTION("""COMPUTED_VALUE"""),0.0)</f>
        <v>0</v>
      </c>
      <c r="L887" s="11"/>
    </row>
    <row r="888" ht="15.75" customHeight="1">
      <c r="A888" s="10" t="str">
        <f>IFERROR(__xludf.DUMMYFUNCTION("""COMPUTED_VALUE"""),"https://growthlane.marketing/blog/top-b2b-performance-marketing-firms-in-2025-the-ultimate-list-for-revenue-growth")</f>
        <v>https://growthlane.marketing/blog/top-b2b-performance-marketing-firms-in-2025-the-ultimate-list-for-revenue-growth</v>
      </c>
      <c r="B888" s="11" t="str">
        <f>IFERROR(__xludf.DUMMYFUNCTION("""COMPUTED_VALUE"""),"Top B2B Performance Marketing Firms in 2025: The Ultimate List for Revenue Growth")</f>
        <v>Top B2B Performance Marketing Firms in 2025: The Ultimate List for Revenue Growth</v>
      </c>
      <c r="C888" s="11" t="str">
        <f>IFERROR(__xludf.DUMMYFUNCTION("""COMPUTED_VALUE"""),"growthlane.marketing")</f>
        <v>growthlane.marketing</v>
      </c>
      <c r="D888" s="11" t="str">
        <f>IFERROR(__xludf.DUMMYFUNCTION("""COMPUTED_VALUE"""),"LISTICLE")</f>
        <v>LISTICLE</v>
      </c>
      <c r="E888" s="11" t="str">
        <f>IFERROR(__xludf.DUMMYFUNCTION("""COMPUTED_VALUE"""),"CORPORATE")</f>
        <v>CORPORATE</v>
      </c>
      <c r="F888" s="11" t="str">
        <f>IFERROR(__xludf.DUMMYFUNCTION("""COMPUTED_VALUE"""),"Listicle")</f>
        <v>Listicle</v>
      </c>
      <c r="G888" s="11" t="b">
        <f>IFERROR(__xludf.DUMMYFUNCTION("""COMPUTED_VALUE"""),FALSE)</f>
        <v>0</v>
      </c>
      <c r="H888" s="11" t="str">
        <f>IFERROR(__xludf.DUMMYFUNCTION("""COMPUTED_VALUE"""),"Directive, Tinuiti, KlientBoost, WebFX, Metric Theory, Brainlabs")</f>
        <v>Directive, Tinuiti, KlientBoost, WebFX, Metric Theory, Brainlabs</v>
      </c>
      <c r="I888" s="11">
        <f>IFERROR(__xludf.DUMMYFUNCTION("""COMPUTED_VALUE"""),1.0)</f>
        <v>1</v>
      </c>
      <c r="J888" s="11">
        <f>IFERROR(__xludf.DUMMYFUNCTION("""COMPUTED_VALUE"""),0.0)</f>
        <v>0</v>
      </c>
      <c r="K888" s="11">
        <f>IFERROR(__xludf.DUMMYFUNCTION("""COMPUTED_VALUE"""),0.0)</f>
        <v>0</v>
      </c>
      <c r="L888" s="11"/>
    </row>
    <row r="889" ht="15.75" customHeight="1">
      <c r="A889" s="10" t="str">
        <f>IFERROR(__xludf.DUMMYFUNCTION("""COMPUTED_VALUE"""),"https://growthrocks.com/blog/performance-marketing-agencies/")</f>
        <v>https://growthrocks.com/blog/performance-marketing-agencies/</v>
      </c>
      <c r="B889" s="11" t="str">
        <f>IFERROR(__xludf.DUMMYFUNCTION("""COMPUTED_VALUE"""),"Top 12 Performance Marketing Agencies in 2024")</f>
        <v>Top 12 Performance Marketing Agencies in 2024</v>
      </c>
      <c r="C889" s="10" t="str">
        <f>IFERROR(__xludf.DUMMYFUNCTION("""COMPUTED_VALUE"""),"growthrocks.com")</f>
        <v>growthrocks.com</v>
      </c>
      <c r="D889" s="11" t="str">
        <f>IFERROR(__xludf.DUMMYFUNCTION("""COMPUTED_VALUE"""),"LISTICLE")</f>
        <v>LISTICLE</v>
      </c>
      <c r="E889" s="11" t="str">
        <f>IFERROR(__xludf.DUMMYFUNCTION("""COMPUTED_VALUE"""),"CORPORATE")</f>
        <v>CORPORATE</v>
      </c>
      <c r="F889" s="11" t="str">
        <f>IFERROR(__xludf.DUMMYFUNCTION("""COMPUTED_VALUE"""),"Listicle")</f>
        <v>Listicle</v>
      </c>
      <c r="G889" s="11" t="b">
        <f>IFERROR(__xludf.DUMMYFUNCTION("""COMPUTED_VALUE"""),FALSE)</f>
        <v>0</v>
      </c>
      <c r="H889" s="11" t="str">
        <f>IFERROR(__xludf.DUMMYFUNCTION("""COMPUTED_VALUE"""),"Tinuiti, Wpromote, TransUnion, Metric Theory, Disruptive Advertising, MuteSix, Dentsu, Jellyfish, Power Digital, Directive, Common Thread Collective, Ignite Visibility, NoGood")</f>
        <v>Tinuiti, Wpromote, TransUnion, Metric Theory, Disruptive Advertising, MuteSix, Dentsu, Jellyfish, Power Digital, Directive, Common Thread Collective, Ignite Visibility, NoGood</v>
      </c>
      <c r="I889" s="11">
        <f>IFERROR(__xludf.DUMMYFUNCTION("""COMPUTED_VALUE"""),1.0)</f>
        <v>1</v>
      </c>
      <c r="J889" s="11">
        <f>IFERROR(__xludf.DUMMYFUNCTION("""COMPUTED_VALUE"""),0.0)</f>
        <v>0</v>
      </c>
      <c r="K889" s="11">
        <f>IFERROR(__xludf.DUMMYFUNCTION("""COMPUTED_VALUE"""),1.0)</f>
        <v>1</v>
      </c>
      <c r="L889" s="11"/>
    </row>
    <row r="890" ht="15.75" customHeight="1">
      <c r="A890" s="10" t="str">
        <f>IFERROR(__xludf.DUMMYFUNCTION("""COMPUTED_VALUE"""),"https://www.growthspreeofficial.com/blogs/best-b2b-marketing-agencies-proprietary-ai-tools-2026")</f>
        <v>https://www.growthspreeofficial.com/blogs/best-b2b-marketing-agencies-proprietary-ai-tools-2026</v>
      </c>
      <c r="B890" s="11" t="str">
        <f>IFERROR(__xludf.DUMMYFUNCTION("""COMPUTED_VALUE"""),"Best B2B Marketing Agencies with Proprietary AI Tools in 2026: 6 Agencies Compared by AI Infrastructure Depth")</f>
        <v>Best B2B Marketing Agencies with Proprietary AI Tools in 2026: 6 Agencies Compared by AI Infrastructure Depth</v>
      </c>
      <c r="C890" s="10" t="str">
        <f>IFERROR(__xludf.DUMMYFUNCTION("""COMPUTED_VALUE"""),"growthspreeofficial.com")</f>
        <v>growthspreeofficial.com</v>
      </c>
      <c r="D890" s="11" t="str">
        <f>IFERROR(__xludf.DUMMYFUNCTION("""COMPUTED_VALUE"""),"LISTICLE")</f>
        <v>LISTICLE</v>
      </c>
      <c r="E890" s="11" t="str">
        <f>IFERROR(__xludf.DUMMYFUNCTION("""COMPUTED_VALUE"""),"CORPORATE")</f>
        <v>CORPORATE</v>
      </c>
      <c r="F890" s="11" t="str">
        <f>IFERROR(__xludf.DUMMYFUNCTION("""COMPUTED_VALUE"""),"Listicle")</f>
        <v>Listicle</v>
      </c>
      <c r="G890" s="11" t="b">
        <f>IFERROR(__xludf.DUMMYFUNCTION("""COMPUTED_VALUE"""),FALSE)</f>
        <v>0</v>
      </c>
      <c r="H890" s="11" t="str">
        <f>IFERROR(__xludf.DUMMYFUNCTION("""COMPUTED_VALUE"""),"GrowthSpree, NoGood, Single Grain, Clutch")</f>
        <v>GrowthSpree, NoGood, Single Grain, Clutch</v>
      </c>
      <c r="I890" s="11">
        <f>IFERROR(__xludf.DUMMYFUNCTION("""COMPUTED_VALUE"""),1.0)</f>
        <v>1</v>
      </c>
      <c r="J890" s="11">
        <f>IFERROR(__xludf.DUMMYFUNCTION("""COMPUTED_VALUE"""),0.0)</f>
        <v>0</v>
      </c>
      <c r="K890" s="11">
        <f>IFERROR(__xludf.DUMMYFUNCTION("""COMPUTED_VALUE"""),1.0)</f>
        <v>1</v>
      </c>
      <c r="L890" s="11"/>
    </row>
    <row r="891" ht="15.75" customHeight="1">
      <c r="A891" s="10" t="str">
        <f>IFERROR(__xludf.DUMMYFUNCTION("""COMPUTED_VALUE"""),"https://growthsprints.co/best-saas-aeo-consultants/")</f>
        <v>https://growthsprints.co/best-saas-aeo-consultants/</v>
      </c>
      <c r="B891" s="11" t="str">
        <f>IFERROR(__xludf.DUMMYFUNCTION("""COMPUTED_VALUE"""),"7 Best SaaS AEO Consultants In 2026 (And How To Choose) - AEO, SEO &amp;amp; Content Marketing Agency | Growth Sprints")</f>
        <v>7 Best SaaS AEO Consultants In 2026 (And How To Choose) - AEO, SEO &amp;amp; Content Marketing Agency | Growth Sprints</v>
      </c>
      <c r="C891" s="10" t="str">
        <f>IFERROR(__xludf.DUMMYFUNCTION("""COMPUTED_VALUE"""),"growthsprints.co")</f>
        <v>growthsprints.co</v>
      </c>
      <c r="D891" s="11" t="str">
        <f>IFERROR(__xludf.DUMMYFUNCTION("""COMPUTED_VALUE"""),"LISTICLE")</f>
        <v>LISTICLE</v>
      </c>
      <c r="E891" s="11" t="str">
        <f>IFERROR(__xludf.DUMMYFUNCTION("""COMPUTED_VALUE"""),"CORPORATE")</f>
        <v>CORPORATE</v>
      </c>
      <c r="F891" s="11" t="str">
        <f>IFERROR(__xludf.DUMMYFUNCTION("""COMPUTED_VALUE"""),"Listicle")</f>
        <v>Listicle</v>
      </c>
      <c r="G891" s="11" t="b">
        <f>IFERROR(__xludf.DUMMYFUNCTION("""COMPUTED_VALUE"""),FALSE)</f>
        <v>0</v>
      </c>
      <c r="H891" s="11" t="str">
        <f>IFERROR(__xludf.DUMMYFUNCTION("""COMPUTED_VALUE"""),"Omniscient Digital, Clutch, Optimist, Measured, Discovered Labs, iPullRank, NoGood, First Page Sage")</f>
        <v>Omniscient Digital, Clutch, Optimist, Measured, Discovered Labs, iPullRank, NoGood, First Page Sage</v>
      </c>
      <c r="I891" s="11">
        <f>IFERROR(__xludf.DUMMYFUNCTION("""COMPUTED_VALUE"""),1.0)</f>
        <v>1</v>
      </c>
      <c r="J891" s="11">
        <f>IFERROR(__xludf.DUMMYFUNCTION("""COMPUTED_VALUE"""),0.0)</f>
        <v>0</v>
      </c>
      <c r="K891" s="11">
        <f>IFERROR(__xludf.DUMMYFUNCTION("""COMPUTED_VALUE"""),1.0)</f>
        <v>1</v>
      </c>
      <c r="L891" s="11"/>
    </row>
    <row r="892" ht="15.75" customHeight="1">
      <c r="A892" s="10" t="str">
        <f>IFERROR(__xludf.DUMMYFUNCTION("""COMPUTED_VALUE"""),"https://growwithvysta.com/blog/best-google-ads-agencies-for-ecommerce-brands-in-the-us/#:~:text=%2D%20Agency.%20Best%20For.%20Core%20Strength.%20%2D,conversion%20rate%20optimization.%20%2D%20Tinuiti.%20Enterprise%20ecommerce.")</f>
        <v>https://growwithvysta.com/blog/best-google-ads-agencies-for-ecommerce-brands-in-the-us/#:~:text=%2D%20Agency.%20Best%20For.%20Core%20Strength.%20%2D,conversion%20rate%20optimization.%20%2D%20Tinuiti.%20Enterprise%20ecommerce.</v>
      </c>
      <c r="B892" s="11" t="str">
        <f>IFERROR(__xludf.DUMMYFUNCTION("""COMPUTED_VALUE"""),"Best Google Ads Agencies for eCommerce Brands in the US")</f>
        <v>Best Google Ads Agencies for eCommerce Brands in the US</v>
      </c>
      <c r="C892" s="10" t="str">
        <f>IFERROR(__xludf.DUMMYFUNCTION("""COMPUTED_VALUE"""),"growwithvysta.com")</f>
        <v>growwithvysta.com</v>
      </c>
      <c r="D892" s="11" t="str">
        <f>IFERROR(__xludf.DUMMYFUNCTION("""COMPUTED_VALUE"""),"LISTICLE")</f>
        <v>LISTICLE</v>
      </c>
      <c r="E892" s="11" t="str">
        <f>IFERROR(__xludf.DUMMYFUNCTION("""COMPUTED_VALUE"""),"CORPORATE")</f>
        <v>CORPORATE</v>
      </c>
      <c r="F892" s="11" t="str">
        <f>IFERROR(__xludf.DUMMYFUNCTION("""COMPUTED_VALUE"""),"Listicle")</f>
        <v>Listicle</v>
      </c>
      <c r="G892" s="11" t="b">
        <f>IFERROR(__xludf.DUMMYFUNCTION("""COMPUTED_VALUE"""),FALSE)</f>
        <v>0</v>
      </c>
      <c r="H892" s="11" t="str">
        <f>IFERROR(__xludf.DUMMYFUNCTION("""COMPUTED_VALUE"""),"Common Thread Collective, Tinuiti, KlientBoost")</f>
        <v>Common Thread Collective, Tinuiti, KlientBoost</v>
      </c>
      <c r="I892" s="11">
        <f>IFERROR(__xludf.DUMMYFUNCTION("""COMPUTED_VALUE"""),1.0)</f>
        <v>1</v>
      </c>
      <c r="J892" s="11">
        <f>IFERROR(__xludf.DUMMYFUNCTION("""COMPUTED_VALUE"""),0.0)</f>
        <v>0</v>
      </c>
      <c r="K892" s="11">
        <f>IFERROR(__xludf.DUMMYFUNCTION("""COMPUTED_VALUE"""),1.0)</f>
        <v>1</v>
      </c>
      <c r="L892" s="11"/>
    </row>
    <row r="893" ht="15.75" customHeight="1">
      <c r="A893" s="10" t="str">
        <f>IFERROR(__xludf.DUMMYFUNCTION("""COMPUTED_VALUE"""),"https://www.hamstergarage.com/article/best-partner-marketing-agency-guide")</f>
        <v>https://www.hamstergarage.com/article/best-partner-marketing-agency-guide</v>
      </c>
      <c r="B893" s="11" t="str">
        <f>IFERROR(__xludf.DUMMYFUNCTION("""COMPUTED_VALUE"""),"Best Partner Marketing Agencies for 2026: Top 7 Picks by Use Case, Pricing, and Fit")</f>
        <v>Best Partner Marketing Agencies for 2026: Top 7 Picks by Use Case, Pricing, and Fit</v>
      </c>
      <c r="C893" s="10" t="str">
        <f>IFERROR(__xludf.DUMMYFUNCTION("""COMPUTED_VALUE"""),"hamstergarage.com")</f>
        <v>hamstergarage.com</v>
      </c>
      <c r="D893" s="11" t="str">
        <f>IFERROR(__xludf.DUMMYFUNCTION("""COMPUTED_VALUE"""),"COMPARISON")</f>
        <v>COMPARISON</v>
      </c>
      <c r="E893" s="11" t="str">
        <f>IFERROR(__xludf.DUMMYFUNCTION("""COMPUTED_VALUE"""),"OTHER")</f>
        <v>OTHER</v>
      </c>
      <c r="F893" s="11" t="str">
        <f>IFERROR(__xludf.DUMMYFUNCTION("""COMPUTED_VALUE"""),"Comparison")</f>
        <v>Comparison</v>
      </c>
      <c r="G893" s="11" t="b">
        <f>IFERROR(__xludf.DUMMYFUNCTION("""COMPUTED_VALUE"""),FALSE)</f>
        <v>0</v>
      </c>
      <c r="H893" s="11" t="str">
        <f>IFERROR(__xludf.DUMMYFUNCTION("""COMPUTED_VALUE"""),"Hawke Media, Clutch, Measured")</f>
        <v>Hawke Media, Clutch, Measured</v>
      </c>
      <c r="I893" s="11">
        <f>IFERROR(__xludf.DUMMYFUNCTION("""COMPUTED_VALUE"""),1.0)</f>
        <v>1</v>
      </c>
      <c r="J893" s="11">
        <f>IFERROR(__xludf.DUMMYFUNCTION("""COMPUTED_VALUE"""),0.0)</f>
        <v>0</v>
      </c>
      <c r="K893" s="11">
        <f>IFERROR(__xludf.DUMMYFUNCTION("""COMPUTED_VALUE"""),1.0)</f>
        <v>1</v>
      </c>
      <c r="L893" s="11"/>
    </row>
    <row r="894" ht="15.75" customHeight="1">
      <c r="A894" s="10" t="str">
        <f>IFERROR(__xludf.DUMMYFUNCTION("""COMPUTED_VALUE"""),"https://www.harleyoliver.com/blog/top-12-companies-design-trends-to-watch-in-2025")</f>
        <v>https://www.harleyoliver.com/blog/top-12-companies-design-trends-to-watch-in-2025</v>
      </c>
      <c r="B894" s="11" t="str">
        <f>IFERROR(__xludf.DUMMYFUNCTION("""COMPUTED_VALUE"""),"Top 12 Companies Design Trends to Watch in 2025 — Harley Oliver - Digital Design Firm")</f>
        <v>Top 12 Companies Design Trends to Watch in 2025 — Harley Oliver - Digital Design Firm</v>
      </c>
      <c r="C894" s="10" t="str">
        <f>IFERROR(__xludf.DUMMYFUNCTION("""COMPUTED_VALUE"""),"harleyoliver.com")</f>
        <v>harleyoliver.com</v>
      </c>
      <c r="D894" s="11" t="str">
        <f>IFERROR(__xludf.DUMMYFUNCTION("""COMPUTED_VALUE"""),"LISTICLE")</f>
        <v>LISTICLE</v>
      </c>
      <c r="E894" s="11" t="str">
        <f>IFERROR(__xludf.DUMMYFUNCTION("""COMPUTED_VALUE"""),"CORPORATE")</f>
        <v>CORPORATE</v>
      </c>
      <c r="F894" s="11" t="str">
        <f>IFERROR(__xludf.DUMMYFUNCTION("""COMPUTED_VALUE"""),"Listicle")</f>
        <v>Listicle</v>
      </c>
      <c r="G894" s="11" t="b">
        <f>IFERROR(__xludf.DUMMYFUNCTION("""COMPUTED_VALUE"""),FALSE)</f>
        <v>0</v>
      </c>
      <c r="H894" s="11" t="str">
        <f>IFERROR(__xludf.DUMMYFUNCTION("""COMPUTED_VALUE"""),"McKinsey, Clutch, Pentagram, Superside, Wolff Olins")</f>
        <v>McKinsey, Clutch, Pentagram, Superside, Wolff Olins</v>
      </c>
      <c r="I894" s="11">
        <f>IFERROR(__xludf.DUMMYFUNCTION("""COMPUTED_VALUE"""),1.0)</f>
        <v>1</v>
      </c>
      <c r="J894" s="11">
        <f>IFERROR(__xludf.DUMMYFUNCTION("""COMPUTED_VALUE"""),0.0)</f>
        <v>0</v>
      </c>
      <c r="K894" s="11">
        <f>IFERROR(__xludf.DUMMYFUNCTION("""COMPUTED_VALUE"""),1.0)</f>
        <v>1</v>
      </c>
      <c r="L894" s="11"/>
    </row>
    <row r="895" ht="15.75" customHeight="1">
      <c r="A895" s="10" t="str">
        <f>IFERROR(__xludf.DUMMYFUNCTION("""COMPUTED_VALUE"""),"https://hashmeta.com/blog/top-15-ai-pr-agencies-for-ai-startups-tech-brands/")</f>
        <v>https://hashmeta.com/blog/top-15-ai-pr-agencies-for-ai-startups-tech-brands/</v>
      </c>
      <c r="B895" s="11" t="str">
        <f>IFERROR(__xludf.DUMMYFUNCTION("""COMPUTED_VALUE"""),"Top 15 AI PR Agencies for AI Startups &amp;amp; Tech Brands | Hashmeta")</f>
        <v>Top 15 AI PR Agencies for AI Startups &amp;amp; Tech Brands | Hashmeta</v>
      </c>
      <c r="C895" s="10" t="str">
        <f>IFERROR(__xludf.DUMMYFUNCTION("""COMPUTED_VALUE"""),"hashmeta.com")</f>
        <v>hashmeta.com</v>
      </c>
      <c r="D895" s="11" t="str">
        <f>IFERROR(__xludf.DUMMYFUNCTION("""COMPUTED_VALUE"""),"LISTICLE")</f>
        <v>LISTICLE</v>
      </c>
      <c r="E895" s="11" t="str">
        <f>IFERROR(__xludf.DUMMYFUNCTION("""COMPUTED_VALUE"""),"CORPORATE")</f>
        <v>CORPORATE</v>
      </c>
      <c r="F895" s="11" t="str">
        <f>IFERROR(__xludf.DUMMYFUNCTION("""COMPUTED_VALUE"""),"Listicle")</f>
        <v>Listicle</v>
      </c>
      <c r="G895" s="11" t="b">
        <f>IFERROR(__xludf.DUMMYFUNCTION("""COMPUTED_VALUE"""),FALSE)</f>
        <v>0</v>
      </c>
      <c r="H895" s="11" t="str">
        <f>IFERROR(__xludf.DUMMYFUNCTION("""COMPUTED_VALUE"""),"Momentum")</f>
        <v>Momentum</v>
      </c>
      <c r="I895" s="11">
        <f>IFERROR(__xludf.DUMMYFUNCTION("""COMPUTED_VALUE"""),1.0)</f>
        <v>1</v>
      </c>
      <c r="J895" s="11">
        <f>IFERROR(__xludf.DUMMYFUNCTION("""COMPUTED_VALUE"""),0.0)</f>
        <v>0</v>
      </c>
      <c r="K895" s="11">
        <f>IFERROR(__xludf.DUMMYFUNCTION("""COMPUTED_VALUE"""),1.0)</f>
        <v>1</v>
      </c>
      <c r="L895" s="11"/>
    </row>
    <row r="896" ht="15.75" customHeight="1">
      <c r="A896" s="10" t="str">
        <f>IFERROR(__xludf.DUMMYFUNCTION("""COMPUTED_VALUE"""),"https://www.havstrategy.com/best-performance-marketing-agency-in-us/")</f>
        <v>https://www.havstrategy.com/best-performance-marketing-agency-in-us/</v>
      </c>
      <c r="B896" s="11" t="str">
        <f>IFERROR(__xludf.DUMMYFUNCTION("""COMPUTED_VALUE"""),"Best Performance Marketing Agency in US | D2C Growth | HavStrategy")</f>
        <v>Best Performance Marketing Agency in US | D2C Growth | HavStrategy</v>
      </c>
      <c r="C896" s="10" t="str">
        <f>IFERROR(__xludf.DUMMYFUNCTION("""COMPUTED_VALUE"""),"havstrategy.com")</f>
        <v>havstrategy.com</v>
      </c>
      <c r="D896" s="11" t="str">
        <f>IFERROR(__xludf.DUMMYFUNCTION("""COMPUTED_VALUE"""),"PRODUCT_PAGE")</f>
        <v>PRODUCT_PAGE</v>
      </c>
      <c r="E896" s="11" t="str">
        <f>IFERROR(__xludf.DUMMYFUNCTION("""COMPUTED_VALUE"""),"CORPORATE")</f>
        <v>CORPORATE</v>
      </c>
      <c r="F896" s="11" t="str">
        <f>IFERROR(__xludf.DUMMYFUNCTION("""COMPUTED_VALUE"""),"Product Page")</f>
        <v>Product Page</v>
      </c>
      <c r="G896" s="11" t="b">
        <f>IFERROR(__xludf.DUMMYFUNCTION("""COMPUTED_VALUE"""),FALSE)</f>
        <v>0</v>
      </c>
      <c r="H896" s="11" t="str">
        <f>IFERROR(__xludf.DUMMYFUNCTION("""COMPUTED_VALUE"""),"Clutch")</f>
        <v>Clutch</v>
      </c>
      <c r="I896" s="11">
        <f>IFERROR(__xludf.DUMMYFUNCTION("""COMPUTED_VALUE"""),1.0)</f>
        <v>1</v>
      </c>
      <c r="J896" s="11">
        <f>IFERROR(__xludf.DUMMYFUNCTION("""COMPUTED_VALUE"""),0.0)</f>
        <v>0</v>
      </c>
      <c r="K896" s="11">
        <f>IFERROR(__xludf.DUMMYFUNCTION("""COMPUTED_VALUE"""),0.0)</f>
        <v>0</v>
      </c>
      <c r="L896" s="11"/>
    </row>
    <row r="897" ht="15.75" customHeight="1">
      <c r="A897" s="10" t="str">
        <f>IFERROR(__xludf.DUMMYFUNCTION("""COMPUTED_VALUE"""),"https://hawksem.com/blog/digital-marketing-agencies/")</f>
        <v>https://hawksem.com/blog/digital-marketing-agencies/</v>
      </c>
      <c r="B897" s="11" t="str">
        <f>IFERROR(__xludf.DUMMYFUNCTION("""COMPUTED_VALUE"""),"The 14 Best Digital Marketing Agencies That Get Big Results")</f>
        <v>The 14 Best Digital Marketing Agencies That Get Big Results</v>
      </c>
      <c r="C897" s="10" t="str">
        <f>IFERROR(__xludf.DUMMYFUNCTION("""COMPUTED_VALUE"""),"hawksem.com")</f>
        <v>hawksem.com</v>
      </c>
      <c r="D897" s="11" t="str">
        <f>IFERROR(__xludf.DUMMYFUNCTION("""COMPUTED_VALUE"""),"LISTICLE")</f>
        <v>LISTICLE</v>
      </c>
      <c r="E897" s="11" t="str">
        <f>IFERROR(__xludf.DUMMYFUNCTION("""COMPUTED_VALUE"""),"COMPETITOR")</f>
        <v>COMPETITOR</v>
      </c>
      <c r="F897" s="11" t="str">
        <f>IFERROR(__xludf.DUMMYFUNCTION("""COMPUTED_VALUE"""),"Listicle")</f>
        <v>Listicle</v>
      </c>
      <c r="G897" s="11" t="b">
        <f>IFERROR(__xludf.DUMMYFUNCTION("""COMPUTED_VALUE"""),FALSE)</f>
        <v>0</v>
      </c>
      <c r="H897" s="11" t="str">
        <f>IFERROR(__xludf.DUMMYFUNCTION("""COMPUTED_VALUE"""),"HawkSEM, Wpromote, Tinuiti, Merkle, Clutch, Power Digital, Silverback Strategies")</f>
        <v>HawkSEM, Wpromote, Tinuiti, Merkle, Clutch, Power Digital, Silverback Strategies</v>
      </c>
      <c r="I897" s="11">
        <f>IFERROR(__xludf.DUMMYFUNCTION("""COMPUTED_VALUE"""),1.0)</f>
        <v>1</v>
      </c>
      <c r="J897" s="11">
        <f>IFERROR(__xludf.DUMMYFUNCTION("""COMPUTED_VALUE"""),0.0)</f>
        <v>0</v>
      </c>
      <c r="K897" s="11">
        <f>IFERROR(__xludf.DUMMYFUNCTION("""COMPUTED_VALUE"""),1.0)</f>
        <v>1</v>
      </c>
      <c r="L897" s="11"/>
    </row>
    <row r="898" ht="15.75" customHeight="1">
      <c r="A898" s="10" t="str">
        <f>IFERROR(__xludf.DUMMYFUNCTION("""COMPUTED_VALUE"""),"https://hawksem.com/blog/performance-marketing-agency-list/")</f>
        <v>https://hawksem.com/blog/performance-marketing-agency-list/</v>
      </c>
      <c r="B898" s="11" t="str">
        <f>IFERROR(__xludf.DUMMYFUNCTION("""COMPUTED_VALUE"""),"Top 10 Performance Marketing Agencies in 2026")</f>
        <v>Top 10 Performance Marketing Agencies in 2026</v>
      </c>
      <c r="C898" s="10" t="str">
        <f>IFERROR(__xludf.DUMMYFUNCTION("""COMPUTED_VALUE"""),"hawksem.com")</f>
        <v>hawksem.com</v>
      </c>
      <c r="D898" s="11" t="str">
        <f>IFERROR(__xludf.DUMMYFUNCTION("""COMPUTED_VALUE"""),"LISTICLE")</f>
        <v>LISTICLE</v>
      </c>
      <c r="E898" s="11" t="str">
        <f>IFERROR(__xludf.DUMMYFUNCTION("""COMPUTED_VALUE"""),"COMPETITOR")</f>
        <v>COMPETITOR</v>
      </c>
      <c r="F898" s="11" t="str">
        <f>IFERROR(__xludf.DUMMYFUNCTION("""COMPUTED_VALUE"""),"Listicle")</f>
        <v>Listicle</v>
      </c>
      <c r="G898" s="11" t="b">
        <f>IFERROR(__xludf.DUMMYFUNCTION("""COMPUTED_VALUE"""),FALSE)</f>
        <v>0</v>
      </c>
      <c r="H898" s="11" t="str">
        <f>IFERROR(__xludf.DUMMYFUNCTION("""COMPUTED_VALUE"""),"HawkSEM, Tinuiti, Merkle, Wpromote, MuteSix")</f>
        <v>HawkSEM, Tinuiti, Merkle, Wpromote, MuteSix</v>
      </c>
      <c r="I898" s="11">
        <f>IFERROR(__xludf.DUMMYFUNCTION("""COMPUTED_VALUE"""),1.0)</f>
        <v>1</v>
      </c>
      <c r="J898" s="11">
        <f>IFERROR(__xludf.DUMMYFUNCTION("""COMPUTED_VALUE"""),0.0)</f>
        <v>0</v>
      </c>
      <c r="K898" s="11">
        <f>IFERROR(__xludf.DUMMYFUNCTION("""COMPUTED_VALUE"""),0.0)</f>
        <v>0</v>
      </c>
      <c r="L898" s="11"/>
    </row>
    <row r="899" ht="15.75" customHeight="1">
      <c r="A899" s="10" t="str">
        <f>IFERROR(__xludf.DUMMYFUNCTION("""COMPUTED_VALUE"""),"https://hawksem.com/blog/top-sem-agencies/")</f>
        <v>https://hawksem.com/blog/top-sem-agencies/</v>
      </c>
      <c r="B899" s="11" t="str">
        <f>IFERROR(__xludf.DUMMYFUNCTION("""COMPUTED_VALUE"""),"Top 12 SEM Agencies to Help Your Business Boost ROI")</f>
        <v>Top 12 SEM Agencies to Help Your Business Boost ROI</v>
      </c>
      <c r="C899" s="10" t="str">
        <f>IFERROR(__xludf.DUMMYFUNCTION("""COMPUTED_VALUE"""),"hawksem.com")</f>
        <v>hawksem.com</v>
      </c>
      <c r="D899" s="11" t="str">
        <f>IFERROR(__xludf.DUMMYFUNCTION("""COMPUTED_VALUE"""),"LISTICLE")</f>
        <v>LISTICLE</v>
      </c>
      <c r="E899" s="11" t="str">
        <f>IFERROR(__xludf.DUMMYFUNCTION("""COMPUTED_VALUE"""),"COMPETITOR")</f>
        <v>COMPETITOR</v>
      </c>
      <c r="F899" s="11" t="str">
        <f>IFERROR(__xludf.DUMMYFUNCTION("""COMPUTED_VALUE"""),"Listicle")</f>
        <v>Listicle</v>
      </c>
      <c r="G899" s="11" t="b">
        <f>IFERROR(__xludf.DUMMYFUNCTION("""COMPUTED_VALUE"""),FALSE)</f>
        <v>0</v>
      </c>
      <c r="H899" s="11" t="str">
        <f>IFERROR(__xludf.DUMMYFUNCTION("""COMPUTED_VALUE"""),"HawkSEM, Merkle, Tinuiti, Dentsu, Clutch, Jellyfish, Wpromote, Ignite Visibility, Victorious, Thrive Internet Marketing Agency")</f>
        <v>HawkSEM, Merkle, Tinuiti, Dentsu, Clutch, Jellyfish, Wpromote, Ignite Visibility, Victorious, Thrive Internet Marketing Agency</v>
      </c>
      <c r="I899" s="11">
        <f>IFERROR(__xludf.DUMMYFUNCTION("""COMPUTED_VALUE"""),1.0)</f>
        <v>1</v>
      </c>
      <c r="J899" s="11">
        <f>IFERROR(__xludf.DUMMYFUNCTION("""COMPUTED_VALUE"""),0.0)</f>
        <v>0</v>
      </c>
      <c r="K899" s="11">
        <f>IFERROR(__xludf.DUMMYFUNCTION("""COMPUTED_VALUE"""),1.0)</f>
        <v>1</v>
      </c>
      <c r="L899" s="11"/>
    </row>
    <row r="900" ht="15.75" customHeight="1">
      <c r="A900" s="10" t="str">
        <f>IFERROR(__xludf.DUMMYFUNCTION("""COMPUTED_VALUE"""),"https://www.helloroketto.com/articles/ai-agency")</f>
        <v>https://www.helloroketto.com/articles/ai-agency</v>
      </c>
      <c r="B900" s="11" t="str">
        <f>IFERROR(__xludf.DUMMYFUNCTION("""COMPUTED_VALUE"""),"9 Best AI Agencies for Your Business: The Ultimate Review")</f>
        <v>9 Best AI Agencies for Your Business: The Ultimate Review</v>
      </c>
      <c r="C900" s="10" t="str">
        <f>IFERROR(__xludf.DUMMYFUNCTION("""COMPUTED_VALUE"""),"helloroketto.com")</f>
        <v>helloroketto.com</v>
      </c>
      <c r="D900" s="11" t="str">
        <f>IFERROR(__xludf.DUMMYFUNCTION("""COMPUTED_VALUE"""),"LISTICLE")</f>
        <v>LISTICLE</v>
      </c>
      <c r="E900" s="11" t="str">
        <f>IFERROR(__xludf.DUMMYFUNCTION("""COMPUTED_VALUE"""),"CORPORATE")</f>
        <v>CORPORATE</v>
      </c>
      <c r="F900" s="11" t="str">
        <f>IFERROR(__xludf.DUMMYFUNCTION("""COMPUTED_VALUE"""),"Listicle")</f>
        <v>Listicle</v>
      </c>
      <c r="G900" s="11" t="b">
        <f>IFERROR(__xludf.DUMMYFUNCTION("""COMPUTED_VALUE"""),FALSE)</f>
        <v>0</v>
      </c>
      <c r="H900" s="11" t="str">
        <f>IFERROR(__xludf.DUMMYFUNCTION("""COMPUTED_VALUE"""),"Clutch, NoGood, Major Tom, IBM")</f>
        <v>Clutch, NoGood, Major Tom, IBM</v>
      </c>
      <c r="I900" s="11">
        <f>IFERROR(__xludf.DUMMYFUNCTION("""COMPUTED_VALUE"""),1.0)</f>
        <v>1</v>
      </c>
      <c r="J900" s="11">
        <f>IFERROR(__xludf.DUMMYFUNCTION("""COMPUTED_VALUE"""),0.0)</f>
        <v>0</v>
      </c>
      <c r="K900" s="11">
        <f>IFERROR(__xludf.DUMMYFUNCTION("""COMPUTED_VALUE"""),1.0)</f>
        <v>1</v>
      </c>
      <c r="L900" s="11"/>
    </row>
    <row r="901" ht="15.75" customHeight="1">
      <c r="A901" s="10" t="str">
        <f>IFERROR(__xludf.DUMMYFUNCTION("""COMPUTED_VALUE"""),"https://www.helloroketto.com/articles/marketing-consultant")</f>
        <v>https://www.helloroketto.com/articles/marketing-consultant</v>
      </c>
      <c r="B901" s="11" t="str">
        <f>IFERROR(__xludf.DUMMYFUNCTION("""COMPUTED_VALUE"""),"Top 12 Marketing Consultants to Elevate Your Business Strategy")</f>
        <v>Top 12 Marketing Consultants to Elevate Your Business Strategy</v>
      </c>
      <c r="C901" s="10" t="str">
        <f>IFERROR(__xludf.DUMMYFUNCTION("""COMPUTED_VALUE"""),"helloroketto.com")</f>
        <v>helloroketto.com</v>
      </c>
      <c r="D901" s="11" t="str">
        <f>IFERROR(__xludf.DUMMYFUNCTION("""COMPUTED_VALUE"""),"LISTICLE")</f>
        <v>LISTICLE</v>
      </c>
      <c r="E901" s="11" t="str">
        <f>IFERROR(__xludf.DUMMYFUNCTION("""COMPUTED_VALUE"""),"CORPORATE")</f>
        <v>CORPORATE</v>
      </c>
      <c r="F901" s="11" t="str">
        <f>IFERROR(__xludf.DUMMYFUNCTION("""COMPUTED_VALUE"""),"Listicle")</f>
        <v>Listicle</v>
      </c>
      <c r="G901" s="11" t="b">
        <f>IFERROR(__xludf.DUMMYFUNCTION("""COMPUTED_VALUE"""),FALSE)</f>
        <v>0</v>
      </c>
      <c r="H901" s="11" t="str">
        <f>IFERROR(__xludf.DUMMYFUNCTION("""COMPUTED_VALUE"""),"Clutch, Bain &amp; Company, McKinsey, QuantumBlack, BCG, PwC")</f>
        <v>Clutch, Bain &amp; Company, McKinsey, QuantumBlack, BCG, PwC</v>
      </c>
      <c r="I901" s="11">
        <f>IFERROR(__xludf.DUMMYFUNCTION("""COMPUTED_VALUE"""),1.0)</f>
        <v>1</v>
      </c>
      <c r="J901" s="11">
        <f>IFERROR(__xludf.DUMMYFUNCTION("""COMPUTED_VALUE"""),0.0)</f>
        <v>0</v>
      </c>
      <c r="K901" s="11">
        <f>IFERROR(__xludf.DUMMYFUNCTION("""COMPUTED_VALUE"""),1.0)</f>
        <v>1</v>
      </c>
      <c r="L901" s="11"/>
    </row>
    <row r="902" ht="15.75" customHeight="1">
      <c r="A902" s="10" t="str">
        <f>IFERROR(__xludf.DUMMYFUNCTION("""COMPUTED_VALUE"""),"https://www.heydigital.co/blog/saas-marketing-agencies")</f>
        <v>https://www.heydigital.co/blog/saas-marketing-agencies</v>
      </c>
      <c r="B902" s="11" t="str">
        <f>IFERROR(__xludf.DUMMYFUNCTION("""COMPUTED_VALUE"""),"The 16 Best SaaS Marketing Agencies in 2026 | Hey Digital")</f>
        <v>The 16 Best SaaS Marketing Agencies in 2026 | Hey Digital</v>
      </c>
      <c r="C902" s="10" t="str">
        <f>IFERROR(__xludf.DUMMYFUNCTION("""COMPUTED_VALUE"""),"heydigital.co")</f>
        <v>heydigital.co</v>
      </c>
      <c r="D902" s="11" t="str">
        <f>IFERROR(__xludf.DUMMYFUNCTION("""COMPUTED_VALUE"""),"LISTICLE")</f>
        <v>LISTICLE</v>
      </c>
      <c r="E902" s="11" t="str">
        <f>IFERROR(__xludf.DUMMYFUNCTION("""COMPUTED_VALUE"""),"COMPETITOR")</f>
        <v>COMPETITOR</v>
      </c>
      <c r="F902" s="11" t="str">
        <f>IFERROR(__xludf.DUMMYFUNCTION("""COMPUTED_VALUE"""),"Listicle")</f>
        <v>Listicle</v>
      </c>
      <c r="G902" s="11" t="b">
        <f>IFERROR(__xludf.DUMMYFUNCTION("""COMPUTED_VALUE"""),FALSE)</f>
        <v>0</v>
      </c>
      <c r="H902" s="11" t="str">
        <f>IFERROR(__xludf.DUMMYFUNCTION("""COMPUTED_VALUE"""),"Hey Digital, Directive, NoGood, Single Grain, Omniscient Digital, Siege Media, Animalz, Refine Labs")</f>
        <v>Hey Digital, Directive, NoGood, Single Grain, Omniscient Digital, Siege Media, Animalz, Refine Labs</v>
      </c>
      <c r="I902" s="11">
        <f>IFERROR(__xludf.DUMMYFUNCTION("""COMPUTED_VALUE"""),1.0)</f>
        <v>1</v>
      </c>
      <c r="J902" s="11">
        <f>IFERROR(__xludf.DUMMYFUNCTION("""COMPUTED_VALUE"""),0.0)</f>
        <v>0</v>
      </c>
      <c r="K902" s="11">
        <f>IFERROR(__xludf.DUMMYFUNCTION("""COMPUTED_VALUE"""),0.0)</f>
        <v>0</v>
      </c>
      <c r="L902" s="11"/>
    </row>
    <row r="903" ht="15.75" customHeight="1">
      <c r="A903" s="10" t="str">
        <f>IFERROR(__xludf.DUMMYFUNCTION("""COMPUTED_VALUE"""),"https://hikemytraffic.com/ai-powered-digital-marketing-agency/")</f>
        <v>https://hikemytraffic.com/ai-powered-digital-marketing-agency/</v>
      </c>
      <c r="B903" s="11" t="str">
        <f>IFERROR(__xludf.DUMMYFUNCTION("""COMPUTED_VALUE"""),"5 Best AI-Powered Digital Marketing Agencies to Watch in 2026")</f>
        <v>5 Best AI-Powered Digital Marketing Agencies to Watch in 2026</v>
      </c>
      <c r="C903" s="10" t="str">
        <f>IFERROR(__xludf.DUMMYFUNCTION("""COMPUTED_VALUE"""),"hikemytraffic.com")</f>
        <v>hikemytraffic.com</v>
      </c>
      <c r="D903" s="11" t="str">
        <f>IFERROR(__xludf.DUMMYFUNCTION("""COMPUTED_VALUE"""),"LISTICLE")</f>
        <v>LISTICLE</v>
      </c>
      <c r="E903" s="11" t="str">
        <f>IFERROR(__xludf.DUMMYFUNCTION("""COMPUTED_VALUE"""),"CORPORATE")</f>
        <v>CORPORATE</v>
      </c>
      <c r="F903" s="11" t="str">
        <f>IFERROR(__xludf.DUMMYFUNCTION("""COMPUTED_VALUE"""),"Listicle")</f>
        <v>Listicle</v>
      </c>
      <c r="G903" s="11" t="b">
        <f>IFERROR(__xludf.DUMMYFUNCTION("""COMPUTED_VALUE"""),FALSE)</f>
        <v>0</v>
      </c>
      <c r="H903" s="11" t="str">
        <f>IFERROR(__xludf.DUMMYFUNCTION("""COMPUTED_VALUE"""),"McKinsey, Clutch")</f>
        <v>McKinsey, Clutch</v>
      </c>
      <c r="I903" s="11">
        <f>IFERROR(__xludf.DUMMYFUNCTION("""COMPUTED_VALUE"""),1.0)</f>
        <v>1</v>
      </c>
      <c r="J903" s="11">
        <f>IFERROR(__xludf.DUMMYFUNCTION("""COMPUTED_VALUE"""),0.0)</f>
        <v>0</v>
      </c>
      <c r="K903" s="11">
        <f>IFERROR(__xludf.DUMMYFUNCTION("""COMPUTED_VALUE"""),0.0)</f>
        <v>0</v>
      </c>
      <c r="L903" s="11"/>
    </row>
    <row r="904" ht="15.75" customHeight="1">
      <c r="A904" s="10" t="str">
        <f>IFERROR(__xludf.DUMMYFUNCTION("""COMPUTED_VALUE"""),"https://hikemytraffic.com/ai-seo-companies-to-dominate-search/")</f>
        <v>https://hikemytraffic.com/ai-seo-companies-to-dominate-search/</v>
      </c>
      <c r="B904" s="11" t="str">
        <f>IFERROR(__xludf.DUMMYFUNCTION("""COMPUTED_VALUE"""),"10 Best AI SEO Companies Competing in Global Market")</f>
        <v>10 Best AI SEO Companies Competing in Global Market</v>
      </c>
      <c r="C904" s="10" t="str">
        <f>IFERROR(__xludf.DUMMYFUNCTION("""COMPUTED_VALUE"""),"hikemytraffic.com")</f>
        <v>hikemytraffic.com</v>
      </c>
      <c r="D904" s="11" t="str">
        <f>IFERROR(__xludf.DUMMYFUNCTION("""COMPUTED_VALUE"""),"LISTICLE")</f>
        <v>LISTICLE</v>
      </c>
      <c r="E904" s="11" t="str">
        <f>IFERROR(__xludf.DUMMYFUNCTION("""COMPUTED_VALUE"""),"CORPORATE")</f>
        <v>CORPORATE</v>
      </c>
      <c r="F904" s="11" t="str">
        <f>IFERROR(__xludf.DUMMYFUNCTION("""COMPUTED_VALUE"""),"Listicle")</f>
        <v>Listicle</v>
      </c>
      <c r="G904" s="11" t="b">
        <f>IFERROR(__xludf.DUMMYFUNCTION("""COMPUTED_VALUE"""),FALSE)</f>
        <v>0</v>
      </c>
      <c r="H904" s="11" t="str">
        <f>IFERROR(__xludf.DUMMYFUNCTION("""COMPUTED_VALUE"""),"Clutch, WebFX, NP Digital, Siege Media, Victorious, Directive, Single Grain, Omniscient Digital")</f>
        <v>Clutch, WebFX, NP Digital, Siege Media, Victorious, Directive, Single Grain, Omniscient Digital</v>
      </c>
      <c r="I904" s="11">
        <f>IFERROR(__xludf.DUMMYFUNCTION("""COMPUTED_VALUE"""),1.0)</f>
        <v>1</v>
      </c>
      <c r="J904" s="11">
        <f>IFERROR(__xludf.DUMMYFUNCTION("""COMPUTED_VALUE"""),0.0)</f>
        <v>0</v>
      </c>
      <c r="K904" s="11">
        <f>IFERROR(__xludf.DUMMYFUNCTION("""COMPUTED_VALUE"""),1.0)</f>
        <v>1</v>
      </c>
      <c r="L904" s="11"/>
    </row>
    <row r="905" ht="15.75" customHeight="1">
      <c r="A905" s="10" t="str">
        <f>IFERROR(__xludf.DUMMYFUNCTION("""COMPUTED_VALUE"""),"https://houseofmvps.com/best-aeo-agencies-for-local-business")</f>
        <v>https://houseofmvps.com/best-aeo-agencies-for-local-business</v>
      </c>
      <c r="B905" s="11" t="str">
        <f>IFERROR(__xludf.DUMMYFUNCTION("""COMPUTED_VALUE"""),"Best AEO Agencies for Local Businesses in the US (2026) | HouseofMVPs")</f>
        <v>Best AEO Agencies for Local Businesses in the US (2026) | HouseofMVPs</v>
      </c>
      <c r="C905" s="10" t="str">
        <f>IFERROR(__xludf.DUMMYFUNCTION("""COMPUTED_VALUE"""),"houseofmvps.com")</f>
        <v>houseofmvps.com</v>
      </c>
      <c r="D905" s="11" t="str">
        <f>IFERROR(__xludf.DUMMYFUNCTION("""COMPUTED_VALUE"""),"LISTICLE")</f>
        <v>LISTICLE</v>
      </c>
      <c r="E905" s="11" t="str">
        <f>IFERROR(__xludf.DUMMYFUNCTION("""COMPUTED_VALUE"""),"CORPORATE")</f>
        <v>CORPORATE</v>
      </c>
      <c r="F905" s="11" t="str">
        <f>IFERROR(__xludf.DUMMYFUNCTION("""COMPUTED_VALUE"""),"Listicle")</f>
        <v>Listicle</v>
      </c>
      <c r="G905" s="11" t="b">
        <f>IFERROR(__xludf.DUMMYFUNCTION("""COMPUTED_VALUE"""),FALSE)</f>
        <v>0</v>
      </c>
      <c r="H905" s="11" t="str">
        <f>IFERROR(__xludf.DUMMYFUNCTION("""COMPUTED_VALUE"""),"Marcel Digital, Searchbloom, NoGood")</f>
        <v>Marcel Digital, Searchbloom, NoGood</v>
      </c>
      <c r="I905" s="11">
        <f>IFERROR(__xludf.DUMMYFUNCTION("""COMPUTED_VALUE"""),1.0)</f>
        <v>1</v>
      </c>
      <c r="J905" s="11">
        <f>IFERROR(__xludf.DUMMYFUNCTION("""COMPUTED_VALUE"""),0.0)</f>
        <v>0</v>
      </c>
      <c r="K905" s="11">
        <f>IFERROR(__xludf.DUMMYFUNCTION("""COMPUTED_VALUE"""),1.0)</f>
        <v>1</v>
      </c>
      <c r="L905" s="11"/>
    </row>
    <row r="906" ht="15.75" customHeight="1">
      <c r="A906" s="10" t="str">
        <f>IFERROR(__xludf.DUMMYFUNCTION("""COMPUTED_VALUE"""),"https://www.housesofgrowth.com/post/ai-digital-marketing-agencies")</f>
        <v>https://www.housesofgrowth.com/post/ai-digital-marketing-agencies</v>
      </c>
      <c r="B906" s="11" t="str">
        <f>IFERROR(__xludf.DUMMYFUNCTION("""COMPUTED_VALUE"""),"10 Best AI Digital Marketing Agencies (2026)")</f>
        <v>10 Best AI Digital Marketing Agencies (2026)</v>
      </c>
      <c r="C906" s="10" t="str">
        <f>IFERROR(__xludf.DUMMYFUNCTION("""COMPUTED_VALUE"""),"housesofgrowth.com")</f>
        <v>housesofgrowth.com</v>
      </c>
      <c r="D906" s="11" t="str">
        <f>IFERROR(__xludf.DUMMYFUNCTION("""COMPUTED_VALUE"""),"LISTICLE")</f>
        <v>LISTICLE</v>
      </c>
      <c r="E906" s="11" t="str">
        <f>IFERROR(__xludf.DUMMYFUNCTION("""COMPUTED_VALUE"""),"CORPORATE")</f>
        <v>CORPORATE</v>
      </c>
      <c r="F906" s="11" t="str">
        <f>IFERROR(__xludf.DUMMYFUNCTION("""COMPUTED_VALUE"""),"Listicle")</f>
        <v>Listicle</v>
      </c>
      <c r="G906" s="11" t="b">
        <f>IFERROR(__xludf.DUMMYFUNCTION("""COMPUTED_VALUE"""),FALSE)</f>
        <v>0</v>
      </c>
      <c r="H906" s="11" t="str">
        <f>IFERROR(__xludf.DUMMYFUNCTION("""COMPUTED_VALUE"""),"NoGood, Single Grain, Directive, Power Digital, Wpromote, NP Digital, Omniscient Digital, Superside, Keenfolks, Clutch")</f>
        <v>NoGood, Single Grain, Directive, Power Digital, Wpromote, NP Digital, Omniscient Digital, Superside, Keenfolks, Clutch</v>
      </c>
      <c r="I906" s="11">
        <f>IFERROR(__xludf.DUMMYFUNCTION("""COMPUTED_VALUE"""),1.0)</f>
        <v>1</v>
      </c>
      <c r="J906" s="11">
        <f>IFERROR(__xludf.DUMMYFUNCTION("""COMPUTED_VALUE"""),0.0)</f>
        <v>0</v>
      </c>
      <c r="K906" s="11">
        <f>IFERROR(__xludf.DUMMYFUNCTION("""COMPUTED_VALUE"""),0.0)</f>
        <v>0</v>
      </c>
      <c r="L906" s="11"/>
    </row>
    <row r="907" ht="15.75" customHeight="1">
      <c r="A907" s="10" t="str">
        <f>IFERROR(__xludf.DUMMYFUNCTION("""COMPUTED_VALUE"""),"https://hunterdigitalmarketing.com/blog/2026-leading-paid-search-agencies/#:~:text=The%20best%20paid%20media%20agencies%20use%20technology%2C,audience%20quickly%20with%20targeted%20and%20testable%20campaigns.")</f>
        <v>https://hunterdigitalmarketing.com/blog/2026-leading-paid-search-agencies/#:~:text=The%20best%20paid%20media%20agencies%20use%20technology%2C,audience%20quickly%20with%20targeted%20and%20testable%20campaigns.</v>
      </c>
      <c r="B907" s="11" t="str">
        <f>IFERROR(__xludf.DUMMYFUNCTION("""COMPUTED_VALUE"""),"Top PPC Agencies in the US for 2026—Leading Paid Search Partners for Real ROI - Hunter Digital")</f>
        <v>Top PPC Agencies in the US for 2026—Leading Paid Search Partners for Real ROI - Hunter Digital</v>
      </c>
      <c r="C907" s="10" t="str">
        <f>IFERROR(__xludf.DUMMYFUNCTION("""COMPUTED_VALUE"""),"hunterdigitalmarketing.com")</f>
        <v>hunterdigitalmarketing.com</v>
      </c>
      <c r="D907" s="11" t="str">
        <f>IFERROR(__xludf.DUMMYFUNCTION("""COMPUTED_VALUE"""),"LISTICLE")</f>
        <v>LISTICLE</v>
      </c>
      <c r="E907" s="11" t="str">
        <f>IFERROR(__xludf.DUMMYFUNCTION("""COMPUTED_VALUE"""),"CORPORATE")</f>
        <v>CORPORATE</v>
      </c>
      <c r="F907" s="11" t="str">
        <f>IFERROR(__xludf.DUMMYFUNCTION("""COMPUTED_VALUE"""),"Listicle")</f>
        <v>Listicle</v>
      </c>
      <c r="G907" s="11" t="b">
        <f>IFERROR(__xludf.DUMMYFUNCTION("""COMPUTED_VALUE"""),FALSE)</f>
        <v>0</v>
      </c>
      <c r="H907" s="11" t="str">
        <f>IFERROR(__xludf.DUMMYFUNCTION("""COMPUTED_VALUE"""),"Clutch, Disruptive Advertising, KlientBoost, Ignite Visibility")</f>
        <v>Clutch, Disruptive Advertising, KlientBoost, Ignite Visibility</v>
      </c>
      <c r="I907" s="11">
        <f>IFERROR(__xludf.DUMMYFUNCTION("""COMPUTED_VALUE"""),1.0)</f>
        <v>1</v>
      </c>
      <c r="J907" s="11">
        <f>IFERROR(__xludf.DUMMYFUNCTION("""COMPUTED_VALUE"""),0.0)</f>
        <v>0</v>
      </c>
      <c r="K907" s="11">
        <f>IFERROR(__xludf.DUMMYFUNCTION("""COMPUTED_VALUE"""),4.0)</f>
        <v>4</v>
      </c>
      <c r="L907" s="11"/>
    </row>
    <row r="908" ht="15.75" customHeight="1">
      <c r="A908" s="10" t="str">
        <f>IFERROR(__xludf.DUMMYFUNCTION("""COMPUTED_VALUE"""),"https://www.iacaward.org/iac/winner/18188/delve-wins-2021-iac-award-for-delve-applies-data-science-to-deliver-200-roas-for-unicef-usa.html")</f>
        <v>https://www.iacaward.org/iac/winner/18188/delve-wins-2021-iac-award-for-delve-applies-data-science-to-deliver-200-roas-for-unicef-usa.html</v>
      </c>
      <c r="B908" s="11" t="str">
        <f>IFERROR(__xludf.DUMMYFUNCTION("""COMPUTED_VALUE"""),"DELVE Wins 2021 Best Non-profit Online Campaign, Best Of Show Online Campaign Internet Advertising Award for DELVE Applies Data Science to Deliver 200% ROAS for UNICEF USA")</f>
        <v>DELVE Wins 2021 Best Non-profit Online Campaign, Best Of Show Online Campaign Internet Advertising Award for DELVE Applies Data Science to Deliver 200% ROAS for UNICEF USA</v>
      </c>
      <c r="C908" s="10" t="str">
        <f>IFERROR(__xludf.DUMMYFUNCTION("""COMPUTED_VALUE"""),"iacaward.org")</f>
        <v>iacaward.org</v>
      </c>
      <c r="D908" s="11" t="str">
        <f>IFERROR(__xludf.DUMMYFUNCTION("""COMPUTED_VALUE"""),"PROFILE")</f>
        <v>PROFILE</v>
      </c>
      <c r="E908" s="11" t="str">
        <f>IFERROR(__xludf.DUMMYFUNCTION("""COMPUTED_VALUE"""),"INSTITUTIONAL")</f>
        <v>INSTITUTIONAL</v>
      </c>
      <c r="F908" s="11" t="str">
        <f>IFERROR(__xludf.DUMMYFUNCTION("""COMPUTED_VALUE"""),"Profile")</f>
        <v>Profile</v>
      </c>
      <c r="G908" s="11" t="b">
        <f>IFERROR(__xludf.DUMMYFUNCTION("""COMPUTED_VALUE"""),FALSE)</f>
        <v>0</v>
      </c>
      <c r="H908" s="11"/>
      <c r="I908" s="11">
        <f>IFERROR(__xludf.DUMMYFUNCTION("""COMPUTED_VALUE"""),1.0)</f>
        <v>1</v>
      </c>
      <c r="J908" s="11">
        <f>IFERROR(__xludf.DUMMYFUNCTION("""COMPUTED_VALUE"""),0.0)</f>
        <v>0</v>
      </c>
      <c r="K908" s="11">
        <f>IFERROR(__xludf.DUMMYFUNCTION("""COMPUTED_VALUE"""),1.0)</f>
        <v>1</v>
      </c>
      <c r="L908" s="11"/>
    </row>
    <row r="909" ht="15.75" customHeight="1">
      <c r="A909" s="10" t="str">
        <f>IFERROR(__xludf.DUMMYFUNCTION("""COMPUTED_VALUE"""),"https://icoda.io/ai/best-ai-digital-marketing-agencies/")</f>
        <v>https://icoda.io/ai/best-ai-digital-marketing-agencies/</v>
      </c>
      <c r="B909" s="11" t="str">
        <f>IFERROR(__xludf.DUMMYFUNCTION("""COMPUTED_VALUE"""),"Top 10 AI Digital Marketing Agencies [2026]")</f>
        <v>Top 10 AI Digital Marketing Agencies [2026]</v>
      </c>
      <c r="C909" s="10" t="str">
        <f>IFERROR(__xludf.DUMMYFUNCTION("""COMPUTED_VALUE"""),"icoda.io")</f>
        <v>icoda.io</v>
      </c>
      <c r="D909" s="11" t="str">
        <f>IFERROR(__xludf.DUMMYFUNCTION("""COMPUTED_VALUE"""),"LISTICLE")</f>
        <v>LISTICLE</v>
      </c>
      <c r="E909" s="11" t="str">
        <f>IFERROR(__xludf.DUMMYFUNCTION("""COMPUTED_VALUE"""),"CORPORATE")</f>
        <v>CORPORATE</v>
      </c>
      <c r="F909" s="11" t="str">
        <f>IFERROR(__xludf.DUMMYFUNCTION("""COMPUTED_VALUE"""),"Listicle")</f>
        <v>Listicle</v>
      </c>
      <c r="G909" s="11" t="b">
        <f>IFERROR(__xludf.DUMMYFUNCTION("""COMPUTED_VALUE"""),FALSE)</f>
        <v>0</v>
      </c>
      <c r="H909" s="11" t="str">
        <f>IFERROR(__xludf.DUMMYFUNCTION("""COMPUTED_VALUE"""),"McKinsey, Wpromote, Brainlabs, Tinuiti, Keenfolks, Directive, Jellyfish, Single Grain, Clutch, IBM")</f>
        <v>McKinsey, Wpromote, Brainlabs, Tinuiti, Keenfolks, Directive, Jellyfish, Single Grain, Clutch, IBM</v>
      </c>
      <c r="I909" s="11">
        <f>IFERROR(__xludf.DUMMYFUNCTION("""COMPUTED_VALUE"""),1.0)</f>
        <v>1</v>
      </c>
      <c r="J909" s="11">
        <f>IFERROR(__xludf.DUMMYFUNCTION("""COMPUTED_VALUE"""),0.0)</f>
        <v>0</v>
      </c>
      <c r="K909" s="11">
        <f>IFERROR(__xludf.DUMMYFUNCTION("""COMPUTED_VALUE"""),0.0)</f>
        <v>0</v>
      </c>
      <c r="L909" s="11"/>
    </row>
    <row r="910" ht="15.75" customHeight="1">
      <c r="A910" s="10" t="str">
        <f>IFERROR(__xludf.DUMMYFUNCTION("""COMPUTED_VALUE"""),"https://www.icreativez.com/categories/online-marketing/10-best-paid-social-media-services-companies-consultants-2026.html")</f>
        <v>https://www.icreativez.com/categories/online-marketing/10-best-paid-social-media-services-companies-consultants-2026.html</v>
      </c>
      <c r="B910" s="11" t="str">
        <f>IFERROR(__xludf.DUMMYFUNCTION("""COMPUTED_VALUE"""),"10 Best Paid Social Media Companies &amp; Consultants 2026 | iCreativez")</f>
        <v>10 Best Paid Social Media Companies &amp; Consultants 2026 | iCreativez</v>
      </c>
      <c r="C910" s="10" t="str">
        <f>IFERROR(__xludf.DUMMYFUNCTION("""COMPUTED_VALUE"""),"icreativez.com")</f>
        <v>icreativez.com</v>
      </c>
      <c r="D910" s="11" t="str">
        <f>IFERROR(__xludf.DUMMYFUNCTION("""COMPUTED_VALUE"""),"LISTICLE")</f>
        <v>LISTICLE</v>
      </c>
      <c r="E910" s="11" t="str">
        <f>IFERROR(__xludf.DUMMYFUNCTION("""COMPUTED_VALUE"""),"OTHER")</f>
        <v>OTHER</v>
      </c>
      <c r="F910" s="11" t="str">
        <f>IFERROR(__xludf.DUMMYFUNCTION("""COMPUTED_VALUE"""),"Listicle")</f>
        <v>Listicle</v>
      </c>
      <c r="G910" s="11" t="b">
        <f>IFERROR(__xludf.DUMMYFUNCTION("""COMPUTED_VALUE"""),FALSE)</f>
        <v>0</v>
      </c>
      <c r="H910" s="11" t="str">
        <f>IFERROR(__xludf.DUMMYFUNCTION("""COMPUTED_VALUE"""),"Triple Whale, Northbeam, Rockerbox")</f>
        <v>Triple Whale, Northbeam, Rockerbox</v>
      </c>
      <c r="I910" s="11">
        <f>IFERROR(__xludf.DUMMYFUNCTION("""COMPUTED_VALUE"""),1.0)</f>
        <v>1</v>
      </c>
      <c r="J910" s="11">
        <f>IFERROR(__xludf.DUMMYFUNCTION("""COMPUTED_VALUE"""),0.0)</f>
        <v>0</v>
      </c>
      <c r="K910" s="11">
        <f>IFERROR(__xludf.DUMMYFUNCTION("""COMPUTED_VALUE"""),0.0)</f>
        <v>0</v>
      </c>
      <c r="L910" s="11"/>
    </row>
    <row r="911" ht="15.75" customHeight="1">
      <c r="A911" s="10" t="str">
        <f>IFERROR(__xludf.DUMMYFUNCTION("""COMPUTED_VALUE"""),"https://www.ie.edu/uncover-ie/top-data-analytics-companies-who-shapes-business-data-in-2026/#:~:text=Deloitte%20provides%20analytics%20consulting%20across%20areas%20like,forecasting%2C%20optimization%2C%20and%20operational%20performance%20use%20cases.")</f>
        <v>https://www.ie.edu/uncover-ie/top-data-analytics-companies-who-shapes-business-data-in-2026/#:~:text=Deloitte%20provides%20analytics%20consulting%20across%20areas%20like,forecasting%2C%20optimization%2C%20and%20operational%20performance%20use%20cases.</v>
      </c>
      <c r="B911" s="11" t="str">
        <f>IFERROR(__xludf.DUMMYFUNCTION("""COMPUTED_VALUE"""),"Top data analytics companies: Who shapes business data in 2026")</f>
        <v>Top data analytics companies: Who shapes business data in 2026</v>
      </c>
      <c r="C911" s="10" t="str">
        <f>IFERROR(__xludf.DUMMYFUNCTION("""COMPUTED_VALUE"""),"ie.edu")</f>
        <v>ie.edu</v>
      </c>
      <c r="D911" s="11" t="str">
        <f>IFERROR(__xludf.DUMMYFUNCTION("""COMPUTED_VALUE"""),"LISTICLE")</f>
        <v>LISTICLE</v>
      </c>
      <c r="E911" s="11" t="str">
        <f>IFERROR(__xludf.DUMMYFUNCTION("""COMPUTED_VALUE"""),"INSTITUTIONAL")</f>
        <v>INSTITUTIONAL</v>
      </c>
      <c r="F911" s="11" t="str">
        <f>IFERROR(__xludf.DUMMYFUNCTION("""COMPUTED_VALUE"""),"Listicle")</f>
        <v>Listicle</v>
      </c>
      <c r="G911" s="11" t="b">
        <f>IFERROR(__xludf.DUMMYFUNCTION("""COMPUTED_VALUE"""),FALSE)</f>
        <v>0</v>
      </c>
      <c r="H911" s="11" t="str">
        <f>IFERROR(__xludf.DUMMYFUNCTION("""COMPUTED_VALUE"""),"McKinsey, QuantumBlack, BCG, PwC")</f>
        <v>McKinsey, QuantumBlack, BCG, PwC</v>
      </c>
      <c r="I911" s="11">
        <f>IFERROR(__xludf.DUMMYFUNCTION("""COMPUTED_VALUE"""),1.0)</f>
        <v>1</v>
      </c>
      <c r="J911" s="11">
        <f>IFERROR(__xludf.DUMMYFUNCTION("""COMPUTED_VALUE"""),0.0)</f>
        <v>0</v>
      </c>
      <c r="K911" s="11">
        <f>IFERROR(__xludf.DUMMYFUNCTION("""COMPUTED_VALUE"""),2.0)</f>
        <v>2</v>
      </c>
      <c r="L911" s="11"/>
    </row>
    <row r="912" ht="15.75" customHeight="1">
      <c r="A912" s="10" t="str">
        <f>IFERROR(__xludf.DUMMYFUNCTION("""COMPUTED_VALUE"""),"https://improvado.io/blog/best-marketing-agencies-new-york")</f>
        <v>https://improvado.io/blog/best-marketing-agencies-new-york</v>
      </c>
      <c r="B912" s="11" t="str">
        <f>IFERROR(__xludf.DUMMYFUNCTION("""COMPUTED_VALUE"""),"Best NYC Marketing Agencies 2026: Pricing &amp;amp; Reviews")</f>
        <v>Best NYC Marketing Agencies 2026: Pricing &amp;amp; Reviews</v>
      </c>
      <c r="C912" s="10" t="str">
        <f>IFERROR(__xludf.DUMMYFUNCTION("""COMPUTED_VALUE"""),"improvado.io")</f>
        <v>improvado.io</v>
      </c>
      <c r="D912" s="11" t="str">
        <f>IFERROR(__xludf.DUMMYFUNCTION("""COMPUTED_VALUE"""),"LISTICLE")</f>
        <v>LISTICLE</v>
      </c>
      <c r="E912" s="11" t="str">
        <f>IFERROR(__xludf.DUMMYFUNCTION("""COMPUTED_VALUE"""),"CORPORATE")</f>
        <v>CORPORATE</v>
      </c>
      <c r="F912" s="11" t="str">
        <f>IFERROR(__xludf.DUMMYFUNCTION("""COMPUTED_VALUE"""),"Listicle")</f>
        <v>Listicle</v>
      </c>
      <c r="G912" s="11" t="b">
        <f>IFERROR(__xludf.DUMMYFUNCTION("""COMPUTED_VALUE"""),FALSE)</f>
        <v>0</v>
      </c>
      <c r="H912" s="11" t="str">
        <f>IFERROR(__xludf.DUMMYFUNCTION("""COMPUTED_VALUE"""),"Directive, NoGood, Ogilvy, VaynerMedia, Seer Interactive, Huge, Dentsu, DEPT, Merkle, Common Thread Collective, inBeat, WPP, Publicis Groupe, McKinsey, Bain &amp; Company, BCG, Deloitte Digital, WebFX, KlientBoost")</f>
        <v>Directive, NoGood, Ogilvy, VaynerMedia, Seer Interactive, Huge, Dentsu, DEPT, Merkle, Common Thread Collective, inBeat, WPP, Publicis Groupe, McKinsey, Bain &amp; Company, BCG, Deloitte Digital, WebFX, KlientBoost</v>
      </c>
      <c r="I912" s="11">
        <f>IFERROR(__xludf.DUMMYFUNCTION("""COMPUTED_VALUE"""),1.0)</f>
        <v>1</v>
      </c>
      <c r="J912" s="11">
        <f>IFERROR(__xludf.DUMMYFUNCTION("""COMPUTED_VALUE"""),0.0)</f>
        <v>0</v>
      </c>
      <c r="K912" s="11">
        <f>IFERROR(__xludf.DUMMYFUNCTION("""COMPUTED_VALUE"""),1.0)</f>
        <v>1</v>
      </c>
      <c r="L912" s="11"/>
    </row>
    <row r="913" ht="15.75" customHeight="1">
      <c r="A913" s="10" t="str">
        <f>IFERROR(__xludf.DUMMYFUNCTION("""COMPUTED_VALUE"""),"https://inbeat.agency/blog/top-ai-marketing-agencies")</f>
        <v>https://inbeat.agency/blog/top-ai-marketing-agencies</v>
      </c>
      <c r="B913" s="11" t="str">
        <f>IFERROR(__xludf.DUMMYFUNCTION("""COMPUTED_VALUE"""),"Top 15 AI Marketing Agencies Transforming Digital Strategy in 2025 - inBeat Agency")</f>
        <v>Top 15 AI Marketing Agencies Transforming Digital Strategy in 2025 - inBeat Agency</v>
      </c>
      <c r="C913" s="11" t="str">
        <f>IFERROR(__xludf.DUMMYFUNCTION("""COMPUTED_VALUE"""),"inbeat.agency")</f>
        <v>inbeat.agency</v>
      </c>
      <c r="D913" s="11" t="str">
        <f>IFERROR(__xludf.DUMMYFUNCTION("""COMPUTED_VALUE"""),"LISTICLE")</f>
        <v>LISTICLE</v>
      </c>
      <c r="E913" s="11" t="str">
        <f>IFERROR(__xludf.DUMMYFUNCTION("""COMPUTED_VALUE"""),"COMPETITOR")</f>
        <v>COMPETITOR</v>
      </c>
      <c r="F913" s="11" t="str">
        <f>IFERROR(__xludf.DUMMYFUNCTION("""COMPUTED_VALUE"""),"Listicle")</f>
        <v>Listicle</v>
      </c>
      <c r="G913" s="11" t="b">
        <f>IFERROR(__xludf.DUMMYFUNCTION("""COMPUTED_VALUE"""),FALSE)</f>
        <v>0</v>
      </c>
      <c r="H913" s="11" t="str">
        <f>IFERROR(__xludf.DUMMYFUNCTION("""COMPUTED_VALUE"""),"inBeat, Nielsen, Momentum, Keenfolks, NoGood, Avenue Z")</f>
        <v>inBeat, Nielsen, Momentum, Keenfolks, NoGood, Avenue Z</v>
      </c>
      <c r="I913" s="11">
        <f>IFERROR(__xludf.DUMMYFUNCTION("""COMPUTED_VALUE"""),1.0)</f>
        <v>1</v>
      </c>
      <c r="J913" s="11">
        <f>IFERROR(__xludf.DUMMYFUNCTION("""COMPUTED_VALUE"""),0.0)</f>
        <v>0</v>
      </c>
      <c r="K913" s="11">
        <f>IFERROR(__xludf.DUMMYFUNCTION("""COMPUTED_VALUE"""),0.0)</f>
        <v>0</v>
      </c>
      <c r="L913" s="11"/>
    </row>
    <row r="914" ht="15.75" customHeight="1">
      <c r="A914" s="10" t="str">
        <f>IFERROR(__xludf.DUMMYFUNCTION("""COMPUTED_VALUE"""),"https://www.inbeat.co/articles/best-ai-digital-marketing-agencies/")</f>
        <v>https://www.inbeat.co/articles/best-ai-digital-marketing-agencies/</v>
      </c>
      <c r="B914" s="11" t="str">
        <f>IFERROR(__xludf.DUMMYFUNCTION("""COMPUTED_VALUE"""),"10 Best AI Digital Marketing Agencies in 2026")</f>
        <v>10 Best AI Digital Marketing Agencies in 2026</v>
      </c>
      <c r="C914" s="10" t="str">
        <f>IFERROR(__xludf.DUMMYFUNCTION("""COMPUTED_VALUE"""),"inbeat.co")</f>
        <v>inbeat.co</v>
      </c>
      <c r="D914" s="11" t="str">
        <f>IFERROR(__xludf.DUMMYFUNCTION("""COMPUTED_VALUE"""),"LISTICLE")</f>
        <v>LISTICLE</v>
      </c>
      <c r="E914" s="11" t="str">
        <f>IFERROR(__xludf.DUMMYFUNCTION("""COMPUTED_VALUE"""),"CORPORATE")</f>
        <v>CORPORATE</v>
      </c>
      <c r="F914" s="11" t="str">
        <f>IFERROR(__xludf.DUMMYFUNCTION("""COMPUTED_VALUE"""),"Listicle")</f>
        <v>Listicle</v>
      </c>
      <c r="G914" s="11" t="b">
        <f>IFERROR(__xludf.DUMMYFUNCTION("""COMPUTED_VALUE"""),FALSE)</f>
        <v>0</v>
      </c>
      <c r="H914" s="11" t="str">
        <f>IFERROR(__xludf.DUMMYFUNCTION("""COMPUTED_VALUE"""),"inBeat, Merkle, SmartSites, Ignite Visibility, Jellyfish, Brainlabs, Wpromote, Tinuiti, Disruptive Advertising, NP Digital")</f>
        <v>inBeat, Merkle, SmartSites, Ignite Visibility, Jellyfish, Brainlabs, Wpromote, Tinuiti, Disruptive Advertising, NP Digital</v>
      </c>
      <c r="I914" s="11">
        <f>IFERROR(__xludf.DUMMYFUNCTION("""COMPUTED_VALUE"""),1.0)</f>
        <v>1</v>
      </c>
      <c r="J914" s="11">
        <f>IFERROR(__xludf.DUMMYFUNCTION("""COMPUTED_VALUE"""),0.0)</f>
        <v>0</v>
      </c>
      <c r="K914" s="11">
        <f>IFERROR(__xludf.DUMMYFUNCTION("""COMPUTED_VALUE"""),0.0)</f>
        <v>0</v>
      </c>
      <c r="L914" s="11"/>
    </row>
    <row r="915" ht="15.75" customHeight="1">
      <c r="A915" s="10" t="str">
        <f>IFERROR(__xludf.DUMMYFUNCTION("""COMPUTED_VALUE"""),"https://www.inbeat.co/articles/top-creative-agencies/")</f>
        <v>https://www.inbeat.co/articles/top-creative-agencies/</v>
      </c>
      <c r="B915" s="11" t="str">
        <f>IFERROR(__xludf.DUMMYFUNCTION("""COMPUTED_VALUE"""),"Top 15 Creative Agencies Tried and Tested [2026 Edition]")</f>
        <v>Top 15 Creative Agencies Tried and Tested [2026 Edition]</v>
      </c>
      <c r="C915" s="10" t="str">
        <f>IFERROR(__xludf.DUMMYFUNCTION("""COMPUTED_VALUE"""),"inbeat.co")</f>
        <v>inbeat.co</v>
      </c>
      <c r="D915" s="11" t="str">
        <f>IFERROR(__xludf.DUMMYFUNCTION("""COMPUTED_VALUE"""),"LISTICLE")</f>
        <v>LISTICLE</v>
      </c>
      <c r="E915" s="11" t="str">
        <f>IFERROR(__xludf.DUMMYFUNCTION("""COMPUTED_VALUE"""),"CORPORATE")</f>
        <v>CORPORATE</v>
      </c>
      <c r="F915" s="11" t="str">
        <f>IFERROR(__xludf.DUMMYFUNCTION("""COMPUTED_VALUE"""),"Listicle")</f>
        <v>Listicle</v>
      </c>
      <c r="G915" s="11" t="b">
        <f>IFERROR(__xludf.DUMMYFUNCTION("""COMPUTED_VALUE"""),FALSE)</f>
        <v>0</v>
      </c>
      <c r="H915" s="11" t="str">
        <f>IFERROR(__xludf.DUMMYFUNCTION("""COMPUTED_VALUE"""),"inBeat, Brighter Click")</f>
        <v>inBeat, Brighter Click</v>
      </c>
      <c r="I915" s="11">
        <f>IFERROR(__xludf.DUMMYFUNCTION("""COMPUTED_VALUE"""),1.0)</f>
        <v>1</v>
      </c>
      <c r="J915" s="11">
        <f>IFERROR(__xludf.DUMMYFUNCTION("""COMPUTED_VALUE"""),0.0)</f>
        <v>0</v>
      </c>
      <c r="K915" s="11">
        <f>IFERROR(__xludf.DUMMYFUNCTION("""COMPUTED_VALUE"""),0.0)</f>
        <v>0</v>
      </c>
      <c r="L915" s="11"/>
    </row>
    <row r="916" ht="15.75" customHeight="1">
      <c r="A916" s="10" t="str">
        <f>IFERROR(__xludf.DUMMYFUNCTION("""COMPUTED_VALUE"""),"https://indiantelevision.com/mam/the-best-aeo-agencies-in-the-usa-for-2026/")</f>
        <v>https://indiantelevision.com/mam/the-best-aeo-agencies-in-the-usa-for-2026/</v>
      </c>
      <c r="B916" s="11" t="str">
        <f>IFERROR(__xludf.DUMMYFUNCTION("""COMPUTED_VALUE"""),"The Best AEO Agencies in the USA for 2026 – Indian Television Dot Com")</f>
        <v>The Best AEO Agencies in the USA for 2026 – Indian Television Dot Com</v>
      </c>
      <c r="C916" s="10" t="str">
        <f>IFERROR(__xludf.DUMMYFUNCTION("""COMPUTED_VALUE"""),"indiantelevision.com")</f>
        <v>indiantelevision.com</v>
      </c>
      <c r="D916" s="11" t="str">
        <f>IFERROR(__xludf.DUMMYFUNCTION("""COMPUTED_VALUE"""),"LISTICLE")</f>
        <v>LISTICLE</v>
      </c>
      <c r="E916" s="11" t="str">
        <f>IFERROR(__xludf.DUMMYFUNCTION("""COMPUTED_VALUE"""),"EDITORIAL")</f>
        <v>EDITORIAL</v>
      </c>
      <c r="F916" s="11" t="str">
        <f>IFERROR(__xludf.DUMMYFUNCTION("""COMPUTED_VALUE"""),"Listicle")</f>
        <v>Listicle</v>
      </c>
      <c r="G916" s="11" t="b">
        <f>IFERROR(__xludf.DUMMYFUNCTION("""COMPUTED_VALUE"""),FALSE)</f>
        <v>0</v>
      </c>
      <c r="H916" s="11" t="str">
        <f>IFERROR(__xludf.DUMMYFUNCTION("""COMPUTED_VALUE"""),"Discovered Labs, WebFX, Measured, First Page Sage, Single Grain, Omniscient Digital, RevenueZen, Siege Media, NoGood, KlientBoost")</f>
        <v>Discovered Labs, WebFX, Measured, First Page Sage, Single Grain, Omniscient Digital, RevenueZen, Siege Media, NoGood, KlientBoost</v>
      </c>
      <c r="I916" s="11">
        <f>IFERROR(__xludf.DUMMYFUNCTION("""COMPUTED_VALUE"""),1.0)</f>
        <v>1</v>
      </c>
      <c r="J916" s="11">
        <f>IFERROR(__xludf.DUMMYFUNCTION("""COMPUTED_VALUE"""),0.0)</f>
        <v>0</v>
      </c>
      <c r="K916" s="11">
        <f>IFERROR(__xludf.DUMMYFUNCTION("""COMPUTED_VALUE"""),11.0)</f>
        <v>11</v>
      </c>
      <c r="L916" s="11"/>
    </row>
    <row r="917" ht="15.75" customHeight="1">
      <c r="A917" s="10" t="str">
        <f>IFERROR(__xludf.DUMMYFUNCTION("""COMPUTED_VALUE"""),"https://www.indiehackers.com/post/best-performance-marketing-agency-in-the-usa-paid-ads-or-seo-cLPWTCgkteymkhS5pJS5#:~:text=Scale%20Rankings%20%2D%201.%20ScaleRankings.%20ScaleRankings.com%20isn't,is%20what%20separates%20it%20from%20everyone%20else.")</f>
        <v>https://www.indiehackers.com/post/best-performance-marketing-agency-in-the-usa-paid-ads-or-seo-cLPWTCgkteymkhS5pJS5#:~:text=Scale%20Rankings%20%2D%201.%20ScaleRankings.%20ScaleRankings.com%20isn't,is%20what%20separates%20it%20from%20everyone%20else.</v>
      </c>
      <c r="B917" s="11" t="str">
        <f>IFERROR(__xludf.DUMMYFUNCTION("""COMPUTED_VALUE"""),"Best Performance Marketing Agency in the USA (Paid Ads or SEO) - Indie Hackers")</f>
        <v>Best Performance Marketing Agency in the USA (Paid Ads or SEO) - Indie Hackers</v>
      </c>
      <c r="C917" s="10" t="str">
        <f>IFERROR(__xludf.DUMMYFUNCTION("""COMPUTED_VALUE"""),"indiehackers.com")</f>
        <v>indiehackers.com</v>
      </c>
      <c r="D917" s="11" t="str">
        <f>IFERROR(__xludf.DUMMYFUNCTION("""COMPUTED_VALUE"""),"LISTICLE")</f>
        <v>LISTICLE</v>
      </c>
      <c r="E917" s="11" t="str">
        <f>IFERROR(__xludf.DUMMYFUNCTION("""COMPUTED_VALUE"""),"UGC")</f>
        <v>UGC</v>
      </c>
      <c r="F917" s="11" t="str">
        <f>IFERROR(__xludf.DUMMYFUNCTION("""COMPUTED_VALUE"""),"Listicle")</f>
        <v>Listicle</v>
      </c>
      <c r="G917" s="11" t="b">
        <f>IFERROR(__xludf.DUMMYFUNCTION("""COMPUTED_VALUE"""),FALSE)</f>
        <v>0</v>
      </c>
      <c r="H917" s="11" t="str">
        <f>IFERROR(__xludf.DUMMYFUNCTION("""COMPUTED_VALUE"""),"Power Digital, Disruptive Advertising, Common Thread Collective, Directive, NoGood, SmartSites, Tinuiti, Measured")</f>
        <v>Power Digital, Disruptive Advertising, Common Thread Collective, Directive, NoGood, SmartSites, Tinuiti, Measured</v>
      </c>
      <c r="I917" s="11">
        <f>IFERROR(__xludf.DUMMYFUNCTION("""COMPUTED_VALUE"""),1.0)</f>
        <v>1</v>
      </c>
      <c r="J917" s="11">
        <f>IFERROR(__xludf.DUMMYFUNCTION("""COMPUTED_VALUE"""),0.0)</f>
        <v>0</v>
      </c>
      <c r="K917" s="11">
        <f>IFERROR(__xludf.DUMMYFUNCTION("""COMPUTED_VALUE"""),3.0)</f>
        <v>3</v>
      </c>
      <c r="L917" s="11"/>
    </row>
    <row r="918" ht="15.75" customHeight="1">
      <c r="A918" s="10" t="str">
        <f>IFERROR(__xludf.DUMMYFUNCTION("""COMPUTED_VALUE"""),"https://influencermarketinghub.com/geo-agencies/")</f>
        <v>https://influencermarketinghub.com/geo-agencies/</v>
      </c>
      <c r="B918" s="11" t="str">
        <f>IFERROR(__xludf.DUMMYFUNCTION("""COMPUTED_VALUE"""),"6 Best GEO Agencies Driving AI Search Visibility")</f>
        <v>6 Best GEO Agencies Driving AI Search Visibility</v>
      </c>
      <c r="C918" s="10" t="str">
        <f>IFERROR(__xludf.DUMMYFUNCTION("""COMPUTED_VALUE"""),"influencermarketinghub.com")</f>
        <v>influencermarketinghub.com</v>
      </c>
      <c r="D918" s="11" t="str">
        <f>IFERROR(__xludf.DUMMYFUNCTION("""COMPUTED_VALUE"""),"LISTICLE")</f>
        <v>LISTICLE</v>
      </c>
      <c r="E918" s="11" t="str">
        <f>IFERROR(__xludf.DUMMYFUNCTION("""COMPUTED_VALUE"""),"REFERENCE")</f>
        <v>REFERENCE</v>
      </c>
      <c r="F918" s="11" t="str">
        <f>IFERROR(__xludf.DUMMYFUNCTION("""COMPUTED_VALUE"""),"Listicle")</f>
        <v>Listicle</v>
      </c>
      <c r="G918" s="11" t="b">
        <f>IFERROR(__xludf.DUMMYFUNCTION("""COMPUTED_VALUE"""),FALSE)</f>
        <v>0</v>
      </c>
      <c r="H918" s="11" t="str">
        <f>IFERROR(__xludf.DUMMYFUNCTION("""COMPUTED_VALUE"""),"Viral Nation, SmartSites, McKinsey, Stratabeat, Directive")</f>
        <v>Viral Nation, SmartSites, McKinsey, Stratabeat, Directive</v>
      </c>
      <c r="I918" s="11">
        <f>IFERROR(__xludf.DUMMYFUNCTION("""COMPUTED_VALUE"""),1.0)</f>
        <v>1</v>
      </c>
      <c r="J918" s="11">
        <f>IFERROR(__xludf.DUMMYFUNCTION("""COMPUTED_VALUE"""),0.0)</f>
        <v>0</v>
      </c>
      <c r="K918" s="11">
        <f>IFERROR(__xludf.DUMMYFUNCTION("""COMPUTED_VALUE"""),4.0)</f>
        <v>4</v>
      </c>
      <c r="L918" s="11"/>
    </row>
    <row r="919" ht="15.75" customHeight="1">
      <c r="A919" s="10" t="str">
        <f>IFERROR(__xludf.DUMMYFUNCTION("""COMPUTED_VALUE"""),"https://innovationegg.com/top-digital-marketing-agency-in-the-usa/#:~:text=Core%20Services%20%2D%20SEO%20services.%20%2D%20Paid,strategy.%20%2D%20Lead%20generation.%20%2D%20Website%20optimization.")</f>
        <v>https://innovationegg.com/top-digital-marketing-agency-in-the-usa/#:~:text=Core%20Services%20%2D%20SEO%20services.%20%2D%20Paid,strategy.%20%2D%20Lead%20generation.%20%2D%20Website%20optimization.</v>
      </c>
      <c r="B919" s="11" t="str">
        <f>IFERROR(__xludf.DUMMYFUNCTION("""COMPUTED_VALUE"""),"Top 8 Digital Marketing Agencies in the USA (2026)")</f>
        <v>Top 8 Digital Marketing Agencies in the USA (2026)</v>
      </c>
      <c r="C919" s="10" t="str">
        <f>IFERROR(__xludf.DUMMYFUNCTION("""COMPUTED_VALUE"""),"innovationegg.com")</f>
        <v>innovationegg.com</v>
      </c>
      <c r="D919" s="11" t="str">
        <f>IFERROR(__xludf.DUMMYFUNCTION("""COMPUTED_VALUE"""),"LISTICLE")</f>
        <v>LISTICLE</v>
      </c>
      <c r="E919" s="11" t="str">
        <f>IFERROR(__xludf.DUMMYFUNCTION("""COMPUTED_VALUE"""),"CORPORATE")</f>
        <v>CORPORATE</v>
      </c>
      <c r="F919" s="11" t="str">
        <f>IFERROR(__xludf.DUMMYFUNCTION("""COMPUTED_VALUE"""),"Listicle")</f>
        <v>Listicle</v>
      </c>
      <c r="G919" s="11" t="b">
        <f>IFERROR(__xludf.DUMMYFUNCTION("""COMPUTED_VALUE"""),FALSE)</f>
        <v>0</v>
      </c>
      <c r="H919" s="11" t="str">
        <f>IFERROR(__xludf.DUMMYFUNCTION("""COMPUTED_VALUE"""),"WebFX, SmartSites, KlientBoost, Directive, Thrive Internet Marketing Agency")</f>
        <v>WebFX, SmartSites, KlientBoost, Directive, Thrive Internet Marketing Agency</v>
      </c>
      <c r="I919" s="11">
        <f>IFERROR(__xludf.DUMMYFUNCTION("""COMPUTED_VALUE"""),1.0)</f>
        <v>1</v>
      </c>
      <c r="J919" s="11">
        <f>IFERROR(__xludf.DUMMYFUNCTION("""COMPUTED_VALUE"""),0.0)</f>
        <v>0</v>
      </c>
      <c r="K919" s="11">
        <f>IFERROR(__xludf.DUMMYFUNCTION("""COMPUTED_VALUE"""),1.0)</f>
        <v>1</v>
      </c>
      <c r="L919" s="11"/>
    </row>
    <row r="920" ht="15.75" customHeight="1">
      <c r="A920" s="10" t="str">
        <f>IFERROR(__xludf.DUMMYFUNCTION("""COMPUTED_VALUE"""),"https://www.instagram.com/reel/DR4csQmDPbW/?hl=en")</f>
        <v>https://www.instagram.com/reel/DR4csQmDPbW/?hl=en</v>
      </c>
      <c r="B920" s="11" t="str">
        <f>IFERROR(__xludf.DUMMYFUNCTION("""COMPUTED_VALUE"""),"The global advertising industry is led by just 5 companies.
-
-
-
-
[Advertising, Top marketing agencies in the world, Global Advertising, What is WIPOD, WPP, IPG, Publicis Groupe, Omnicon Media Group, OMG, Dentsu, Best Advertising Agencies in the world, "&amp;"Television advertising, radio advertising, newspaper advertising, IIDE, digital marketing]
#advertising #digitalmarketing #iide")</f>
        <v>The global advertising industry is led by just 5 companies.
-
-
-
-
[Advertising, Top marketing agencies in the world, Global Advertising, What is WIPOD, WPP, IPG, Publicis Groupe, Omnicon Media Group, OMG, Dentsu, Best Advertising Agencies in the world, Television advertising, radio advertising, newspaper advertising, IIDE, digital marketing]
#advertising #digitalmarketing #iide</v>
      </c>
      <c r="C920" s="10" t="str">
        <f>IFERROR(__xludf.DUMMYFUNCTION("""COMPUTED_VALUE"""),"instagram.com")</f>
        <v>instagram.com</v>
      </c>
      <c r="D920" s="11" t="str">
        <f>IFERROR(__xludf.DUMMYFUNCTION("""COMPUTED_VALUE"""),"LISTICLE")</f>
        <v>LISTICLE</v>
      </c>
      <c r="E920" s="11" t="str">
        <f>IFERROR(__xludf.DUMMYFUNCTION("""COMPUTED_VALUE"""),"UGC")</f>
        <v>UGC</v>
      </c>
      <c r="F920" s="11" t="str">
        <f>IFERROR(__xludf.DUMMYFUNCTION("""COMPUTED_VALUE"""),"Listicle")</f>
        <v>Listicle</v>
      </c>
      <c r="G920" s="11" t="b">
        <f>IFERROR(__xludf.DUMMYFUNCTION("""COMPUTED_VALUE"""),FALSE)</f>
        <v>0</v>
      </c>
      <c r="H920" s="11" t="str">
        <f>IFERROR(__xludf.DUMMYFUNCTION("""COMPUTED_VALUE"""),"WPP, Publicis Groupe, Dentsu")</f>
        <v>WPP, Publicis Groupe, Dentsu</v>
      </c>
      <c r="I920" s="11">
        <f>IFERROR(__xludf.DUMMYFUNCTION("""COMPUTED_VALUE"""),1.0)</f>
        <v>1</v>
      </c>
      <c r="J920" s="11">
        <f>IFERROR(__xludf.DUMMYFUNCTION("""COMPUTED_VALUE"""),0.0)</f>
        <v>0</v>
      </c>
      <c r="K920" s="11">
        <f>IFERROR(__xludf.DUMMYFUNCTION("""COMPUTED_VALUE"""),1.0)</f>
        <v>1</v>
      </c>
      <c r="L920" s="11"/>
    </row>
    <row r="921" ht="15.75" customHeight="1">
      <c r="A921" s="10" t="str">
        <f>IFERROR(__xludf.DUMMYFUNCTION("""COMPUTED_VALUE"""),"https://www.intellectyx.com/ai-agent-development-companies-in-usa/")</f>
        <v>https://www.intellectyx.com/ai-agent-development-companies-in-usa/</v>
      </c>
      <c r="B921" s="11" t="str">
        <f>IFERROR(__xludf.DUMMYFUNCTION("""COMPUTED_VALUE"""),"Top AI Agent Development Companies in USA (2026)")</f>
        <v>Top AI Agent Development Companies in USA (2026)</v>
      </c>
      <c r="C921" s="10" t="str">
        <f>IFERROR(__xludf.DUMMYFUNCTION("""COMPUTED_VALUE"""),"intellectyx.com")</f>
        <v>intellectyx.com</v>
      </c>
      <c r="D921" s="11" t="str">
        <f>IFERROR(__xludf.DUMMYFUNCTION("""COMPUTED_VALUE"""),"LISTICLE")</f>
        <v>LISTICLE</v>
      </c>
      <c r="E921" s="11" t="str">
        <f>IFERROR(__xludf.DUMMYFUNCTION("""COMPUTED_VALUE"""),"UGC")</f>
        <v>UGC</v>
      </c>
      <c r="F921" s="11" t="str">
        <f>IFERROR(__xludf.DUMMYFUNCTION("""COMPUTED_VALUE"""),"Listicle")</f>
        <v>Listicle</v>
      </c>
      <c r="G921" s="11" t="b">
        <f>IFERROR(__xludf.DUMMYFUNCTION("""COMPUTED_VALUE"""),FALSE)</f>
        <v>0</v>
      </c>
      <c r="H921" s="11" t="str">
        <f>IFERROR(__xludf.DUMMYFUNCTION("""COMPUTED_VALUE"""),"IBM, Clutch, Fractal Analytics")</f>
        <v>IBM, Clutch, Fractal Analytics</v>
      </c>
      <c r="I921" s="11">
        <f>IFERROR(__xludf.DUMMYFUNCTION("""COMPUTED_VALUE"""),1.0)</f>
        <v>1</v>
      </c>
      <c r="J921" s="11">
        <f>IFERROR(__xludf.DUMMYFUNCTION("""COMPUTED_VALUE"""),0.0)</f>
        <v>0</v>
      </c>
      <c r="K921" s="11">
        <f>IFERROR(__xludf.DUMMYFUNCTION("""COMPUTED_VALUE"""),0.0)</f>
        <v>0</v>
      </c>
      <c r="L921" s="11"/>
    </row>
    <row r="922" ht="15.75" customHeight="1">
      <c r="A922" s="10" t="str">
        <f>IFERROR(__xludf.DUMMYFUNCTION("""COMPUTED_VALUE"""),"https://www.intellectyx.com/best-ai-consulting-firms/")</f>
        <v>https://www.intellectyx.com/best-ai-consulting-firms/</v>
      </c>
      <c r="B922" s="11" t="str">
        <f>IFERROR(__xludf.DUMMYFUNCTION("""COMPUTED_VALUE"""),"Best AI Consulting Firms in USA (2026 Version)")</f>
        <v>Best AI Consulting Firms in USA (2026 Version)</v>
      </c>
      <c r="C922" s="10" t="str">
        <f>IFERROR(__xludf.DUMMYFUNCTION("""COMPUTED_VALUE"""),"intellectyx.com")</f>
        <v>intellectyx.com</v>
      </c>
      <c r="D922" s="11" t="str">
        <f>IFERROR(__xludf.DUMMYFUNCTION("""COMPUTED_VALUE"""),"LISTICLE")</f>
        <v>LISTICLE</v>
      </c>
      <c r="E922" s="11" t="str">
        <f>IFERROR(__xludf.DUMMYFUNCTION("""COMPUTED_VALUE"""),"UGC")</f>
        <v>UGC</v>
      </c>
      <c r="F922" s="11" t="str">
        <f>IFERROR(__xludf.DUMMYFUNCTION("""COMPUTED_VALUE"""),"Listicle")</f>
        <v>Listicle</v>
      </c>
      <c r="G922" s="11" t="b">
        <f>IFERROR(__xludf.DUMMYFUNCTION("""COMPUTED_VALUE"""),FALSE)</f>
        <v>0</v>
      </c>
      <c r="H922" s="11" t="str">
        <f>IFERROR(__xludf.DUMMYFUNCTION("""COMPUTED_VALUE"""),"IBM, PwC, BCG")</f>
        <v>IBM, PwC, BCG</v>
      </c>
      <c r="I922" s="11">
        <f>IFERROR(__xludf.DUMMYFUNCTION("""COMPUTED_VALUE"""),1.0)</f>
        <v>1</v>
      </c>
      <c r="J922" s="11">
        <f>IFERROR(__xludf.DUMMYFUNCTION("""COMPUTED_VALUE"""),0.0)</f>
        <v>0</v>
      </c>
      <c r="K922" s="11">
        <f>IFERROR(__xludf.DUMMYFUNCTION("""COMPUTED_VALUE"""),1.0)</f>
        <v>1</v>
      </c>
      <c r="L922" s="11"/>
    </row>
    <row r="923" ht="15.75" customHeight="1">
      <c r="A923" s="10" t="str">
        <f>IFERROR(__xludf.DUMMYFUNCTION("""COMPUTED_VALUE"""),"https://invademarketing.com/best-performance-marketing-agencies-2025/#:~:text=With%20stricter%20privacy%20regulations%20and%20reduced%20third%2Dparty,Experience%20in%20your%20industry%20or%20growth%20stage.")</f>
        <v>https://invademarketing.com/best-performance-marketing-agencies-2025/#:~:text=With%20stricter%20privacy%20regulations%20and%20reduced%20third%2Dparty,Experience%20in%20your%20industry%20or%20growth%20stage.</v>
      </c>
      <c r="B923" s="11" t="str">
        <f>IFERROR(__xludf.DUMMYFUNCTION("""COMPUTED_VALUE"""),"Best Performance Marketing Agencies 2025 to Watch")</f>
        <v>Best Performance Marketing Agencies 2025 to Watch</v>
      </c>
      <c r="C923" s="10" t="str">
        <f>IFERROR(__xludf.DUMMYFUNCTION("""COMPUTED_VALUE"""),"invademarketing.com")</f>
        <v>invademarketing.com</v>
      </c>
      <c r="D923" s="11" t="str">
        <f>IFERROR(__xludf.DUMMYFUNCTION("""COMPUTED_VALUE"""),"LISTICLE")</f>
        <v>LISTICLE</v>
      </c>
      <c r="E923" s="11" t="str">
        <f>IFERROR(__xludf.DUMMYFUNCTION("""COMPUTED_VALUE"""),"CORPORATE")</f>
        <v>CORPORATE</v>
      </c>
      <c r="F923" s="11" t="str">
        <f>IFERROR(__xludf.DUMMYFUNCTION("""COMPUTED_VALUE"""),"Listicle")</f>
        <v>Listicle</v>
      </c>
      <c r="G923" s="11" t="b">
        <f>IFERROR(__xludf.DUMMYFUNCTION("""COMPUTED_VALUE"""),FALSE)</f>
        <v>0</v>
      </c>
      <c r="H923" s="11"/>
      <c r="I923" s="11">
        <f>IFERROR(__xludf.DUMMYFUNCTION("""COMPUTED_VALUE"""),1.0)</f>
        <v>1</v>
      </c>
      <c r="J923" s="11">
        <f>IFERROR(__xludf.DUMMYFUNCTION("""COMPUTED_VALUE"""),0.0)</f>
        <v>0</v>
      </c>
      <c r="K923" s="11">
        <f>IFERROR(__xludf.DUMMYFUNCTION("""COMPUTED_VALUE"""),1.0)</f>
        <v>1</v>
      </c>
      <c r="L923" s="11"/>
    </row>
    <row r="924" ht="15.75" customHeight="1">
      <c r="A924" s="10" t="str">
        <f>IFERROR(__xludf.DUMMYFUNCTION("""COMPUTED_VALUE"""),"https://investor.choicehotels.com/news/news-details/2024/Choice-Hotels-International-Engages-Top-Tier-Agencies-72andSunny-New-York-for-Creative-and-dentsu-X-for-Digital-Media-to-Continue-Taking-Its-Consumer-Marketing-to-the-Next-Level/default.aspx")</f>
        <v>https://investor.choicehotels.com/news/news-details/2024/Choice-Hotels-International-Engages-Top-Tier-Agencies-72andSunny-New-York-for-Creative-and-dentsu-X-for-Digital-Media-to-Continue-Taking-Its-Consumer-Marketing-to-the-Next-Level/default.aspx</v>
      </c>
      <c r="B924" s="11" t="str">
        <f>IFERROR(__xludf.DUMMYFUNCTION("""COMPUTED_VALUE"""),"Choice Hotels International, Inc. - Choice Hotels International Engages Top-Tier Agencies, 72andSunny New York for Creative and dentsu X for Digital Media, to Continue Taking Its Consumer Marketing to the Next Level")</f>
        <v>Choice Hotels International, Inc. - Choice Hotels International Engages Top-Tier Agencies, 72andSunny New York for Creative and dentsu X for Digital Media, to Continue Taking Its Consumer Marketing to the Next Level</v>
      </c>
      <c r="C924" s="10" t="str">
        <f>IFERROR(__xludf.DUMMYFUNCTION("""COMPUTED_VALUE"""),"choicehotels.com")</f>
        <v>choicehotels.com</v>
      </c>
      <c r="D924" s="11" t="str">
        <f>IFERROR(__xludf.DUMMYFUNCTION("""COMPUTED_VALUE"""),"ARTICLE")</f>
        <v>ARTICLE</v>
      </c>
      <c r="E924" s="11" t="str">
        <f>IFERROR(__xludf.DUMMYFUNCTION("""COMPUTED_VALUE"""),"CORPORATE")</f>
        <v>CORPORATE</v>
      </c>
      <c r="F924" s="11" t="str">
        <f>IFERROR(__xludf.DUMMYFUNCTION("""COMPUTED_VALUE"""),"Article")</f>
        <v>Article</v>
      </c>
      <c r="G924" s="11" t="b">
        <f>IFERROR(__xludf.DUMMYFUNCTION("""COMPUTED_VALUE"""),FALSE)</f>
        <v>0</v>
      </c>
      <c r="H924" s="11" t="str">
        <f>IFERROR(__xludf.DUMMYFUNCTION("""COMPUTED_VALUE"""),"72andSunny, Dentsu, Momentum")</f>
        <v>72andSunny, Dentsu, Momentum</v>
      </c>
      <c r="I924" s="11">
        <f>IFERROR(__xludf.DUMMYFUNCTION("""COMPUTED_VALUE"""),1.0)</f>
        <v>1</v>
      </c>
      <c r="J924" s="11">
        <f>IFERROR(__xludf.DUMMYFUNCTION("""COMPUTED_VALUE"""),0.0)</f>
        <v>0</v>
      </c>
      <c r="K924" s="11">
        <f>IFERROR(__xludf.DUMMYFUNCTION("""COMPUTED_VALUE"""),1.0)</f>
        <v>1</v>
      </c>
      <c r="L924" s="11"/>
    </row>
    <row r="925" ht="15.75" customHeight="1">
      <c r="A925" s="10" t="str">
        <f>IFERROR(__xludf.DUMMYFUNCTION("""COMPUTED_VALUE"""),"https://itprofiles.com/services/media-planning-and-buying/united-states")</f>
        <v>https://itprofiles.com/services/media-planning-and-buying/united-states</v>
      </c>
      <c r="B925" s="11" t="str">
        <f>IFERROR(__xludf.DUMMYFUNCTION("""COMPUTED_VALUE"""),"Top-Performing Media Planning and Buying Companies in United States Ranked by ITP Score – Jul 2026 | ITProfiles")</f>
        <v>Top-Performing Media Planning and Buying Companies in United States Ranked by ITP Score – Jul 2026 | ITProfiles</v>
      </c>
      <c r="C925" s="10" t="str">
        <f>IFERROR(__xludf.DUMMYFUNCTION("""COMPUTED_VALUE"""),"itprofiles.com")</f>
        <v>itprofiles.com</v>
      </c>
      <c r="D925" s="11" t="str">
        <f>IFERROR(__xludf.DUMMYFUNCTION("""COMPUTED_VALUE"""),"CATEGORY_PAGE")</f>
        <v>CATEGORY_PAGE</v>
      </c>
      <c r="E925" s="11" t="str">
        <f>IFERROR(__xludf.DUMMYFUNCTION("""COMPUTED_VALUE"""),"REFERENCE")</f>
        <v>REFERENCE</v>
      </c>
      <c r="F925" s="11" t="str">
        <f>IFERROR(__xludf.DUMMYFUNCTION("""COMPUTED_VALUE"""),"Category Page")</f>
        <v>Category Page</v>
      </c>
      <c r="G925" s="11" t="b">
        <f>IFERROR(__xludf.DUMMYFUNCTION("""COMPUTED_VALUE"""),FALSE)</f>
        <v>0</v>
      </c>
      <c r="H925" s="11" t="str">
        <f>IFERROR(__xludf.DUMMYFUNCTION("""COMPUTED_VALUE"""),"MuteSix, Tinuiti, GroupM, Omnicom Media Group, Dentsu, Horizon Media")</f>
        <v>MuteSix, Tinuiti, GroupM, Omnicom Media Group, Dentsu, Horizon Media</v>
      </c>
      <c r="I925" s="11">
        <f>IFERROR(__xludf.DUMMYFUNCTION("""COMPUTED_VALUE"""),1.0)</f>
        <v>1</v>
      </c>
      <c r="J925" s="11">
        <f>IFERROR(__xludf.DUMMYFUNCTION("""COMPUTED_VALUE"""),0.0)</f>
        <v>0</v>
      </c>
      <c r="K925" s="11">
        <f>IFERROR(__xludf.DUMMYFUNCTION("""COMPUTED_VALUE"""),0.0)</f>
        <v>0</v>
      </c>
      <c r="L925" s="11"/>
    </row>
    <row r="926" ht="15.75" customHeight="1">
      <c r="A926" s="10" t="str">
        <f>IFERROR(__xludf.DUMMYFUNCTION("""COMPUTED_VALUE"""),"https://itprofiles.com/services/ppc/united-states")</f>
        <v>https://itprofiles.com/services/ppc/united-states</v>
      </c>
      <c r="B926" s="11" t="str">
        <f>IFERROR(__xludf.DUMMYFUNCTION("""COMPUTED_VALUE"""),"Top PPC Companies in United States – ITP Rankings for Jul 2026 | ITProfiles")</f>
        <v>Top PPC Companies in United States – ITP Rankings for Jul 2026 | ITProfiles</v>
      </c>
      <c r="C926" s="10" t="str">
        <f>IFERROR(__xludf.DUMMYFUNCTION("""COMPUTED_VALUE"""),"itprofiles.com")</f>
        <v>itprofiles.com</v>
      </c>
      <c r="D926" s="11" t="str">
        <f>IFERROR(__xludf.DUMMYFUNCTION("""COMPUTED_VALUE"""),"LISTICLE")</f>
        <v>LISTICLE</v>
      </c>
      <c r="E926" s="11" t="str">
        <f>IFERROR(__xludf.DUMMYFUNCTION("""COMPUTED_VALUE"""),"REFERENCE")</f>
        <v>REFERENCE</v>
      </c>
      <c r="F926" s="11" t="str">
        <f>IFERROR(__xludf.DUMMYFUNCTION("""COMPUTED_VALUE"""),"Listicle")</f>
        <v>Listicle</v>
      </c>
      <c r="G926" s="11" t="b">
        <f>IFERROR(__xludf.DUMMYFUNCTION("""COMPUTED_VALUE"""),FALSE)</f>
        <v>0</v>
      </c>
      <c r="H926" s="11" t="str">
        <f>IFERROR(__xludf.DUMMYFUNCTION("""COMPUTED_VALUE"""),"Momentum, Measured, Clutch, Thrive Internet Marketing Agency, Wpromote, Marcel Digital, Tinuiti, Seer Interactive")</f>
        <v>Momentum, Measured, Clutch, Thrive Internet Marketing Agency, Wpromote, Marcel Digital, Tinuiti, Seer Interactive</v>
      </c>
      <c r="I926" s="11">
        <f>IFERROR(__xludf.DUMMYFUNCTION("""COMPUTED_VALUE"""),1.0)</f>
        <v>1</v>
      </c>
      <c r="J926" s="11">
        <f>IFERROR(__xludf.DUMMYFUNCTION("""COMPUTED_VALUE"""),0.0)</f>
        <v>0</v>
      </c>
      <c r="K926" s="11">
        <f>IFERROR(__xludf.DUMMYFUNCTION("""COMPUTED_VALUE"""),0.0)</f>
        <v>0</v>
      </c>
      <c r="L926" s="11"/>
    </row>
    <row r="927" ht="15.75" customHeight="1">
      <c r="A927" s="10" t="str">
        <f>IFERROR(__xludf.DUMMYFUNCTION("""COMPUTED_VALUE"""),"https://www.jellyfishtechnologies.com/top-digital-transformation-companies/")</f>
        <v>https://www.jellyfishtechnologies.com/top-digital-transformation-companies/</v>
      </c>
      <c r="B927" s="11" t="str">
        <f>IFERROR(__xludf.DUMMYFUNCTION("""COMPUTED_VALUE"""),"Top 10 Digital Transformation Companies &amp;amp; Consulting Firms")</f>
        <v>Top 10 Digital Transformation Companies &amp;amp; Consulting Firms</v>
      </c>
      <c r="C927" s="10" t="str">
        <f>IFERROR(__xludf.DUMMYFUNCTION("""COMPUTED_VALUE"""),"jellyfishtechnologies.com")</f>
        <v>jellyfishtechnologies.com</v>
      </c>
      <c r="D927" s="11" t="str">
        <f>IFERROR(__xludf.DUMMYFUNCTION("""COMPUTED_VALUE"""),"LISTICLE")</f>
        <v>LISTICLE</v>
      </c>
      <c r="E927" s="11" t="str">
        <f>IFERROR(__xludf.DUMMYFUNCTION("""COMPUTED_VALUE"""),"CORPORATE")</f>
        <v>CORPORATE</v>
      </c>
      <c r="F927" s="11" t="str">
        <f>IFERROR(__xludf.DUMMYFUNCTION("""COMPUTED_VALUE"""),"Listicle")</f>
        <v>Listicle</v>
      </c>
      <c r="G927" s="11" t="b">
        <f>IFERROR(__xludf.DUMMYFUNCTION("""COMPUTED_VALUE"""),FALSE)</f>
        <v>0</v>
      </c>
      <c r="H927" s="11" t="str">
        <f>IFERROR(__xludf.DUMMYFUNCTION("""COMPUTED_VALUE"""),"McKinsey, Huge, Jellyfish, Clutch, Deloitte Digital, Anomaly, IBM")</f>
        <v>McKinsey, Huge, Jellyfish, Clutch, Deloitte Digital, Anomaly, IBM</v>
      </c>
      <c r="I927" s="11">
        <f>IFERROR(__xludf.DUMMYFUNCTION("""COMPUTED_VALUE"""),1.0)</f>
        <v>1</v>
      </c>
      <c r="J927" s="11">
        <f>IFERROR(__xludf.DUMMYFUNCTION("""COMPUTED_VALUE"""),0.0)</f>
        <v>0</v>
      </c>
      <c r="K927" s="11">
        <f>IFERROR(__xludf.DUMMYFUNCTION("""COMPUTED_VALUE"""),1.0)</f>
        <v>1</v>
      </c>
      <c r="L927" s="11"/>
    </row>
    <row r="928" ht="15.75" customHeight="1">
      <c r="A928" s="10" t="str">
        <f>IFERROR(__xludf.DUMMYFUNCTION("""COMPUTED_VALUE"""),"https://kanerika.com/blogs/ai-marketing-automation-tools/")</f>
        <v>https://kanerika.com/blogs/ai-marketing-automation-tools/</v>
      </c>
      <c r="B928" s="11" t="str">
        <f>IFERROR(__xludf.DUMMYFUNCTION("""COMPUTED_VALUE"""),"Best AI Marketing Automation Tools in 2026: Reviewed")</f>
        <v>Best AI Marketing Automation Tools in 2026: Reviewed</v>
      </c>
      <c r="C928" s="10" t="str">
        <f>IFERROR(__xludf.DUMMYFUNCTION("""COMPUTED_VALUE"""),"kanerika.com")</f>
        <v>kanerika.com</v>
      </c>
      <c r="D928" s="11" t="str">
        <f>IFERROR(__xludf.DUMMYFUNCTION("""COMPUTED_VALUE"""),"LISTICLE")</f>
        <v>LISTICLE</v>
      </c>
      <c r="E928" s="11" t="str">
        <f>IFERROR(__xludf.DUMMYFUNCTION("""COMPUTED_VALUE"""),"CORPORATE")</f>
        <v>CORPORATE</v>
      </c>
      <c r="F928" s="11" t="str">
        <f>IFERROR(__xludf.DUMMYFUNCTION("""COMPUTED_VALUE"""),"Listicle")</f>
        <v>Listicle</v>
      </c>
      <c r="G928" s="11" t="b">
        <f>IFERROR(__xludf.DUMMYFUNCTION("""COMPUTED_VALUE"""),FALSE)</f>
        <v>0</v>
      </c>
      <c r="H928" s="11" t="str">
        <f>IFERROR(__xludf.DUMMYFUNCTION("""COMPUTED_VALUE"""),"Clutch")</f>
        <v>Clutch</v>
      </c>
      <c r="I928" s="11">
        <f>IFERROR(__xludf.DUMMYFUNCTION("""COMPUTED_VALUE"""),1.0)</f>
        <v>1</v>
      </c>
      <c r="J928" s="11">
        <f>IFERROR(__xludf.DUMMYFUNCTION("""COMPUTED_VALUE"""),0.0)</f>
        <v>0</v>
      </c>
      <c r="K928" s="11">
        <f>IFERROR(__xludf.DUMMYFUNCTION("""COMPUTED_VALUE"""),1.0)</f>
        <v>1</v>
      </c>
      <c r="L928" s="11"/>
    </row>
    <row r="929" ht="15.75" customHeight="1">
      <c r="A929" s="10" t="str">
        <f>IFERROR(__xludf.DUMMYFUNCTION("""COMPUTED_VALUE"""),"https://keends.com/blog/top-marketing-mix-modeling-companies/")</f>
        <v>https://keends.com/blog/top-marketing-mix-modeling-companies/</v>
      </c>
      <c r="B929" s="11" t="str">
        <f>IFERROR(__xludf.DUMMYFUNCTION("""COMPUTED_VALUE"""),"Top marketing mix modeling companies compared | Keen")</f>
        <v>Top marketing mix modeling companies compared | Keen</v>
      </c>
      <c r="C929" s="10" t="str">
        <f>IFERROR(__xludf.DUMMYFUNCTION("""COMPUTED_VALUE"""),"keends.com")</f>
        <v>keends.com</v>
      </c>
      <c r="D929" s="11" t="str">
        <f>IFERROR(__xludf.DUMMYFUNCTION("""COMPUTED_VALUE"""),"LISTICLE")</f>
        <v>LISTICLE</v>
      </c>
      <c r="E929" s="11" t="str">
        <f>IFERROR(__xludf.DUMMYFUNCTION("""COMPUTED_VALUE"""),"CORPORATE")</f>
        <v>CORPORATE</v>
      </c>
      <c r="F929" s="11" t="str">
        <f>IFERROR(__xludf.DUMMYFUNCTION("""COMPUTED_VALUE"""),"Listicle")</f>
        <v>Listicle</v>
      </c>
      <c r="G929" s="11" t="b">
        <f>IFERROR(__xludf.DUMMYFUNCTION("""COMPUTED_VALUE"""),FALSE)</f>
        <v>0</v>
      </c>
      <c r="H929" s="11" t="str">
        <f>IFERROR(__xludf.DUMMYFUNCTION("""COMPUTED_VALUE"""),"Rockerbox, Recast, Measured, Nielsen, Neustar, Analytic Partners, Gain Theory, WPP, BCG, TransUnion")</f>
        <v>Rockerbox, Recast, Measured, Nielsen, Neustar, Analytic Partners, Gain Theory, WPP, BCG, TransUnion</v>
      </c>
      <c r="I929" s="11">
        <f>IFERROR(__xludf.DUMMYFUNCTION("""COMPUTED_VALUE"""),1.0)</f>
        <v>1</v>
      </c>
      <c r="J929" s="11">
        <f>IFERROR(__xludf.DUMMYFUNCTION("""COMPUTED_VALUE"""),0.0)</f>
        <v>0</v>
      </c>
      <c r="K929" s="11">
        <f>IFERROR(__xludf.DUMMYFUNCTION("""COMPUTED_VALUE"""),1.0)</f>
        <v>1</v>
      </c>
      <c r="L929" s="11"/>
    </row>
    <row r="930" ht="15.75" customHeight="1">
      <c r="A930" s="10" t="str">
        <f>IFERROR(__xludf.DUMMYFUNCTION("""COMPUTED_VALUE"""),"https://www.konstructdigital.com/seo/best-geo-companies/")</f>
        <v>https://www.konstructdigital.com/seo/best-geo-companies/</v>
      </c>
      <c r="B930" s="11" t="str">
        <f>IFERROR(__xludf.DUMMYFUNCTION("""COMPUTED_VALUE"""),"The Best GEO Companies")</f>
        <v>The Best GEO Companies</v>
      </c>
      <c r="C930" s="10" t="str">
        <f>IFERROR(__xludf.DUMMYFUNCTION("""COMPUTED_VALUE"""),"konstructdigital.com")</f>
        <v>konstructdigital.com</v>
      </c>
      <c r="D930" s="11" t="str">
        <f>IFERROR(__xludf.DUMMYFUNCTION("""COMPUTED_VALUE"""),"LISTICLE")</f>
        <v>LISTICLE</v>
      </c>
      <c r="E930" s="11" t="str">
        <f>IFERROR(__xludf.DUMMYFUNCTION("""COMPUTED_VALUE"""),"CORPORATE")</f>
        <v>CORPORATE</v>
      </c>
      <c r="F930" s="11" t="str">
        <f>IFERROR(__xludf.DUMMYFUNCTION("""COMPUTED_VALUE"""),"Listicle")</f>
        <v>Listicle</v>
      </c>
      <c r="G930" s="11" t="b">
        <f>IFERROR(__xludf.DUMMYFUNCTION("""COMPUTED_VALUE"""),FALSE)</f>
        <v>0</v>
      </c>
      <c r="H930" s="11" t="str">
        <f>IFERROR(__xludf.DUMMYFUNCTION("""COMPUTED_VALUE"""),"WebFX, First Page Sage, Intero Digital, iPullRank, Seer Interactive")</f>
        <v>WebFX, First Page Sage, Intero Digital, iPullRank, Seer Interactive</v>
      </c>
      <c r="I930" s="11">
        <f>IFERROR(__xludf.DUMMYFUNCTION("""COMPUTED_VALUE"""),1.0)</f>
        <v>1</v>
      </c>
      <c r="J930" s="11">
        <f>IFERROR(__xludf.DUMMYFUNCTION("""COMPUTED_VALUE"""),0.0)</f>
        <v>0</v>
      </c>
      <c r="K930" s="11">
        <f>IFERROR(__xludf.DUMMYFUNCTION("""COMPUTED_VALUE"""),0.0)</f>
        <v>0</v>
      </c>
      <c r="L930" s="11"/>
    </row>
    <row r="931" ht="15.75" customHeight="1">
      <c r="A931" s="10" t="str">
        <f>IFERROR(__xludf.DUMMYFUNCTION("""COMPUTED_VALUE"""),"https://lasersightdigital.com/blog/best-amazon-agency-top-picks")</f>
        <v>https://lasersightdigital.com/blog/best-amazon-agency-top-picks</v>
      </c>
      <c r="B931" s="11" t="str">
        <f>IFERROR(__xludf.DUMMYFUNCTION("""COMPUTED_VALUE"""),"Best Amazon Agency in 2026: Top 10 Picks Ranked — Laser Sight Digital")</f>
        <v>Best Amazon Agency in 2026: Top 10 Picks Ranked — Laser Sight Digital</v>
      </c>
      <c r="C931" s="10" t="str">
        <f>IFERROR(__xludf.DUMMYFUNCTION("""COMPUTED_VALUE"""),"lasersightdigital.com")</f>
        <v>lasersightdigital.com</v>
      </c>
      <c r="D931" s="11" t="str">
        <f>IFERROR(__xludf.DUMMYFUNCTION("""COMPUTED_VALUE"""),"LISTICLE")</f>
        <v>LISTICLE</v>
      </c>
      <c r="E931" s="11" t="str">
        <f>IFERROR(__xludf.DUMMYFUNCTION("""COMPUTED_VALUE"""),"CORPORATE")</f>
        <v>CORPORATE</v>
      </c>
      <c r="F931" s="11" t="str">
        <f>IFERROR(__xludf.DUMMYFUNCTION("""COMPUTED_VALUE"""),"Listicle")</f>
        <v>Listicle</v>
      </c>
      <c r="G931" s="11" t="b">
        <f>IFERROR(__xludf.DUMMYFUNCTION("""COMPUTED_VALUE"""),FALSE)</f>
        <v>0</v>
      </c>
      <c r="H931" s="11" t="str">
        <f>IFERROR(__xludf.DUMMYFUNCTION("""COMPUTED_VALUE"""),"Clutch, Tinuiti, Ignite Visibility")</f>
        <v>Clutch, Tinuiti, Ignite Visibility</v>
      </c>
      <c r="I931" s="11">
        <f>IFERROR(__xludf.DUMMYFUNCTION("""COMPUTED_VALUE"""),1.0)</f>
        <v>1</v>
      </c>
      <c r="J931" s="11">
        <f>IFERROR(__xludf.DUMMYFUNCTION("""COMPUTED_VALUE"""),0.0)</f>
        <v>0</v>
      </c>
      <c r="K931" s="11">
        <f>IFERROR(__xludf.DUMMYFUNCTION("""COMPUTED_VALUE"""),1.0)</f>
        <v>1</v>
      </c>
      <c r="L931" s="11"/>
    </row>
    <row r="932" ht="15.75" customHeight="1">
      <c r="A932" s="10" t="str">
        <f>IFERROR(__xludf.DUMMYFUNCTION("""COMPUTED_VALUE"""),"https://lawrencebros.com/top-7-marketing-attribution-software-platforms-for-2026/")</f>
        <v>https://lawrencebros.com/top-7-marketing-attribution-software-platforms-for-2026/</v>
      </c>
      <c r="B932" s="11" t="str">
        <f>IFERROR(__xludf.DUMMYFUNCTION("""COMPUTED_VALUE"""),"Top 7 Marketing Attribution Software Platforms for 2026 - Lawrence Bros")</f>
        <v>Top 7 Marketing Attribution Software Platforms for 2026 - Lawrence Bros</v>
      </c>
      <c r="C932" s="10" t="str">
        <f>IFERROR(__xludf.DUMMYFUNCTION("""COMPUTED_VALUE"""),"lawrencebros.com")</f>
        <v>lawrencebros.com</v>
      </c>
      <c r="D932" s="11" t="str">
        <f>IFERROR(__xludf.DUMMYFUNCTION("""COMPUTED_VALUE"""),"OTHER")</f>
        <v>OTHER</v>
      </c>
      <c r="E932" s="11" t="str">
        <f>IFERROR(__xludf.DUMMYFUNCTION("""COMPUTED_VALUE"""),"CORPORATE")</f>
        <v>CORPORATE</v>
      </c>
      <c r="F932" s="11" t="str">
        <f>IFERROR(__xludf.DUMMYFUNCTION("""COMPUTED_VALUE"""),"Other")</f>
        <v>Other</v>
      </c>
      <c r="G932" s="11" t="b">
        <f>IFERROR(__xludf.DUMMYFUNCTION("""COMPUTED_VALUE"""),FALSE)</f>
        <v>0</v>
      </c>
      <c r="H932" s="11" t="str">
        <f>IFERROR(__xludf.DUMMYFUNCTION("""COMPUTED_VALUE"""),"HockeyStack, Triple Whale, Northbeam, Ruler Analytics")</f>
        <v>HockeyStack, Triple Whale, Northbeam, Ruler Analytics</v>
      </c>
      <c r="I932" s="11">
        <f>IFERROR(__xludf.DUMMYFUNCTION("""COMPUTED_VALUE"""),1.0)</f>
        <v>1</v>
      </c>
      <c r="J932" s="11">
        <f>IFERROR(__xludf.DUMMYFUNCTION("""COMPUTED_VALUE"""),0.0)</f>
        <v>0</v>
      </c>
      <c r="K932" s="11">
        <f>IFERROR(__xludf.DUMMYFUNCTION("""COMPUTED_VALUE"""),4.0)</f>
        <v>4</v>
      </c>
      <c r="L932" s="11"/>
    </row>
    <row r="933" ht="15.75" customHeight="1">
      <c r="A933" s="10" t="str">
        <f>IFERROR(__xludf.DUMMYFUNCTION("""COMPUTED_VALUE"""),"https://learn.g2.com/best-ppc-agencies")</f>
        <v>https://learn.g2.com/best-ppc-agencies</v>
      </c>
      <c r="B933" s="11" t="str">
        <f>IFERROR(__xludf.DUMMYFUNCTION("""COMPUTED_VALUE"""),"7 Best PPC Agencies for 2026: My Top Picks")</f>
        <v>7 Best PPC Agencies for 2026: My Top Picks</v>
      </c>
      <c r="C933" s="10" t="str">
        <f>IFERROR(__xludf.DUMMYFUNCTION("""COMPUTED_VALUE"""),"g2.com")</f>
        <v>g2.com</v>
      </c>
      <c r="D933" s="11" t="str">
        <f>IFERROR(__xludf.DUMMYFUNCTION("""COMPUTED_VALUE"""),"LISTICLE")</f>
        <v>LISTICLE</v>
      </c>
      <c r="E933" s="11" t="str">
        <f>IFERROR(__xludf.DUMMYFUNCTION("""COMPUTED_VALUE"""),"UGC")</f>
        <v>UGC</v>
      </c>
      <c r="F933" s="11" t="str">
        <f>IFERROR(__xludf.DUMMYFUNCTION("""COMPUTED_VALUE"""),"Listicle")</f>
        <v>Listicle</v>
      </c>
      <c r="G933" s="11" t="b">
        <f>IFERROR(__xludf.DUMMYFUNCTION("""COMPUTED_VALUE"""),FALSE)</f>
        <v>0</v>
      </c>
      <c r="H933" s="11" t="str">
        <f>IFERROR(__xludf.DUMMYFUNCTION("""COMPUTED_VALUE"""),"SmartSites, WebFX, KlientBoost, Momentum")</f>
        <v>SmartSites, WebFX, KlientBoost, Momentum</v>
      </c>
      <c r="I933" s="11">
        <f>IFERROR(__xludf.DUMMYFUNCTION("""COMPUTED_VALUE"""),1.0)</f>
        <v>1</v>
      </c>
      <c r="J933" s="11">
        <f>IFERROR(__xludf.DUMMYFUNCTION("""COMPUTED_VALUE"""),0.0)</f>
        <v>0</v>
      </c>
      <c r="K933" s="11">
        <f>IFERROR(__xludf.DUMMYFUNCTION("""COMPUTED_VALUE"""),1.0)</f>
        <v>1</v>
      </c>
      <c r="L933" s="11"/>
    </row>
    <row r="934" ht="15.75" customHeight="1">
      <c r="A934" s="10" t="str">
        <f>IFERROR(__xludf.DUMMYFUNCTION("""COMPUTED_VALUE"""),"https://lengreo.com/ai-marketing-consulting-companies/")</f>
        <v>https://lengreo.com/ai-marketing-consulting-companies/</v>
      </c>
      <c r="B934" s="11" t="str">
        <f>IFERROR(__xludf.DUMMYFUNCTION("""COMPUTED_VALUE"""),"16 Best AI Marketing Consulting Companies (2026)")</f>
        <v>16 Best AI Marketing Consulting Companies (2026)</v>
      </c>
      <c r="C934" s="10" t="str">
        <f>IFERROR(__xludf.DUMMYFUNCTION("""COMPUTED_VALUE"""),"lengreo.com")</f>
        <v>lengreo.com</v>
      </c>
      <c r="D934" s="11" t="str">
        <f>IFERROR(__xludf.DUMMYFUNCTION("""COMPUTED_VALUE"""),"LISTICLE")</f>
        <v>LISTICLE</v>
      </c>
      <c r="E934" s="11" t="str">
        <f>IFERROR(__xludf.DUMMYFUNCTION("""COMPUTED_VALUE"""),"CORPORATE")</f>
        <v>CORPORATE</v>
      </c>
      <c r="F934" s="11" t="str">
        <f>IFERROR(__xludf.DUMMYFUNCTION("""COMPUTED_VALUE"""),"Listicle")</f>
        <v>Listicle</v>
      </c>
      <c r="G934" s="11" t="b">
        <f>IFERROR(__xludf.DUMMYFUNCTION("""COMPUTED_VALUE"""),FALSE)</f>
        <v>0</v>
      </c>
      <c r="H934" s="11" t="str">
        <f>IFERROR(__xludf.DUMMYFUNCTION("""COMPUTED_VALUE"""),"Clutch, NinjaPromo, Bain &amp; Company, McKinsey, QuantumBlack, PwC, BCG, Momentum")</f>
        <v>Clutch, NinjaPromo, Bain &amp; Company, McKinsey, QuantumBlack, PwC, BCG, Momentum</v>
      </c>
      <c r="I934" s="11">
        <f>IFERROR(__xludf.DUMMYFUNCTION("""COMPUTED_VALUE"""),1.0)</f>
        <v>1</v>
      </c>
      <c r="J934" s="11">
        <f>IFERROR(__xludf.DUMMYFUNCTION("""COMPUTED_VALUE"""),0.0)</f>
        <v>0</v>
      </c>
      <c r="K934" s="11">
        <f>IFERROR(__xludf.DUMMYFUNCTION("""COMPUTED_VALUE"""),0.0)</f>
        <v>0</v>
      </c>
      <c r="L934" s="11"/>
    </row>
    <row r="935" ht="15.75" customHeight="1">
      <c r="A935" s="10" t="str">
        <f>IFERROR(__xludf.DUMMYFUNCTION("""COMPUTED_VALUE"""),"https://lengreo.com/top-15-aeo-agencies-for-u-s-companies-in-2025/")</f>
        <v>https://lengreo.com/top-15-aeo-agencies-for-u-s-companies-in-2025/</v>
      </c>
      <c r="B935" s="11" t="str">
        <f>IFERROR(__xludf.DUMMYFUNCTION("""COMPUTED_VALUE"""),"15 Best AEO Companies for U.S. (2026)")</f>
        <v>15 Best AEO Companies for U.S. (2026)</v>
      </c>
      <c r="C935" s="10" t="str">
        <f>IFERROR(__xludf.DUMMYFUNCTION("""COMPUTED_VALUE"""),"lengreo.com")</f>
        <v>lengreo.com</v>
      </c>
      <c r="D935" s="11" t="str">
        <f>IFERROR(__xludf.DUMMYFUNCTION("""COMPUTED_VALUE"""),"LISTICLE")</f>
        <v>LISTICLE</v>
      </c>
      <c r="E935" s="11" t="str">
        <f>IFERROR(__xludf.DUMMYFUNCTION("""COMPUTED_VALUE"""),"CORPORATE")</f>
        <v>CORPORATE</v>
      </c>
      <c r="F935" s="11" t="str">
        <f>IFERROR(__xludf.DUMMYFUNCTION("""COMPUTED_VALUE"""),"Listicle")</f>
        <v>Listicle</v>
      </c>
      <c r="G935" s="11" t="b">
        <f>IFERROR(__xludf.DUMMYFUNCTION("""COMPUTED_VALUE"""),FALSE)</f>
        <v>0</v>
      </c>
      <c r="H935" s="11" t="str">
        <f>IFERROR(__xludf.DUMMYFUNCTION("""COMPUTED_VALUE"""),"Marcel Digital, NoGood, Avenue Z, WebFX, Clutch")</f>
        <v>Marcel Digital, NoGood, Avenue Z, WebFX, Clutch</v>
      </c>
      <c r="I935" s="11">
        <f>IFERROR(__xludf.DUMMYFUNCTION("""COMPUTED_VALUE"""),1.0)</f>
        <v>1</v>
      </c>
      <c r="J935" s="11">
        <f>IFERROR(__xludf.DUMMYFUNCTION("""COMPUTED_VALUE"""),0.0)</f>
        <v>0</v>
      </c>
      <c r="K935" s="11">
        <f>IFERROR(__xludf.DUMMYFUNCTION("""COMPUTED_VALUE"""),1.0)</f>
        <v>1</v>
      </c>
      <c r="L935" s="11"/>
    </row>
    <row r="936" ht="15.75" customHeight="1">
      <c r="A936" s="10" t="str">
        <f>IFERROR(__xludf.DUMMYFUNCTION("""COMPUTED_VALUE"""),"https://lineardesign.com/blog/pay-per-click-advertising-company/")</f>
        <v>https://lineardesign.com/blog/pay-per-click-advertising-company/</v>
      </c>
      <c r="B936" s="11" t="str">
        <f>IFERROR(__xludf.DUMMYFUNCTION("""COMPUTED_VALUE"""),"Pay Per Click Advertising Company: 10 Best Powerful Picks 2025")</f>
        <v>Pay Per Click Advertising Company: 10 Best Powerful Picks 2025</v>
      </c>
      <c r="C936" s="10" t="str">
        <f>IFERROR(__xludf.DUMMYFUNCTION("""COMPUTED_VALUE"""),"lineardesign.com")</f>
        <v>lineardesign.com</v>
      </c>
      <c r="D936" s="11" t="str">
        <f>IFERROR(__xludf.DUMMYFUNCTION("""COMPUTED_VALUE"""),"ARTICLE")</f>
        <v>ARTICLE</v>
      </c>
      <c r="E936" s="11" t="str">
        <f>IFERROR(__xludf.DUMMYFUNCTION("""COMPUTED_VALUE"""),"CORPORATE")</f>
        <v>CORPORATE</v>
      </c>
      <c r="F936" s="11" t="str">
        <f>IFERROR(__xludf.DUMMYFUNCTION("""COMPUTED_VALUE"""),"Article")</f>
        <v>Article</v>
      </c>
      <c r="G936" s="11" t="b">
        <f>IFERROR(__xludf.DUMMYFUNCTION("""COMPUTED_VALUE"""),FALSE)</f>
        <v>0</v>
      </c>
      <c r="H936" s="11"/>
      <c r="I936" s="11">
        <f>IFERROR(__xludf.DUMMYFUNCTION("""COMPUTED_VALUE"""),1.0)</f>
        <v>1</v>
      </c>
      <c r="J936" s="11">
        <f>IFERROR(__xludf.DUMMYFUNCTION("""COMPUTED_VALUE"""),0.0)</f>
        <v>0</v>
      </c>
      <c r="K936" s="11">
        <f>IFERROR(__xludf.DUMMYFUNCTION("""COMPUTED_VALUE"""),1.0)</f>
        <v>1</v>
      </c>
      <c r="L936" s="11"/>
    </row>
    <row r="937" ht="15.75" customHeight="1">
      <c r="A937" s="10" t="str">
        <f>IFERROR(__xludf.DUMMYFUNCTION("""COMPUTED_VALUE"""),"https://www.linkedin.com/posts/clutch-co_top-15-ppc-agencies-clutch-global-fall-2025-activity-7421548745084932096-DYA_")</f>
        <v>https://www.linkedin.com/posts/clutch-co_top-15-ppc-agencies-clutch-global-fall-2025-activity-7421548745084932096-DYA_</v>
      </c>
      <c r="B937" s="11" t="str">
        <f>IFERROR(__xludf.DUMMYFUNCTION("""COMPUTED_VALUE"""),"Top 15 PPC Agencies: Clutch Global Fall 2025 | Clutch | 10 comments")</f>
        <v>Top 15 PPC Agencies: Clutch Global Fall 2025 | Clutch | 10 comments</v>
      </c>
      <c r="C937" s="10" t="str">
        <f>IFERROR(__xludf.DUMMYFUNCTION("""COMPUTED_VALUE"""),"linkedin.com")</f>
        <v>linkedin.com</v>
      </c>
      <c r="D937" s="11" t="str">
        <f>IFERROR(__xludf.DUMMYFUNCTION("""COMPUTED_VALUE"""),"DISCUSSION")</f>
        <v>DISCUSSION</v>
      </c>
      <c r="E937" s="11" t="str">
        <f>IFERROR(__xludf.DUMMYFUNCTION("""COMPUTED_VALUE"""),"UGC")</f>
        <v>UGC</v>
      </c>
      <c r="F937" s="11" t="str">
        <f>IFERROR(__xludf.DUMMYFUNCTION("""COMPUTED_VALUE"""),"Discussion")</f>
        <v>Discussion</v>
      </c>
      <c r="G937" s="11" t="b">
        <f>IFERROR(__xludf.DUMMYFUNCTION("""COMPUTED_VALUE"""),FALSE)</f>
        <v>0</v>
      </c>
      <c r="H937" s="11" t="str">
        <f>IFERROR(__xludf.DUMMYFUNCTION("""COMPUTED_VALUE"""),"Clutch, KlientBoost, Disruptive Advertising, AdVenture Media, HawkSEM, Elit-Web, SmartSites")</f>
        <v>Clutch, KlientBoost, Disruptive Advertising, AdVenture Media, HawkSEM, Elit-Web, SmartSites</v>
      </c>
      <c r="I937" s="11">
        <f>IFERROR(__xludf.DUMMYFUNCTION("""COMPUTED_VALUE"""),1.0)</f>
        <v>1</v>
      </c>
      <c r="J937" s="11">
        <f>IFERROR(__xludf.DUMMYFUNCTION("""COMPUTED_VALUE"""),0.0)</f>
        <v>0</v>
      </c>
      <c r="K937" s="11">
        <f>IFERROR(__xludf.DUMMYFUNCTION("""COMPUTED_VALUE"""),0.0)</f>
        <v>0</v>
      </c>
      <c r="L937" s="11"/>
    </row>
    <row r="938" ht="15.75" customHeight="1">
      <c r="A938" s="10" t="str">
        <f>IFERROR(__xludf.DUMMYFUNCTION("""COMPUTED_VALUE"""),"https://www.linkedin.com/pulse/10-best-answer-engine-optimization-aeo-agencies-2026-nick-malekos-tkzqf")</f>
        <v>https://www.linkedin.com/pulse/10-best-answer-engine-optimization-aeo-agencies-2026-nick-malekos-tkzqf</v>
      </c>
      <c r="B938" s="11" t="str">
        <f>IFERROR(__xludf.DUMMYFUNCTION("""COMPUTED_VALUE"""),"12 Best Answer Engine Optimization (AEO) Agencies in 2026")</f>
        <v>12 Best Answer Engine Optimization (AEO) Agencies in 2026</v>
      </c>
      <c r="C938" s="10" t="str">
        <f>IFERROR(__xludf.DUMMYFUNCTION("""COMPUTED_VALUE"""),"linkedin.com")</f>
        <v>linkedin.com</v>
      </c>
      <c r="D938" s="11" t="str">
        <f>IFERROR(__xludf.DUMMYFUNCTION("""COMPUTED_VALUE"""),"LISTICLE")</f>
        <v>LISTICLE</v>
      </c>
      <c r="E938" s="11" t="str">
        <f>IFERROR(__xludf.DUMMYFUNCTION("""COMPUTED_VALUE"""),"UGC")</f>
        <v>UGC</v>
      </c>
      <c r="F938" s="11" t="str">
        <f>IFERROR(__xludf.DUMMYFUNCTION("""COMPUTED_VALUE"""),"Listicle")</f>
        <v>Listicle</v>
      </c>
      <c r="G938" s="11" t="b">
        <f>IFERROR(__xludf.DUMMYFUNCTION("""COMPUTED_VALUE"""),FALSE)</f>
        <v>0</v>
      </c>
      <c r="H938" s="11" t="str">
        <f>IFERROR(__xludf.DUMMYFUNCTION("""COMPUTED_VALUE"""),"NoGood, iPullRank, Victorious, Clutch, Ignite Visibility, First Page Sage, Graphite")</f>
        <v>NoGood, iPullRank, Victorious, Clutch, Ignite Visibility, First Page Sage, Graphite</v>
      </c>
      <c r="I938" s="11">
        <f>IFERROR(__xludf.DUMMYFUNCTION("""COMPUTED_VALUE"""),1.0)</f>
        <v>1</v>
      </c>
      <c r="J938" s="11">
        <f>IFERROR(__xludf.DUMMYFUNCTION("""COMPUTED_VALUE"""),0.0)</f>
        <v>0</v>
      </c>
      <c r="K938" s="11">
        <f>IFERROR(__xludf.DUMMYFUNCTION("""COMPUTED_VALUE"""),0.0)</f>
        <v>0</v>
      </c>
      <c r="L938" s="11"/>
    </row>
    <row r="939" ht="15.75" customHeight="1">
      <c r="A939" s="10" t="str">
        <f>IFERROR(__xludf.DUMMYFUNCTION("""COMPUTED_VALUE"""),"https://www.linkedin.com/pulse/30-leading-graphic-design-companies-making-global-impact-lti6f")</f>
        <v>https://www.linkedin.com/pulse/30-leading-graphic-design-companies-making-global-impact-lti6f</v>
      </c>
      <c r="B939" s="11" t="str">
        <f>IFERROR(__xludf.DUMMYFUNCTION("""COMPUTED_VALUE"""),"30 Top Graphic Design Companies Revolutionizing the Industry")</f>
        <v>30 Top Graphic Design Companies Revolutionizing the Industry</v>
      </c>
      <c r="C939" s="10" t="str">
        <f>IFERROR(__xludf.DUMMYFUNCTION("""COMPUTED_VALUE"""),"linkedin.com")</f>
        <v>linkedin.com</v>
      </c>
      <c r="D939" s="11" t="str">
        <f>IFERROR(__xludf.DUMMYFUNCTION("""COMPUTED_VALUE"""),"LISTICLE")</f>
        <v>LISTICLE</v>
      </c>
      <c r="E939" s="11" t="str">
        <f>IFERROR(__xludf.DUMMYFUNCTION("""COMPUTED_VALUE"""),"UGC")</f>
        <v>UGC</v>
      </c>
      <c r="F939" s="11" t="str">
        <f>IFERROR(__xludf.DUMMYFUNCTION("""COMPUTED_VALUE"""),"Listicle")</f>
        <v>Listicle</v>
      </c>
      <c r="G939" s="11" t="b">
        <f>IFERROR(__xludf.DUMMYFUNCTION("""COMPUTED_VALUE"""),FALSE)</f>
        <v>0</v>
      </c>
      <c r="H939" s="11" t="str">
        <f>IFERROR(__xludf.DUMMYFUNCTION("""COMPUTED_VALUE"""),"Pentagram, Wolff Olins, AKQA")</f>
        <v>Pentagram, Wolff Olins, AKQA</v>
      </c>
      <c r="I939" s="11">
        <f>IFERROR(__xludf.DUMMYFUNCTION("""COMPUTED_VALUE"""),1.0)</f>
        <v>1</v>
      </c>
      <c r="J939" s="11">
        <f>IFERROR(__xludf.DUMMYFUNCTION("""COMPUTED_VALUE"""),0.0)</f>
        <v>0</v>
      </c>
      <c r="K939" s="11">
        <f>IFERROR(__xludf.DUMMYFUNCTION("""COMPUTED_VALUE"""),1.0)</f>
        <v>1</v>
      </c>
      <c r="L939" s="11"/>
    </row>
    <row r="940" ht="15.75" customHeight="1">
      <c r="A940" s="10" t="str">
        <f>IFERROR(__xludf.DUMMYFUNCTION("""COMPUTED_VALUE"""),"https://www.linkedin.com/pulse/ai-seo-agencies-softtrix-web-solutions-zaxtc")</f>
        <v>https://www.linkedin.com/pulse/ai-seo-agencies-softtrix-web-solutions-zaxtc</v>
      </c>
      <c r="B940" s="11" t="str">
        <f>IFERROR(__xludf.DUMMYFUNCTION("""COMPUTED_VALUE"""),"Top 10 AI SEO Agencies in USA")</f>
        <v>Top 10 AI SEO Agencies in USA</v>
      </c>
      <c r="C940" s="10" t="str">
        <f>IFERROR(__xludf.DUMMYFUNCTION("""COMPUTED_VALUE"""),"linkedin.com")</f>
        <v>linkedin.com</v>
      </c>
      <c r="D940" s="11" t="str">
        <f>IFERROR(__xludf.DUMMYFUNCTION("""COMPUTED_VALUE"""),"LISTICLE")</f>
        <v>LISTICLE</v>
      </c>
      <c r="E940" s="11" t="str">
        <f>IFERROR(__xludf.DUMMYFUNCTION("""COMPUTED_VALUE"""),"UGC")</f>
        <v>UGC</v>
      </c>
      <c r="F940" s="11" t="str">
        <f>IFERROR(__xludf.DUMMYFUNCTION("""COMPUTED_VALUE"""),"Listicle")</f>
        <v>Listicle</v>
      </c>
      <c r="G940" s="11" t="b">
        <f>IFERROR(__xludf.DUMMYFUNCTION("""COMPUTED_VALUE"""),FALSE)</f>
        <v>0</v>
      </c>
      <c r="H940" s="11" t="str">
        <f>IFERROR(__xludf.DUMMYFUNCTION("""COMPUTED_VALUE"""),"Clutch, Victorious, Directive, Intero Digital, WebFX, Ignite Visibility, Thrive Internet Marketing Agency, SmartSites, iPullRank, Siege Media")</f>
        <v>Clutch, Victorious, Directive, Intero Digital, WebFX, Ignite Visibility, Thrive Internet Marketing Agency, SmartSites, iPullRank, Siege Media</v>
      </c>
      <c r="I940" s="11">
        <f>IFERROR(__xludf.DUMMYFUNCTION("""COMPUTED_VALUE"""),1.0)</f>
        <v>1</v>
      </c>
      <c r="J940" s="11">
        <f>IFERROR(__xludf.DUMMYFUNCTION("""COMPUTED_VALUE"""),0.0)</f>
        <v>0</v>
      </c>
      <c r="K940" s="11">
        <f>IFERROR(__xludf.DUMMYFUNCTION("""COMPUTED_VALUE"""),1.0)</f>
        <v>1</v>
      </c>
      <c r="L940" s="11"/>
    </row>
    <row r="941" ht="15.75" customHeight="1">
      <c r="A941" s="10" t="str">
        <f>IFERROR(__xludf.DUMMYFUNCTION("""COMPUTED_VALUE"""),"https://linkupst.com/design/blog-design/new-york-design-agencies")</f>
        <v>https://linkupst.com/design/blog-design/new-york-design-agencies</v>
      </c>
      <c r="B941" s="11" t="str">
        <f>IFERROR(__xludf.DUMMYFUNCTION("""COMPUTED_VALUE"""),"Top New York Design Agencies to Work With in 2026 | Linkup ST")</f>
        <v>Top New York Design Agencies to Work With in 2026 | Linkup ST</v>
      </c>
      <c r="C941" s="10" t="str">
        <f>IFERROR(__xludf.DUMMYFUNCTION("""COMPUTED_VALUE"""),"linkupst.com")</f>
        <v>linkupst.com</v>
      </c>
      <c r="D941" s="11" t="str">
        <f>IFERROR(__xludf.DUMMYFUNCTION("""COMPUTED_VALUE"""),"LISTICLE")</f>
        <v>LISTICLE</v>
      </c>
      <c r="E941" s="11" t="str">
        <f>IFERROR(__xludf.DUMMYFUNCTION("""COMPUTED_VALUE"""),"CORPORATE")</f>
        <v>CORPORATE</v>
      </c>
      <c r="F941" s="11" t="str">
        <f>IFERROR(__xludf.DUMMYFUNCTION("""COMPUTED_VALUE"""),"Listicle")</f>
        <v>Listicle</v>
      </c>
      <c r="G941" s="11" t="b">
        <f>IFERROR(__xludf.DUMMYFUNCTION("""COMPUTED_VALUE"""),FALSE)</f>
        <v>0</v>
      </c>
      <c r="H941" s="11" t="str">
        <f>IFERROR(__xludf.DUMMYFUNCTION("""COMPUTED_VALUE"""),"Pentagram, Clutch, Momentum")</f>
        <v>Pentagram, Clutch, Momentum</v>
      </c>
      <c r="I941" s="11">
        <f>IFERROR(__xludf.DUMMYFUNCTION("""COMPUTED_VALUE"""),1.0)</f>
        <v>1</v>
      </c>
      <c r="J941" s="11">
        <f>IFERROR(__xludf.DUMMYFUNCTION("""COMPUTED_VALUE"""),0.0)</f>
        <v>0</v>
      </c>
      <c r="K941" s="11">
        <f>IFERROR(__xludf.DUMMYFUNCTION("""COMPUTED_VALUE"""),1.0)</f>
        <v>1</v>
      </c>
      <c r="L941" s="11"/>
    </row>
    <row r="942" ht="15.75" customHeight="1">
      <c r="A942" s="10" t="str">
        <f>IFERROR(__xludf.DUMMYFUNCTION("""COMPUTED_VALUE"""),"https://www.loopexdigital.com/blog/best-seo-companies-for-phoenix-market")</f>
        <v>https://www.loopexdigital.com/blog/best-seo-companies-for-phoenix-market</v>
      </c>
      <c r="B942" s="11" t="str">
        <f>IFERROR(__xludf.DUMMYFUNCTION("""COMPUTED_VALUE"""),"Top SEO Companies in Phoenix, AZ for 2026")</f>
        <v>Top SEO Companies in Phoenix, AZ for 2026</v>
      </c>
      <c r="C942" s="10" t="str">
        <f>IFERROR(__xludf.DUMMYFUNCTION("""COMPUTED_VALUE"""),"loopexdigital.com")</f>
        <v>loopexdigital.com</v>
      </c>
      <c r="D942" s="11" t="str">
        <f>IFERROR(__xludf.DUMMYFUNCTION("""COMPUTED_VALUE"""),"LISTICLE")</f>
        <v>LISTICLE</v>
      </c>
      <c r="E942" s="11" t="str">
        <f>IFERROR(__xludf.DUMMYFUNCTION("""COMPUTED_VALUE"""),"CORPORATE")</f>
        <v>CORPORATE</v>
      </c>
      <c r="F942" s="11" t="str">
        <f>IFERROR(__xludf.DUMMYFUNCTION("""COMPUTED_VALUE"""),"Listicle")</f>
        <v>Listicle</v>
      </c>
      <c r="G942" s="11" t="b">
        <f>IFERROR(__xludf.DUMMYFUNCTION("""COMPUTED_VALUE"""),FALSE)</f>
        <v>0</v>
      </c>
      <c r="H942" s="11" t="str">
        <f>IFERROR(__xludf.DUMMYFUNCTION("""COMPUTED_VALUE"""),"Clutch")</f>
        <v>Clutch</v>
      </c>
      <c r="I942" s="11">
        <f>IFERROR(__xludf.DUMMYFUNCTION("""COMPUTED_VALUE"""),1.0)</f>
        <v>1</v>
      </c>
      <c r="J942" s="11">
        <f>IFERROR(__xludf.DUMMYFUNCTION("""COMPUTED_VALUE"""),0.0)</f>
        <v>0</v>
      </c>
      <c r="K942" s="11">
        <f>IFERROR(__xludf.DUMMYFUNCTION("""COMPUTED_VALUE"""),1.0)</f>
        <v>1</v>
      </c>
      <c r="L942" s="11"/>
    </row>
    <row r="943" ht="15.75" customHeight="1">
      <c r="A943" s="10" t="str">
        <f>IFERROR(__xludf.DUMMYFUNCTION("""COMPUTED_VALUE"""),"https://lotusbrainsstudio.com/ai-automation-agency-london/")</f>
        <v>https://lotusbrainsstudio.com/ai-automation-agency-london/</v>
      </c>
      <c r="B943" s="11" t="str">
        <f>IFERROR(__xludf.DUMMYFUNCTION("""COMPUTED_VALUE"""),"AI Agency London: Best 15 Providers Compared By Experts")</f>
        <v>AI Agency London: Best 15 Providers Compared By Experts</v>
      </c>
      <c r="C943" s="10" t="str">
        <f>IFERROR(__xludf.DUMMYFUNCTION("""COMPUTED_VALUE"""),"lotusbrainsstudio.com")</f>
        <v>lotusbrainsstudio.com</v>
      </c>
      <c r="D943" s="11" t="str">
        <f>IFERROR(__xludf.DUMMYFUNCTION("""COMPUTED_VALUE"""),"LISTICLE")</f>
        <v>LISTICLE</v>
      </c>
      <c r="E943" s="11" t="str">
        <f>IFERROR(__xludf.DUMMYFUNCTION("""COMPUTED_VALUE"""),"CORPORATE")</f>
        <v>CORPORATE</v>
      </c>
      <c r="F943" s="11" t="str">
        <f>IFERROR(__xludf.DUMMYFUNCTION("""COMPUTED_VALUE"""),"Listicle")</f>
        <v>Listicle</v>
      </c>
      <c r="G943" s="11" t="b">
        <f>IFERROR(__xludf.DUMMYFUNCTION("""COMPUTED_VALUE"""),FALSE)</f>
        <v>0</v>
      </c>
      <c r="H943" s="11" t="str">
        <f>IFERROR(__xludf.DUMMYFUNCTION("""COMPUTED_VALUE"""),"IBM, Clutch")</f>
        <v>IBM, Clutch</v>
      </c>
      <c r="I943" s="11">
        <f>IFERROR(__xludf.DUMMYFUNCTION("""COMPUTED_VALUE"""),1.0)</f>
        <v>1</v>
      </c>
      <c r="J943" s="11">
        <f>IFERROR(__xludf.DUMMYFUNCTION("""COMPUTED_VALUE"""),0.0)</f>
        <v>0</v>
      </c>
      <c r="K943" s="11">
        <f>IFERROR(__xludf.DUMMYFUNCTION("""COMPUTED_VALUE"""),1.0)</f>
        <v>1</v>
      </c>
      <c r="L943" s="11"/>
    </row>
    <row r="944" ht="15.75" customHeight="1">
      <c r="A944" s="10" t="str">
        <f>IFERROR(__xludf.DUMMYFUNCTION("""COMPUTED_VALUE"""),"https://lseo.com/blog/generative-engine-optimization/the-best-generative-engine-optimization-geo-agencies-of-2026/")</f>
        <v>https://lseo.com/blog/generative-engine-optimization/the-best-generative-engine-optimization-geo-agencies-of-2026/</v>
      </c>
      <c r="B944" s="11" t="str">
        <f>IFERROR(__xludf.DUMMYFUNCTION("""COMPUTED_VALUE"""),"The Best Generative Engine Optimization (GEO) Agencies of 2026 – LSEO")</f>
        <v>The Best Generative Engine Optimization (GEO) Agencies of 2026 – LSEO</v>
      </c>
      <c r="C944" s="10" t="str">
        <f>IFERROR(__xludf.DUMMYFUNCTION("""COMPUTED_VALUE"""),"lseo.com")</f>
        <v>lseo.com</v>
      </c>
      <c r="D944" s="11" t="str">
        <f>IFERROR(__xludf.DUMMYFUNCTION("""COMPUTED_VALUE"""),"LISTICLE")</f>
        <v>LISTICLE</v>
      </c>
      <c r="E944" s="11" t="str">
        <f>IFERROR(__xludf.DUMMYFUNCTION("""COMPUTED_VALUE"""),"CORPORATE")</f>
        <v>CORPORATE</v>
      </c>
      <c r="F944" s="11" t="str">
        <f>IFERROR(__xludf.DUMMYFUNCTION("""COMPUTED_VALUE"""),"Listicle")</f>
        <v>Listicle</v>
      </c>
      <c r="G944" s="11" t="b">
        <f>IFERROR(__xludf.DUMMYFUNCTION("""COMPUTED_VALUE"""),FALSE)</f>
        <v>0</v>
      </c>
      <c r="H944" s="11" t="str">
        <f>IFERROR(__xludf.DUMMYFUNCTION("""COMPUTED_VALUE"""),"WebFX, iPullRank, First Page Sage, Huge, Siege Media, Intero Digital, NoGood")</f>
        <v>WebFX, iPullRank, First Page Sage, Huge, Siege Media, Intero Digital, NoGood</v>
      </c>
      <c r="I944" s="11">
        <f>IFERROR(__xludf.DUMMYFUNCTION("""COMPUTED_VALUE"""),1.0)</f>
        <v>1</v>
      </c>
      <c r="J944" s="11">
        <f>IFERROR(__xludf.DUMMYFUNCTION("""COMPUTED_VALUE"""),0.0)</f>
        <v>0</v>
      </c>
      <c r="K944" s="11">
        <f>IFERROR(__xludf.DUMMYFUNCTION("""COMPUTED_VALUE"""),1.0)</f>
        <v>1</v>
      </c>
      <c r="L944" s="11"/>
    </row>
    <row r="945" ht="15.75" customHeight="1">
      <c r="A945" s="10" t="str">
        <f>IFERROR(__xludf.DUMMYFUNCTION("""COMPUTED_VALUE"""),"https://lunarailab.com/blog/2026/03/04/top-5-ai-agent-adoption-agencies-in-2026/")</f>
        <v>https://lunarailab.com/blog/2026/03/04/top-5-ai-agent-adoption-agencies-in-2026/</v>
      </c>
      <c r="B945" s="11" t="str">
        <f>IFERROR(__xludf.DUMMYFUNCTION("""COMPUTED_VALUE"""),"Top 5 AI Agent Adoption Agencies in 2026 - Lunar AI Lab")</f>
        <v>Top 5 AI Agent Adoption Agencies in 2026 - Lunar AI Lab</v>
      </c>
      <c r="C945" s="10" t="str">
        <f>IFERROR(__xludf.DUMMYFUNCTION("""COMPUTED_VALUE"""),"lunarailab.com")</f>
        <v>lunarailab.com</v>
      </c>
      <c r="D945" s="11" t="str">
        <f>IFERROR(__xludf.DUMMYFUNCTION("""COMPUTED_VALUE"""),"LISTICLE")</f>
        <v>LISTICLE</v>
      </c>
      <c r="E945" s="11" t="str">
        <f>IFERROR(__xludf.DUMMYFUNCTION("""COMPUTED_VALUE"""),"CORPORATE")</f>
        <v>CORPORATE</v>
      </c>
      <c r="F945" s="11" t="str">
        <f>IFERROR(__xludf.DUMMYFUNCTION("""COMPUTED_VALUE"""),"Listicle")</f>
        <v>Listicle</v>
      </c>
      <c r="G945" s="11" t="b">
        <f>IFERROR(__xludf.DUMMYFUNCTION("""COMPUTED_VALUE"""),FALSE)</f>
        <v>0</v>
      </c>
      <c r="H945" s="11" t="str">
        <f>IFERROR(__xludf.DUMMYFUNCTION("""COMPUTED_VALUE"""),"Slalom, Fractal Analytics, Measured")</f>
        <v>Slalom, Fractal Analytics, Measured</v>
      </c>
      <c r="I945" s="11">
        <f>IFERROR(__xludf.DUMMYFUNCTION("""COMPUTED_VALUE"""),1.0)</f>
        <v>1</v>
      </c>
      <c r="J945" s="11">
        <f>IFERROR(__xludf.DUMMYFUNCTION("""COMPUTED_VALUE"""),0.0)</f>
        <v>0</v>
      </c>
      <c r="K945" s="11">
        <f>IFERROR(__xludf.DUMMYFUNCTION("""COMPUTED_VALUE"""),2.0)</f>
        <v>2</v>
      </c>
      <c r="L945" s="11"/>
    </row>
    <row r="946" ht="15.75" customHeight="1">
      <c r="A946" s="10" t="str">
        <f>IFERROR(__xludf.DUMMYFUNCTION("""COMPUTED_VALUE"""),"https://www.lyfemarketing.com/blog/top-travel-tourism-marketing-agencies-us/")</f>
        <v>https://www.lyfemarketing.com/blog/top-travel-tourism-marketing-agencies-us/</v>
      </c>
      <c r="B946" s="11" t="str">
        <f>IFERROR(__xludf.DUMMYFUNCTION("""COMPUTED_VALUE"""),"Top 20 Travel &amp;amp; Tourism Marketing Agencies in US 2026")</f>
        <v>Top 20 Travel &amp;amp; Tourism Marketing Agencies in US 2026</v>
      </c>
      <c r="C946" s="10" t="str">
        <f>IFERROR(__xludf.DUMMYFUNCTION("""COMPUTED_VALUE"""),"lyfemarketing.com")</f>
        <v>lyfemarketing.com</v>
      </c>
      <c r="D946" s="11" t="str">
        <f>IFERROR(__xludf.DUMMYFUNCTION("""COMPUTED_VALUE"""),"LISTICLE")</f>
        <v>LISTICLE</v>
      </c>
      <c r="E946" s="11" t="str">
        <f>IFERROR(__xludf.DUMMYFUNCTION("""COMPUTED_VALUE"""),"CORPORATE")</f>
        <v>CORPORATE</v>
      </c>
      <c r="F946" s="11" t="str">
        <f>IFERROR(__xludf.DUMMYFUNCTION("""COMPUTED_VALUE"""),"Listicle")</f>
        <v>Listicle</v>
      </c>
      <c r="G946" s="11" t="b">
        <f>IFERROR(__xludf.DUMMYFUNCTION("""COMPUTED_VALUE"""),FALSE)</f>
        <v>0</v>
      </c>
      <c r="H946" s="11" t="str">
        <f>IFERROR(__xludf.DUMMYFUNCTION("""COMPUTED_VALUE"""),"LYFE Marketing, Noble Studios")</f>
        <v>LYFE Marketing, Noble Studios</v>
      </c>
      <c r="I946" s="11">
        <f>IFERROR(__xludf.DUMMYFUNCTION("""COMPUTED_VALUE"""),1.0)</f>
        <v>1</v>
      </c>
      <c r="J946" s="11">
        <f>IFERROR(__xludf.DUMMYFUNCTION("""COMPUTED_VALUE"""),0.0)</f>
        <v>0</v>
      </c>
      <c r="K946" s="11">
        <f>IFERROR(__xludf.DUMMYFUNCTION("""COMPUTED_VALUE"""),1.0)</f>
        <v>1</v>
      </c>
      <c r="L946" s="11"/>
    </row>
    <row r="947" ht="15.75" customHeight="1">
      <c r="A947" s="10" t="str">
        <f>IFERROR(__xludf.DUMMYFUNCTION("""COMPUTED_VALUE"""),"https://lymlyt.pro/blog/best-ai-marketing-agencies/")</f>
        <v>https://lymlyt.pro/blog/best-ai-marketing-agencies/</v>
      </c>
      <c r="B947" s="11" t="str">
        <f>IFERROR(__xludf.DUMMYFUNCTION("""COMPUTED_VALUE"""),"10 Best AI Marketing Agencies for B2B SaaS (2026)")</f>
        <v>10 Best AI Marketing Agencies for B2B SaaS (2026)</v>
      </c>
      <c r="C947" s="10" t="str">
        <f>IFERROR(__xludf.DUMMYFUNCTION("""COMPUTED_VALUE"""),"lymlyt.pro")</f>
        <v>lymlyt.pro</v>
      </c>
      <c r="D947" s="11" t="str">
        <f>IFERROR(__xludf.DUMMYFUNCTION("""COMPUTED_VALUE"""),"LISTICLE")</f>
        <v>LISTICLE</v>
      </c>
      <c r="E947" s="11" t="str">
        <f>IFERROR(__xludf.DUMMYFUNCTION("""COMPUTED_VALUE"""),"CORPORATE")</f>
        <v>CORPORATE</v>
      </c>
      <c r="F947" s="11" t="str">
        <f>IFERROR(__xludf.DUMMYFUNCTION("""COMPUTED_VALUE"""),"Listicle")</f>
        <v>Listicle</v>
      </c>
      <c r="G947" s="11" t="b">
        <f>IFERROR(__xludf.DUMMYFUNCTION("""COMPUTED_VALUE"""),FALSE)</f>
        <v>0</v>
      </c>
      <c r="H947" s="11" t="str">
        <f>IFERROR(__xludf.DUMMYFUNCTION("""COMPUTED_VALUE"""),"NoGood, Single Grain, Directive, NP Digital, Omniscient Digital, NinjaPromo, Monks, Keenfolks, Hawke Media, Clutch, Measured")</f>
        <v>NoGood, Single Grain, Directive, NP Digital, Omniscient Digital, NinjaPromo, Monks, Keenfolks, Hawke Media, Clutch, Measured</v>
      </c>
      <c r="I947" s="11">
        <f>IFERROR(__xludf.DUMMYFUNCTION("""COMPUTED_VALUE"""),1.0)</f>
        <v>1</v>
      </c>
      <c r="J947" s="11">
        <f>IFERROR(__xludf.DUMMYFUNCTION("""COMPUTED_VALUE"""),0.0)</f>
        <v>0</v>
      </c>
      <c r="K947" s="11">
        <f>IFERROR(__xludf.DUMMYFUNCTION("""COMPUTED_VALUE"""),4.0)</f>
        <v>4</v>
      </c>
      <c r="L947" s="11"/>
    </row>
    <row r="948" ht="15.75" customHeight="1">
      <c r="A948" s="10" t="str">
        <f>IFERROR(__xludf.DUMMYFUNCTION("""COMPUTED_VALUE"""),"https://madgicx.com/blog/ai-marketing-analytics-dashboard-platforms")</f>
        <v>https://madgicx.com/blog/ai-marketing-analytics-dashboard-platforms</v>
      </c>
      <c r="B948" s="11" t="str">
        <f>IFERROR(__xludf.DUMMYFUNCTION("""COMPUTED_VALUE"""),"10 Top AI Marketing Analytics Dashboard Platforms for 2026")</f>
        <v>10 Top AI Marketing Analytics Dashboard Platforms for 2026</v>
      </c>
      <c r="C948" s="10" t="str">
        <f>IFERROR(__xludf.DUMMYFUNCTION("""COMPUTED_VALUE"""),"madgicx.com")</f>
        <v>madgicx.com</v>
      </c>
      <c r="D948" s="11" t="str">
        <f>IFERROR(__xludf.DUMMYFUNCTION("""COMPUTED_VALUE"""),"LISTICLE")</f>
        <v>LISTICLE</v>
      </c>
      <c r="E948" s="11" t="str">
        <f>IFERROR(__xludf.DUMMYFUNCTION("""COMPUTED_VALUE"""),"UGC")</f>
        <v>UGC</v>
      </c>
      <c r="F948" s="11" t="str">
        <f>IFERROR(__xludf.DUMMYFUNCTION("""COMPUTED_VALUE"""),"Listicle")</f>
        <v>Listicle</v>
      </c>
      <c r="G948" s="11" t="b">
        <f>IFERROR(__xludf.DUMMYFUNCTION("""COMPUTED_VALUE"""),FALSE)</f>
        <v>0</v>
      </c>
      <c r="H948" s="11" t="str">
        <f>IFERROR(__xludf.DUMMYFUNCTION("""COMPUTED_VALUE"""),"McKinsey, BCG, Anomaly, Huge")</f>
        <v>McKinsey, BCG, Anomaly, Huge</v>
      </c>
      <c r="I948" s="11">
        <f>IFERROR(__xludf.DUMMYFUNCTION("""COMPUTED_VALUE"""),1.0)</f>
        <v>1</v>
      </c>
      <c r="J948" s="11">
        <f>IFERROR(__xludf.DUMMYFUNCTION("""COMPUTED_VALUE"""),0.0)</f>
        <v>0</v>
      </c>
      <c r="K948" s="11">
        <f>IFERROR(__xludf.DUMMYFUNCTION("""COMPUTED_VALUE"""),0.0)</f>
        <v>0</v>
      </c>
      <c r="L948" s="11"/>
    </row>
    <row r="949" ht="15.75" customHeight="1">
      <c r="A949" s="10" t="str">
        <f>IFERROR(__xludf.DUMMYFUNCTION("""COMPUTED_VALUE"""),"https://marketerhire.com/blog/b2c-marketing-agency")</f>
        <v>https://marketerhire.com/blog/b2c-marketing-agency</v>
      </c>
      <c r="B949" s="11" t="str">
        <f>IFERROR(__xludf.DUMMYFUNCTION("""COMPUTED_VALUE"""),"10 Best B2C Marketing Agencies in 2025")</f>
        <v>10 Best B2C Marketing Agencies in 2025</v>
      </c>
      <c r="C949" s="10" t="str">
        <f>IFERROR(__xludf.DUMMYFUNCTION("""COMPUTED_VALUE"""),"marketerhire.com")</f>
        <v>marketerhire.com</v>
      </c>
      <c r="D949" s="11" t="str">
        <f>IFERROR(__xludf.DUMMYFUNCTION("""COMPUTED_VALUE"""),"LISTICLE")</f>
        <v>LISTICLE</v>
      </c>
      <c r="E949" s="11" t="str">
        <f>IFERROR(__xludf.DUMMYFUNCTION("""COMPUTED_VALUE"""),"CORPORATE")</f>
        <v>CORPORATE</v>
      </c>
      <c r="F949" s="11" t="str">
        <f>IFERROR(__xludf.DUMMYFUNCTION("""COMPUTED_VALUE"""),"Listicle")</f>
        <v>Listicle</v>
      </c>
      <c r="G949" s="11" t="b">
        <f>IFERROR(__xludf.DUMMYFUNCTION("""COMPUTED_VALUE"""),FALSE)</f>
        <v>0</v>
      </c>
      <c r="H949" s="11" t="str">
        <f>IFERROR(__xludf.DUMMYFUNCTION("""COMPUTED_VALUE"""),"Sociallyin, Power Digital, Tinuiti, Triple Whale, Rockerbox, HawkSEM")</f>
        <v>Sociallyin, Power Digital, Tinuiti, Triple Whale, Rockerbox, HawkSEM</v>
      </c>
      <c r="I949" s="11">
        <f>IFERROR(__xludf.DUMMYFUNCTION("""COMPUTED_VALUE"""),1.0)</f>
        <v>1</v>
      </c>
      <c r="J949" s="11">
        <f>IFERROR(__xludf.DUMMYFUNCTION("""COMPUTED_VALUE"""),0.0)</f>
        <v>0</v>
      </c>
      <c r="K949" s="11">
        <f>IFERROR(__xludf.DUMMYFUNCTION("""COMPUTED_VALUE"""),1.0)</f>
        <v>1</v>
      </c>
      <c r="L949" s="11"/>
    </row>
    <row r="950" ht="15.75" customHeight="1">
      <c r="A950" s="10" t="str">
        <f>IFERROR(__xludf.DUMMYFUNCTION("""COMPUTED_VALUE"""),"https://marketerhire.com/blog/media-buying-agencies")</f>
        <v>https://marketerhire.com/blog/media-buying-agencies</v>
      </c>
      <c r="B950" s="11" t="str">
        <f>IFERROR(__xludf.DUMMYFUNCTION("""COMPUTED_VALUE"""),"25 Best Media Buying Agencies in 2025")</f>
        <v>25 Best Media Buying Agencies in 2025</v>
      </c>
      <c r="C950" s="10" t="str">
        <f>IFERROR(__xludf.DUMMYFUNCTION("""COMPUTED_VALUE"""),"marketerhire.com")</f>
        <v>marketerhire.com</v>
      </c>
      <c r="D950" s="11" t="str">
        <f>IFERROR(__xludf.DUMMYFUNCTION("""COMPUTED_VALUE"""),"LISTICLE")</f>
        <v>LISTICLE</v>
      </c>
      <c r="E950" s="11" t="str">
        <f>IFERROR(__xludf.DUMMYFUNCTION("""COMPUTED_VALUE"""),"CORPORATE")</f>
        <v>CORPORATE</v>
      </c>
      <c r="F950" s="11" t="str">
        <f>IFERROR(__xludf.DUMMYFUNCTION("""COMPUTED_VALUE"""),"Listicle")</f>
        <v>Listicle</v>
      </c>
      <c r="G950" s="11" t="b">
        <f>IFERROR(__xludf.DUMMYFUNCTION("""COMPUTED_VALUE"""),FALSE)</f>
        <v>0</v>
      </c>
      <c r="H950" s="11" t="str">
        <f>IFERROR(__xludf.DUMMYFUNCTION("""COMPUTED_VALUE"""),"Momentum, Percepture, Hawke Media, Avenue Z, Clutch")</f>
        <v>Momentum, Percepture, Hawke Media, Avenue Z, Clutch</v>
      </c>
      <c r="I950" s="11">
        <f>IFERROR(__xludf.DUMMYFUNCTION("""COMPUTED_VALUE"""),1.0)</f>
        <v>1</v>
      </c>
      <c r="J950" s="11">
        <f>IFERROR(__xludf.DUMMYFUNCTION("""COMPUTED_VALUE"""),0.0)</f>
        <v>0</v>
      </c>
      <c r="K950" s="11">
        <f>IFERROR(__xludf.DUMMYFUNCTION("""COMPUTED_VALUE"""),1.0)</f>
        <v>1</v>
      </c>
      <c r="L950" s="11"/>
    </row>
    <row r="951" ht="15.75" customHeight="1">
      <c r="A951" s="10" t="str">
        <f>IFERROR(__xludf.DUMMYFUNCTION("""COMPUTED_VALUE"""),"https://marketingltb.com/blog/agency/best-email-marketing-agencies/")</f>
        <v>https://marketingltb.com/blog/agency/best-email-marketing-agencies/</v>
      </c>
      <c r="B951" s="11" t="str">
        <f>IFERROR(__xludf.DUMMYFUNCTION("""COMPUTED_VALUE"""),"10 Best Email Marketing Agencies in 2026 - Marketing LTB")</f>
        <v>10 Best Email Marketing Agencies in 2026 - Marketing LTB</v>
      </c>
      <c r="C951" s="10" t="str">
        <f>IFERROR(__xludf.DUMMYFUNCTION("""COMPUTED_VALUE"""),"marketingltb.com")</f>
        <v>marketingltb.com</v>
      </c>
      <c r="D951" s="11" t="str">
        <f>IFERROR(__xludf.DUMMYFUNCTION("""COMPUTED_VALUE"""),"LISTICLE")</f>
        <v>LISTICLE</v>
      </c>
      <c r="E951" s="11" t="str">
        <f>IFERROR(__xludf.DUMMYFUNCTION("""COMPUTED_VALUE"""),"CORPORATE")</f>
        <v>CORPORATE</v>
      </c>
      <c r="F951" s="11" t="str">
        <f>IFERROR(__xludf.DUMMYFUNCTION("""COMPUTED_VALUE"""),"Listicle")</f>
        <v>Listicle</v>
      </c>
      <c r="G951" s="11" t="b">
        <f>IFERROR(__xludf.DUMMYFUNCTION("""COMPUTED_VALUE"""),FALSE)</f>
        <v>0</v>
      </c>
      <c r="H951" s="11" t="str">
        <f>IFERROR(__xludf.DUMMYFUNCTION("""COMPUTED_VALUE"""),"Hawke Media, Clutch")</f>
        <v>Hawke Media, Clutch</v>
      </c>
      <c r="I951" s="11">
        <f>IFERROR(__xludf.DUMMYFUNCTION("""COMPUTED_VALUE"""),1.0)</f>
        <v>1</v>
      </c>
      <c r="J951" s="11">
        <f>IFERROR(__xludf.DUMMYFUNCTION("""COMPUTED_VALUE"""),0.0)</f>
        <v>0</v>
      </c>
      <c r="K951" s="11">
        <f>IFERROR(__xludf.DUMMYFUNCTION("""COMPUTED_VALUE"""),1.0)</f>
        <v>1</v>
      </c>
      <c r="L951" s="11"/>
    </row>
    <row r="952" ht="15.75" customHeight="1">
      <c r="A952" s="10" t="str">
        <f>IFERROR(__xludf.DUMMYFUNCTION("""COMPUTED_VALUE"""),"https://marketingltb.com/blog/agency/best-google-ads-agencies/")</f>
        <v>https://marketingltb.com/blog/agency/best-google-ads-agencies/</v>
      </c>
      <c r="B952" s="11" t="str">
        <f>IFERROR(__xludf.DUMMYFUNCTION("""COMPUTED_VALUE"""),"10 Best Google Ads Agencies in 2026 - Marketing LTB")</f>
        <v>10 Best Google Ads Agencies in 2026 - Marketing LTB</v>
      </c>
      <c r="C952" s="10" t="str">
        <f>IFERROR(__xludf.DUMMYFUNCTION("""COMPUTED_VALUE"""),"marketingltb.com")</f>
        <v>marketingltb.com</v>
      </c>
      <c r="D952" s="11" t="str">
        <f>IFERROR(__xludf.DUMMYFUNCTION("""COMPUTED_VALUE"""),"LISTICLE")</f>
        <v>LISTICLE</v>
      </c>
      <c r="E952" s="11" t="str">
        <f>IFERROR(__xludf.DUMMYFUNCTION("""COMPUTED_VALUE"""),"CORPORATE")</f>
        <v>CORPORATE</v>
      </c>
      <c r="F952" s="11" t="str">
        <f>IFERROR(__xludf.DUMMYFUNCTION("""COMPUTED_VALUE"""),"Listicle")</f>
        <v>Listicle</v>
      </c>
      <c r="G952" s="11" t="b">
        <f>IFERROR(__xludf.DUMMYFUNCTION("""COMPUTED_VALUE"""),FALSE)</f>
        <v>0</v>
      </c>
      <c r="H952" s="11" t="str">
        <f>IFERROR(__xludf.DUMMYFUNCTION("""COMPUTED_VALUE"""),"KlientBoost, Ignite Visibility, SmartSites, Directive, LYFE Marketing, Clutch, Thrive Internet Marketing Agency")</f>
        <v>KlientBoost, Ignite Visibility, SmartSites, Directive, LYFE Marketing, Clutch, Thrive Internet Marketing Agency</v>
      </c>
      <c r="I952" s="11">
        <f>IFERROR(__xludf.DUMMYFUNCTION("""COMPUTED_VALUE"""),1.0)</f>
        <v>1</v>
      </c>
      <c r="J952" s="11">
        <f>IFERROR(__xludf.DUMMYFUNCTION("""COMPUTED_VALUE"""),0.0)</f>
        <v>0</v>
      </c>
      <c r="K952" s="11">
        <f>IFERROR(__xludf.DUMMYFUNCTION("""COMPUTED_VALUE"""),1.0)</f>
        <v>1</v>
      </c>
      <c r="L952" s="11"/>
    </row>
    <row r="953" ht="15.75" customHeight="1">
      <c r="A953" s="10" t="str">
        <f>IFERROR(__xludf.DUMMYFUNCTION("""COMPUTED_VALUE"""),"https://marketingltb.com/blog/agency/best-tourism-digital-marketing-agencies/")</f>
        <v>https://marketingltb.com/blog/agency/best-tourism-digital-marketing-agencies/</v>
      </c>
      <c r="B953" s="11" t="str">
        <f>IFERROR(__xludf.DUMMYFUNCTION("""COMPUTED_VALUE"""),"10 Best Tourism Digital Marketing Agencies in 2026 - Marketing LTB")</f>
        <v>10 Best Tourism Digital Marketing Agencies in 2026 - Marketing LTB</v>
      </c>
      <c r="C953" s="10" t="str">
        <f>IFERROR(__xludf.DUMMYFUNCTION("""COMPUTED_VALUE"""),"marketingltb.com")</f>
        <v>marketingltb.com</v>
      </c>
      <c r="D953" s="11" t="str">
        <f>IFERROR(__xludf.DUMMYFUNCTION("""COMPUTED_VALUE"""),"LISTICLE")</f>
        <v>LISTICLE</v>
      </c>
      <c r="E953" s="11" t="str">
        <f>IFERROR(__xludf.DUMMYFUNCTION("""COMPUTED_VALUE"""),"CORPORATE")</f>
        <v>CORPORATE</v>
      </c>
      <c r="F953" s="11" t="str">
        <f>IFERROR(__xludf.DUMMYFUNCTION("""COMPUTED_VALUE"""),"Listicle")</f>
        <v>Listicle</v>
      </c>
      <c r="G953" s="11" t="b">
        <f>IFERROR(__xludf.DUMMYFUNCTION("""COMPUTED_VALUE"""),FALSE)</f>
        <v>0</v>
      </c>
      <c r="H953" s="11" t="str">
        <f>IFERROR(__xludf.DUMMYFUNCTION("""COMPUTED_VALUE"""),"Noble Studios, WebFX, Clutch")</f>
        <v>Noble Studios, WebFX, Clutch</v>
      </c>
      <c r="I953" s="11">
        <f>IFERROR(__xludf.DUMMYFUNCTION("""COMPUTED_VALUE"""),1.0)</f>
        <v>1</v>
      </c>
      <c r="J953" s="11">
        <f>IFERROR(__xludf.DUMMYFUNCTION("""COMPUTED_VALUE"""),0.0)</f>
        <v>0</v>
      </c>
      <c r="K953" s="11">
        <f>IFERROR(__xludf.DUMMYFUNCTION("""COMPUTED_VALUE"""),1.0)</f>
        <v>1</v>
      </c>
      <c r="L953" s="11"/>
    </row>
    <row r="954" ht="15.75" customHeight="1">
      <c r="A954" s="10" t="str">
        <f>IFERROR(__xludf.DUMMYFUNCTION("""COMPUTED_VALUE"""),"https://markovate.com/top-ai-development-companies/")</f>
        <v>https://markovate.com/top-ai-development-companies/</v>
      </c>
      <c r="B954" s="11" t="str">
        <f>IFERROR(__xludf.DUMMYFUNCTION("""COMPUTED_VALUE"""),"Top AI Development Companies in 2026 - Markovate")</f>
        <v>Top AI Development Companies in 2026 - Markovate</v>
      </c>
      <c r="C954" s="10" t="str">
        <f>IFERROR(__xludf.DUMMYFUNCTION("""COMPUTED_VALUE"""),"markovate.com")</f>
        <v>markovate.com</v>
      </c>
      <c r="D954" s="11" t="str">
        <f>IFERROR(__xludf.DUMMYFUNCTION("""COMPUTED_VALUE"""),"LISTICLE")</f>
        <v>LISTICLE</v>
      </c>
      <c r="E954" s="11" t="str">
        <f>IFERROR(__xludf.DUMMYFUNCTION("""COMPUTED_VALUE"""),"OTHER")</f>
        <v>OTHER</v>
      </c>
      <c r="F954" s="11" t="str">
        <f>IFERROR(__xludf.DUMMYFUNCTION("""COMPUTED_VALUE"""),"Listicle")</f>
        <v>Listicle</v>
      </c>
      <c r="G954" s="11" t="b">
        <f>IFERROR(__xludf.DUMMYFUNCTION("""COMPUTED_VALUE"""),FALSE)</f>
        <v>0</v>
      </c>
      <c r="H954" s="11" t="str">
        <f>IFERROR(__xludf.DUMMYFUNCTION("""COMPUTED_VALUE"""),"Clutch")</f>
        <v>Clutch</v>
      </c>
      <c r="I954" s="11">
        <f>IFERROR(__xludf.DUMMYFUNCTION("""COMPUTED_VALUE"""),1.0)</f>
        <v>1</v>
      </c>
      <c r="J954" s="11">
        <f>IFERROR(__xludf.DUMMYFUNCTION("""COMPUTED_VALUE"""),0.0)</f>
        <v>0</v>
      </c>
      <c r="K954" s="11">
        <f>IFERROR(__xludf.DUMMYFUNCTION("""COMPUTED_VALUE"""),1.0)</f>
        <v>1</v>
      </c>
      <c r="L954" s="11"/>
    </row>
    <row r="955" ht="15.75" customHeight="1">
      <c r="A955" s="10" t="str">
        <f>IFERROR(__xludf.DUMMYFUNCTION("""COMPUTED_VALUE"""),"https://martal.ca/integrated-marketing-agencies-lb/")</f>
        <v>https://martal.ca/integrated-marketing-agencies-lb/</v>
      </c>
      <c r="B955" s="11" t="str">
        <f>IFERROR(__xludf.DUMMYFUNCTION("""COMPUTED_VALUE"""),"Top Integrated Marketing Agencies: ROI-Driven Guide for 2026")</f>
        <v>Top Integrated Marketing Agencies: ROI-Driven Guide for 2026</v>
      </c>
      <c r="C955" s="10" t="str">
        <f>IFERROR(__xludf.DUMMYFUNCTION("""COMPUTED_VALUE"""),"martal.ca")</f>
        <v>martal.ca</v>
      </c>
      <c r="D955" s="11" t="str">
        <f>IFERROR(__xludf.DUMMYFUNCTION("""COMPUTED_VALUE"""),"LISTICLE")</f>
        <v>LISTICLE</v>
      </c>
      <c r="E955" s="11" t="str">
        <f>IFERROR(__xludf.DUMMYFUNCTION("""COMPUTED_VALUE"""),"CORPORATE")</f>
        <v>CORPORATE</v>
      </c>
      <c r="F955" s="11" t="str">
        <f>IFERROR(__xludf.DUMMYFUNCTION("""COMPUTED_VALUE"""),"Listicle")</f>
        <v>Listicle</v>
      </c>
      <c r="G955" s="11" t="b">
        <f>IFERROR(__xludf.DUMMYFUNCTION("""COMPUTED_VALUE"""),FALSE)</f>
        <v>0</v>
      </c>
      <c r="H955" s="11" t="str">
        <f>IFERROR(__xludf.DUMMYFUNCTION("""COMPUTED_VALUE"""),"McKinsey, Measured, Dentsu, Thrive Internet Marketing Agency, Intero Digital, Clutch")</f>
        <v>McKinsey, Measured, Dentsu, Thrive Internet Marketing Agency, Intero Digital, Clutch</v>
      </c>
      <c r="I955" s="11">
        <f>IFERROR(__xludf.DUMMYFUNCTION("""COMPUTED_VALUE"""),1.0)</f>
        <v>1</v>
      </c>
      <c r="J955" s="11">
        <f>IFERROR(__xludf.DUMMYFUNCTION("""COMPUTED_VALUE"""),0.0)</f>
        <v>0</v>
      </c>
      <c r="K955" s="11">
        <f>IFERROR(__xludf.DUMMYFUNCTION("""COMPUTED_VALUE"""),1.0)</f>
        <v>1</v>
      </c>
      <c r="L955" s="11"/>
    </row>
    <row r="956" ht="15.75" customHeight="1">
      <c r="A956" s="10" t="str">
        <f>IFERROR(__xludf.DUMMYFUNCTION("""COMPUTED_VALUE"""),"https://www.maximuslabs.ai/answer-engine-optimizations/technical-aeo-agency")</f>
        <v>https://www.maximuslabs.ai/answer-engine-optimizations/technical-aeo-agency</v>
      </c>
      <c r="B956" s="11" t="str">
        <f>IFERROR(__xludf.DUMMYFUNCTION("""COMPUTED_VALUE"""),"10 Best Agencies for Technical AEO in 2025, Metrics Evaluated: Pricing, ROI &amp;amp; Reviews")</f>
        <v>10 Best Agencies for Technical AEO in 2025, Metrics Evaluated: Pricing, ROI &amp;amp; Reviews</v>
      </c>
      <c r="C956" s="10" t="str">
        <f>IFERROR(__xludf.DUMMYFUNCTION("""COMPUTED_VALUE"""),"maximuslabs.ai")</f>
        <v>maximuslabs.ai</v>
      </c>
      <c r="D956" s="11" t="str">
        <f>IFERROR(__xludf.DUMMYFUNCTION("""COMPUTED_VALUE"""),"LISTICLE")</f>
        <v>LISTICLE</v>
      </c>
      <c r="E956" s="11" t="str">
        <f>IFERROR(__xludf.DUMMYFUNCTION("""COMPUTED_VALUE"""),"CORPORATE")</f>
        <v>CORPORATE</v>
      </c>
      <c r="F956" s="11" t="str">
        <f>IFERROR(__xludf.DUMMYFUNCTION("""COMPUTED_VALUE"""),"Listicle")</f>
        <v>Listicle</v>
      </c>
      <c r="G956" s="11" t="b">
        <f>IFERROR(__xludf.DUMMYFUNCTION("""COMPUTED_VALUE"""),FALSE)</f>
        <v>0</v>
      </c>
      <c r="H956" s="11" t="str">
        <f>IFERROR(__xludf.DUMMYFUNCTION("""COMPUTED_VALUE"""),"Funnel Boost Media, Victorious, NinjaPromo, SmartSites, Intero Digital, Clutch, Measured")</f>
        <v>Funnel Boost Media, Victorious, NinjaPromo, SmartSites, Intero Digital, Clutch, Measured</v>
      </c>
      <c r="I956" s="11">
        <f>IFERROR(__xludf.DUMMYFUNCTION("""COMPUTED_VALUE"""),1.0)</f>
        <v>1</v>
      </c>
      <c r="J956" s="11">
        <f>IFERROR(__xludf.DUMMYFUNCTION("""COMPUTED_VALUE"""),0.0)</f>
        <v>0</v>
      </c>
      <c r="K956" s="11">
        <f>IFERROR(__xludf.DUMMYFUNCTION("""COMPUTED_VALUE"""),0.0)</f>
        <v>0</v>
      </c>
      <c r="L956" s="11"/>
    </row>
    <row r="957" ht="15.75" customHeight="1">
      <c r="A957" s="10" t="str">
        <f>IFERROR(__xludf.DUMMYFUNCTION("""COMPUTED_VALUE"""),"https://www.mayple.com/resources/paid-advertising/top-digital-marketing-companies-in-the-us")</f>
        <v>https://www.mayple.com/resources/paid-advertising/top-digital-marketing-companies-in-the-us</v>
      </c>
      <c r="B957" s="11" t="str">
        <f>IFERROR(__xludf.DUMMYFUNCTION("""COMPUTED_VALUE"""),"Top 10 Digital Marketing Companies - Hire the...")</f>
        <v>Top 10 Digital Marketing Companies - Hire the...</v>
      </c>
      <c r="C957" s="10" t="str">
        <f>IFERROR(__xludf.DUMMYFUNCTION("""COMPUTED_VALUE"""),"mayple.com")</f>
        <v>mayple.com</v>
      </c>
      <c r="D957" s="11" t="str">
        <f>IFERROR(__xludf.DUMMYFUNCTION("""COMPUTED_VALUE"""),"LISTICLE")</f>
        <v>LISTICLE</v>
      </c>
      <c r="E957" s="11" t="str">
        <f>IFERROR(__xludf.DUMMYFUNCTION("""COMPUTED_VALUE"""),"CORPORATE")</f>
        <v>CORPORATE</v>
      </c>
      <c r="F957" s="11" t="str">
        <f>IFERROR(__xludf.DUMMYFUNCTION("""COMPUTED_VALUE"""),"Listicle")</f>
        <v>Listicle</v>
      </c>
      <c r="G957" s="11" t="b">
        <f>IFERROR(__xludf.DUMMYFUNCTION("""COMPUTED_VALUE"""),FALSE)</f>
        <v>0</v>
      </c>
      <c r="H957" s="11"/>
      <c r="I957" s="11">
        <f>IFERROR(__xludf.DUMMYFUNCTION("""COMPUTED_VALUE"""),1.0)</f>
        <v>1</v>
      </c>
      <c r="J957" s="11">
        <f>IFERROR(__xludf.DUMMYFUNCTION("""COMPUTED_VALUE"""),0.0)</f>
        <v>0</v>
      </c>
      <c r="K957" s="11">
        <f>IFERROR(__xludf.DUMMYFUNCTION("""COMPUTED_VALUE"""),1.0)</f>
        <v>1</v>
      </c>
      <c r="L957" s="11"/>
    </row>
    <row r="958" ht="15.75" customHeight="1">
      <c r="A958" s="10" t="str">
        <f>IFERROR(__xludf.DUMMYFUNCTION("""COMPUTED_VALUE"""),"https://measpublishing.co.uk/top-geo-agencies-in-the-uk-for-ai-search-performance-marketing")</f>
        <v>https://measpublishing.co.uk/top-geo-agencies-in-the-uk-for-ai-search-performance-marketing</v>
      </c>
      <c r="B958" s="11" t="str">
        <f>IFERROR(__xludf.DUMMYFUNCTION("""COMPUTED_VALUE"""),"Top GEO Agencies in the UK for AI Search Performance Marketing")</f>
        <v>Top GEO Agencies in the UK for AI Search Performance Marketing</v>
      </c>
      <c r="C958" s="10" t="str">
        <f>IFERROR(__xludf.DUMMYFUNCTION("""COMPUTED_VALUE"""),"measpublishing.co.uk")</f>
        <v>measpublishing.co.uk</v>
      </c>
      <c r="D958" s="11" t="str">
        <f>IFERROR(__xludf.DUMMYFUNCTION("""COMPUTED_VALUE"""),"LISTICLE")</f>
        <v>LISTICLE</v>
      </c>
      <c r="E958" s="11" t="str">
        <f>IFERROR(__xludf.DUMMYFUNCTION("""COMPUTED_VALUE"""),"CORPORATE")</f>
        <v>CORPORATE</v>
      </c>
      <c r="F958" s="11" t="str">
        <f>IFERROR(__xludf.DUMMYFUNCTION("""COMPUTED_VALUE"""),"Listicle")</f>
        <v>Listicle</v>
      </c>
      <c r="G958" s="11" t="b">
        <f>IFERROR(__xludf.DUMMYFUNCTION("""COMPUTED_VALUE"""),FALSE)</f>
        <v>0</v>
      </c>
      <c r="H958" s="11" t="str">
        <f>IFERROR(__xludf.DUMMYFUNCTION("""COMPUTED_VALUE"""),"First Page Sage, Single Grain, iPullRank, Silverback Strategies")</f>
        <v>First Page Sage, Single Grain, iPullRank, Silverback Strategies</v>
      </c>
      <c r="I958" s="11">
        <f>IFERROR(__xludf.DUMMYFUNCTION("""COMPUTED_VALUE"""),1.0)</f>
        <v>1</v>
      </c>
      <c r="J958" s="11">
        <f>IFERROR(__xludf.DUMMYFUNCTION("""COMPUTED_VALUE"""),0.0)</f>
        <v>0</v>
      </c>
      <c r="K958" s="11">
        <f>IFERROR(__xludf.DUMMYFUNCTION("""COMPUTED_VALUE"""),0.0)</f>
        <v>0</v>
      </c>
      <c r="L958" s="11"/>
    </row>
    <row r="959" ht="15.75" customHeight="1">
      <c r="A959" s="10" t="str">
        <f>IFERROR(__xludf.DUMMYFUNCTION("""COMPUTED_VALUE"""),"https://www.mediapost.com/publications/article/407384/omd-repeats-as-top-ranked-us-media-agency-by-billi.html")</f>
        <v>https://www.mediapost.com/publications/article/407384/omd-repeats-as-top-ranked-us-media-agency-by-billi.html</v>
      </c>
      <c r="B959" s="11" t="str">
        <f>IFERROR(__xludf.DUMMYFUNCTION("""COMPUTED_VALUE"""),"OMD Repeats As Top-Ranked US Media Agency By Billings 07/15/2025")</f>
        <v>OMD Repeats As Top-Ranked US Media Agency By Billings 07/15/2025</v>
      </c>
      <c r="C959" s="10" t="str">
        <f>IFERROR(__xludf.DUMMYFUNCTION("""COMPUTED_VALUE"""),"mediapost.com")</f>
        <v>mediapost.com</v>
      </c>
      <c r="D959" s="11" t="str">
        <f>IFERROR(__xludf.DUMMYFUNCTION("""COMPUTED_VALUE"""),"ARTICLE")</f>
        <v>ARTICLE</v>
      </c>
      <c r="E959" s="11" t="str">
        <f>IFERROR(__xludf.DUMMYFUNCTION("""COMPUTED_VALUE"""),"EDITORIAL")</f>
        <v>EDITORIAL</v>
      </c>
      <c r="F959" s="11" t="str">
        <f>IFERROR(__xludf.DUMMYFUNCTION("""COMPUTED_VALUE"""),"Article")</f>
        <v>Article</v>
      </c>
      <c r="G959" s="11" t="b">
        <f>IFERROR(__xludf.DUMMYFUNCTION("""COMPUTED_VALUE"""),FALSE)</f>
        <v>0</v>
      </c>
      <c r="H959" s="11" t="str">
        <f>IFERROR(__xludf.DUMMYFUNCTION("""COMPUTED_VALUE"""),"Horizon Media, Omnicom Media Group, WPP, Measured")</f>
        <v>Horizon Media, Omnicom Media Group, WPP, Measured</v>
      </c>
      <c r="I959" s="11">
        <f>IFERROR(__xludf.DUMMYFUNCTION("""COMPUTED_VALUE"""),1.0)</f>
        <v>1</v>
      </c>
      <c r="J959" s="11">
        <f>IFERROR(__xludf.DUMMYFUNCTION("""COMPUTED_VALUE"""),0.0)</f>
        <v>0</v>
      </c>
      <c r="K959" s="11">
        <f>IFERROR(__xludf.DUMMYFUNCTION("""COMPUTED_VALUE"""),2.0)</f>
        <v>2</v>
      </c>
      <c r="L959" s="11"/>
    </row>
    <row r="960" ht="15.75" customHeight="1">
      <c r="A960" s="10" t="str">
        <f>IFERROR(__xludf.DUMMYFUNCTION("""COMPUTED_VALUE"""),"https://mediavision2020.com/top-50-geofencing-companies-in-2026/#:~:text=Goodway%20Group%20%E2%80%93%20Enterprise%2Dlevel%20programmatic%20agency%20using,Boutique%20agency%20focused%20on%20precise%20geographic%20targeting.")</f>
        <v>https://mediavision2020.com/top-50-geofencing-companies-in-2026/#:~:text=Goodway%20Group%20%E2%80%93%20Enterprise%2Dlevel%20programmatic%20agency%20using,Boutique%20agency%20focused%20on%20precise%20geographic%20targeting.</v>
      </c>
      <c r="B960" s="11" t="str">
        <f>IFERROR(__xludf.DUMMYFUNCTION("""COMPUTED_VALUE"""),"Top 50 Geofencing Companies in 2026")</f>
        <v>Top 50 Geofencing Companies in 2026</v>
      </c>
      <c r="C960" s="10" t="str">
        <f>IFERROR(__xludf.DUMMYFUNCTION("""COMPUTED_VALUE"""),"mediavision2020.com")</f>
        <v>mediavision2020.com</v>
      </c>
      <c r="D960" s="11" t="str">
        <f>IFERROR(__xludf.DUMMYFUNCTION("""COMPUTED_VALUE"""),"LISTICLE")</f>
        <v>LISTICLE</v>
      </c>
      <c r="E960" s="11" t="str">
        <f>IFERROR(__xludf.DUMMYFUNCTION("""COMPUTED_VALUE"""),"CORPORATE")</f>
        <v>CORPORATE</v>
      </c>
      <c r="F960" s="11" t="str">
        <f>IFERROR(__xludf.DUMMYFUNCTION("""COMPUTED_VALUE"""),"Listicle")</f>
        <v>Listicle</v>
      </c>
      <c r="G960" s="11" t="b">
        <f>IFERROR(__xludf.DUMMYFUNCTION("""COMPUTED_VALUE"""),FALSE)</f>
        <v>0</v>
      </c>
      <c r="H960" s="11" t="str">
        <f>IFERROR(__xludf.DUMMYFUNCTION("""COMPUTED_VALUE"""),"WebFX, Silverback Strategies, Ignite Visibility, Thrive Internet Marketing Agency, iPullRank, IBM")</f>
        <v>WebFX, Silverback Strategies, Ignite Visibility, Thrive Internet Marketing Agency, iPullRank, IBM</v>
      </c>
      <c r="I960" s="11">
        <f>IFERROR(__xludf.DUMMYFUNCTION("""COMPUTED_VALUE"""),1.0)</f>
        <v>1</v>
      </c>
      <c r="J960" s="11">
        <f>IFERROR(__xludf.DUMMYFUNCTION("""COMPUTED_VALUE"""),0.0)</f>
        <v>0</v>
      </c>
      <c r="K960" s="11">
        <f>IFERROR(__xludf.DUMMYFUNCTION("""COMPUTED_VALUE"""),3.0)</f>
        <v>3</v>
      </c>
      <c r="L960" s="11"/>
    </row>
    <row r="961" ht="15.75" customHeight="1">
      <c r="A961" s="10" t="str">
        <f>IFERROR(__xludf.DUMMYFUNCTION("""COMPUTED_VALUE"""),"https://medium.com/@naiya.sharma_75305/10-best-digital-marketing-agencies-trusted-by-leading-brands-in-the-usa-db172483a516")</f>
        <v>https://medium.com/@naiya.sharma_75305/10-best-digital-marketing-agencies-trusted-by-leading-brands-in-the-usa-db172483a516</v>
      </c>
      <c r="B961" s="11" t="str">
        <f>IFERROR(__xludf.DUMMYFUNCTION("""COMPUTED_VALUE"""),"10+ Best Digital Marketing Agencies Trusted by Leading Brands in the USA | by Naiya Sharma | Medium")</f>
        <v>10+ Best Digital Marketing Agencies Trusted by Leading Brands in the USA | by Naiya Sharma | Medium</v>
      </c>
      <c r="C961" s="10" t="str">
        <f>IFERROR(__xludf.DUMMYFUNCTION("""COMPUTED_VALUE"""),"medium.com")</f>
        <v>medium.com</v>
      </c>
      <c r="D961" s="11" t="str">
        <f>IFERROR(__xludf.DUMMYFUNCTION("""COMPUTED_VALUE"""),"LISTICLE")</f>
        <v>LISTICLE</v>
      </c>
      <c r="E961" s="11" t="str">
        <f>IFERROR(__xludf.DUMMYFUNCTION("""COMPUTED_VALUE"""),"UGC")</f>
        <v>UGC</v>
      </c>
      <c r="F961" s="11" t="str">
        <f>IFERROR(__xludf.DUMMYFUNCTION("""COMPUTED_VALUE"""),"Listicle")</f>
        <v>Listicle</v>
      </c>
      <c r="G961" s="11" t="b">
        <f>IFERROR(__xludf.DUMMYFUNCTION("""COMPUTED_VALUE"""),FALSE)</f>
        <v>0</v>
      </c>
      <c r="H961" s="11" t="str">
        <f>IFERROR(__xludf.DUMMYFUNCTION("""COMPUTED_VALUE"""),"Ogilvy, IBM, Dentsu, Merkle, Accenture Song, Deloitte Digital, BBDO, Omnicom Media Group, Publicis Groupe, Epsilon, Wieden+Kennedy")</f>
        <v>Ogilvy, IBM, Dentsu, Merkle, Accenture Song, Deloitte Digital, BBDO, Omnicom Media Group, Publicis Groupe, Epsilon, Wieden+Kennedy</v>
      </c>
      <c r="I961" s="11">
        <f>IFERROR(__xludf.DUMMYFUNCTION("""COMPUTED_VALUE"""),1.0)</f>
        <v>1</v>
      </c>
      <c r="J961" s="11">
        <f>IFERROR(__xludf.DUMMYFUNCTION("""COMPUTED_VALUE"""),0.0)</f>
        <v>0</v>
      </c>
      <c r="K961" s="11">
        <f>IFERROR(__xludf.DUMMYFUNCTION("""COMPUTED_VALUE"""),0.0)</f>
        <v>0</v>
      </c>
      <c r="L961" s="11"/>
    </row>
    <row r="962" ht="15.75" customHeight="1">
      <c r="A962" s="10" t="str">
        <f>IFERROR(__xludf.DUMMYFUNCTION("""COMPUTED_VALUE"""),"https://www.midastouchinfotech.com/leading-digital-marketing-agencies-usa/")</f>
        <v>https://www.midastouchinfotech.com/leading-digital-marketing-agencies-usa/</v>
      </c>
      <c r="B962" s="11" t="str">
        <f>IFERROR(__xludf.DUMMYFUNCTION("""COMPUTED_VALUE"""),"List of Top Digital Marketing Agency in USA to Drive Business Growth")</f>
        <v>List of Top Digital Marketing Agency in USA to Drive Business Growth</v>
      </c>
      <c r="C962" s="10" t="str">
        <f>IFERROR(__xludf.DUMMYFUNCTION("""COMPUTED_VALUE"""),"midastouchinfotech.com")</f>
        <v>midastouchinfotech.com</v>
      </c>
      <c r="D962" s="11" t="str">
        <f>IFERROR(__xludf.DUMMYFUNCTION("""COMPUTED_VALUE"""),"LISTICLE")</f>
        <v>LISTICLE</v>
      </c>
      <c r="E962" s="11" t="str">
        <f>IFERROR(__xludf.DUMMYFUNCTION("""COMPUTED_VALUE"""),"CORPORATE")</f>
        <v>CORPORATE</v>
      </c>
      <c r="F962" s="11" t="str">
        <f>IFERROR(__xludf.DUMMYFUNCTION("""COMPUTED_VALUE"""),"Listicle")</f>
        <v>Listicle</v>
      </c>
      <c r="G962" s="11" t="b">
        <f>IFERROR(__xludf.DUMMYFUNCTION("""COMPUTED_VALUE"""),FALSE)</f>
        <v>0</v>
      </c>
      <c r="H962" s="11" t="str">
        <f>IFERROR(__xludf.DUMMYFUNCTION("""COMPUTED_VALUE"""),"Dentsu, Thrive Internet Marketing Agency, SmartSites, PMG")</f>
        <v>Dentsu, Thrive Internet Marketing Agency, SmartSites, PMG</v>
      </c>
      <c r="I962" s="11">
        <f>IFERROR(__xludf.DUMMYFUNCTION("""COMPUTED_VALUE"""),1.0)</f>
        <v>1</v>
      </c>
      <c r="J962" s="11">
        <f>IFERROR(__xludf.DUMMYFUNCTION("""COMPUTED_VALUE"""),0.0)</f>
        <v>0</v>
      </c>
      <c r="K962" s="11">
        <f>IFERROR(__xludf.DUMMYFUNCTION("""COMPUTED_VALUE"""),0.0)</f>
        <v>0</v>
      </c>
      <c r="L962" s="11"/>
    </row>
    <row r="963" ht="15.75" customHeight="1">
      <c r="A963" s="10" t="str">
        <f>IFERROR(__xludf.DUMMYFUNCTION("""COMPUTED_VALUE"""),"https://mikekhorev.com/top-performing-geo-agencies")</f>
        <v>https://mikekhorev.com/top-performing-geo-agencies</v>
      </c>
      <c r="B963" s="11" t="str">
        <f>IFERROR(__xludf.DUMMYFUNCTION("""COMPUTED_VALUE"""),"The Best Performing GEO Agencies")</f>
        <v>The Best Performing GEO Agencies</v>
      </c>
      <c r="C963" s="10" t="str">
        <f>IFERROR(__xludf.DUMMYFUNCTION("""COMPUTED_VALUE"""),"mikekhorev.com")</f>
        <v>mikekhorev.com</v>
      </c>
      <c r="D963" s="11" t="str">
        <f>IFERROR(__xludf.DUMMYFUNCTION("""COMPUTED_VALUE"""),"LISTICLE")</f>
        <v>LISTICLE</v>
      </c>
      <c r="E963" s="11" t="str">
        <f>IFERROR(__xludf.DUMMYFUNCTION("""COMPUTED_VALUE"""),"CORPORATE")</f>
        <v>CORPORATE</v>
      </c>
      <c r="F963" s="11" t="str">
        <f>IFERROR(__xludf.DUMMYFUNCTION("""COMPUTED_VALUE"""),"Listicle")</f>
        <v>Listicle</v>
      </c>
      <c r="G963" s="11" t="b">
        <f>IFERROR(__xludf.DUMMYFUNCTION("""COMPUTED_VALUE"""),FALSE)</f>
        <v>0</v>
      </c>
      <c r="H963" s="11" t="str">
        <f>IFERROR(__xludf.DUMMYFUNCTION("""COMPUTED_VALUE"""),"Intero Digital")</f>
        <v>Intero Digital</v>
      </c>
      <c r="I963" s="11">
        <f>IFERROR(__xludf.DUMMYFUNCTION("""COMPUTED_VALUE"""),1.0)</f>
        <v>1</v>
      </c>
      <c r="J963" s="11">
        <f>IFERROR(__xludf.DUMMYFUNCTION("""COMPUTED_VALUE"""),0.0)</f>
        <v>0</v>
      </c>
      <c r="K963" s="11">
        <f>IFERROR(__xludf.DUMMYFUNCTION("""COMPUTED_VALUE"""),0.0)</f>
        <v>0</v>
      </c>
      <c r="L963" s="11"/>
    </row>
    <row r="964" ht="15.75" customHeight="1">
      <c r="A964" s="10" t="str">
        <f>IFERROR(__xludf.DUMMYFUNCTION("""COMPUTED_VALUE"""),"https://minuttia.com/best-aeo-agencies/#:~:text=Now%20Over%20to%20You.%20HUMAN%20CRAFTED.%20This,Now%2C%20let's%20discuss%20each%20agency%20in%20detail.")</f>
        <v>https://minuttia.com/best-aeo-agencies/#:~:text=Now%20Over%20to%20You.%20HUMAN%20CRAFTED.%20This,Now%2C%20let's%20discuss%20each%20agency%20in%20detail.</v>
      </c>
      <c r="B964" s="11" t="str">
        <f>IFERROR(__xludf.DUMMYFUNCTION("""COMPUTED_VALUE"""),"10 Best Answer Engine Optimization (AEO) Agencies in July, 2026")</f>
        <v>10 Best Answer Engine Optimization (AEO) Agencies in July, 2026</v>
      </c>
      <c r="C964" s="10" t="str">
        <f>IFERROR(__xludf.DUMMYFUNCTION("""COMPUTED_VALUE"""),"minuttia.com")</f>
        <v>minuttia.com</v>
      </c>
      <c r="D964" s="11" t="str">
        <f>IFERROR(__xludf.DUMMYFUNCTION("""COMPUTED_VALUE"""),"OTHER")</f>
        <v>OTHER</v>
      </c>
      <c r="E964" s="11" t="str">
        <f>IFERROR(__xludf.DUMMYFUNCTION("""COMPUTED_VALUE"""),"CORPORATE")</f>
        <v>CORPORATE</v>
      </c>
      <c r="F964" s="11" t="str">
        <f>IFERROR(__xludf.DUMMYFUNCTION("""COMPUTED_VALUE"""),"Other")</f>
        <v>Other</v>
      </c>
      <c r="G964" s="11" t="b">
        <f>IFERROR(__xludf.DUMMYFUNCTION("""COMPUTED_VALUE"""),FALSE)</f>
        <v>0</v>
      </c>
      <c r="H964" s="11" t="str">
        <f>IFERROR(__xludf.DUMMYFUNCTION("""COMPUTED_VALUE"""),"Single Grain, First Page Sage, Siege Media, iPullRank, Avenue Z, NoGood, Clutch")</f>
        <v>Single Grain, First Page Sage, Siege Media, iPullRank, Avenue Z, NoGood, Clutch</v>
      </c>
      <c r="I964" s="11">
        <f>IFERROR(__xludf.DUMMYFUNCTION("""COMPUTED_VALUE"""),1.0)</f>
        <v>1</v>
      </c>
      <c r="J964" s="11">
        <f>IFERROR(__xludf.DUMMYFUNCTION("""COMPUTED_VALUE"""),0.0)</f>
        <v>0</v>
      </c>
      <c r="K964" s="11">
        <f>IFERROR(__xludf.DUMMYFUNCTION("""COMPUTED_VALUE"""),1.0)</f>
        <v>1</v>
      </c>
      <c r="L964" s="11"/>
    </row>
    <row r="965" ht="15.75" customHeight="1">
      <c r="A965" s="10" t="str">
        <f>IFERROR(__xludf.DUMMYFUNCTION("""COMPUTED_VALUE"""),"https://minuttia.com/best-ai-seo-agencies/")</f>
        <v>https://minuttia.com/best-ai-seo-agencies/</v>
      </c>
      <c r="B965" s="11" t="str">
        <f>IFERROR(__xludf.DUMMYFUNCTION("""COMPUTED_VALUE"""),"10 Best AI SEO Agencies in July, 2026 - Minuttia")</f>
        <v>10 Best AI SEO Agencies in July, 2026 - Minuttia</v>
      </c>
      <c r="C965" s="10" t="str">
        <f>IFERROR(__xludf.DUMMYFUNCTION("""COMPUTED_VALUE"""),"minuttia.com")</f>
        <v>minuttia.com</v>
      </c>
      <c r="D965" s="11" t="str">
        <f>IFERROR(__xludf.DUMMYFUNCTION("""COMPUTED_VALUE"""),"LISTICLE")</f>
        <v>LISTICLE</v>
      </c>
      <c r="E965" s="11" t="str">
        <f>IFERROR(__xludf.DUMMYFUNCTION("""COMPUTED_VALUE"""),"CORPORATE")</f>
        <v>CORPORATE</v>
      </c>
      <c r="F965" s="11" t="str">
        <f>IFERROR(__xludf.DUMMYFUNCTION("""COMPUTED_VALUE"""),"Listicle")</f>
        <v>Listicle</v>
      </c>
      <c r="G965" s="11" t="b">
        <f>IFERROR(__xludf.DUMMYFUNCTION("""COMPUTED_VALUE"""),FALSE)</f>
        <v>0</v>
      </c>
      <c r="H965" s="11" t="str">
        <f>IFERROR(__xludf.DUMMYFUNCTION("""COMPUTED_VALUE"""),"iPullRank, Go Fish Digital, NoGood, Clutch")</f>
        <v>iPullRank, Go Fish Digital, NoGood, Clutch</v>
      </c>
      <c r="I965" s="11">
        <f>IFERROR(__xludf.DUMMYFUNCTION("""COMPUTED_VALUE"""),1.0)</f>
        <v>1</v>
      </c>
      <c r="J965" s="11">
        <f>IFERROR(__xludf.DUMMYFUNCTION("""COMPUTED_VALUE"""),0.0)</f>
        <v>0</v>
      </c>
      <c r="K965" s="11">
        <f>IFERROR(__xludf.DUMMYFUNCTION("""COMPUTED_VALUE"""),1.0)</f>
        <v>1</v>
      </c>
      <c r="L965" s="11"/>
    </row>
    <row r="966" ht="15.75" customHeight="1">
      <c r="A966" s="10" t="str">
        <f>IFERROR(__xludf.DUMMYFUNCTION("""COMPUTED_VALUE"""),"https://www.moburst.com/blog/top-media-buying-agencies/")</f>
        <v>https://www.moburst.com/blog/top-media-buying-agencies/</v>
      </c>
      <c r="B966" s="11" t="str">
        <f>IFERROR(__xludf.DUMMYFUNCTION("""COMPUTED_VALUE"""),"Top 10 Media Buying Agencies | Moburst")</f>
        <v>Top 10 Media Buying Agencies | Moburst</v>
      </c>
      <c r="C966" s="10" t="str">
        <f>IFERROR(__xludf.DUMMYFUNCTION("""COMPUTED_VALUE"""),"moburst.com")</f>
        <v>moburst.com</v>
      </c>
      <c r="D966" s="11" t="str">
        <f>IFERROR(__xludf.DUMMYFUNCTION("""COMPUTED_VALUE"""),"LISTICLE")</f>
        <v>LISTICLE</v>
      </c>
      <c r="E966" s="11" t="str">
        <f>IFERROR(__xludf.DUMMYFUNCTION("""COMPUTED_VALUE"""),"CORPORATE")</f>
        <v>CORPORATE</v>
      </c>
      <c r="F966" s="11" t="str">
        <f>IFERROR(__xludf.DUMMYFUNCTION("""COMPUTED_VALUE"""),"Listicle")</f>
        <v>Listicle</v>
      </c>
      <c r="G966" s="11" t="b">
        <f>IFERROR(__xludf.DUMMYFUNCTION("""COMPUTED_VALUE"""),FALSE)</f>
        <v>0</v>
      </c>
      <c r="H966" s="11" t="str">
        <f>IFERROR(__xludf.DUMMYFUNCTION("""COMPUTED_VALUE"""),"Dentsu, inBeat, Single Grain, Percepture")</f>
        <v>Dentsu, inBeat, Single Grain, Percepture</v>
      </c>
      <c r="I966" s="11">
        <f>IFERROR(__xludf.DUMMYFUNCTION("""COMPUTED_VALUE"""),1.0)</f>
        <v>1</v>
      </c>
      <c r="J966" s="11">
        <f>IFERROR(__xludf.DUMMYFUNCTION("""COMPUTED_VALUE"""),0.0)</f>
        <v>0</v>
      </c>
      <c r="K966" s="11">
        <f>IFERROR(__xludf.DUMMYFUNCTION("""COMPUTED_VALUE"""),1.0)</f>
        <v>1</v>
      </c>
      <c r="L966" s="11"/>
    </row>
    <row r="967" ht="15.75" customHeight="1">
      <c r="A967" s="10" t="str">
        <f>IFERROR(__xludf.DUMMYFUNCTION("""COMPUTED_VALUE"""),"https://www.munro.agency/best-ai-seo-agencies-in-the-usa/")</f>
        <v>https://www.munro.agency/best-ai-seo-agencies-in-the-usa/</v>
      </c>
      <c r="B967" s="11" t="str">
        <f>IFERROR(__xludf.DUMMYFUNCTION("""COMPUTED_VALUE"""),"20 Best AI SEO Agencies in the USA")</f>
        <v>20 Best AI SEO Agencies in the USA</v>
      </c>
      <c r="C967" s="11" t="str">
        <f>IFERROR(__xludf.DUMMYFUNCTION("""COMPUTED_VALUE"""),"munro.agency")</f>
        <v>munro.agency</v>
      </c>
      <c r="D967" s="11" t="str">
        <f>IFERROR(__xludf.DUMMYFUNCTION("""COMPUTED_VALUE"""),"LISTICLE")</f>
        <v>LISTICLE</v>
      </c>
      <c r="E967" s="11" t="str">
        <f>IFERROR(__xludf.DUMMYFUNCTION("""COMPUTED_VALUE"""),"CORPORATE")</f>
        <v>CORPORATE</v>
      </c>
      <c r="F967" s="11" t="str">
        <f>IFERROR(__xludf.DUMMYFUNCTION("""COMPUTED_VALUE"""),"Listicle")</f>
        <v>Listicle</v>
      </c>
      <c r="G967" s="11" t="b">
        <f>IFERROR(__xludf.DUMMYFUNCTION("""COMPUTED_VALUE"""),FALSE)</f>
        <v>0</v>
      </c>
      <c r="H967" s="11" t="str">
        <f>IFERROR(__xludf.DUMMYFUNCTION("""COMPUTED_VALUE"""),"iPullRank, Omniscient Digital, Momentum, First Page Sage, RevenueZen, WebFX, Single Grain, NoGood, Victorious, Intero Digital, Thrive Internet Marketing Agency, Noble Studios")</f>
        <v>iPullRank, Omniscient Digital, Momentum, First Page Sage, RevenueZen, WebFX, Single Grain, NoGood, Victorious, Intero Digital, Thrive Internet Marketing Agency, Noble Studios</v>
      </c>
      <c r="I967" s="11">
        <f>IFERROR(__xludf.DUMMYFUNCTION("""COMPUTED_VALUE"""),1.0)</f>
        <v>1</v>
      </c>
      <c r="J967" s="11">
        <f>IFERROR(__xludf.DUMMYFUNCTION("""COMPUTED_VALUE"""),0.0)</f>
        <v>0</v>
      </c>
      <c r="K967" s="11">
        <f>IFERROR(__xludf.DUMMYFUNCTION("""COMPUTED_VALUE"""),0.0)</f>
        <v>0</v>
      </c>
      <c r="L967" s="11"/>
    </row>
    <row r="968" ht="15.75" customHeight="1">
      <c r="A968" s="10" t="str">
        <f>IFERROR(__xludf.DUMMYFUNCTION("""COMPUTED_VALUE"""),"https://www.munro.agency/insights/top-marketing-companies-in-the-world/")</f>
        <v>https://www.munro.agency/insights/top-marketing-companies-in-the-world/</v>
      </c>
      <c r="B968" s="11" t="str">
        <f>IFERROR(__xludf.DUMMYFUNCTION("""COMPUTED_VALUE"""),"Top 50 Marketing Companies in the World Ranked by Revenue - The Munro Agency")</f>
        <v>Top 50 Marketing Companies in the World Ranked by Revenue - The Munro Agency</v>
      </c>
      <c r="C968" s="11" t="str">
        <f>IFERROR(__xludf.DUMMYFUNCTION("""COMPUTED_VALUE"""),"munro.agency")</f>
        <v>munro.agency</v>
      </c>
      <c r="D968" s="11" t="str">
        <f>IFERROR(__xludf.DUMMYFUNCTION("""COMPUTED_VALUE"""),"LISTICLE")</f>
        <v>LISTICLE</v>
      </c>
      <c r="E968" s="11" t="str">
        <f>IFERROR(__xludf.DUMMYFUNCTION("""COMPUTED_VALUE"""),"CORPORATE")</f>
        <v>CORPORATE</v>
      </c>
      <c r="F968" s="11" t="str">
        <f>IFERROR(__xludf.DUMMYFUNCTION("""COMPUTED_VALUE"""),"Listicle")</f>
        <v>Listicle</v>
      </c>
      <c r="G968" s="11" t="b">
        <f>IFERROR(__xludf.DUMMYFUNCTION("""COMPUTED_VALUE"""),FALSE)</f>
        <v>0</v>
      </c>
      <c r="H968" s="11" t="str">
        <f>IFERROR(__xludf.DUMMYFUNCTION("""COMPUTED_VALUE"""),"IBM, Croud, R/GA, AKQA, VML, Ogilvy, Publicis Sapient, WPP, Digitas, Dentsu, Publicis Groupe, Accenture Song, Deloitte Digital, PwC, BCG, McKinsey")</f>
        <v>IBM, Croud, R/GA, AKQA, VML, Ogilvy, Publicis Sapient, WPP, Digitas, Dentsu, Publicis Groupe, Accenture Song, Deloitte Digital, PwC, BCG, McKinsey</v>
      </c>
      <c r="I968" s="11">
        <f>IFERROR(__xludf.DUMMYFUNCTION("""COMPUTED_VALUE"""),1.0)</f>
        <v>1</v>
      </c>
      <c r="J968" s="11">
        <f>IFERROR(__xludf.DUMMYFUNCTION("""COMPUTED_VALUE"""),0.0)</f>
        <v>0</v>
      </c>
      <c r="K968" s="11">
        <f>IFERROR(__xludf.DUMMYFUNCTION("""COMPUTED_VALUE"""),1.0)</f>
        <v>1</v>
      </c>
      <c r="L968" s="11"/>
    </row>
    <row r="969" ht="15.75" customHeight="1">
      <c r="A969" s="10" t="str">
        <f>IFERROR(__xludf.DUMMYFUNCTION("""COMPUTED_VALUE"""),"https://www.munro.agency/top-10-paid-media-agencies/")</f>
        <v>https://www.munro.agency/top-10-paid-media-agencies/</v>
      </c>
      <c r="B969" s="11" t="str">
        <f>IFERROR(__xludf.DUMMYFUNCTION("""COMPUTED_VALUE"""),"Top 10 Paid Media Agencies for 2026")</f>
        <v>Top 10 Paid Media Agencies for 2026</v>
      </c>
      <c r="C969" s="11" t="str">
        <f>IFERROR(__xludf.DUMMYFUNCTION("""COMPUTED_VALUE"""),"munro.agency")</f>
        <v>munro.agency</v>
      </c>
      <c r="D969" s="11" t="str">
        <f>IFERROR(__xludf.DUMMYFUNCTION("""COMPUTED_VALUE"""),"LISTICLE")</f>
        <v>LISTICLE</v>
      </c>
      <c r="E969" s="11" t="str">
        <f>IFERROR(__xludf.DUMMYFUNCTION("""COMPUTED_VALUE"""),"CORPORATE")</f>
        <v>CORPORATE</v>
      </c>
      <c r="F969" s="11" t="str">
        <f>IFERROR(__xludf.DUMMYFUNCTION("""COMPUTED_VALUE"""),"Listicle")</f>
        <v>Listicle</v>
      </c>
      <c r="G969" s="11" t="b">
        <f>IFERROR(__xludf.DUMMYFUNCTION("""COMPUTED_VALUE"""),FALSE)</f>
        <v>0</v>
      </c>
      <c r="H969" s="11" t="str">
        <f>IFERROR(__xludf.DUMMYFUNCTION("""COMPUTED_VALUE"""),"inBeat, Power Digital")</f>
        <v>inBeat, Power Digital</v>
      </c>
      <c r="I969" s="11">
        <f>IFERROR(__xludf.DUMMYFUNCTION("""COMPUTED_VALUE"""),1.0)</f>
        <v>1</v>
      </c>
      <c r="J969" s="11">
        <f>IFERROR(__xludf.DUMMYFUNCTION("""COMPUTED_VALUE"""),0.0)</f>
        <v>0</v>
      </c>
      <c r="K969" s="11">
        <f>IFERROR(__xludf.DUMMYFUNCTION("""COMPUTED_VALUE"""),0.0)</f>
        <v>0</v>
      </c>
      <c r="L969" s="11"/>
    </row>
    <row r="970" ht="15.75" customHeight="1">
      <c r="A970" s="10" t="str">
        <f>IFERROR(__xludf.DUMMYFUNCTION("""COMPUTED_VALUE"""),"https://www.mythology.com/blog/most-creative-agency-nyc")</f>
        <v>https://www.mythology.com/blog/most-creative-agency-nyc</v>
      </c>
      <c r="B970" s="11" t="str">
        <f>IFERROR(__xludf.DUMMYFUNCTION("""COMPUTED_VALUE"""),"Blog - Best Creative Agency in New York City")</f>
        <v>Blog - Best Creative Agency in New York City</v>
      </c>
      <c r="C970" s="10" t="str">
        <f>IFERROR(__xludf.DUMMYFUNCTION("""COMPUTED_VALUE"""),"mythology.com")</f>
        <v>mythology.com</v>
      </c>
      <c r="D970" s="11" t="str">
        <f>IFERROR(__xludf.DUMMYFUNCTION("""COMPUTED_VALUE"""),"LISTICLE")</f>
        <v>LISTICLE</v>
      </c>
      <c r="E970" s="11" t="str">
        <f>IFERROR(__xludf.DUMMYFUNCTION("""COMPUTED_VALUE"""),"CORPORATE")</f>
        <v>CORPORATE</v>
      </c>
      <c r="F970" s="11" t="str">
        <f>IFERROR(__xludf.DUMMYFUNCTION("""COMPUTED_VALUE"""),"Listicle")</f>
        <v>Listicle</v>
      </c>
      <c r="G970" s="11" t="b">
        <f>IFERROR(__xludf.DUMMYFUNCTION("""COMPUTED_VALUE"""),FALSE)</f>
        <v>0</v>
      </c>
      <c r="H970" s="11" t="str">
        <f>IFERROR(__xludf.DUMMYFUNCTION("""COMPUTED_VALUE"""),"Droga5, R/GA, Anomaly, Pentagram, 72andSunny")</f>
        <v>Droga5, R/GA, Anomaly, Pentagram, 72andSunny</v>
      </c>
      <c r="I970" s="11">
        <f>IFERROR(__xludf.DUMMYFUNCTION("""COMPUTED_VALUE"""),1.0)</f>
        <v>1</v>
      </c>
      <c r="J970" s="11">
        <f>IFERROR(__xludf.DUMMYFUNCTION("""COMPUTED_VALUE"""),0.0)</f>
        <v>0</v>
      </c>
      <c r="K970" s="11">
        <f>IFERROR(__xludf.DUMMYFUNCTION("""COMPUTED_VALUE"""),1.0)</f>
        <v>1</v>
      </c>
      <c r="L970" s="11"/>
    </row>
    <row r="971" ht="15.75" customHeight="1">
      <c r="A971" s="10" t="str">
        <f>IFERROR(__xludf.DUMMYFUNCTION("""COMPUTED_VALUE"""),"https://www.neowork.com/insights/marketing-analytics-outsourcing-companies")</f>
        <v>https://www.neowork.com/insights/marketing-analytics-outsourcing-companies</v>
      </c>
      <c r="B971" s="11" t="str">
        <f>IFERROR(__xludf.DUMMYFUNCTION("""COMPUTED_VALUE"""),"13 Best Marketing Analytics Outsourcing Companies (2026)")</f>
        <v>13 Best Marketing Analytics Outsourcing Companies (2026)</v>
      </c>
      <c r="C971" s="10" t="str">
        <f>IFERROR(__xludf.DUMMYFUNCTION("""COMPUTED_VALUE"""),"neowork.com")</f>
        <v>neowork.com</v>
      </c>
      <c r="D971" s="11" t="str">
        <f>IFERROR(__xludf.DUMMYFUNCTION("""COMPUTED_VALUE"""),"LISTICLE")</f>
        <v>LISTICLE</v>
      </c>
      <c r="E971" s="11" t="str">
        <f>IFERROR(__xludf.DUMMYFUNCTION("""COMPUTED_VALUE"""),"CORPORATE")</f>
        <v>CORPORATE</v>
      </c>
      <c r="F971" s="11" t="str">
        <f>IFERROR(__xludf.DUMMYFUNCTION("""COMPUTED_VALUE"""),"Listicle")</f>
        <v>Listicle</v>
      </c>
      <c r="G971" s="11" t="b">
        <f>IFERROR(__xludf.DUMMYFUNCTION("""COMPUTED_VALUE"""),FALSE)</f>
        <v>0</v>
      </c>
      <c r="H971" s="11"/>
      <c r="I971" s="11">
        <f>IFERROR(__xludf.DUMMYFUNCTION("""COMPUTED_VALUE"""),1.0)</f>
        <v>1</v>
      </c>
      <c r="J971" s="11">
        <f>IFERROR(__xludf.DUMMYFUNCTION("""COMPUTED_VALUE"""),0.0)</f>
        <v>0</v>
      </c>
      <c r="K971" s="11">
        <f>IFERROR(__xludf.DUMMYFUNCTION("""COMPUTED_VALUE"""),0.0)</f>
        <v>0</v>
      </c>
      <c r="L971" s="11"/>
    </row>
    <row r="972" ht="15.75" customHeight="1">
      <c r="A972" s="10" t="str">
        <f>IFERROR(__xludf.DUMMYFUNCTION("""COMPUTED_VALUE"""),"https://www.newform.com/guides/best-performance-creative-agencies-nyc-2026")</f>
        <v>https://www.newform.com/guides/best-performance-creative-agencies-nyc-2026</v>
      </c>
      <c r="B972" s="11" t="str">
        <f>IFERROR(__xludf.DUMMYFUNCTION("""COMPUTED_VALUE"""),"Best Performance Creative Agencies in NYC for 2026 (Ranked) | NewForm")</f>
        <v>Best Performance Creative Agencies in NYC for 2026 (Ranked) | NewForm</v>
      </c>
      <c r="C972" s="10" t="str">
        <f>IFERROR(__xludf.DUMMYFUNCTION("""COMPUTED_VALUE"""),"newform.com")</f>
        <v>newform.com</v>
      </c>
      <c r="D972" s="11" t="str">
        <f>IFERROR(__xludf.DUMMYFUNCTION("""COMPUTED_VALUE"""),"LISTICLE")</f>
        <v>LISTICLE</v>
      </c>
      <c r="E972" s="11" t="str">
        <f>IFERROR(__xludf.DUMMYFUNCTION("""COMPUTED_VALUE"""),"CORPORATE")</f>
        <v>CORPORATE</v>
      </c>
      <c r="F972" s="11" t="str">
        <f>IFERROR(__xludf.DUMMYFUNCTION("""COMPUTED_VALUE"""),"Listicle")</f>
        <v>Listicle</v>
      </c>
      <c r="G972" s="11" t="b">
        <f>IFERROR(__xludf.DUMMYFUNCTION("""COMPUTED_VALUE"""),FALSE)</f>
        <v>0</v>
      </c>
      <c r="H972" s="11" t="str">
        <f>IFERROR(__xludf.DUMMYFUNCTION("""COMPUTED_VALUE"""),"Darkroom, inBeat, NoGood, Tinuiti, Power Digital, Directive, Droga5, Wieden+Kennedy, Ogilvy, R/GA, Huge")</f>
        <v>Darkroom, inBeat, NoGood, Tinuiti, Power Digital, Directive, Droga5, Wieden+Kennedy, Ogilvy, R/GA, Huge</v>
      </c>
      <c r="I972" s="11">
        <f>IFERROR(__xludf.DUMMYFUNCTION("""COMPUTED_VALUE"""),1.0)</f>
        <v>1</v>
      </c>
      <c r="J972" s="11">
        <f>IFERROR(__xludf.DUMMYFUNCTION("""COMPUTED_VALUE"""),0.0)</f>
        <v>0</v>
      </c>
      <c r="K972" s="11">
        <f>IFERROR(__xludf.DUMMYFUNCTION("""COMPUTED_VALUE"""),1.0)</f>
        <v>1</v>
      </c>
      <c r="L972" s="11"/>
    </row>
    <row r="973" ht="15.75" customHeight="1">
      <c r="A973" s="10" t="str">
        <f>IFERROR(__xludf.DUMMYFUNCTION("""COMPUTED_VALUE"""),"https://ninjapromo.io/top-google-ads-agencies")</f>
        <v>https://ninjapromo.io/top-google-ads-agencies</v>
      </c>
      <c r="B973" s="11" t="str">
        <f>IFERROR(__xludf.DUMMYFUNCTION("""COMPUTED_VALUE"""),"12 Best Google Ads Agencies for High-Scale PPC Growth in 2026")</f>
        <v>12 Best Google Ads Agencies for High-Scale PPC Growth in 2026</v>
      </c>
      <c r="C973" s="10" t="str">
        <f>IFERROR(__xludf.DUMMYFUNCTION("""COMPUTED_VALUE"""),"ninjapromo.io")</f>
        <v>ninjapromo.io</v>
      </c>
      <c r="D973" s="11" t="str">
        <f>IFERROR(__xludf.DUMMYFUNCTION("""COMPUTED_VALUE"""),"LISTICLE")</f>
        <v>LISTICLE</v>
      </c>
      <c r="E973" s="11" t="str">
        <f>IFERROR(__xludf.DUMMYFUNCTION("""COMPUTED_VALUE"""),"COMPETITOR")</f>
        <v>COMPETITOR</v>
      </c>
      <c r="F973" s="11" t="str">
        <f>IFERROR(__xludf.DUMMYFUNCTION("""COMPUTED_VALUE"""),"Listicle")</f>
        <v>Listicle</v>
      </c>
      <c r="G973" s="11" t="b">
        <f>IFERROR(__xludf.DUMMYFUNCTION("""COMPUTED_VALUE"""),FALSE)</f>
        <v>0</v>
      </c>
      <c r="H973" s="11" t="str">
        <f>IFERROR(__xludf.DUMMYFUNCTION("""COMPUTED_VALUE"""),"NinjaPromo, WebFX, Clutch, MuteSix, Single Grain")</f>
        <v>NinjaPromo, WebFX, Clutch, MuteSix, Single Grain</v>
      </c>
      <c r="I973" s="11">
        <f>IFERROR(__xludf.DUMMYFUNCTION("""COMPUTED_VALUE"""),1.0)</f>
        <v>1</v>
      </c>
      <c r="J973" s="11">
        <f>IFERROR(__xludf.DUMMYFUNCTION("""COMPUTED_VALUE"""),0.0)</f>
        <v>0</v>
      </c>
      <c r="K973" s="11">
        <f>IFERROR(__xludf.DUMMYFUNCTION("""COMPUTED_VALUE"""),1.0)</f>
        <v>1</v>
      </c>
      <c r="L973" s="11"/>
    </row>
    <row r="974" ht="15.75" customHeight="1">
      <c r="A974" s="10" t="str">
        <f>IFERROR(__xludf.DUMMYFUNCTION("""COMPUTED_VALUE"""),"https://ninjapromo.io/top-graphic-design-companies")</f>
        <v>https://ninjapromo.io/top-graphic-design-companies</v>
      </c>
      <c r="B974" s="11" t="str">
        <f>IFERROR(__xludf.DUMMYFUNCTION("""COMPUTED_VALUE"""),"15 Best Graphic Design Companies Redefining Visual Identity")</f>
        <v>15 Best Graphic Design Companies Redefining Visual Identity</v>
      </c>
      <c r="C974" s="10" t="str">
        <f>IFERROR(__xludf.DUMMYFUNCTION("""COMPUTED_VALUE"""),"ninjapromo.io")</f>
        <v>ninjapromo.io</v>
      </c>
      <c r="D974" s="11" t="str">
        <f>IFERROR(__xludf.DUMMYFUNCTION("""COMPUTED_VALUE"""),"LISTICLE")</f>
        <v>LISTICLE</v>
      </c>
      <c r="E974" s="11" t="str">
        <f>IFERROR(__xludf.DUMMYFUNCTION("""COMPUTED_VALUE"""),"COMPETITOR")</f>
        <v>COMPETITOR</v>
      </c>
      <c r="F974" s="11" t="str">
        <f>IFERROR(__xludf.DUMMYFUNCTION("""COMPUTED_VALUE"""),"Listicle")</f>
        <v>Listicle</v>
      </c>
      <c r="G974" s="11" t="b">
        <f>IFERROR(__xludf.DUMMYFUNCTION("""COMPUTED_VALUE"""),FALSE)</f>
        <v>0</v>
      </c>
      <c r="H974" s="11" t="str">
        <f>IFERROR(__xludf.DUMMYFUNCTION("""COMPUTED_VALUE"""),"NinjaPromo, McKinsey, Pentagram, Superside, IBM, Clutch")</f>
        <v>NinjaPromo, McKinsey, Pentagram, Superside, IBM, Clutch</v>
      </c>
      <c r="I974" s="11">
        <f>IFERROR(__xludf.DUMMYFUNCTION("""COMPUTED_VALUE"""),1.0)</f>
        <v>1</v>
      </c>
      <c r="J974" s="11">
        <f>IFERROR(__xludf.DUMMYFUNCTION("""COMPUTED_VALUE"""),0.0)</f>
        <v>0</v>
      </c>
      <c r="K974" s="11">
        <f>IFERROR(__xludf.DUMMYFUNCTION("""COMPUTED_VALUE"""),1.0)</f>
        <v>1</v>
      </c>
      <c r="L974" s="11"/>
    </row>
    <row r="975" ht="15.75" customHeight="1">
      <c r="A975" s="10" t="str">
        <f>IFERROR(__xludf.DUMMYFUNCTION("""COMPUTED_VALUE"""),"https://www.niracore.com/top-data-analytics-companies-usa-2026/")</f>
        <v>https://www.niracore.com/top-data-analytics-companies-usa-2026/</v>
      </c>
      <c r="B975" s="11" t="str">
        <f>IFERROR(__xludf.DUMMYFUNCTION("""COMPUTED_VALUE"""),"Top Data Analytics Companies in USA (2026)")</f>
        <v>Top Data Analytics Companies in USA (2026)</v>
      </c>
      <c r="C975" s="10" t="str">
        <f>IFERROR(__xludf.DUMMYFUNCTION("""COMPUTED_VALUE"""),"niracore.com")</f>
        <v>niracore.com</v>
      </c>
      <c r="D975" s="11" t="str">
        <f>IFERROR(__xludf.DUMMYFUNCTION("""COMPUTED_VALUE"""),"PRODUCT_PAGE")</f>
        <v>PRODUCT_PAGE</v>
      </c>
      <c r="E975" s="11" t="str">
        <f>IFERROR(__xludf.DUMMYFUNCTION("""COMPUTED_VALUE"""),"CORPORATE")</f>
        <v>CORPORATE</v>
      </c>
      <c r="F975" s="11" t="str">
        <f>IFERROR(__xludf.DUMMYFUNCTION("""COMPUTED_VALUE"""),"Product Page")</f>
        <v>Product Page</v>
      </c>
      <c r="G975" s="11" t="b">
        <f>IFERROR(__xludf.DUMMYFUNCTION("""COMPUTED_VALUE"""),FALSE)</f>
        <v>0</v>
      </c>
      <c r="H975" s="11" t="str">
        <f>IFERROR(__xludf.DUMMYFUNCTION("""COMPUTED_VALUE"""),"LatentView Analytics, Fractal Analytics")</f>
        <v>LatentView Analytics, Fractal Analytics</v>
      </c>
      <c r="I975" s="11">
        <f>IFERROR(__xludf.DUMMYFUNCTION("""COMPUTED_VALUE"""),1.0)</f>
        <v>1</v>
      </c>
      <c r="J975" s="11">
        <f>IFERROR(__xludf.DUMMYFUNCTION("""COMPUTED_VALUE"""),0.0)</f>
        <v>0</v>
      </c>
      <c r="K975" s="11">
        <f>IFERROR(__xludf.DUMMYFUNCTION("""COMPUTED_VALUE"""),1.0)</f>
        <v>1</v>
      </c>
      <c r="L975" s="11"/>
    </row>
    <row r="976" ht="15.75" customHeight="1">
      <c r="A976" s="10" t="str">
        <f>IFERROR(__xludf.DUMMYFUNCTION("""COMPUTED_VALUE"""),"https://nogood.io/blog/b2b-marketing-agencies/")</f>
        <v>https://nogood.io/blog/b2b-marketing-agencies/</v>
      </c>
      <c r="B976" s="11" t="str">
        <f>IFERROR(__xludf.DUMMYFUNCTION("""COMPUTED_VALUE"""),"The Best B2B Marketing Agencies in 2026 | NoGood")</f>
        <v>The Best B2B Marketing Agencies in 2026 | NoGood</v>
      </c>
      <c r="C976" s="10" t="str">
        <f>IFERROR(__xludf.DUMMYFUNCTION("""COMPUTED_VALUE"""),"nogood.io")</f>
        <v>nogood.io</v>
      </c>
      <c r="D976" s="11" t="str">
        <f>IFERROR(__xludf.DUMMYFUNCTION("""COMPUTED_VALUE"""),"LISTICLE")</f>
        <v>LISTICLE</v>
      </c>
      <c r="E976" s="11" t="str">
        <f>IFERROR(__xludf.DUMMYFUNCTION("""COMPUTED_VALUE"""),"COMPETITOR")</f>
        <v>COMPETITOR</v>
      </c>
      <c r="F976" s="11" t="str">
        <f>IFERROR(__xludf.DUMMYFUNCTION("""COMPUTED_VALUE"""),"Listicle")</f>
        <v>Listicle</v>
      </c>
      <c r="G976" s="11" t="b">
        <f>IFERROR(__xludf.DUMMYFUNCTION("""COMPUTED_VALUE"""),FALSE)</f>
        <v>0</v>
      </c>
      <c r="H976" s="11" t="str">
        <f>IFERROR(__xludf.DUMMYFUNCTION("""COMPUTED_VALUE"""),"NoGood, Merkle, Clutch, Jellyfish, Viral Nation, IBM, Disruptive Advertising, Brandtech, Momentum")</f>
        <v>NoGood, Merkle, Clutch, Jellyfish, Viral Nation, IBM, Disruptive Advertising, Brandtech, Momentum</v>
      </c>
      <c r="I976" s="11">
        <f>IFERROR(__xludf.DUMMYFUNCTION("""COMPUTED_VALUE"""),1.0)</f>
        <v>1</v>
      </c>
      <c r="J976" s="11">
        <f>IFERROR(__xludf.DUMMYFUNCTION("""COMPUTED_VALUE"""),0.0)</f>
        <v>0</v>
      </c>
      <c r="K976" s="11">
        <f>IFERROR(__xludf.DUMMYFUNCTION("""COMPUTED_VALUE"""),1.0)</f>
        <v>1</v>
      </c>
      <c r="L976" s="11"/>
    </row>
    <row r="977" ht="15.75" customHeight="1">
      <c r="A977" s="10" t="str">
        <f>IFERROR(__xludf.DUMMYFUNCTION("""COMPUTED_VALUE"""),"https://nogood.io/blog/best-answer-engine-optimization-agencies/")</f>
        <v>https://nogood.io/blog/best-answer-engine-optimization-agencies/</v>
      </c>
      <c r="B977" s="11" t="str">
        <f>IFERROR(__xludf.DUMMYFUNCTION("""COMPUTED_VALUE"""),"Best Answer Engine Optimization (AEO) Agencies 2026 | NoGood")</f>
        <v>Best Answer Engine Optimization (AEO) Agencies 2026 | NoGood</v>
      </c>
      <c r="C977" s="10" t="str">
        <f>IFERROR(__xludf.DUMMYFUNCTION("""COMPUTED_VALUE"""),"nogood.io")</f>
        <v>nogood.io</v>
      </c>
      <c r="D977" s="11" t="str">
        <f>IFERROR(__xludf.DUMMYFUNCTION("""COMPUTED_VALUE"""),"LISTICLE")</f>
        <v>LISTICLE</v>
      </c>
      <c r="E977" s="11" t="str">
        <f>IFERROR(__xludf.DUMMYFUNCTION("""COMPUTED_VALUE"""),"COMPETITOR")</f>
        <v>COMPETITOR</v>
      </c>
      <c r="F977" s="11" t="str">
        <f>IFERROR(__xludf.DUMMYFUNCTION("""COMPUTED_VALUE"""),"Listicle")</f>
        <v>Listicle</v>
      </c>
      <c r="G977" s="11" t="b">
        <f>IFERROR(__xludf.DUMMYFUNCTION("""COMPUTED_VALUE"""),FALSE)</f>
        <v>0</v>
      </c>
      <c r="H977" s="11" t="str">
        <f>IFERROR(__xludf.DUMMYFUNCTION("""COMPUTED_VALUE"""),"NoGood, Avenue Z, iPullRank, Amsive, RevenueZen, Go Fish Digital, Omniscient Digital, Marcel Digital")</f>
        <v>NoGood, Avenue Z, iPullRank, Amsive, RevenueZen, Go Fish Digital, Omniscient Digital, Marcel Digital</v>
      </c>
      <c r="I977" s="11">
        <f>IFERROR(__xludf.DUMMYFUNCTION("""COMPUTED_VALUE"""),1.0)</f>
        <v>1</v>
      </c>
      <c r="J977" s="11">
        <f>IFERROR(__xludf.DUMMYFUNCTION("""COMPUTED_VALUE"""),0.0)</f>
        <v>0</v>
      </c>
      <c r="K977" s="11">
        <f>IFERROR(__xludf.DUMMYFUNCTION("""COMPUTED_VALUE"""),1.0)</f>
        <v>1</v>
      </c>
      <c r="L977" s="11"/>
    </row>
    <row r="978" ht="15.75" customHeight="1">
      <c r="A978" s="10" t="str">
        <f>IFERROR(__xludf.DUMMYFUNCTION("""COMPUTED_VALUE"""),"https://nogood.io/blog/branding-agencies/#:~:text=AKQA%20at%20%232%20earns%20its%20position%20through,way%20that%20few%20agencies%20can%20credibly%20claim.")</f>
        <v>https://nogood.io/blog/branding-agencies/#:~:text=AKQA%20at%20%232%20earns%20its%20position%20through,way%20that%20few%20agencies%20can%20credibly%20claim.</v>
      </c>
      <c r="B978" s="11" t="str">
        <f>IFERROR(__xludf.DUMMYFUNCTION("""COMPUTED_VALUE"""),"The Best Branding Agencies in 2026 | NoGood")</f>
        <v>The Best Branding Agencies in 2026 | NoGood</v>
      </c>
      <c r="C978" s="10" t="str">
        <f>IFERROR(__xludf.DUMMYFUNCTION("""COMPUTED_VALUE"""),"nogood.io")</f>
        <v>nogood.io</v>
      </c>
      <c r="D978" s="11" t="str">
        <f>IFERROR(__xludf.DUMMYFUNCTION("""COMPUTED_VALUE"""),"LISTICLE")</f>
        <v>LISTICLE</v>
      </c>
      <c r="E978" s="11" t="str">
        <f>IFERROR(__xludf.DUMMYFUNCTION("""COMPUTED_VALUE"""),"COMPETITOR")</f>
        <v>COMPETITOR</v>
      </c>
      <c r="F978" s="11" t="str">
        <f>IFERROR(__xludf.DUMMYFUNCTION("""COMPUTED_VALUE"""),"Listicle")</f>
        <v>Listicle</v>
      </c>
      <c r="G978" s="11" t="b">
        <f>IFERROR(__xludf.DUMMYFUNCTION("""COMPUTED_VALUE"""),FALSE)</f>
        <v>0</v>
      </c>
      <c r="H978" s="11" t="str">
        <f>IFERROR(__xludf.DUMMYFUNCTION("""COMPUTED_VALUE"""),"NoGood, Pentagram, Anomaly, AKQA, Dentsu, WPP")</f>
        <v>NoGood, Pentagram, Anomaly, AKQA, Dentsu, WPP</v>
      </c>
      <c r="I978" s="11">
        <f>IFERROR(__xludf.DUMMYFUNCTION("""COMPUTED_VALUE"""),1.0)</f>
        <v>1</v>
      </c>
      <c r="J978" s="11">
        <f>IFERROR(__xludf.DUMMYFUNCTION("""COMPUTED_VALUE"""),0.0)</f>
        <v>0</v>
      </c>
      <c r="K978" s="11">
        <f>IFERROR(__xludf.DUMMYFUNCTION("""COMPUTED_VALUE"""),3.0)</f>
        <v>3</v>
      </c>
      <c r="L978" s="11"/>
    </row>
    <row r="979" ht="15.75" customHeight="1">
      <c r="A979" s="10" t="str">
        <f>IFERROR(__xludf.DUMMYFUNCTION("""COMPUTED_VALUE"""),"https://nogood.io/blog/digital-marketing-agencies-new-york/")</f>
        <v>https://nogood.io/blog/digital-marketing-agencies-new-york/</v>
      </c>
      <c r="B979" s="11" t="str">
        <f>IFERROR(__xludf.DUMMYFUNCTION("""COMPUTED_VALUE"""),"Top Digital Marketing Agencies in New York for 2026 | NoGood")</f>
        <v>Top Digital Marketing Agencies in New York for 2026 | NoGood</v>
      </c>
      <c r="C979" s="10" t="str">
        <f>IFERROR(__xludf.DUMMYFUNCTION("""COMPUTED_VALUE"""),"nogood.io")</f>
        <v>nogood.io</v>
      </c>
      <c r="D979" s="11" t="str">
        <f>IFERROR(__xludf.DUMMYFUNCTION("""COMPUTED_VALUE"""),"LISTICLE")</f>
        <v>LISTICLE</v>
      </c>
      <c r="E979" s="11" t="str">
        <f>IFERROR(__xludf.DUMMYFUNCTION("""COMPUTED_VALUE"""),"COMPETITOR")</f>
        <v>COMPETITOR</v>
      </c>
      <c r="F979" s="11" t="str">
        <f>IFERROR(__xludf.DUMMYFUNCTION("""COMPUTED_VALUE"""),"Listicle")</f>
        <v>Listicle</v>
      </c>
      <c r="G979" s="11" t="b">
        <f>IFERROR(__xludf.DUMMYFUNCTION("""COMPUTED_VALUE"""),FALSE)</f>
        <v>0</v>
      </c>
      <c r="H979" s="11" t="str">
        <f>IFERROR(__xludf.DUMMYFUNCTION("""COMPUTED_VALUE"""),"NoGood, Clutch, Wpromote, VaynerMedia, inBeat, Power Digital, Major Tom")</f>
        <v>NoGood, Clutch, Wpromote, VaynerMedia, inBeat, Power Digital, Major Tom</v>
      </c>
      <c r="I979" s="11">
        <f>IFERROR(__xludf.DUMMYFUNCTION("""COMPUTED_VALUE"""),1.0)</f>
        <v>1</v>
      </c>
      <c r="J979" s="11">
        <f>IFERROR(__xludf.DUMMYFUNCTION("""COMPUTED_VALUE"""),0.0)</f>
        <v>0</v>
      </c>
      <c r="K979" s="11">
        <f>IFERROR(__xludf.DUMMYFUNCTION("""COMPUTED_VALUE"""),1.0)</f>
        <v>1</v>
      </c>
      <c r="L979" s="11"/>
    </row>
    <row r="980" ht="15.75" customHeight="1">
      <c r="A980" s="10" t="str">
        <f>IFERROR(__xludf.DUMMYFUNCTION("""COMPUTED_VALUE"""),"https://nogood.io/blog/global-marketing-agencies/")</f>
        <v>https://nogood.io/blog/global-marketing-agencies/</v>
      </c>
      <c r="B980" s="11" t="str">
        <f>IFERROR(__xludf.DUMMYFUNCTION("""COMPUTED_VALUE"""),"The Best Global Marketing Agencies in 2026 | NoGood")</f>
        <v>The Best Global Marketing Agencies in 2026 | NoGood</v>
      </c>
      <c r="C980" s="10" t="str">
        <f>IFERROR(__xludf.DUMMYFUNCTION("""COMPUTED_VALUE"""),"nogood.io")</f>
        <v>nogood.io</v>
      </c>
      <c r="D980" s="11" t="str">
        <f>IFERROR(__xludf.DUMMYFUNCTION("""COMPUTED_VALUE"""),"LISTICLE")</f>
        <v>LISTICLE</v>
      </c>
      <c r="E980" s="11" t="str">
        <f>IFERROR(__xludf.DUMMYFUNCTION("""COMPUTED_VALUE"""),"COMPETITOR")</f>
        <v>COMPETITOR</v>
      </c>
      <c r="F980" s="11" t="str">
        <f>IFERROR(__xludf.DUMMYFUNCTION("""COMPUTED_VALUE"""),"Listicle")</f>
        <v>Listicle</v>
      </c>
      <c r="G980" s="11" t="b">
        <f>IFERROR(__xludf.DUMMYFUNCTION("""COMPUTED_VALUE"""),FALSE)</f>
        <v>0</v>
      </c>
      <c r="H980" s="11" t="str">
        <f>IFERROR(__xludf.DUMMYFUNCTION("""COMPUTED_VALUE"""),"NoGood, Clutch, Digitas, Publicis Groupe, Omnicom Media Group, Viral Nation")</f>
        <v>NoGood, Clutch, Digitas, Publicis Groupe, Omnicom Media Group, Viral Nation</v>
      </c>
      <c r="I980" s="11">
        <f>IFERROR(__xludf.DUMMYFUNCTION("""COMPUTED_VALUE"""),1.0)</f>
        <v>1</v>
      </c>
      <c r="J980" s="11">
        <f>IFERROR(__xludf.DUMMYFUNCTION("""COMPUTED_VALUE"""),0.0)</f>
        <v>0</v>
      </c>
      <c r="K980" s="11">
        <f>IFERROR(__xludf.DUMMYFUNCTION("""COMPUTED_VALUE"""),0.0)</f>
        <v>0</v>
      </c>
      <c r="L980" s="11"/>
    </row>
    <row r="981" ht="15.75" customHeight="1">
      <c r="A981" s="10" t="str">
        <f>IFERROR(__xludf.DUMMYFUNCTION("""COMPUTED_VALUE"""),"https://nogood.io/blog/marketing-attribution-tools/")</f>
        <v>https://nogood.io/blog/marketing-attribution-tools/</v>
      </c>
      <c r="B981" s="11" t="str">
        <f>IFERROR(__xludf.DUMMYFUNCTION("""COMPUTED_VALUE"""),"Top 10 Marketing Attribution Tools for 2025 [Updated] | NoGood")</f>
        <v>Top 10 Marketing Attribution Tools for 2025 [Updated] | NoGood</v>
      </c>
      <c r="C981" s="10" t="str">
        <f>IFERROR(__xludf.DUMMYFUNCTION("""COMPUTED_VALUE"""),"nogood.io")</f>
        <v>nogood.io</v>
      </c>
      <c r="D981" s="11" t="str">
        <f>IFERROR(__xludf.DUMMYFUNCTION("""COMPUTED_VALUE"""),"LISTICLE")</f>
        <v>LISTICLE</v>
      </c>
      <c r="E981" s="11" t="str">
        <f>IFERROR(__xludf.DUMMYFUNCTION("""COMPUTED_VALUE"""),"COMPETITOR")</f>
        <v>COMPETITOR</v>
      </c>
      <c r="F981" s="11" t="str">
        <f>IFERROR(__xludf.DUMMYFUNCTION("""COMPUTED_VALUE"""),"Listicle")</f>
        <v>Listicle</v>
      </c>
      <c r="G981" s="11" t="b">
        <f>IFERROR(__xludf.DUMMYFUNCTION("""COMPUTED_VALUE"""),FALSE)</f>
        <v>0</v>
      </c>
      <c r="H981" s="11" t="str">
        <f>IFERROR(__xludf.DUMMYFUNCTION("""COMPUTED_VALUE"""),"NoGood, Measured, Rockerbox, LifeSight, Triple Whale, Northbeam")</f>
        <v>NoGood, Measured, Rockerbox, LifeSight, Triple Whale, Northbeam</v>
      </c>
      <c r="I981" s="11">
        <f>IFERROR(__xludf.DUMMYFUNCTION("""COMPUTED_VALUE"""),1.0)</f>
        <v>1</v>
      </c>
      <c r="J981" s="11">
        <f>IFERROR(__xludf.DUMMYFUNCTION("""COMPUTED_VALUE"""),0.0)</f>
        <v>0</v>
      </c>
      <c r="K981" s="11">
        <f>IFERROR(__xludf.DUMMYFUNCTION("""COMPUTED_VALUE"""),0.0)</f>
        <v>0</v>
      </c>
      <c r="L981" s="11"/>
    </row>
    <row r="982" ht="15.75" customHeight="1">
      <c r="A982" s="10" t="str">
        <f>IFERROR(__xludf.DUMMYFUNCTION("""COMPUTED_VALUE"""),"https://northquery.com/best-aeo-agency/enterprise")</f>
        <v>https://northquery.com/best-aeo-agency/enterprise</v>
      </c>
      <c r="B982" s="11" t="str">
        <f>IFERROR(__xludf.DUMMYFUNCTION("""COMPUTED_VALUE"""),"Best AEO Agency for Enterprise 2026: I Ranked 8 (With Honest Scores) | Northquery")</f>
        <v>Best AEO Agency for Enterprise 2026: I Ranked 8 (With Honest Scores) | Northquery</v>
      </c>
      <c r="C982" s="10" t="str">
        <f>IFERROR(__xludf.DUMMYFUNCTION("""COMPUTED_VALUE"""),"northquery.com")</f>
        <v>northquery.com</v>
      </c>
      <c r="D982" s="11" t="str">
        <f>IFERROR(__xludf.DUMMYFUNCTION("""COMPUTED_VALUE"""),"LISTICLE")</f>
        <v>LISTICLE</v>
      </c>
      <c r="E982" s="11" t="str">
        <f>IFERROR(__xludf.DUMMYFUNCTION("""COMPUTED_VALUE"""),"CORPORATE")</f>
        <v>CORPORATE</v>
      </c>
      <c r="F982" s="11" t="str">
        <f>IFERROR(__xludf.DUMMYFUNCTION("""COMPUTED_VALUE"""),"Listicle")</f>
        <v>Listicle</v>
      </c>
      <c r="G982" s="11" t="b">
        <f>IFERROR(__xludf.DUMMYFUNCTION("""COMPUTED_VALUE"""),FALSE)</f>
        <v>0</v>
      </c>
      <c r="H982" s="11" t="str">
        <f>IFERROR(__xludf.DUMMYFUNCTION("""COMPUTED_VALUE"""),"Siege Media, Wpromote, Jellyfish, Merkle, Dentsu, Graphite, NP Digital")</f>
        <v>Siege Media, Wpromote, Jellyfish, Merkle, Dentsu, Graphite, NP Digital</v>
      </c>
      <c r="I982" s="11">
        <f>IFERROR(__xludf.DUMMYFUNCTION("""COMPUTED_VALUE"""),1.0)</f>
        <v>1</v>
      </c>
      <c r="J982" s="11">
        <f>IFERROR(__xludf.DUMMYFUNCTION("""COMPUTED_VALUE"""),0.0)</f>
        <v>0</v>
      </c>
      <c r="K982" s="11">
        <f>IFERROR(__xludf.DUMMYFUNCTION("""COMPUTED_VALUE"""),0.0)</f>
        <v>0</v>
      </c>
      <c r="L982" s="11"/>
    </row>
    <row r="983" ht="15.75" customHeight="1">
      <c r="A983" s="10" t="str">
        <f>IFERROR(__xludf.DUMMYFUNCTION("""COMPUTED_VALUE"""),"https://www.norvelljefferson.com/insights/top-25-creative-agencies-amsterdam-2026")</f>
        <v>https://www.norvelljefferson.com/insights/top-25-creative-agencies-amsterdam-2026</v>
      </c>
      <c r="B983" s="11" t="str">
        <f>IFERROR(__xludf.DUMMYFUNCTION("""COMPUTED_VALUE"""),"Top 25 Creative Agencies in Amsterdam 2026||Top 25 Creative Agencies in Amsterdam 2026")</f>
        <v>Top 25 Creative Agencies in Amsterdam 2026||Top 25 Creative Agencies in Amsterdam 2026</v>
      </c>
      <c r="C983" s="10" t="str">
        <f>IFERROR(__xludf.DUMMYFUNCTION("""COMPUTED_VALUE"""),"norvelljefferson.com")</f>
        <v>norvelljefferson.com</v>
      </c>
      <c r="D983" s="11" t="str">
        <f>IFERROR(__xludf.DUMMYFUNCTION("""COMPUTED_VALUE"""),"LISTICLE")</f>
        <v>LISTICLE</v>
      </c>
      <c r="E983" s="11" t="str">
        <f>IFERROR(__xludf.DUMMYFUNCTION("""COMPUTED_VALUE"""),"CORPORATE")</f>
        <v>CORPORATE</v>
      </c>
      <c r="F983" s="11" t="str">
        <f>IFERROR(__xludf.DUMMYFUNCTION("""COMPUTED_VALUE"""),"Listicle")</f>
        <v>Listicle</v>
      </c>
      <c r="G983" s="11" t="b">
        <f>IFERROR(__xludf.DUMMYFUNCTION("""COMPUTED_VALUE"""),FALSE)</f>
        <v>0</v>
      </c>
      <c r="H983" s="11" t="str">
        <f>IFERROR(__xludf.DUMMYFUNCTION("""COMPUTED_VALUE"""),"Wieden+Kennedy, Dentsu, Publicis Groupe, Monks, 72andSunny, Ogilvy")</f>
        <v>Wieden+Kennedy, Dentsu, Publicis Groupe, Monks, 72andSunny, Ogilvy</v>
      </c>
      <c r="I983" s="11">
        <f>IFERROR(__xludf.DUMMYFUNCTION("""COMPUTED_VALUE"""),1.0)</f>
        <v>1</v>
      </c>
      <c r="J983" s="11">
        <f>IFERROR(__xludf.DUMMYFUNCTION("""COMPUTED_VALUE"""),0.0)</f>
        <v>0</v>
      </c>
      <c r="K983" s="11">
        <f>IFERROR(__xludf.DUMMYFUNCTION("""COMPUTED_VALUE"""),1.0)</f>
        <v>1</v>
      </c>
      <c r="L983" s="11"/>
    </row>
    <row r="984" ht="15.75" customHeight="1">
      <c r="A984" s="10" t="str">
        <f>IFERROR(__xludf.DUMMYFUNCTION("""COMPUTED_VALUE"""),"https://www.nutshell.com/blog/best-ai-seo-companies")</f>
        <v>https://www.nutshell.com/blog/best-ai-seo-companies</v>
      </c>
      <c r="B984" s="11" t="str">
        <f>IFERROR(__xludf.DUMMYFUNCTION("""COMPUTED_VALUE"""),"The 7 Best AI SEO Companies You Can Hire to Get Results")</f>
        <v>The 7 Best AI SEO Companies You Can Hire to Get Results</v>
      </c>
      <c r="C984" s="10" t="str">
        <f>IFERROR(__xludf.DUMMYFUNCTION("""COMPUTED_VALUE"""),"nutshell.com")</f>
        <v>nutshell.com</v>
      </c>
      <c r="D984" s="11" t="str">
        <f>IFERROR(__xludf.DUMMYFUNCTION("""COMPUTED_VALUE"""),"LISTICLE")</f>
        <v>LISTICLE</v>
      </c>
      <c r="E984" s="11" t="str">
        <f>IFERROR(__xludf.DUMMYFUNCTION("""COMPUTED_VALUE"""),"CORPORATE")</f>
        <v>CORPORATE</v>
      </c>
      <c r="F984" s="11" t="str">
        <f>IFERROR(__xludf.DUMMYFUNCTION("""COMPUTED_VALUE"""),"Listicle")</f>
        <v>Listicle</v>
      </c>
      <c r="G984" s="11" t="b">
        <f>IFERROR(__xludf.DUMMYFUNCTION("""COMPUTED_VALUE"""),FALSE)</f>
        <v>0</v>
      </c>
      <c r="H984" s="11" t="str">
        <f>IFERROR(__xludf.DUMMYFUNCTION("""COMPUTED_VALUE"""),"Clutch, WebFX, The SEO Works")</f>
        <v>Clutch, WebFX, The SEO Works</v>
      </c>
      <c r="I984" s="11">
        <f>IFERROR(__xludf.DUMMYFUNCTION("""COMPUTED_VALUE"""),1.0)</f>
        <v>1</v>
      </c>
      <c r="J984" s="11">
        <f>IFERROR(__xludf.DUMMYFUNCTION("""COMPUTED_VALUE"""),0.0)</f>
        <v>0</v>
      </c>
      <c r="K984" s="11">
        <f>IFERROR(__xludf.DUMMYFUNCTION("""COMPUTED_VALUE"""),0.0)</f>
        <v>0</v>
      </c>
      <c r="L984" s="11"/>
    </row>
    <row r="985" ht="15.75" customHeight="1">
      <c r="A985" s="10" t="str">
        <f>IFERROR(__xludf.DUMMYFUNCTION("""COMPUTED_VALUE"""),"https://nuundigital.com/insights/strategy/top-growth-agencies-north-america")</f>
        <v>https://nuundigital.com/insights/strategy/top-growth-agencies-north-america</v>
      </c>
      <c r="B985" s="11" t="str">
        <f>IFERROR(__xludf.DUMMYFUNCTION("""COMPUTED_VALUE"""),"Top Growth Agencies in North America 2026 | NUUN Digital | NUUN Digital")</f>
        <v>Top Growth Agencies in North America 2026 | NUUN Digital | NUUN Digital</v>
      </c>
      <c r="C985" s="10" t="str">
        <f>IFERROR(__xludf.DUMMYFUNCTION("""COMPUTED_VALUE"""),"nuundigital.com")</f>
        <v>nuundigital.com</v>
      </c>
      <c r="D985" s="11" t="str">
        <f>IFERROR(__xludf.DUMMYFUNCTION("""COMPUTED_VALUE"""),"LISTICLE")</f>
        <v>LISTICLE</v>
      </c>
      <c r="E985" s="11" t="str">
        <f>IFERROR(__xludf.DUMMYFUNCTION("""COMPUTED_VALUE"""),"CORPORATE")</f>
        <v>CORPORATE</v>
      </c>
      <c r="F985" s="11" t="str">
        <f>IFERROR(__xludf.DUMMYFUNCTION("""COMPUTED_VALUE"""),"Listicle")</f>
        <v>Listicle</v>
      </c>
      <c r="G985" s="11" t="b">
        <f>IFERROR(__xludf.DUMMYFUNCTION("""COMPUTED_VALUE"""),FALSE)</f>
        <v>0</v>
      </c>
      <c r="H985" s="11" t="str">
        <f>IFERROR(__xludf.DUMMYFUNCTION("""COMPUTED_VALUE"""),"Tinuiti, Wpromote, NoGood, Jellyfish, VaynerMedia, R/GA, Huge, AKQA, Single Grain, Brandtech, WPP, GroupM, Dentsu, Measured, MuteSix")</f>
        <v>Tinuiti, Wpromote, NoGood, Jellyfish, VaynerMedia, R/GA, Huge, AKQA, Single Grain, Brandtech, WPP, GroupM, Dentsu, Measured, MuteSix</v>
      </c>
      <c r="I985" s="11">
        <f>IFERROR(__xludf.DUMMYFUNCTION("""COMPUTED_VALUE"""),1.0)</f>
        <v>1</v>
      </c>
      <c r="J985" s="11">
        <f>IFERROR(__xludf.DUMMYFUNCTION("""COMPUTED_VALUE"""),0.0)</f>
        <v>0</v>
      </c>
      <c r="K985" s="11">
        <f>IFERROR(__xludf.DUMMYFUNCTION("""COMPUTED_VALUE"""),0.0)</f>
        <v>0</v>
      </c>
      <c r="L985" s="11"/>
    </row>
    <row r="986" ht="15.75" customHeight="1">
      <c r="A986" s="10" t="str">
        <f>IFERROR(__xludf.DUMMYFUNCTION("""COMPUTED_VALUE"""),"https://oakpool.xyz/drift/top-10-geo-aeo-ai-search-agencies/")</f>
        <v>https://oakpool.xyz/drift/top-10-geo-aeo-ai-search-agencies/</v>
      </c>
      <c r="B986" s="11" t="str">
        <f>IFERROR(__xludf.DUMMYFUNCTION("""COMPUTED_VALUE"""),"Top 10 GEO Agencies for AI Search in 2026")</f>
        <v>Top 10 GEO Agencies for AI Search in 2026</v>
      </c>
      <c r="C986" s="10" t="str">
        <f>IFERROR(__xludf.DUMMYFUNCTION("""COMPUTED_VALUE"""),"oakpool.xyz")</f>
        <v>oakpool.xyz</v>
      </c>
      <c r="D986" s="11" t="str">
        <f>IFERROR(__xludf.DUMMYFUNCTION("""COMPUTED_VALUE"""),"LISTICLE")</f>
        <v>LISTICLE</v>
      </c>
      <c r="E986" s="11" t="str">
        <f>IFERROR(__xludf.DUMMYFUNCTION("""COMPUTED_VALUE"""),"CORPORATE")</f>
        <v>CORPORATE</v>
      </c>
      <c r="F986" s="11" t="str">
        <f>IFERROR(__xludf.DUMMYFUNCTION("""COMPUTED_VALUE"""),"Listicle")</f>
        <v>Listicle</v>
      </c>
      <c r="G986" s="11" t="b">
        <f>IFERROR(__xludf.DUMMYFUNCTION("""COMPUTED_VALUE"""),FALSE)</f>
        <v>0</v>
      </c>
      <c r="H986" s="11" t="str">
        <f>IFERROR(__xludf.DUMMYFUNCTION("""COMPUTED_VALUE"""),"First Page Sage, iPullRank, Seer Interactive, Intero Digital, NoGood")</f>
        <v>First Page Sage, iPullRank, Seer Interactive, Intero Digital, NoGood</v>
      </c>
      <c r="I986" s="11">
        <f>IFERROR(__xludf.DUMMYFUNCTION("""COMPUTED_VALUE"""),1.0)</f>
        <v>1</v>
      </c>
      <c r="J986" s="11">
        <f>IFERROR(__xludf.DUMMYFUNCTION("""COMPUTED_VALUE"""),0.0)</f>
        <v>0</v>
      </c>
      <c r="K986" s="11">
        <f>IFERROR(__xludf.DUMMYFUNCTION("""COMPUTED_VALUE"""),0.0)</f>
        <v>0</v>
      </c>
      <c r="L986" s="11"/>
    </row>
    <row r="987" ht="15.75" customHeight="1">
      <c r="A987" s="10" t="str">
        <f>IFERROR(__xludf.DUMMYFUNCTION("""COMPUTED_VALUE"""),"https://www.omdena.com/blog/ai-agent-development-companies")</f>
        <v>https://www.omdena.com/blog/ai-agent-development-companies</v>
      </c>
      <c r="B987" s="11" t="str">
        <f>IFERROR(__xludf.DUMMYFUNCTION("""COMPUTED_VALUE"""),"AI Agent Development Companies: Top Picks for 2026")</f>
        <v>AI Agent Development Companies: Top Picks for 2026</v>
      </c>
      <c r="C987" s="10" t="str">
        <f>IFERROR(__xludf.DUMMYFUNCTION("""COMPUTED_VALUE"""),"omdena.com")</f>
        <v>omdena.com</v>
      </c>
      <c r="D987" s="11" t="str">
        <f>IFERROR(__xludf.DUMMYFUNCTION("""COMPUTED_VALUE"""),"LISTICLE")</f>
        <v>LISTICLE</v>
      </c>
      <c r="E987" s="11" t="str">
        <f>IFERROR(__xludf.DUMMYFUNCTION("""COMPUTED_VALUE"""),"OTHER")</f>
        <v>OTHER</v>
      </c>
      <c r="F987" s="11" t="str">
        <f>IFERROR(__xludf.DUMMYFUNCTION("""COMPUTED_VALUE"""),"Listicle")</f>
        <v>Listicle</v>
      </c>
      <c r="G987" s="11" t="b">
        <f>IFERROR(__xludf.DUMMYFUNCTION("""COMPUTED_VALUE"""),FALSE)</f>
        <v>0</v>
      </c>
      <c r="H987" s="11" t="str">
        <f>IFERROR(__xludf.DUMMYFUNCTION("""COMPUTED_VALUE"""),"IBM")</f>
        <v>IBM</v>
      </c>
      <c r="I987" s="11">
        <f>IFERROR(__xludf.DUMMYFUNCTION("""COMPUTED_VALUE"""),1.0)</f>
        <v>1</v>
      </c>
      <c r="J987" s="11">
        <f>IFERROR(__xludf.DUMMYFUNCTION("""COMPUTED_VALUE"""),0.0)</f>
        <v>0</v>
      </c>
      <c r="K987" s="11">
        <f>IFERROR(__xludf.DUMMYFUNCTION("""COMPUTED_VALUE"""),1.0)</f>
        <v>1</v>
      </c>
      <c r="L987" s="11"/>
    </row>
    <row r="988" ht="15.75" customHeight="1">
      <c r="A988" s="10" t="str">
        <f>IFERROR(__xludf.DUMMYFUNCTION("""COMPUTED_VALUE"""),"https://www.omnius.so/blog/best-answer-engine-optimization-agencies#:~:text=2%20%7C%20Position%20Digital%20%7C%20%2F%20%7C,B2B%20SaaS%20multi%2Dsurface%20AEO%20%26%20pipeline%20attribution")</f>
        <v>https://www.omnius.so/blog/best-answer-engine-optimization-agencies#:~:text=2%20%7C%20Position%20Digital%20%7C%20%2F%20%7C,B2B%20SaaS%20multi%2Dsurface%20AEO%20%26%20pipeline%20attribution</v>
      </c>
      <c r="B988" s="11" t="str">
        <f>IFERROR(__xludf.DUMMYFUNCTION("""COMPUTED_VALUE"""),"16 Best Answer Engine Optimization (AEO) Agencies in 2026")</f>
        <v>16 Best Answer Engine Optimization (AEO) Agencies in 2026</v>
      </c>
      <c r="C988" s="10" t="str">
        <f>IFERROR(__xludf.DUMMYFUNCTION("""COMPUTED_VALUE"""),"omnius.so")</f>
        <v>omnius.so</v>
      </c>
      <c r="D988" s="11" t="str">
        <f>IFERROR(__xludf.DUMMYFUNCTION("""COMPUTED_VALUE"""),"LISTICLE")</f>
        <v>LISTICLE</v>
      </c>
      <c r="E988" s="11" t="str">
        <f>IFERROR(__xludf.DUMMYFUNCTION("""COMPUTED_VALUE"""),"OTHER")</f>
        <v>OTHER</v>
      </c>
      <c r="F988" s="11" t="str">
        <f>IFERROR(__xludf.DUMMYFUNCTION("""COMPUTED_VALUE"""),"Listicle")</f>
        <v>Listicle</v>
      </c>
      <c r="G988" s="11" t="b">
        <f>IFERROR(__xludf.DUMMYFUNCTION("""COMPUTED_VALUE"""),FALSE)</f>
        <v>0</v>
      </c>
      <c r="H988" s="11" t="str">
        <f>IFERROR(__xludf.DUMMYFUNCTION("""COMPUTED_VALUE"""),"Clutch, Omniscient Digital, iPullRank, Single Grain, Go Fish Digital, Seer Interactive")</f>
        <v>Clutch, Omniscient Digital, iPullRank, Single Grain, Go Fish Digital, Seer Interactive</v>
      </c>
      <c r="I988" s="11">
        <f>IFERROR(__xludf.DUMMYFUNCTION("""COMPUTED_VALUE"""),1.0)</f>
        <v>1</v>
      </c>
      <c r="J988" s="11">
        <f>IFERROR(__xludf.DUMMYFUNCTION("""COMPUTED_VALUE"""),0.0)</f>
        <v>0</v>
      </c>
      <c r="K988" s="11">
        <f>IFERROR(__xludf.DUMMYFUNCTION("""COMPUTED_VALUE"""),1.0)</f>
        <v>1</v>
      </c>
      <c r="L988" s="11"/>
    </row>
    <row r="989" ht="15.75" customHeight="1">
      <c r="A989" s="10" t="str">
        <f>IFERROR(__xludf.DUMMYFUNCTION("""COMPUTED_VALUE"""),"https://www.omnius.so/blog/best-geo-agencies")</f>
        <v>https://www.omnius.so/blog/best-geo-agencies</v>
      </c>
      <c r="B989" s="11" t="str">
        <f>IFERROR(__xludf.DUMMYFUNCTION("""COMPUTED_VALUE"""),"Top 15 Generative Engine Optimization (GEO) Agencies (2026)")</f>
        <v>Top 15 Generative Engine Optimization (GEO) Agencies (2026)</v>
      </c>
      <c r="C989" s="10" t="str">
        <f>IFERROR(__xludf.DUMMYFUNCTION("""COMPUTED_VALUE"""),"omnius.so")</f>
        <v>omnius.so</v>
      </c>
      <c r="D989" s="11" t="str">
        <f>IFERROR(__xludf.DUMMYFUNCTION("""COMPUTED_VALUE"""),"LISTICLE")</f>
        <v>LISTICLE</v>
      </c>
      <c r="E989" s="11" t="str">
        <f>IFERROR(__xludf.DUMMYFUNCTION("""COMPUTED_VALUE"""),"OTHER")</f>
        <v>OTHER</v>
      </c>
      <c r="F989" s="11" t="str">
        <f>IFERROR(__xludf.DUMMYFUNCTION("""COMPUTED_VALUE"""),"Listicle")</f>
        <v>Listicle</v>
      </c>
      <c r="G989" s="11" t="b">
        <f>IFERROR(__xludf.DUMMYFUNCTION("""COMPUTED_VALUE"""),FALSE)</f>
        <v>0</v>
      </c>
      <c r="H989" s="11" t="str">
        <f>IFERROR(__xludf.DUMMYFUNCTION("""COMPUTED_VALUE"""),"iPullRank, The SEO Works, First Page Sage, WebFX, Ignite Visibility, NoGood, Avenue Z, Victorious")</f>
        <v>iPullRank, The SEO Works, First Page Sage, WebFX, Ignite Visibility, NoGood, Avenue Z, Victorious</v>
      </c>
      <c r="I989" s="11">
        <f>IFERROR(__xludf.DUMMYFUNCTION("""COMPUTED_VALUE"""),1.0)</f>
        <v>1</v>
      </c>
      <c r="J989" s="11">
        <f>IFERROR(__xludf.DUMMYFUNCTION("""COMPUTED_VALUE"""),0.0)</f>
        <v>0</v>
      </c>
      <c r="K989" s="11">
        <f>IFERROR(__xludf.DUMMYFUNCTION("""COMPUTED_VALUE"""),1.0)</f>
        <v>1</v>
      </c>
      <c r="L989" s="11"/>
    </row>
    <row r="990" ht="15.75" customHeight="1">
      <c r="A990" s="10" t="str">
        <f>IFERROR(__xludf.DUMMYFUNCTION("""COMPUTED_VALUE"""),"https://www.omnius.so/blog/marketing-agencies-for-small-businesses")</f>
        <v>https://www.omnius.so/blog/marketing-agencies-for-small-businesses</v>
      </c>
      <c r="B990" s="11" t="str">
        <f>IFERROR(__xludf.DUMMYFUNCTION("""COMPUTED_VALUE"""),"15 Best Marketing Agencies for Small Businesses in 2026")</f>
        <v>15 Best Marketing Agencies for Small Businesses in 2026</v>
      </c>
      <c r="C990" s="10" t="str">
        <f>IFERROR(__xludf.DUMMYFUNCTION("""COMPUTED_VALUE"""),"omnius.so")</f>
        <v>omnius.so</v>
      </c>
      <c r="D990" s="11" t="str">
        <f>IFERROR(__xludf.DUMMYFUNCTION("""COMPUTED_VALUE"""),"LISTICLE")</f>
        <v>LISTICLE</v>
      </c>
      <c r="E990" s="11" t="str">
        <f>IFERROR(__xludf.DUMMYFUNCTION("""COMPUTED_VALUE"""),"OTHER")</f>
        <v>OTHER</v>
      </c>
      <c r="F990" s="11" t="str">
        <f>IFERROR(__xludf.DUMMYFUNCTION("""COMPUTED_VALUE"""),"Listicle")</f>
        <v>Listicle</v>
      </c>
      <c r="G990" s="11" t="b">
        <f>IFERROR(__xludf.DUMMYFUNCTION("""COMPUTED_VALUE"""),FALSE)</f>
        <v>0</v>
      </c>
      <c r="H990" s="11" t="str">
        <f>IFERROR(__xludf.DUMMYFUNCTION("""COMPUTED_VALUE"""),"Clutch, LYFE Marketing, Disruptive Advertising, NoGood, WebFX, NinjaPromo, Ignite Visibility, SmartSites")</f>
        <v>Clutch, LYFE Marketing, Disruptive Advertising, NoGood, WebFX, NinjaPromo, Ignite Visibility, SmartSites</v>
      </c>
      <c r="I990" s="11">
        <f>IFERROR(__xludf.DUMMYFUNCTION("""COMPUTED_VALUE"""),1.0)</f>
        <v>1</v>
      </c>
      <c r="J990" s="11">
        <f>IFERROR(__xludf.DUMMYFUNCTION("""COMPUTED_VALUE"""),0.0)</f>
        <v>0</v>
      </c>
      <c r="K990" s="11">
        <f>IFERROR(__xludf.DUMMYFUNCTION("""COMPUTED_VALUE"""),1.0)</f>
        <v>1</v>
      </c>
      <c r="L990" s="11"/>
    </row>
    <row r="991" ht="15.75" customHeight="1">
      <c r="A991" s="10" t="str">
        <f>IFERROR(__xludf.DUMMYFUNCTION("""COMPUTED_VALUE"""),"https://onelittleweb.com/top-agencies/b2b-seo-agency/")</f>
        <v>https://onelittleweb.com/top-agencies/b2b-seo-agency/</v>
      </c>
      <c r="B991" s="11" t="str">
        <f>IFERROR(__xludf.DUMMYFUNCTION("""COMPUTED_VALUE"""),"Top B2B SEO Agencies in the USA 2026 (Ranked &amp;amp; Reviewed)")</f>
        <v>Top B2B SEO Agencies in the USA 2026 (Ranked &amp;amp; Reviewed)</v>
      </c>
      <c r="C991" s="10" t="str">
        <f>IFERROR(__xludf.DUMMYFUNCTION("""COMPUTED_VALUE"""),"onelittleweb.com")</f>
        <v>onelittleweb.com</v>
      </c>
      <c r="D991" s="11" t="str">
        <f>IFERROR(__xludf.DUMMYFUNCTION("""COMPUTED_VALUE"""),"LISTICLE")</f>
        <v>LISTICLE</v>
      </c>
      <c r="E991" s="11" t="str">
        <f>IFERROR(__xludf.DUMMYFUNCTION("""COMPUTED_VALUE"""),"CORPORATE")</f>
        <v>CORPORATE</v>
      </c>
      <c r="F991" s="11" t="str">
        <f>IFERROR(__xludf.DUMMYFUNCTION("""COMPUTED_VALUE"""),"Listicle")</f>
        <v>Listicle</v>
      </c>
      <c r="G991" s="11" t="b">
        <f>IFERROR(__xludf.DUMMYFUNCTION("""COMPUTED_VALUE"""),FALSE)</f>
        <v>0</v>
      </c>
      <c r="H991" s="11" t="str">
        <f>IFERROR(__xludf.DUMMYFUNCTION("""COMPUTED_VALUE"""),"Clutch, WebFX, KlientBoost, Disruptive Advertising, Power Digital, SmartSites, Thrive Internet Marketing Agency, Intero Digital, Searchbloom, Funnel Boost Media, NinjaPromo, Siege Media, Go Fish Digital, Silverback Strategies, HawkSEM, Marcel Digital, Str"&amp;"atabeat, Storm Brain, Huge, Momentum")</f>
        <v>Clutch, WebFX, KlientBoost, Disruptive Advertising, Power Digital, SmartSites, Thrive Internet Marketing Agency, Intero Digital, Searchbloom, Funnel Boost Media, NinjaPromo, Siege Media, Go Fish Digital, Silverback Strategies, HawkSEM, Marcel Digital, Stratabeat, Storm Brain, Huge, Momentum</v>
      </c>
      <c r="I991" s="11">
        <f>IFERROR(__xludf.DUMMYFUNCTION("""COMPUTED_VALUE"""),1.0)</f>
        <v>1</v>
      </c>
      <c r="J991" s="11">
        <f>IFERROR(__xludf.DUMMYFUNCTION("""COMPUTED_VALUE"""),0.0)</f>
        <v>0</v>
      </c>
      <c r="K991" s="11">
        <f>IFERROR(__xludf.DUMMYFUNCTION("""COMPUTED_VALUE"""),1.0)</f>
        <v>1</v>
      </c>
      <c r="L991" s="11"/>
    </row>
    <row r="992" ht="15.75" customHeight="1">
      <c r="A992" s="10" t="str">
        <f>IFERROR(__xludf.DUMMYFUNCTION("""COMPUTED_VALUE"""),"https://onelittleweb.com/top-agencies/top-ai-seo-agencies/")</f>
        <v>https://onelittleweb.com/top-agencies/top-ai-seo-agencies/</v>
      </c>
      <c r="B992" s="11" t="str">
        <f>IFERROR(__xludf.DUMMYFUNCTION("""COMPUTED_VALUE"""),"Top AI SEO Agencies 2026 – Best GEO &amp;amp; AI SEO Services")</f>
        <v>Top AI SEO Agencies 2026 – Best GEO &amp;amp; AI SEO Services</v>
      </c>
      <c r="C992" s="10" t="str">
        <f>IFERROR(__xludf.DUMMYFUNCTION("""COMPUTED_VALUE"""),"onelittleweb.com")</f>
        <v>onelittleweb.com</v>
      </c>
      <c r="D992" s="11" t="str">
        <f>IFERROR(__xludf.DUMMYFUNCTION("""COMPUTED_VALUE"""),"LISTICLE")</f>
        <v>LISTICLE</v>
      </c>
      <c r="E992" s="11" t="str">
        <f>IFERROR(__xludf.DUMMYFUNCTION("""COMPUTED_VALUE"""),"CORPORATE")</f>
        <v>CORPORATE</v>
      </c>
      <c r="F992" s="11" t="str">
        <f>IFERROR(__xludf.DUMMYFUNCTION("""COMPUTED_VALUE"""),"Listicle")</f>
        <v>Listicle</v>
      </c>
      <c r="G992" s="11" t="b">
        <f>IFERROR(__xludf.DUMMYFUNCTION("""COMPUTED_VALUE"""),FALSE)</f>
        <v>0</v>
      </c>
      <c r="H992" s="11" t="str">
        <f>IFERROR(__xludf.DUMMYFUNCTION("""COMPUTED_VALUE"""),"WebFX, Intero Digital, Measured, Clutch, SmartSites, Funnel Boost Media, Elit-Web, The SEO Works, Momentum, Directive, Ignite Visibility")</f>
        <v>WebFX, Intero Digital, Measured, Clutch, SmartSites, Funnel Boost Media, Elit-Web, The SEO Works, Momentum, Directive, Ignite Visibility</v>
      </c>
      <c r="I992" s="11">
        <f>IFERROR(__xludf.DUMMYFUNCTION("""COMPUTED_VALUE"""),1.0)</f>
        <v>1</v>
      </c>
      <c r="J992" s="11">
        <f>IFERROR(__xludf.DUMMYFUNCTION("""COMPUTED_VALUE"""),0.0)</f>
        <v>0</v>
      </c>
      <c r="K992" s="11">
        <f>IFERROR(__xludf.DUMMYFUNCTION("""COMPUTED_VALUE"""),1.0)</f>
        <v>1</v>
      </c>
      <c r="L992" s="11"/>
    </row>
    <row r="993" ht="15.75" customHeight="1">
      <c r="A993" s="10" t="str">
        <f>IFERROR(__xludf.DUMMYFUNCTION("""COMPUTED_VALUE"""),"https://www.onely.com/blog/best-geo-agencies-for-enterprise-brands/")</f>
        <v>https://www.onely.com/blog/best-geo-agencies-for-enterprise-brands/</v>
      </c>
      <c r="B993" s="11" t="str">
        <f>IFERROR(__xludf.DUMMYFUNCTION("""COMPUTED_VALUE"""),"6 Best GEO Agencies for Enterprise Brands (2026) - Onely")</f>
        <v>6 Best GEO Agencies for Enterprise Brands (2026) - Onely</v>
      </c>
      <c r="C993" s="10" t="str">
        <f>IFERROR(__xludf.DUMMYFUNCTION("""COMPUTED_VALUE"""),"onely.com")</f>
        <v>onely.com</v>
      </c>
      <c r="D993" s="11" t="str">
        <f>IFERROR(__xludf.DUMMYFUNCTION("""COMPUTED_VALUE"""),"LISTICLE")</f>
        <v>LISTICLE</v>
      </c>
      <c r="E993" s="11" t="str">
        <f>IFERROR(__xludf.DUMMYFUNCTION("""COMPUTED_VALUE"""),"CORPORATE")</f>
        <v>CORPORATE</v>
      </c>
      <c r="F993" s="11" t="str">
        <f>IFERROR(__xludf.DUMMYFUNCTION("""COMPUTED_VALUE"""),"Listicle")</f>
        <v>Listicle</v>
      </c>
      <c r="G993" s="11" t="b">
        <f>IFERROR(__xludf.DUMMYFUNCTION("""COMPUTED_VALUE"""),FALSE)</f>
        <v>0</v>
      </c>
      <c r="H993" s="11" t="str">
        <f>IFERROR(__xludf.DUMMYFUNCTION("""COMPUTED_VALUE"""),"First Page Sage, iPullRank, Go Fish Digital, Siege Media, Intero Digital, Clutch")</f>
        <v>First Page Sage, iPullRank, Go Fish Digital, Siege Media, Intero Digital, Clutch</v>
      </c>
      <c r="I993" s="11">
        <f>IFERROR(__xludf.DUMMYFUNCTION("""COMPUTED_VALUE"""),1.0)</f>
        <v>1</v>
      </c>
      <c r="J993" s="11">
        <f>IFERROR(__xludf.DUMMYFUNCTION("""COMPUTED_VALUE"""),0.0)</f>
        <v>0</v>
      </c>
      <c r="K993" s="11">
        <f>IFERROR(__xludf.DUMMYFUNCTION("""COMPUTED_VALUE"""),0.0)</f>
        <v>0</v>
      </c>
      <c r="L993" s="11"/>
    </row>
    <row r="994" ht="15.75" customHeight="1">
      <c r="A994" s="10" t="str">
        <f>IFERROR(__xludf.DUMMYFUNCTION("""COMPUTED_VALUE"""),"https://onlineoptimism.com/learn/the-best-aeo-agencies-for-b2b-companies/")</f>
        <v>https://onlineoptimism.com/learn/the-best-aeo-agencies-for-b2b-companies/</v>
      </c>
      <c r="B994" s="11" t="str">
        <f>IFERROR(__xludf.DUMMYFUNCTION("""COMPUTED_VALUE"""),"The Best AEO Agencies for B2B Companies | Online Optimism")</f>
        <v>The Best AEO Agencies for B2B Companies | Online Optimism</v>
      </c>
      <c r="C994" s="10" t="str">
        <f>IFERROR(__xludf.DUMMYFUNCTION("""COMPUTED_VALUE"""),"onlineoptimism.com")</f>
        <v>onlineoptimism.com</v>
      </c>
      <c r="D994" s="11" t="str">
        <f>IFERROR(__xludf.DUMMYFUNCTION("""COMPUTED_VALUE"""),"LISTICLE")</f>
        <v>LISTICLE</v>
      </c>
      <c r="E994" s="11" t="str">
        <f>IFERROR(__xludf.DUMMYFUNCTION("""COMPUTED_VALUE"""),"CORPORATE")</f>
        <v>CORPORATE</v>
      </c>
      <c r="F994" s="11" t="str">
        <f>IFERROR(__xludf.DUMMYFUNCTION("""COMPUTED_VALUE"""),"Listicle")</f>
        <v>Listicle</v>
      </c>
      <c r="G994" s="11" t="b">
        <f>IFERROR(__xludf.DUMMYFUNCTION("""COMPUTED_VALUE"""),FALSE)</f>
        <v>0</v>
      </c>
      <c r="H994" s="11" t="str">
        <f>IFERROR(__xludf.DUMMYFUNCTION("""COMPUTED_VALUE"""),"Optimist")</f>
        <v>Optimist</v>
      </c>
      <c r="I994" s="11">
        <f>IFERROR(__xludf.DUMMYFUNCTION("""COMPUTED_VALUE"""),1.0)</f>
        <v>1</v>
      </c>
      <c r="J994" s="11">
        <f>IFERROR(__xludf.DUMMYFUNCTION("""COMPUTED_VALUE"""),0.0)</f>
        <v>0</v>
      </c>
      <c r="K994" s="11">
        <f>IFERROR(__xludf.DUMMYFUNCTION("""COMPUTED_VALUE"""),1.0)</f>
        <v>1</v>
      </c>
      <c r="L994" s="11"/>
    </row>
    <row r="995" ht="15.75" customHeight="1">
      <c r="A995" s="10" t="str">
        <f>IFERROR(__xludf.DUMMYFUNCTION("""COMPUTED_VALUE"""),"https://openmoves.com/blog/the-50-best-b2b-social-media-companies/")</f>
        <v>https://openmoves.com/blog/the-50-best-b2b-social-media-companies/</v>
      </c>
      <c r="B995" s="11" t="str">
        <f>IFERROR(__xludf.DUMMYFUNCTION("""COMPUTED_VALUE"""),"The 50 Best BtoB Social Media Companies - OpenMoves - Digital Marketing Agency NY")</f>
        <v>The 50 Best BtoB Social Media Companies - OpenMoves - Digital Marketing Agency NY</v>
      </c>
      <c r="C995" s="10" t="str">
        <f>IFERROR(__xludf.DUMMYFUNCTION("""COMPUTED_VALUE"""),"openmoves.com")</f>
        <v>openmoves.com</v>
      </c>
      <c r="D995" s="11" t="str">
        <f>IFERROR(__xludf.DUMMYFUNCTION("""COMPUTED_VALUE"""),"LISTICLE")</f>
        <v>LISTICLE</v>
      </c>
      <c r="E995" s="11" t="str">
        <f>IFERROR(__xludf.DUMMYFUNCTION("""COMPUTED_VALUE"""),"CORPORATE")</f>
        <v>CORPORATE</v>
      </c>
      <c r="F995" s="11" t="str">
        <f>IFERROR(__xludf.DUMMYFUNCTION("""COMPUTED_VALUE"""),"Listicle")</f>
        <v>Listicle</v>
      </c>
      <c r="G995" s="11" t="b">
        <f>IFERROR(__xludf.DUMMYFUNCTION("""COMPUTED_VALUE"""),FALSE)</f>
        <v>0</v>
      </c>
      <c r="H995" s="11" t="str">
        <f>IFERROR(__xludf.DUMMYFUNCTION("""COMPUTED_VALUE"""),"WebFX, Clutch, The Social Shepherd, Sociallyin, Single Grain, Directive, Jellyfish, Intero Digital, Merkle, Ignite Visibility, Silverback Strategies, Power Digital, LYFE Marketing, Wpromote, Tinuiti")</f>
        <v>WebFX, Clutch, The Social Shepherd, Sociallyin, Single Grain, Directive, Jellyfish, Intero Digital, Merkle, Ignite Visibility, Silverback Strategies, Power Digital, LYFE Marketing, Wpromote, Tinuiti</v>
      </c>
      <c r="I995" s="11">
        <f>IFERROR(__xludf.DUMMYFUNCTION("""COMPUTED_VALUE"""),1.0)</f>
        <v>1</v>
      </c>
      <c r="J995" s="11">
        <f>IFERROR(__xludf.DUMMYFUNCTION("""COMPUTED_VALUE"""),0.0)</f>
        <v>0</v>
      </c>
      <c r="K995" s="11">
        <f>IFERROR(__xludf.DUMMYFUNCTION("""COMPUTED_VALUE"""),1.0)</f>
        <v>1</v>
      </c>
      <c r="L995" s="11"/>
    </row>
    <row r="996" ht="15.75" customHeight="1">
      <c r="A996" s="10" t="str">
        <f>IFERROR(__xludf.DUMMYFUNCTION("""COMPUTED_VALUE"""),"https://www.opinosis-analytics.com/blog/best-ai-consulting-firms/")</f>
        <v>https://www.opinosis-analytics.com/blog/best-ai-consulting-firms/</v>
      </c>
      <c r="B996" s="11" t="str">
        <f>IFERROR(__xludf.DUMMYFUNCTION("""COMPUTED_VALUE"""),"Best AI Consulting Firms in 2026: 10 Options to Consider &amp;amp; How to Choose the Right One for Your Business | Opinosis Analytics")</f>
        <v>Best AI Consulting Firms in 2026: 10 Options to Consider &amp;amp; How to Choose the Right One for Your Business | Opinosis Analytics</v>
      </c>
      <c r="C996" s="10" t="str">
        <f>IFERROR(__xludf.DUMMYFUNCTION("""COMPUTED_VALUE"""),"opinosis-analytics.com")</f>
        <v>opinosis-analytics.com</v>
      </c>
      <c r="D996" s="11" t="str">
        <f>IFERROR(__xludf.DUMMYFUNCTION("""COMPUTED_VALUE"""),"LISTICLE")</f>
        <v>LISTICLE</v>
      </c>
      <c r="E996" s="11" t="str">
        <f>IFERROR(__xludf.DUMMYFUNCTION("""COMPUTED_VALUE"""),"CORPORATE")</f>
        <v>CORPORATE</v>
      </c>
      <c r="F996" s="11" t="str">
        <f>IFERROR(__xludf.DUMMYFUNCTION("""COMPUTED_VALUE"""),"Listicle")</f>
        <v>Listicle</v>
      </c>
      <c r="G996" s="11" t="b">
        <f>IFERROR(__xludf.DUMMYFUNCTION("""COMPUTED_VALUE"""),FALSE)</f>
        <v>0</v>
      </c>
      <c r="H996" s="11" t="str">
        <f>IFERROR(__xludf.DUMMYFUNCTION("""COMPUTED_VALUE"""),"IBM, McKinsey, QuantumBlack, BCG, PwC, Fractal Analytics, Bain &amp; Company")</f>
        <v>IBM, McKinsey, QuantumBlack, BCG, PwC, Fractal Analytics, Bain &amp; Company</v>
      </c>
      <c r="I996" s="11">
        <f>IFERROR(__xludf.DUMMYFUNCTION("""COMPUTED_VALUE"""),1.0)</f>
        <v>1</v>
      </c>
      <c r="J996" s="11">
        <f>IFERROR(__xludf.DUMMYFUNCTION("""COMPUTED_VALUE"""),0.0)</f>
        <v>0</v>
      </c>
      <c r="K996" s="11">
        <f>IFERROR(__xludf.DUMMYFUNCTION("""COMPUTED_VALUE"""),1.0)</f>
        <v>1</v>
      </c>
      <c r="L996" s="11"/>
    </row>
    <row r="997" ht="15.75" customHeight="1">
      <c r="A997" s="10" t="str">
        <f>IFERROR(__xludf.DUMMYFUNCTION("""COMPUTED_VALUE"""),"https://orm-tech.com/blog/best-marketing-attribution-software/")</f>
        <v>https://orm-tech.com/blog/best-marketing-attribution-software/</v>
      </c>
      <c r="B997" s="11" t="str">
        <f>IFERROR(__xludf.DUMMYFUNCTION("""COMPUTED_VALUE"""),"9 Best Marketing Attribution Software for B2B (2026) | ORM")</f>
        <v>9 Best Marketing Attribution Software for B2B (2026) | ORM</v>
      </c>
      <c r="C997" s="10" t="str">
        <f>IFERROR(__xludf.DUMMYFUNCTION("""COMPUTED_VALUE"""),"orm-tech.com")</f>
        <v>orm-tech.com</v>
      </c>
      <c r="D997" s="11" t="str">
        <f>IFERROR(__xludf.DUMMYFUNCTION("""COMPUTED_VALUE"""),"LISTICLE")</f>
        <v>LISTICLE</v>
      </c>
      <c r="E997" s="11" t="str">
        <f>IFERROR(__xludf.DUMMYFUNCTION("""COMPUTED_VALUE"""),"CORPORATE")</f>
        <v>CORPORATE</v>
      </c>
      <c r="F997" s="11" t="str">
        <f>IFERROR(__xludf.DUMMYFUNCTION("""COMPUTED_VALUE"""),"Listicle")</f>
        <v>Listicle</v>
      </c>
      <c r="G997" s="11" t="b">
        <f>IFERROR(__xludf.DUMMYFUNCTION("""COMPUTED_VALUE"""),FALSE)</f>
        <v>0</v>
      </c>
      <c r="H997" s="11"/>
      <c r="I997" s="11">
        <f>IFERROR(__xludf.DUMMYFUNCTION("""COMPUTED_VALUE"""),1.0)</f>
        <v>1</v>
      </c>
      <c r="J997" s="11">
        <f>IFERROR(__xludf.DUMMYFUNCTION("""COMPUTED_VALUE"""),0.0)</f>
        <v>0</v>
      </c>
      <c r="K997" s="11">
        <f>IFERROR(__xludf.DUMMYFUNCTION("""COMPUTED_VALUE"""),1.0)</f>
        <v>1</v>
      </c>
      <c r="L997" s="11"/>
    </row>
    <row r="998" ht="15.75" customHeight="1">
      <c r="A998" s="10" t="str">
        <f>IFERROR(__xludf.DUMMYFUNCTION("""COMPUTED_VALUE"""),"https://oski.site/blog/sales-and-marketing-analytics-usa/")</f>
        <v>https://oski.site/blog/sales-and-marketing-analytics-usa/</v>
      </c>
      <c r="B998" s="11" t="str">
        <f>IFERROR(__xludf.DUMMYFUNCTION("""COMPUTED_VALUE"""),"10 Best Sales and Marketing Analytics Companies in the USA (2026)")</f>
        <v>10 Best Sales and Marketing Analytics Companies in the USA (2026)</v>
      </c>
      <c r="C998" s="11" t="str">
        <f>IFERROR(__xludf.DUMMYFUNCTION("""COMPUTED_VALUE"""),"oski.site")</f>
        <v>oski.site</v>
      </c>
      <c r="D998" s="11" t="str">
        <f>IFERROR(__xludf.DUMMYFUNCTION("""COMPUTED_VALUE"""),"LISTICLE")</f>
        <v>LISTICLE</v>
      </c>
      <c r="E998" s="11" t="str">
        <f>IFERROR(__xludf.DUMMYFUNCTION("""COMPUTED_VALUE"""),"OTHER")</f>
        <v>OTHER</v>
      </c>
      <c r="F998" s="11" t="str">
        <f>IFERROR(__xludf.DUMMYFUNCTION("""COMPUTED_VALUE"""),"Listicle")</f>
        <v>Listicle</v>
      </c>
      <c r="G998" s="11" t="b">
        <f>IFERROR(__xludf.DUMMYFUNCTION("""COMPUTED_VALUE"""),FALSE)</f>
        <v>0</v>
      </c>
      <c r="H998" s="11" t="str">
        <f>IFERROR(__xludf.DUMMYFUNCTION("""COMPUTED_VALUE"""),"Circana")</f>
        <v>Circana</v>
      </c>
      <c r="I998" s="11">
        <f>IFERROR(__xludf.DUMMYFUNCTION("""COMPUTED_VALUE"""),1.0)</f>
        <v>1</v>
      </c>
      <c r="J998" s="11">
        <f>IFERROR(__xludf.DUMMYFUNCTION("""COMPUTED_VALUE"""),0.0)</f>
        <v>0</v>
      </c>
      <c r="K998" s="11">
        <f>IFERROR(__xludf.DUMMYFUNCTION("""COMPUTED_VALUE"""),1.0)</f>
        <v>1</v>
      </c>
      <c r="L998" s="11"/>
    </row>
    <row r="999" ht="15.75" customHeight="1">
      <c r="A999" s="10" t="str">
        <f>IFERROR(__xludf.DUMMYFUNCTION("""COMPUTED_VALUE"""),"https://ossisto.com/blog/display-advertising-companies/")</f>
        <v>https://ossisto.com/blog/display-advertising-companies/</v>
      </c>
      <c r="B999" s="11" t="str">
        <f>IFERROR(__xludf.DUMMYFUNCTION("""COMPUTED_VALUE"""),"10 Best Display Advertising Companies for 2026")</f>
        <v>10 Best Display Advertising Companies for 2026</v>
      </c>
      <c r="C999" s="10" t="str">
        <f>IFERROR(__xludf.DUMMYFUNCTION("""COMPUTED_VALUE"""),"ossisto.com")</f>
        <v>ossisto.com</v>
      </c>
      <c r="D999" s="11" t="str">
        <f>IFERROR(__xludf.DUMMYFUNCTION("""COMPUTED_VALUE"""),"LISTICLE")</f>
        <v>LISTICLE</v>
      </c>
      <c r="E999" s="11" t="str">
        <f>IFERROR(__xludf.DUMMYFUNCTION("""COMPUTED_VALUE"""),"CORPORATE")</f>
        <v>CORPORATE</v>
      </c>
      <c r="F999" s="11" t="str">
        <f>IFERROR(__xludf.DUMMYFUNCTION("""COMPUTED_VALUE"""),"Listicle")</f>
        <v>Listicle</v>
      </c>
      <c r="G999" s="11" t="b">
        <f>IFERROR(__xludf.DUMMYFUNCTION("""COMPUTED_VALUE"""),FALSE)</f>
        <v>0</v>
      </c>
      <c r="H999" s="11" t="str">
        <f>IFERROR(__xludf.DUMMYFUNCTION("""COMPUTED_VALUE"""),"Measured")</f>
        <v>Measured</v>
      </c>
      <c r="I999" s="11">
        <f>IFERROR(__xludf.DUMMYFUNCTION("""COMPUTED_VALUE"""),1.0)</f>
        <v>1</v>
      </c>
      <c r="J999" s="11">
        <f>IFERROR(__xludf.DUMMYFUNCTION("""COMPUTED_VALUE"""),0.0)</f>
        <v>0</v>
      </c>
      <c r="K999" s="11">
        <f>IFERROR(__xludf.DUMMYFUNCTION("""COMPUTED_VALUE"""),0.0)</f>
        <v>0</v>
      </c>
      <c r="L999" s="11"/>
    </row>
    <row r="1000">
      <c r="A1000" s="10" t="str">
        <f>IFERROR(__xludf.DUMMYFUNCTION("""COMPUTED_VALUE"""),"https://outpaceseo.com/article/best-seo-agencies/")</f>
        <v>https://outpaceseo.com/article/best-seo-agencies/</v>
      </c>
      <c r="B1000" s="11" t="str">
        <f>IFERROR(__xludf.DUMMYFUNCTION("""COMPUTED_VALUE"""),"25 Best SEO Agencies in the US [2026] - Top SEO Companies Reviewed")</f>
        <v>25 Best SEO Agencies in the US [2026] - Top SEO Companies Reviewed</v>
      </c>
      <c r="C1000" s="10" t="str">
        <f>IFERROR(__xludf.DUMMYFUNCTION("""COMPUTED_VALUE"""),"outpaceseo.com")</f>
        <v>outpaceseo.com</v>
      </c>
      <c r="D1000" s="11" t="str">
        <f>IFERROR(__xludf.DUMMYFUNCTION("""COMPUTED_VALUE"""),"LISTICLE")</f>
        <v>LISTICLE</v>
      </c>
      <c r="E1000" s="11" t="str">
        <f>IFERROR(__xludf.DUMMYFUNCTION("""COMPUTED_VALUE"""),"CORPORATE")</f>
        <v>CORPORATE</v>
      </c>
      <c r="F1000" s="11" t="str">
        <f>IFERROR(__xludf.DUMMYFUNCTION("""COMPUTED_VALUE"""),"Listicle")</f>
        <v>Listicle</v>
      </c>
      <c r="G1000" s="11" t="b">
        <f>IFERROR(__xludf.DUMMYFUNCTION("""COMPUTED_VALUE"""),FALSE)</f>
        <v>0</v>
      </c>
      <c r="H1000" s="11" t="str">
        <f>IFERROR(__xludf.DUMMYFUNCTION("""COMPUTED_VALUE"""),"WebFX, SmartSites, Ignite Visibility, Searchbloom, Victorious, HawkSEM, Funnel Boost Media, First Page Sage, Darkroom, Clay, Momentum, Clutch")</f>
        <v>WebFX, SmartSites, Ignite Visibility, Searchbloom, Victorious, HawkSEM, Funnel Boost Media, First Page Sage, Darkroom, Clay, Momentum, Clutch</v>
      </c>
      <c r="I1000" s="11">
        <f>IFERROR(__xludf.DUMMYFUNCTION("""COMPUTED_VALUE"""),1.0)</f>
        <v>1</v>
      </c>
      <c r="J1000" s="11">
        <f>IFERROR(__xludf.DUMMYFUNCTION("""COMPUTED_VALUE"""),0.0)</f>
        <v>0</v>
      </c>
      <c r="K1000" s="11">
        <f>IFERROR(__xludf.DUMMYFUNCTION("""COMPUTED_VALUE"""),1.0)</f>
        <v>1</v>
      </c>
      <c r="L1000" s="11"/>
    </row>
    <row r="1001">
      <c r="A1001" s="10" t="str">
        <f>IFERROR(__xludf.DUMMYFUNCTION("""COMPUTED_VALUE"""),"https://outreachz.com/blog/10-best-ai-seo-agencies-in-2026/")</f>
        <v>https://outreachz.com/blog/10-best-ai-seo-agencies-in-2026/</v>
      </c>
      <c r="B1001" s="11" t="str">
        <f>IFERROR(__xludf.DUMMYFUNCTION("""COMPUTED_VALUE"""),"10 Best AI SEO Agencies in 2026: Top Firms for AI Search, AEO, and GEO")</f>
        <v>10 Best AI SEO Agencies in 2026: Top Firms for AI Search, AEO, and GEO</v>
      </c>
      <c r="C1001" s="10" t="str">
        <f>IFERROR(__xludf.DUMMYFUNCTION("""COMPUTED_VALUE"""),"outreachz.com")</f>
        <v>outreachz.com</v>
      </c>
      <c r="D1001" s="11" t="str">
        <f>IFERROR(__xludf.DUMMYFUNCTION("""COMPUTED_VALUE"""),"LISTICLE")</f>
        <v>LISTICLE</v>
      </c>
      <c r="E1001" s="11" t="str">
        <f>IFERROR(__xludf.DUMMYFUNCTION("""COMPUTED_VALUE"""),"CORPORATE")</f>
        <v>CORPORATE</v>
      </c>
      <c r="F1001" s="11" t="str">
        <f>IFERROR(__xludf.DUMMYFUNCTION("""COMPUTED_VALUE"""),"Listicle")</f>
        <v>Listicle</v>
      </c>
      <c r="G1001" s="11" t="b">
        <f>IFERROR(__xludf.DUMMYFUNCTION("""COMPUTED_VALUE"""),FALSE)</f>
        <v>0</v>
      </c>
      <c r="H1001" s="11" t="str">
        <f>IFERROR(__xludf.DUMMYFUNCTION("""COMPUTED_VALUE"""),"First Page Sage, NoGood, WebFX, Directive, Amsive, Victorious, iPullRank, Searchbloom")</f>
        <v>First Page Sage, NoGood, WebFX, Directive, Amsive, Victorious, iPullRank, Searchbloom</v>
      </c>
      <c r="I1001" s="11">
        <f>IFERROR(__xludf.DUMMYFUNCTION("""COMPUTED_VALUE"""),1.0)</f>
        <v>1</v>
      </c>
      <c r="J1001" s="11">
        <f>IFERROR(__xludf.DUMMYFUNCTION("""COMPUTED_VALUE"""),0.0)</f>
        <v>0</v>
      </c>
      <c r="K1001" s="11">
        <f>IFERROR(__xludf.DUMMYFUNCTION("""COMPUTED_VALUE"""),0.0)</f>
        <v>0</v>
      </c>
      <c r="L1001" s="11"/>
    </row>
    <row r="1002">
      <c r="A1002" s="10" t="str">
        <f>IFERROR(__xludf.DUMMYFUNCTION("""COMPUTED_VALUE"""),"https://www.outsourceaccelerator.com/guide/top-digital-marketing-companies-in-the-us/")</f>
        <v>https://www.outsourceaccelerator.com/guide/top-digital-marketing-companies-in-the-us/</v>
      </c>
      <c r="B1002" s="11" t="str">
        <f>IFERROR(__xludf.DUMMYFUNCTION("""COMPUTED_VALUE"""),"Top 50 digital marketing companies in the US | Outsource Accelerator")</f>
        <v>Top 50 digital marketing companies in the US | Outsource Accelerator</v>
      </c>
      <c r="C1002" s="10" t="str">
        <f>IFERROR(__xludf.DUMMYFUNCTION("""COMPUTED_VALUE"""),"outsourceaccelerator.com")</f>
        <v>outsourceaccelerator.com</v>
      </c>
      <c r="D1002" s="11" t="str">
        <f>IFERROR(__xludf.DUMMYFUNCTION("""COMPUTED_VALUE"""),"LISTICLE")</f>
        <v>LISTICLE</v>
      </c>
      <c r="E1002" s="11" t="str">
        <f>IFERROR(__xludf.DUMMYFUNCTION("""COMPUTED_VALUE"""),"INSTITUTIONAL")</f>
        <v>INSTITUTIONAL</v>
      </c>
      <c r="F1002" s="11" t="str">
        <f>IFERROR(__xludf.DUMMYFUNCTION("""COMPUTED_VALUE"""),"Listicle")</f>
        <v>Listicle</v>
      </c>
      <c r="G1002" s="11" t="b">
        <f>IFERROR(__xludf.DUMMYFUNCTION("""COMPUTED_VALUE"""),FALSE)</f>
        <v>0</v>
      </c>
      <c r="H1002" s="11" t="str">
        <f>IFERROR(__xludf.DUMMYFUNCTION("""COMPUTED_VALUE"""),"WebFX, LYFE Marketing, Ignite Visibility, SmartSites, VaynerMedia, Merkle")</f>
        <v>WebFX, LYFE Marketing, Ignite Visibility, SmartSites, VaynerMedia, Merkle</v>
      </c>
      <c r="I1002" s="11">
        <f>IFERROR(__xludf.DUMMYFUNCTION("""COMPUTED_VALUE"""),1.0)</f>
        <v>1</v>
      </c>
      <c r="J1002" s="11">
        <f>IFERROR(__xludf.DUMMYFUNCTION("""COMPUTED_VALUE"""),0.0)</f>
        <v>0</v>
      </c>
      <c r="K1002" s="11">
        <f>IFERROR(__xludf.DUMMYFUNCTION("""COMPUTED_VALUE"""),0.0)</f>
        <v>0</v>
      </c>
      <c r="L1002" s="11"/>
    </row>
    <row r="1003">
      <c r="A1003" s="10" t="str">
        <f>IFERROR(__xludf.DUMMYFUNCTION("""COMPUTED_VALUE"""),"https://www.patientprism.com/blog/best-marketing-attribution-tools-healthcare/")</f>
        <v>https://www.patientprism.com/blog/best-marketing-attribution-tools-healthcare/</v>
      </c>
      <c r="B1003" s="11" t="str">
        <f>IFERROR(__xludf.DUMMYFUNCTION("""COMPUTED_VALUE"""),"Best Marketing Attribution Tools for Healthcare (Revenue-Focused Comparison): 2026 - Patient Prism")</f>
        <v>Best Marketing Attribution Tools for Healthcare (Revenue-Focused Comparison): 2026 - Patient Prism</v>
      </c>
      <c r="C1003" s="10" t="str">
        <f>IFERROR(__xludf.DUMMYFUNCTION("""COMPUTED_VALUE"""),"patientprism.com")</f>
        <v>patientprism.com</v>
      </c>
      <c r="D1003" s="11" t="str">
        <f>IFERROR(__xludf.DUMMYFUNCTION("""COMPUTED_VALUE"""),"LISTICLE")</f>
        <v>LISTICLE</v>
      </c>
      <c r="E1003" s="11" t="str">
        <f>IFERROR(__xludf.DUMMYFUNCTION("""COMPUTED_VALUE"""),"CORPORATE")</f>
        <v>CORPORATE</v>
      </c>
      <c r="F1003" s="11" t="str">
        <f>IFERROR(__xludf.DUMMYFUNCTION("""COMPUTED_VALUE"""),"Listicle")</f>
        <v>Listicle</v>
      </c>
      <c r="G1003" s="11" t="b">
        <f>IFERROR(__xludf.DUMMYFUNCTION("""COMPUTED_VALUE"""),FALSE)</f>
        <v>0</v>
      </c>
      <c r="H1003" s="11" t="str">
        <f>IFERROR(__xludf.DUMMYFUNCTION("""COMPUTED_VALUE"""),"Ruler Analytics, HockeyStack")</f>
        <v>Ruler Analytics, HockeyStack</v>
      </c>
      <c r="I1003" s="11">
        <f>IFERROR(__xludf.DUMMYFUNCTION("""COMPUTED_VALUE"""),1.0)</f>
        <v>1</v>
      </c>
      <c r="J1003" s="11">
        <f>IFERROR(__xludf.DUMMYFUNCTION("""COMPUTED_VALUE"""),0.0)</f>
        <v>0</v>
      </c>
      <c r="K1003" s="11">
        <f>IFERROR(__xludf.DUMMYFUNCTION("""COMPUTED_VALUE"""),1.0)</f>
        <v>1</v>
      </c>
      <c r="L1003" s="11"/>
    </row>
    <row r="1004">
      <c r="A1004" s="10" t="str">
        <f>IFERROR(__xludf.DUMMYFUNCTION("""COMPUTED_VALUE"""),"https://www.pedowitzgroup.com/blog/best-revenue-marketing-consulting-firms-for-fortune-1000-enterprises?hs_amp=true")</f>
        <v>https://www.pedowitzgroup.com/blog/best-revenue-marketing-consulting-firms-for-fortune-1000-enterprises?hs_amp=true</v>
      </c>
      <c r="B1004" s="11" t="str">
        <f>IFERROR(__xludf.DUMMYFUNCTION("""COMPUTED_VALUE"""),"Best Revenue Marketing Consulting Firms for Fortune 1000 Enterprises")</f>
        <v>Best Revenue Marketing Consulting Firms for Fortune 1000 Enterprises</v>
      </c>
      <c r="C1004" s="10" t="str">
        <f>IFERROR(__xludf.DUMMYFUNCTION("""COMPUTED_VALUE"""),"pedowitzgroup.com")</f>
        <v>pedowitzgroup.com</v>
      </c>
      <c r="D1004" s="11" t="str">
        <f>IFERROR(__xludf.DUMMYFUNCTION("""COMPUTED_VALUE"""),"LISTICLE")</f>
        <v>LISTICLE</v>
      </c>
      <c r="E1004" s="11" t="str">
        <f>IFERROR(__xludf.DUMMYFUNCTION("""COMPUTED_VALUE"""),"CORPORATE")</f>
        <v>CORPORATE</v>
      </c>
      <c r="F1004" s="11" t="str">
        <f>IFERROR(__xludf.DUMMYFUNCTION("""COMPUTED_VALUE"""),"Listicle")</f>
        <v>Listicle</v>
      </c>
      <c r="G1004" s="11" t="b">
        <f>IFERROR(__xludf.DUMMYFUNCTION("""COMPUTED_VALUE"""),FALSE)</f>
        <v>0</v>
      </c>
      <c r="H1004" s="11" t="str">
        <f>IFERROR(__xludf.DUMMYFUNCTION("""COMPUTED_VALUE"""),"IBM, Accenture Song, Deloitte Digital, PwC, Publicis Sapient, Slalom, Merkle, Dentsu, McKinsey, BCG")</f>
        <v>IBM, Accenture Song, Deloitte Digital, PwC, Publicis Sapient, Slalom, Merkle, Dentsu, McKinsey, BCG</v>
      </c>
      <c r="I1004" s="11">
        <f>IFERROR(__xludf.DUMMYFUNCTION("""COMPUTED_VALUE"""),1.0)</f>
        <v>1</v>
      </c>
      <c r="J1004" s="11">
        <f>IFERROR(__xludf.DUMMYFUNCTION("""COMPUTED_VALUE"""),0.0)</f>
        <v>0</v>
      </c>
      <c r="K1004" s="11">
        <f>IFERROR(__xludf.DUMMYFUNCTION("""COMPUTED_VALUE"""),0.0)</f>
        <v>0</v>
      </c>
      <c r="L1004" s="11"/>
    </row>
    <row r="1005">
      <c r="A1005" s="10" t="str">
        <f>IFERROR(__xludf.DUMMYFUNCTION("""COMPUTED_VALUE"""),"https://www.phable.io/top-creative-agencies/leading-creative-agencies-in-new-york-masters-of-branding-content-creation-and-digital-innovation")</f>
        <v>https://www.phable.io/top-creative-agencies/leading-creative-agencies-in-new-york-masters-of-branding-content-creation-and-digital-innovation</v>
      </c>
      <c r="B1005" s="11" t="str">
        <f>IFERROR(__xludf.DUMMYFUNCTION("""COMPUTED_VALUE"""),"Top Creative Agencies in New York | Leaders in Branding and Digital Innovation — Branding And Content Marketing For Technology")</f>
        <v>Top Creative Agencies in New York | Leaders in Branding and Digital Innovation — Branding And Content Marketing For Technology</v>
      </c>
      <c r="C1005" s="10" t="str">
        <f>IFERROR(__xludf.DUMMYFUNCTION("""COMPUTED_VALUE"""),"phable.io")</f>
        <v>phable.io</v>
      </c>
      <c r="D1005" s="11" t="str">
        <f>IFERROR(__xludf.DUMMYFUNCTION("""COMPUTED_VALUE"""),"LISTICLE")</f>
        <v>LISTICLE</v>
      </c>
      <c r="E1005" s="11" t="str">
        <f>IFERROR(__xludf.DUMMYFUNCTION("""COMPUTED_VALUE"""),"CORPORATE")</f>
        <v>CORPORATE</v>
      </c>
      <c r="F1005" s="11" t="str">
        <f>IFERROR(__xludf.DUMMYFUNCTION("""COMPUTED_VALUE"""),"Listicle")</f>
        <v>Listicle</v>
      </c>
      <c r="G1005" s="11" t="b">
        <f>IFERROR(__xludf.DUMMYFUNCTION("""COMPUTED_VALUE"""),FALSE)</f>
        <v>0</v>
      </c>
      <c r="H1005" s="11" t="str">
        <f>IFERROR(__xludf.DUMMYFUNCTION("""COMPUTED_VALUE"""),"Pentagram, Huge, R/GA, Droga5, Wieden+Kennedy, Ogilvy, IBM, AKQA")</f>
        <v>Pentagram, Huge, R/GA, Droga5, Wieden+Kennedy, Ogilvy, IBM, AKQA</v>
      </c>
      <c r="I1005" s="11">
        <f>IFERROR(__xludf.DUMMYFUNCTION("""COMPUTED_VALUE"""),1.0)</f>
        <v>1</v>
      </c>
      <c r="J1005" s="11">
        <f>IFERROR(__xludf.DUMMYFUNCTION("""COMPUTED_VALUE"""),0.0)</f>
        <v>0</v>
      </c>
      <c r="K1005" s="11">
        <f>IFERROR(__xludf.DUMMYFUNCTION("""COMPUTED_VALUE"""),1.0)</f>
        <v>1</v>
      </c>
      <c r="L1005" s="11"/>
    </row>
    <row r="1006">
      <c r="A1006" s="10" t="str">
        <f>IFERROR(__xludf.DUMMYFUNCTION("""COMPUTED_VALUE"""),"https://pipeline.zoominfo.com/marketing/digital-marketing-tools")</f>
        <v>https://pipeline.zoominfo.com/marketing/digital-marketing-tools</v>
      </c>
      <c r="B1006" s="11" t="str">
        <f>IFERROR(__xludf.DUMMYFUNCTION("""COMPUTED_VALUE"""),"Digital Marketing Tools: 12 Best Platforms Compared for 2026")</f>
        <v>Digital Marketing Tools: 12 Best Platforms Compared for 2026</v>
      </c>
      <c r="C1006" s="10" t="str">
        <f>IFERROR(__xludf.DUMMYFUNCTION("""COMPUTED_VALUE"""),"zoominfo.com")</f>
        <v>zoominfo.com</v>
      </c>
      <c r="D1006" s="11" t="str">
        <f>IFERROR(__xludf.DUMMYFUNCTION("""COMPUTED_VALUE"""),"LISTICLE")</f>
        <v>LISTICLE</v>
      </c>
      <c r="E1006" s="11" t="str">
        <f>IFERROR(__xludf.DUMMYFUNCTION("""COMPUTED_VALUE"""),"CORPORATE")</f>
        <v>CORPORATE</v>
      </c>
      <c r="F1006" s="11" t="str">
        <f>IFERROR(__xludf.DUMMYFUNCTION("""COMPUTED_VALUE"""),"Listicle")</f>
        <v>Listicle</v>
      </c>
      <c r="G1006" s="11" t="b">
        <f>IFERROR(__xludf.DUMMYFUNCTION("""COMPUTED_VALUE"""),FALSE)</f>
        <v>0</v>
      </c>
      <c r="H1006" s="11"/>
      <c r="I1006" s="11">
        <f>IFERROR(__xludf.DUMMYFUNCTION("""COMPUTED_VALUE"""),1.0)</f>
        <v>1</v>
      </c>
      <c r="J1006" s="11">
        <f>IFERROR(__xludf.DUMMYFUNCTION("""COMPUTED_VALUE"""),0.0)</f>
        <v>0</v>
      </c>
      <c r="K1006" s="11">
        <f>IFERROR(__xludf.DUMMYFUNCTION("""COMPUTED_VALUE"""),1.0)</f>
        <v>1</v>
      </c>
      <c r="L1006" s="11"/>
    </row>
    <row r="1007">
      <c r="A1007" s="10" t="str">
        <f>IFERROR(__xludf.DUMMYFUNCTION("""COMPUTED_VALUE"""),"https://www.pitchkitchen.com/best-ai-sales-marketing-agencies")</f>
        <v>https://www.pitchkitchen.com/best-ai-sales-marketing-agencies</v>
      </c>
      <c r="B1007" s="11" t="str">
        <f>IFERROR(__xludf.DUMMYFUNCTION("""COMPUTED_VALUE"""),"Best AI Sales and Marketing Agencies for B2B in 2026 | PitchKitchen")</f>
        <v>Best AI Sales and Marketing Agencies for B2B in 2026 | PitchKitchen</v>
      </c>
      <c r="C1007" s="10" t="str">
        <f>IFERROR(__xludf.DUMMYFUNCTION("""COMPUTED_VALUE"""),"pitchkitchen.com")</f>
        <v>pitchkitchen.com</v>
      </c>
      <c r="D1007" s="11" t="str">
        <f>IFERROR(__xludf.DUMMYFUNCTION("""COMPUTED_VALUE"""),"LISTICLE")</f>
        <v>LISTICLE</v>
      </c>
      <c r="E1007" s="11" t="str">
        <f>IFERROR(__xludf.DUMMYFUNCTION("""COMPUTED_VALUE"""),"CORPORATE")</f>
        <v>CORPORATE</v>
      </c>
      <c r="F1007" s="11" t="str">
        <f>IFERROR(__xludf.DUMMYFUNCTION("""COMPUTED_VALUE"""),"Listicle")</f>
        <v>Listicle</v>
      </c>
      <c r="G1007" s="11" t="b">
        <f>IFERROR(__xludf.DUMMYFUNCTION("""COMPUTED_VALUE"""),FALSE)</f>
        <v>0</v>
      </c>
      <c r="H1007" s="11" t="str">
        <f>IFERROR(__xludf.DUMMYFUNCTION("""COMPUTED_VALUE"""),"Directive")</f>
        <v>Directive</v>
      </c>
      <c r="I1007" s="11">
        <f>IFERROR(__xludf.DUMMYFUNCTION("""COMPUTED_VALUE"""),1.0)</f>
        <v>1</v>
      </c>
      <c r="J1007" s="11">
        <f>IFERROR(__xludf.DUMMYFUNCTION("""COMPUTED_VALUE"""),0.0)</f>
        <v>0</v>
      </c>
      <c r="K1007" s="11">
        <f>IFERROR(__xludf.DUMMYFUNCTION("""COMPUTED_VALUE"""),0.0)</f>
        <v>0</v>
      </c>
      <c r="L1007" s="11"/>
    </row>
    <row r="1008">
      <c r="A1008" s="10" t="str">
        <f>IFERROR(__xludf.DUMMYFUNCTION("""COMPUTED_VALUE"""),"https://www.pleiadesconsultancy.com/blog/best-ai-search-agencies-2026")</f>
        <v>https://www.pleiadesconsultancy.com/blog/best-ai-search-agencies-2026</v>
      </c>
      <c r="B1008" s="11" t="str">
        <f>IFERROR(__xludf.DUMMYFUNCTION("""COMPUTED_VALUE"""),"Best AI Search Optimization Agencies in 2026, Compared")</f>
        <v>Best AI Search Optimization Agencies in 2026, Compared</v>
      </c>
      <c r="C1008" s="10" t="str">
        <f>IFERROR(__xludf.DUMMYFUNCTION("""COMPUTED_VALUE"""),"pleiadesconsultancy.com")</f>
        <v>pleiadesconsultancy.com</v>
      </c>
      <c r="D1008" s="11" t="str">
        <f>IFERROR(__xludf.DUMMYFUNCTION("""COMPUTED_VALUE"""),"LISTICLE")</f>
        <v>LISTICLE</v>
      </c>
      <c r="E1008" s="11" t="str">
        <f>IFERROR(__xludf.DUMMYFUNCTION("""COMPUTED_VALUE"""),"CORPORATE")</f>
        <v>CORPORATE</v>
      </c>
      <c r="F1008" s="11" t="str">
        <f>IFERROR(__xludf.DUMMYFUNCTION("""COMPUTED_VALUE"""),"Listicle")</f>
        <v>Listicle</v>
      </c>
      <c r="G1008" s="11" t="b">
        <f>IFERROR(__xludf.DUMMYFUNCTION("""COMPUTED_VALUE"""),FALSE)</f>
        <v>0</v>
      </c>
      <c r="H1008" s="11"/>
      <c r="I1008" s="11">
        <f>IFERROR(__xludf.DUMMYFUNCTION("""COMPUTED_VALUE"""),1.0)</f>
        <v>1</v>
      </c>
      <c r="J1008" s="11">
        <f>IFERROR(__xludf.DUMMYFUNCTION("""COMPUTED_VALUE"""),0.0)</f>
        <v>0</v>
      </c>
      <c r="K1008" s="11">
        <f>IFERROR(__xludf.DUMMYFUNCTION("""COMPUTED_VALUE"""),0.0)</f>
        <v>0</v>
      </c>
      <c r="L1008" s="11"/>
    </row>
    <row r="1009">
      <c r="A1009" s="10" t="str">
        <f>IFERROR(__xludf.DUMMYFUNCTION("""COMPUTED_VALUE"""),"https://www.plerdy.com/blog/performance-marketing/")</f>
        <v>https://www.plerdy.com/blog/performance-marketing/</v>
      </c>
      <c r="B1009" s="11" t="str">
        <f>IFERROR(__xludf.DUMMYFUNCTION("""COMPUTED_VALUE"""),"Top 15 Performance Marketing Agencies – Plerdy")</f>
        <v>Top 15 Performance Marketing Agencies – Plerdy</v>
      </c>
      <c r="C1009" s="10" t="str">
        <f>IFERROR(__xludf.DUMMYFUNCTION("""COMPUTED_VALUE"""),"plerdy.com")</f>
        <v>plerdy.com</v>
      </c>
      <c r="D1009" s="11" t="str">
        <f>IFERROR(__xludf.DUMMYFUNCTION("""COMPUTED_VALUE"""),"LISTICLE")</f>
        <v>LISTICLE</v>
      </c>
      <c r="E1009" s="11" t="str">
        <f>IFERROR(__xludf.DUMMYFUNCTION("""COMPUTED_VALUE"""),"CORPORATE")</f>
        <v>CORPORATE</v>
      </c>
      <c r="F1009" s="11" t="str">
        <f>IFERROR(__xludf.DUMMYFUNCTION("""COMPUTED_VALUE"""),"Listicle")</f>
        <v>Listicle</v>
      </c>
      <c r="G1009" s="11" t="b">
        <f>IFERROR(__xludf.DUMMYFUNCTION("""COMPUTED_VALUE"""),FALSE)</f>
        <v>0</v>
      </c>
      <c r="H1009" s="11" t="str">
        <f>IFERROR(__xludf.DUMMYFUNCTION("""COMPUTED_VALUE"""),"Clutch, Disruptive Advertising, WebFX, Ignite Visibility, Directive, Kobe Digital, Publicis Groupe")</f>
        <v>Clutch, Disruptive Advertising, WebFX, Ignite Visibility, Directive, Kobe Digital, Publicis Groupe</v>
      </c>
      <c r="I1009" s="11">
        <f>IFERROR(__xludf.DUMMYFUNCTION("""COMPUTED_VALUE"""),1.0)</f>
        <v>1</v>
      </c>
      <c r="J1009" s="11">
        <f>IFERROR(__xludf.DUMMYFUNCTION("""COMPUTED_VALUE"""),0.0)</f>
        <v>0</v>
      </c>
      <c r="K1009" s="11">
        <f>IFERROR(__xludf.DUMMYFUNCTION("""COMPUTED_VALUE"""),0.0)</f>
        <v>0</v>
      </c>
      <c r="L1009" s="11"/>
    </row>
    <row r="1010">
      <c r="A1010" s="10" t="str">
        <f>IFERROR(__xludf.DUMMYFUNCTION("""COMPUTED_VALUE"""),"https://www.plerdy.com/blog/social-media-marketing-agencies/")</f>
        <v>https://www.plerdy.com/blog/social-media-marketing-agencies/</v>
      </c>
      <c r="B1010" s="11" t="str">
        <f>IFERROR(__xludf.DUMMYFUNCTION("""COMPUTED_VALUE"""),"Top 15 Social Media Marketing Agencies for 2025 – Plerdy")</f>
        <v>Top 15 Social Media Marketing Agencies for 2025 – Plerdy</v>
      </c>
      <c r="C1010" s="10" t="str">
        <f>IFERROR(__xludf.DUMMYFUNCTION("""COMPUTED_VALUE"""),"plerdy.com")</f>
        <v>plerdy.com</v>
      </c>
      <c r="D1010" s="11" t="str">
        <f>IFERROR(__xludf.DUMMYFUNCTION("""COMPUTED_VALUE"""),"LISTICLE")</f>
        <v>LISTICLE</v>
      </c>
      <c r="E1010" s="11" t="str">
        <f>IFERROR(__xludf.DUMMYFUNCTION("""COMPUTED_VALUE"""),"CORPORATE")</f>
        <v>CORPORATE</v>
      </c>
      <c r="F1010" s="11" t="str">
        <f>IFERROR(__xludf.DUMMYFUNCTION("""COMPUTED_VALUE"""),"Listicle")</f>
        <v>Listicle</v>
      </c>
      <c r="G1010" s="11" t="b">
        <f>IFERROR(__xludf.DUMMYFUNCTION("""COMPUTED_VALUE"""),FALSE)</f>
        <v>0</v>
      </c>
      <c r="H1010" s="11" t="str">
        <f>IFERROR(__xludf.DUMMYFUNCTION("""COMPUTED_VALUE"""),"LYFE Marketing, Sociallyin, Clutch, Power Digital")</f>
        <v>LYFE Marketing, Sociallyin, Clutch, Power Digital</v>
      </c>
      <c r="I1010" s="11">
        <f>IFERROR(__xludf.DUMMYFUNCTION("""COMPUTED_VALUE"""),1.0)</f>
        <v>1</v>
      </c>
      <c r="J1010" s="11">
        <f>IFERROR(__xludf.DUMMYFUNCTION("""COMPUTED_VALUE"""),0.0)</f>
        <v>0</v>
      </c>
      <c r="K1010" s="11">
        <f>IFERROR(__xludf.DUMMYFUNCTION("""COMPUTED_VALUE"""),1.0)</f>
        <v>1</v>
      </c>
      <c r="L1010" s="11"/>
    </row>
    <row r="1011">
      <c r="A1011" s="10" t="str">
        <f>IFERROR(__xludf.DUMMYFUNCTION("""COMPUTED_VALUE"""),"https://powerdigitalmarketing.com/blog/best-digital-marketing-agency/")</f>
        <v>https://powerdigitalmarketing.com/blog/best-digital-marketing-agency/</v>
      </c>
      <c r="B1011" s="11" t="str">
        <f>IFERROR(__xludf.DUMMYFUNCTION("""COMPUTED_VALUE"""),"10 Best Digital Marketing Agencies | Power Digital Marketing")</f>
        <v>10 Best Digital Marketing Agencies | Power Digital Marketing</v>
      </c>
      <c r="C1011" s="10" t="str">
        <f>IFERROR(__xludf.DUMMYFUNCTION("""COMPUTED_VALUE"""),"powerdigitalmarketing.com")</f>
        <v>powerdigitalmarketing.com</v>
      </c>
      <c r="D1011" s="11" t="str">
        <f>IFERROR(__xludf.DUMMYFUNCTION("""COMPUTED_VALUE"""),"LISTICLE")</f>
        <v>LISTICLE</v>
      </c>
      <c r="E1011" s="11" t="str">
        <f>IFERROR(__xludf.DUMMYFUNCTION("""COMPUTED_VALUE"""),"COMPETITOR")</f>
        <v>COMPETITOR</v>
      </c>
      <c r="F1011" s="11" t="str">
        <f>IFERROR(__xludf.DUMMYFUNCTION("""COMPUTED_VALUE"""),"Listicle")</f>
        <v>Listicle</v>
      </c>
      <c r="G1011" s="11" t="b">
        <f>IFERROR(__xludf.DUMMYFUNCTION("""COMPUTED_VALUE"""),FALSE)</f>
        <v>0</v>
      </c>
      <c r="H1011" s="11" t="str">
        <f>IFERROR(__xludf.DUMMYFUNCTION("""COMPUTED_VALUE"""),"Power Digital, NoGood")</f>
        <v>Power Digital, NoGood</v>
      </c>
      <c r="I1011" s="11">
        <f>IFERROR(__xludf.DUMMYFUNCTION("""COMPUTED_VALUE"""),1.0)</f>
        <v>1</v>
      </c>
      <c r="J1011" s="11">
        <f>IFERROR(__xludf.DUMMYFUNCTION("""COMPUTED_VALUE"""),0.0)</f>
        <v>0</v>
      </c>
      <c r="K1011" s="11">
        <f>IFERROR(__xludf.DUMMYFUNCTION("""COMPUTED_VALUE"""),1.0)</f>
        <v>1</v>
      </c>
      <c r="L1011" s="11"/>
    </row>
    <row r="1012">
      <c r="A1012" s="10" t="str">
        <f>IFERROR(__xludf.DUMMYFUNCTION("""COMPUTED_VALUE"""),"https://prerender.io/blog/best-technical-geo-and-ai-se-tools/")</f>
        <v>https://prerender.io/blog/best-technical-geo-and-ai-se-tools/</v>
      </c>
      <c r="B1012" s="11" t="str">
        <f>IFERROR(__xludf.DUMMYFUNCTION("""COMPUTED_VALUE"""),"7 Best Technical GEO Tools for 2026 (AI Search Optimization)")</f>
        <v>7 Best Technical GEO Tools for 2026 (AI Search Optimization)</v>
      </c>
      <c r="C1012" s="10" t="str">
        <f>IFERROR(__xludf.DUMMYFUNCTION("""COMPUTED_VALUE"""),"prerender.io")</f>
        <v>prerender.io</v>
      </c>
      <c r="D1012" s="11" t="str">
        <f>IFERROR(__xludf.DUMMYFUNCTION("""COMPUTED_VALUE"""),"LISTICLE")</f>
        <v>LISTICLE</v>
      </c>
      <c r="E1012" s="11" t="str">
        <f>IFERROR(__xludf.DUMMYFUNCTION("""COMPUTED_VALUE"""),"CORPORATE")</f>
        <v>CORPORATE</v>
      </c>
      <c r="F1012" s="11" t="str">
        <f>IFERROR(__xludf.DUMMYFUNCTION("""COMPUTED_VALUE"""),"Listicle")</f>
        <v>Listicle</v>
      </c>
      <c r="G1012" s="11" t="b">
        <f>IFERROR(__xludf.DUMMYFUNCTION("""COMPUTED_VALUE"""),FALSE)</f>
        <v>0</v>
      </c>
      <c r="H1012" s="11" t="str">
        <f>IFERROR(__xludf.DUMMYFUNCTION("""COMPUTED_VALUE"""),"IBM")</f>
        <v>IBM</v>
      </c>
      <c r="I1012" s="11">
        <f>IFERROR(__xludf.DUMMYFUNCTION("""COMPUTED_VALUE"""),1.0)</f>
        <v>1</v>
      </c>
      <c r="J1012" s="11">
        <f>IFERROR(__xludf.DUMMYFUNCTION("""COMPUTED_VALUE"""),0.0)</f>
        <v>0</v>
      </c>
      <c r="K1012" s="11">
        <f>IFERROR(__xludf.DUMMYFUNCTION("""COMPUTED_VALUE"""),1.0)</f>
        <v>1</v>
      </c>
      <c r="L1012" s="11"/>
    </row>
    <row r="1013">
      <c r="A1013" s="10" t="str">
        <f>IFERROR(__xludf.DUMMYFUNCTION("""COMPUTED_VALUE"""),"https://projectmanagers.net/top-a-b-testing-agencies-delivering-proven-results/")</f>
        <v>https://projectmanagers.net/top-a-b-testing-agencies-delivering-proven-results/</v>
      </c>
      <c r="B1013" s="11" t="str">
        <f>IFERROR(__xludf.DUMMYFUNCTION("""COMPUTED_VALUE"""),"Top 8 Testing Agencies Delivering Proven Results in 2025")</f>
        <v>Top 8 Testing Agencies Delivering Proven Results in 2025</v>
      </c>
      <c r="C1013" s="10" t="str">
        <f>IFERROR(__xludf.DUMMYFUNCTION("""COMPUTED_VALUE"""),"projectmanagers.net")</f>
        <v>projectmanagers.net</v>
      </c>
      <c r="D1013" s="11" t="str">
        <f>IFERROR(__xludf.DUMMYFUNCTION("""COMPUTED_VALUE"""),"LISTICLE")</f>
        <v>LISTICLE</v>
      </c>
      <c r="E1013" s="11" t="str">
        <f>IFERROR(__xludf.DUMMYFUNCTION("""COMPUTED_VALUE"""),"CORPORATE")</f>
        <v>CORPORATE</v>
      </c>
      <c r="F1013" s="11" t="str">
        <f>IFERROR(__xludf.DUMMYFUNCTION("""COMPUTED_VALUE"""),"Listicle")</f>
        <v>Listicle</v>
      </c>
      <c r="G1013" s="11" t="b">
        <f>IFERROR(__xludf.DUMMYFUNCTION("""COMPUTED_VALUE"""),FALSE)</f>
        <v>0</v>
      </c>
      <c r="H1013" s="11" t="str">
        <f>IFERROR(__xludf.DUMMYFUNCTION("""COMPUTED_VALUE"""),"KlientBoost")</f>
        <v>KlientBoost</v>
      </c>
      <c r="I1013" s="11">
        <f>IFERROR(__xludf.DUMMYFUNCTION("""COMPUTED_VALUE"""),1.0)</f>
        <v>1</v>
      </c>
      <c r="J1013" s="11">
        <f>IFERROR(__xludf.DUMMYFUNCTION("""COMPUTED_VALUE"""),0.0)</f>
        <v>0</v>
      </c>
      <c r="K1013" s="11">
        <f>IFERROR(__xludf.DUMMYFUNCTION("""COMPUTED_VALUE"""),1.0)</f>
        <v>1</v>
      </c>
      <c r="L1013" s="11"/>
    </row>
    <row r="1014">
      <c r="A1014" s="10" t="str">
        <f>IFERROR(__xludf.DUMMYFUNCTION("""COMPUTED_VALUE"""),"https://www.promodo.com/blog/best-geo-agencies")</f>
        <v>https://www.promodo.com/blog/best-geo-agencies</v>
      </c>
      <c r="B1014" s="11" t="str">
        <f>IFERROR(__xludf.DUMMYFUNCTION("""COMPUTED_VALUE"""),"Top GEO Agencies in 2026: Get Your Brand Cited by AI Search")</f>
        <v>Top GEO Agencies in 2026: Get Your Brand Cited by AI Search</v>
      </c>
      <c r="C1014" s="10" t="str">
        <f>IFERROR(__xludf.DUMMYFUNCTION("""COMPUTED_VALUE"""),"promodo.com")</f>
        <v>promodo.com</v>
      </c>
      <c r="D1014" s="11" t="str">
        <f>IFERROR(__xludf.DUMMYFUNCTION("""COMPUTED_VALUE"""),"LISTICLE")</f>
        <v>LISTICLE</v>
      </c>
      <c r="E1014" s="11" t="str">
        <f>IFERROR(__xludf.DUMMYFUNCTION("""COMPUTED_VALUE"""),"CORPORATE")</f>
        <v>CORPORATE</v>
      </c>
      <c r="F1014" s="11" t="str">
        <f>IFERROR(__xludf.DUMMYFUNCTION("""COMPUTED_VALUE"""),"Listicle")</f>
        <v>Listicle</v>
      </c>
      <c r="G1014" s="11" t="b">
        <f>IFERROR(__xludf.DUMMYFUNCTION("""COMPUTED_VALUE"""),FALSE)</f>
        <v>0</v>
      </c>
      <c r="H1014" s="11" t="str">
        <f>IFERROR(__xludf.DUMMYFUNCTION("""COMPUTED_VALUE"""),"Clutch, Searchbloom, Directive, Siege Media, The SEO Works, Go Fish Digital, Intero Digital, Measured")</f>
        <v>Clutch, Searchbloom, Directive, Siege Media, The SEO Works, Go Fish Digital, Intero Digital, Measured</v>
      </c>
      <c r="I1014" s="11">
        <f>IFERROR(__xludf.DUMMYFUNCTION("""COMPUTED_VALUE"""),1.0)</f>
        <v>1</v>
      </c>
      <c r="J1014" s="11">
        <f>IFERROR(__xludf.DUMMYFUNCTION("""COMPUTED_VALUE"""),0.0)</f>
        <v>0</v>
      </c>
      <c r="K1014" s="11">
        <f>IFERROR(__xludf.DUMMYFUNCTION("""COMPUTED_VALUE"""),1.0)</f>
        <v>1</v>
      </c>
      <c r="L1014" s="11"/>
    </row>
    <row r="1015">
      <c r="A1015" s="10" t="str">
        <f>IFERROR(__xludf.DUMMYFUNCTION("""COMPUTED_VALUE"""),"https://www.provokemedia.com/ranking-and-data/global-pr-agency-rankings/2025-pr-agency-rankings/top-250")</f>
        <v>https://www.provokemedia.com/ranking-and-data/global-pr-agency-rankings/2025-pr-agency-rankings/top-250</v>
      </c>
      <c r="B1015" s="11" t="str">
        <f>IFERROR(__xludf.DUMMYFUNCTION("""COMPUTED_VALUE"""),"Global Top 250 PR Agency Ranking 2025 \| PRovoke Media")</f>
        <v>Global Top 250 PR Agency Ranking 2025 \| PRovoke Media</v>
      </c>
      <c r="C1015" s="10" t="str">
        <f>IFERROR(__xludf.DUMMYFUNCTION("""COMPUTED_VALUE"""),"provokemedia.com")</f>
        <v>provokemedia.com</v>
      </c>
      <c r="D1015" s="11" t="str">
        <f>IFERROR(__xludf.DUMMYFUNCTION("""COMPUTED_VALUE"""),"LISTICLE")</f>
        <v>LISTICLE</v>
      </c>
      <c r="E1015" s="11" t="str">
        <f>IFERROR(__xludf.DUMMYFUNCTION("""COMPUTED_VALUE"""),"CORPORATE")</f>
        <v>CORPORATE</v>
      </c>
      <c r="F1015" s="11" t="str">
        <f>IFERROR(__xludf.DUMMYFUNCTION("""COMPUTED_VALUE"""),"Listicle")</f>
        <v>Listicle</v>
      </c>
      <c r="G1015" s="11" t="b">
        <f>IFERROR(__xludf.DUMMYFUNCTION("""COMPUTED_VALUE"""),FALSE)</f>
        <v>0</v>
      </c>
      <c r="H1015" s="11"/>
      <c r="I1015" s="11">
        <f>IFERROR(__xludf.DUMMYFUNCTION("""COMPUTED_VALUE"""),1.0)</f>
        <v>1</v>
      </c>
      <c r="J1015" s="11">
        <f>IFERROR(__xludf.DUMMYFUNCTION("""COMPUTED_VALUE"""),0.0)</f>
        <v>0</v>
      </c>
      <c r="K1015" s="11">
        <f>IFERROR(__xludf.DUMMYFUNCTION("""COMPUTED_VALUE"""),0.0)</f>
        <v>0</v>
      </c>
      <c r="L1015" s="11"/>
    </row>
    <row r="1016">
      <c r="A1016" s="10" t="str">
        <f>IFERROR(__xludf.DUMMYFUNCTION("""COMPUTED_VALUE"""),"https://punchcut.com/perspectives/best-ai-design-agencies/")</f>
        <v>https://punchcut.com/perspectives/best-ai-design-agencies/</v>
      </c>
      <c r="B1016" s="11" t="str">
        <f>IFERROR(__xludf.DUMMYFUNCTION("""COMPUTED_VALUE"""),"The 8 Best AI Design Agencies in 2026: An Honest Comparison")</f>
        <v>The 8 Best AI Design Agencies in 2026: An Honest Comparison</v>
      </c>
      <c r="C1016" s="10" t="str">
        <f>IFERROR(__xludf.DUMMYFUNCTION("""COMPUTED_VALUE"""),"punchcut.com")</f>
        <v>punchcut.com</v>
      </c>
      <c r="D1016" s="11" t="str">
        <f>IFERROR(__xludf.DUMMYFUNCTION("""COMPUTED_VALUE"""),"LISTICLE")</f>
        <v>LISTICLE</v>
      </c>
      <c r="E1016" s="11" t="str">
        <f>IFERROR(__xludf.DUMMYFUNCTION("""COMPUTED_VALUE"""),"CORPORATE")</f>
        <v>CORPORATE</v>
      </c>
      <c r="F1016" s="11" t="str">
        <f>IFERROR(__xludf.DUMMYFUNCTION("""COMPUTED_VALUE"""),"Listicle")</f>
        <v>Listicle</v>
      </c>
      <c r="G1016" s="11" t="b">
        <f>IFERROR(__xludf.DUMMYFUNCTION("""COMPUTED_VALUE"""),FALSE)</f>
        <v>0</v>
      </c>
      <c r="H1016" s="11" t="str">
        <f>IFERROR(__xludf.DUMMYFUNCTION("""COMPUTED_VALUE"""),"Accenture Song, Huge, Clay, McKinsey, QuantumBlack")</f>
        <v>Accenture Song, Huge, Clay, McKinsey, QuantumBlack</v>
      </c>
      <c r="I1016" s="11">
        <f>IFERROR(__xludf.DUMMYFUNCTION("""COMPUTED_VALUE"""),1.0)</f>
        <v>1</v>
      </c>
      <c r="J1016" s="11">
        <f>IFERROR(__xludf.DUMMYFUNCTION("""COMPUTED_VALUE"""),0.0)</f>
        <v>0</v>
      </c>
      <c r="K1016" s="11">
        <f>IFERROR(__xludf.DUMMYFUNCTION("""COMPUTED_VALUE"""),1.0)</f>
        <v>1</v>
      </c>
      <c r="L1016" s="11"/>
    </row>
    <row r="1017">
      <c r="A1017" s="10" t="str">
        <f>IFERROR(__xludf.DUMMYFUNCTION("""COMPUTED_VALUE"""),"https://puremarketing.ai/aeo-agency-montclair/")</f>
        <v>https://puremarketing.ai/aeo-agency-montclair/</v>
      </c>
      <c r="B1017" s="11" t="str">
        <f>IFERROR(__xludf.DUMMYFUNCTION("""COMPUTED_VALUE"""),"Best AEO Agency for AI Search Visibility (Complete Guide)")</f>
        <v>Best AEO Agency for AI Search Visibility (Complete Guide)</v>
      </c>
      <c r="C1017" s="10" t="str">
        <f>IFERROR(__xludf.DUMMYFUNCTION("""COMPUTED_VALUE"""),"puremarketing.ai")</f>
        <v>puremarketing.ai</v>
      </c>
      <c r="D1017" s="11" t="str">
        <f>IFERROR(__xludf.DUMMYFUNCTION("""COMPUTED_VALUE"""),"ARTICLE")</f>
        <v>ARTICLE</v>
      </c>
      <c r="E1017" s="11" t="str">
        <f>IFERROR(__xludf.DUMMYFUNCTION("""COMPUTED_VALUE"""),"CORPORATE")</f>
        <v>CORPORATE</v>
      </c>
      <c r="F1017" s="11" t="str">
        <f>IFERROR(__xludf.DUMMYFUNCTION("""COMPUTED_VALUE"""),"Article")</f>
        <v>Article</v>
      </c>
      <c r="G1017" s="11" t="b">
        <f>IFERROR(__xludf.DUMMYFUNCTION("""COMPUTED_VALUE"""),FALSE)</f>
        <v>0</v>
      </c>
      <c r="H1017" s="11" t="str">
        <f>IFERROR(__xludf.DUMMYFUNCTION("""COMPUTED_VALUE"""),"PMG")</f>
        <v>PMG</v>
      </c>
      <c r="I1017" s="11">
        <f>IFERROR(__xludf.DUMMYFUNCTION("""COMPUTED_VALUE"""),1.0)</f>
        <v>1</v>
      </c>
      <c r="J1017" s="11">
        <f>IFERROR(__xludf.DUMMYFUNCTION("""COMPUTED_VALUE"""),0.0)</f>
        <v>0</v>
      </c>
      <c r="K1017" s="11">
        <f>IFERROR(__xludf.DUMMYFUNCTION("""COMPUTED_VALUE"""),1.0)</f>
        <v>1</v>
      </c>
      <c r="L1017" s="11"/>
    </row>
    <row r="1018">
      <c r="A1018" s="10" t="str">
        <f>IFERROR(__xludf.DUMMYFUNCTION("""COMPUTED_VALUE"""),"https://www.q3tech.com/blogs/ai-agent-development-companies-in-usa/")</f>
        <v>https://www.q3tech.com/blogs/ai-agent-development-companies-in-usa/</v>
      </c>
      <c r="B1018" s="11" t="str">
        <f>IFERROR(__xludf.DUMMYFUNCTION("""COMPUTED_VALUE"""),"Top 10 AI Agent Development Companies in the USA (2026)")</f>
        <v>Top 10 AI Agent Development Companies in the USA (2026)</v>
      </c>
      <c r="C1018" s="10" t="str">
        <f>IFERROR(__xludf.DUMMYFUNCTION("""COMPUTED_VALUE"""),"q3tech.com")</f>
        <v>q3tech.com</v>
      </c>
      <c r="D1018" s="11" t="str">
        <f>IFERROR(__xludf.DUMMYFUNCTION("""COMPUTED_VALUE"""),"LISTICLE")</f>
        <v>LISTICLE</v>
      </c>
      <c r="E1018" s="11" t="str">
        <f>IFERROR(__xludf.DUMMYFUNCTION("""COMPUTED_VALUE"""),"CORPORATE")</f>
        <v>CORPORATE</v>
      </c>
      <c r="F1018" s="11" t="str">
        <f>IFERROR(__xludf.DUMMYFUNCTION("""COMPUTED_VALUE"""),"Listicle")</f>
        <v>Listicle</v>
      </c>
      <c r="G1018" s="11" t="b">
        <f>IFERROR(__xludf.DUMMYFUNCTION("""COMPUTED_VALUE"""),FALSE)</f>
        <v>0</v>
      </c>
      <c r="H1018" s="11" t="str">
        <f>IFERROR(__xludf.DUMMYFUNCTION("""COMPUTED_VALUE"""),"Momentum, Measured, IBM")</f>
        <v>Momentum, Measured, IBM</v>
      </c>
      <c r="I1018" s="11">
        <f>IFERROR(__xludf.DUMMYFUNCTION("""COMPUTED_VALUE"""),1.0)</f>
        <v>1</v>
      </c>
      <c r="J1018" s="11">
        <f>IFERROR(__xludf.DUMMYFUNCTION("""COMPUTED_VALUE"""),0.0)</f>
        <v>0</v>
      </c>
      <c r="K1018" s="11">
        <f>IFERROR(__xludf.DUMMYFUNCTION("""COMPUTED_VALUE"""),1.0)</f>
        <v>1</v>
      </c>
      <c r="L1018" s="11"/>
    </row>
    <row r="1019">
      <c r="A1019" s="10" t="str">
        <f>IFERROR(__xludf.DUMMYFUNCTION("""COMPUTED_VALUE"""),"https://www.quoleady.com/aeo-agencies/")</f>
        <v>https://www.quoleady.com/aeo-agencies/</v>
      </c>
      <c r="B1019" s="11" t="str">
        <f>IFERROR(__xludf.DUMMYFUNCTION("""COMPUTED_VALUE"""),"8 Best AEO Agencies in 2026: Who's Optimizing for AI Answers")</f>
        <v>8 Best AEO Agencies in 2026: Who's Optimizing for AI Answers</v>
      </c>
      <c r="C1019" s="10" t="str">
        <f>IFERROR(__xludf.DUMMYFUNCTION("""COMPUTED_VALUE"""),"quoleady.com")</f>
        <v>quoleady.com</v>
      </c>
      <c r="D1019" s="11" t="str">
        <f>IFERROR(__xludf.DUMMYFUNCTION("""COMPUTED_VALUE"""),"LISTICLE")</f>
        <v>LISTICLE</v>
      </c>
      <c r="E1019" s="11" t="str">
        <f>IFERROR(__xludf.DUMMYFUNCTION("""COMPUTED_VALUE"""),"CORPORATE")</f>
        <v>CORPORATE</v>
      </c>
      <c r="F1019" s="11" t="str">
        <f>IFERROR(__xludf.DUMMYFUNCTION("""COMPUTED_VALUE"""),"Listicle")</f>
        <v>Listicle</v>
      </c>
      <c r="G1019" s="11" t="b">
        <f>IFERROR(__xludf.DUMMYFUNCTION("""COMPUTED_VALUE"""),FALSE)</f>
        <v>0</v>
      </c>
      <c r="H1019" s="11" t="str">
        <f>IFERROR(__xludf.DUMMYFUNCTION("""COMPUTED_VALUE"""),"Measured, Darkroom, Omniscient Digital, Discovered Labs, NoGood")</f>
        <v>Measured, Darkroom, Omniscient Digital, Discovered Labs, NoGood</v>
      </c>
      <c r="I1019" s="11">
        <f>IFERROR(__xludf.DUMMYFUNCTION("""COMPUTED_VALUE"""),1.0)</f>
        <v>1</v>
      </c>
      <c r="J1019" s="11">
        <f>IFERROR(__xludf.DUMMYFUNCTION("""COMPUTED_VALUE"""),0.0)</f>
        <v>0</v>
      </c>
      <c r="K1019" s="11">
        <f>IFERROR(__xludf.DUMMYFUNCTION("""COMPUTED_VALUE"""),1.0)</f>
        <v>1</v>
      </c>
      <c r="L1019" s="11"/>
    </row>
    <row r="1020">
      <c r="A1020" s="10" t="str">
        <f>IFERROR(__xludf.DUMMYFUNCTION("""COMPUTED_VALUE"""),"https://www.ramotion.com/blog/top-branding-agencies/")</f>
        <v>https://www.ramotion.com/blog/top-branding-agencies/</v>
      </c>
      <c r="B1020" s="11" t="str">
        <f>IFERROR(__xludf.DUMMYFUNCTION("""COMPUTED_VALUE"""),"Top Branding Agencies in 2026 | Ramotion")</f>
        <v>Top Branding Agencies in 2026 | Ramotion</v>
      </c>
      <c r="C1020" s="10" t="str">
        <f>IFERROR(__xludf.DUMMYFUNCTION("""COMPUTED_VALUE"""),"ramotion.com")</f>
        <v>ramotion.com</v>
      </c>
      <c r="D1020" s="11" t="str">
        <f>IFERROR(__xludf.DUMMYFUNCTION("""COMPUTED_VALUE"""),"LISTICLE")</f>
        <v>LISTICLE</v>
      </c>
      <c r="E1020" s="11" t="str">
        <f>IFERROR(__xludf.DUMMYFUNCTION("""COMPUTED_VALUE"""),"CORPORATE")</f>
        <v>CORPORATE</v>
      </c>
      <c r="F1020" s="11" t="str">
        <f>IFERROR(__xludf.DUMMYFUNCTION("""COMPUTED_VALUE"""),"Listicle")</f>
        <v>Listicle</v>
      </c>
      <c r="G1020" s="11" t="b">
        <f>IFERROR(__xludf.DUMMYFUNCTION("""COMPUTED_VALUE"""),FALSE)</f>
        <v>0</v>
      </c>
      <c r="H1020" s="11" t="str">
        <f>IFERROR(__xludf.DUMMYFUNCTION("""COMPUTED_VALUE"""),"Wolff Olins, Pentagram, BBDO")</f>
        <v>Wolff Olins, Pentagram, BBDO</v>
      </c>
      <c r="I1020" s="11">
        <f>IFERROR(__xludf.DUMMYFUNCTION("""COMPUTED_VALUE"""),1.0)</f>
        <v>1</v>
      </c>
      <c r="J1020" s="11">
        <f>IFERROR(__xludf.DUMMYFUNCTION("""COMPUTED_VALUE"""),0.0)</f>
        <v>0</v>
      </c>
      <c r="K1020" s="11">
        <f>IFERROR(__xludf.DUMMYFUNCTION("""COMPUTED_VALUE"""),1.0)</f>
        <v>1</v>
      </c>
      <c r="L1020" s="11"/>
    </row>
    <row r="1021">
      <c r="A1021" s="10" t="str">
        <f>IFERROR(__xludf.DUMMYFUNCTION("""COMPUTED_VALUE"""),"https://rankai.ai/articles/best-geo-agencies")</f>
        <v>https://rankai.ai/articles/best-geo-agencies</v>
      </c>
      <c r="B1021" s="11" t="str">
        <f>IFERROR(__xludf.DUMMYFUNCTION("""COMPUTED_VALUE"""),"Best GEO Agencies in 2026 — Ranked for AI Search Optimization")</f>
        <v>Best GEO Agencies in 2026 — Ranked for AI Search Optimization</v>
      </c>
      <c r="C1021" s="10" t="str">
        <f>IFERROR(__xludf.DUMMYFUNCTION("""COMPUTED_VALUE"""),"rankai.ai")</f>
        <v>rankai.ai</v>
      </c>
      <c r="D1021" s="11" t="str">
        <f>IFERROR(__xludf.DUMMYFUNCTION("""COMPUTED_VALUE"""),"LISTICLE")</f>
        <v>LISTICLE</v>
      </c>
      <c r="E1021" s="11" t="str">
        <f>IFERROR(__xludf.DUMMYFUNCTION("""COMPUTED_VALUE"""),"CORPORATE")</f>
        <v>CORPORATE</v>
      </c>
      <c r="F1021" s="11" t="str">
        <f>IFERROR(__xludf.DUMMYFUNCTION("""COMPUTED_VALUE"""),"Listicle")</f>
        <v>Listicle</v>
      </c>
      <c r="G1021" s="11" t="b">
        <f>IFERROR(__xludf.DUMMYFUNCTION("""COMPUTED_VALUE"""),FALSE)</f>
        <v>0</v>
      </c>
      <c r="H1021" s="11" t="str">
        <f>IFERROR(__xludf.DUMMYFUNCTION("""COMPUTED_VALUE"""),"Daydream, Graphite, iPullRank, Clay")</f>
        <v>Daydream, Graphite, iPullRank, Clay</v>
      </c>
      <c r="I1021" s="11">
        <f>IFERROR(__xludf.DUMMYFUNCTION("""COMPUTED_VALUE"""),1.0)</f>
        <v>1</v>
      </c>
      <c r="J1021" s="11">
        <f>IFERROR(__xludf.DUMMYFUNCTION("""COMPUTED_VALUE"""),0.0)</f>
        <v>0</v>
      </c>
      <c r="K1021" s="11">
        <f>IFERROR(__xludf.DUMMYFUNCTION("""COMPUTED_VALUE"""),0.0)</f>
        <v>0</v>
      </c>
      <c r="L1021" s="11"/>
    </row>
    <row r="1022">
      <c r="A1022" s="10" t="str">
        <f>IFERROR(__xludf.DUMMYFUNCTION("""COMPUTED_VALUE"""),"https://rankmybusiness.com.au/ai-seo-marketing-agency/")</f>
        <v>https://rankmybusiness.com.au/ai-seo-marketing-agency/</v>
      </c>
      <c r="B1022" s="11" t="str">
        <f>IFERROR(__xludf.DUMMYFUNCTION("""COMPUTED_VALUE"""),"AI Digital Marketing Agency | Australia&amp;#039;s Best AI Marketing &amp;amp; SEO Services")</f>
        <v>AI Digital Marketing Agency | Australia&amp;#039;s Best AI Marketing &amp;amp; SEO Services</v>
      </c>
      <c r="C1022" s="10" t="str">
        <f>IFERROR(__xludf.DUMMYFUNCTION("""COMPUTED_VALUE"""),"rankmybusiness.com.au")</f>
        <v>rankmybusiness.com.au</v>
      </c>
      <c r="D1022" s="11" t="str">
        <f>IFERROR(__xludf.DUMMYFUNCTION("""COMPUTED_VALUE"""),"PRODUCT_PAGE")</f>
        <v>PRODUCT_PAGE</v>
      </c>
      <c r="E1022" s="11" t="str">
        <f>IFERROR(__xludf.DUMMYFUNCTION("""COMPUTED_VALUE"""),"CORPORATE")</f>
        <v>CORPORATE</v>
      </c>
      <c r="F1022" s="11" t="str">
        <f>IFERROR(__xludf.DUMMYFUNCTION("""COMPUTED_VALUE"""),"Product Page")</f>
        <v>Product Page</v>
      </c>
      <c r="G1022" s="11" t="b">
        <f>IFERROR(__xludf.DUMMYFUNCTION("""COMPUTED_VALUE"""),FALSE)</f>
        <v>0</v>
      </c>
      <c r="H1022" s="11"/>
      <c r="I1022" s="11">
        <f>IFERROR(__xludf.DUMMYFUNCTION("""COMPUTED_VALUE"""),1.0)</f>
        <v>1</v>
      </c>
      <c r="J1022" s="11">
        <f>IFERROR(__xludf.DUMMYFUNCTION("""COMPUTED_VALUE"""),0.0)</f>
        <v>0</v>
      </c>
      <c r="K1022" s="11">
        <f>IFERROR(__xludf.DUMMYFUNCTION("""COMPUTED_VALUE"""),1.0)</f>
        <v>1</v>
      </c>
      <c r="L1022" s="11"/>
    </row>
    <row r="1023">
      <c r="A1023" s="10" t="str">
        <f>IFERROR(__xludf.DUMMYFUNCTION("""COMPUTED_VALUE"""),"https://ranktix.co.uk/best-answer-engine-optimization-tools/")</f>
        <v>https://ranktix.co.uk/best-answer-engine-optimization-tools/</v>
      </c>
      <c r="B1023" s="11" t="str">
        <f>IFERROR(__xludf.DUMMYFUNCTION("""COMPUTED_VALUE"""),"10 Best Answer Engine Optimization Tools In 2026 – Ranktix")</f>
        <v>10 Best Answer Engine Optimization Tools In 2026 – Ranktix</v>
      </c>
      <c r="C1023" s="10" t="str">
        <f>IFERROR(__xludf.DUMMYFUNCTION("""COMPUTED_VALUE"""),"ranktix.co.uk")</f>
        <v>ranktix.co.uk</v>
      </c>
      <c r="D1023" s="11" t="str">
        <f>IFERROR(__xludf.DUMMYFUNCTION("""COMPUTED_VALUE"""),"LISTICLE")</f>
        <v>LISTICLE</v>
      </c>
      <c r="E1023" s="11" t="str">
        <f>IFERROR(__xludf.DUMMYFUNCTION("""COMPUTED_VALUE"""),"CORPORATE")</f>
        <v>CORPORATE</v>
      </c>
      <c r="F1023" s="11" t="str">
        <f>IFERROR(__xludf.DUMMYFUNCTION("""COMPUTED_VALUE"""),"Listicle")</f>
        <v>Listicle</v>
      </c>
      <c r="G1023" s="11" t="b">
        <f>IFERROR(__xludf.DUMMYFUNCTION("""COMPUTED_VALUE"""),FALSE)</f>
        <v>0</v>
      </c>
      <c r="H1023" s="11" t="str">
        <f>IFERROR(__xludf.DUMMYFUNCTION("""COMPUTED_VALUE"""),"Momentum")</f>
        <v>Momentum</v>
      </c>
      <c r="I1023" s="11">
        <f>IFERROR(__xludf.DUMMYFUNCTION("""COMPUTED_VALUE"""),1.0)</f>
        <v>1</v>
      </c>
      <c r="J1023" s="11">
        <f>IFERROR(__xludf.DUMMYFUNCTION("""COMPUTED_VALUE"""),0.0)</f>
        <v>0</v>
      </c>
      <c r="K1023" s="11">
        <f>IFERROR(__xludf.DUMMYFUNCTION("""COMPUTED_VALUE"""),1.0)</f>
        <v>1</v>
      </c>
      <c r="L1023" s="11"/>
    </row>
    <row r="1024">
      <c r="A1024" s="10" t="str">
        <f>IFERROR(__xludf.DUMMYFUNCTION("""COMPUTED_VALUE"""),"https://www.ranktracker.com/blog/best-aiseo-agencies/")</f>
        <v>https://www.ranktracker.com/blog/best-aiseo-agencies/</v>
      </c>
      <c r="B1024" s="11" t="str">
        <f>IFERROR(__xludf.DUMMYFUNCTION("""COMPUTED_VALUE"""),"8 Best AI Visibility (AISEO) Agencies in 2026")</f>
        <v>8 Best AI Visibility (AISEO) Agencies in 2026</v>
      </c>
      <c r="C1024" s="10" t="str">
        <f>IFERROR(__xludf.DUMMYFUNCTION("""COMPUTED_VALUE"""),"ranktracker.com")</f>
        <v>ranktracker.com</v>
      </c>
      <c r="D1024" s="11" t="str">
        <f>IFERROR(__xludf.DUMMYFUNCTION("""COMPUTED_VALUE"""),"LISTICLE")</f>
        <v>LISTICLE</v>
      </c>
      <c r="E1024" s="11" t="str">
        <f>IFERROR(__xludf.DUMMYFUNCTION("""COMPUTED_VALUE"""),"CORPORATE")</f>
        <v>CORPORATE</v>
      </c>
      <c r="F1024" s="11" t="str">
        <f>IFERROR(__xludf.DUMMYFUNCTION("""COMPUTED_VALUE"""),"Listicle")</f>
        <v>Listicle</v>
      </c>
      <c r="G1024" s="11" t="b">
        <f>IFERROR(__xludf.DUMMYFUNCTION("""COMPUTED_VALUE"""),FALSE)</f>
        <v>0</v>
      </c>
      <c r="H1024" s="11" t="str">
        <f>IFERROR(__xludf.DUMMYFUNCTION("""COMPUTED_VALUE"""),"Clutch, Momentum, Ignite Visibility, Single Grain, First Page Sage, Intero Digital")</f>
        <v>Clutch, Momentum, Ignite Visibility, Single Grain, First Page Sage, Intero Digital</v>
      </c>
      <c r="I1024" s="11">
        <f>IFERROR(__xludf.DUMMYFUNCTION("""COMPUTED_VALUE"""),1.0)</f>
        <v>1</v>
      </c>
      <c r="J1024" s="11">
        <f>IFERROR(__xludf.DUMMYFUNCTION("""COMPUTED_VALUE"""),0.0)</f>
        <v>0</v>
      </c>
      <c r="K1024" s="11">
        <f>IFERROR(__xludf.DUMMYFUNCTION("""COMPUTED_VALUE"""),0.0)</f>
        <v>0</v>
      </c>
      <c r="L1024" s="11"/>
    </row>
    <row r="1025">
      <c r="A1025" s="10" t="str">
        <f>IFERROR(__xludf.DUMMYFUNCTION("""COMPUTED_VALUE"""),"https://www.ranktracker.com/blog/generative-engine-optimization-agencies/")</f>
        <v>https://www.ranktracker.com/blog/generative-engine-optimization-agencies/</v>
      </c>
      <c r="B1025" s="11" t="str">
        <f>IFERROR(__xludf.DUMMYFUNCTION("""COMPUTED_VALUE"""),"7 Top Generative Engine Optimization (GEO) Agencies to Get Your Brand Found in AI Search")</f>
        <v>7 Top Generative Engine Optimization (GEO) Agencies to Get Your Brand Found in AI Search</v>
      </c>
      <c r="C1025" s="10" t="str">
        <f>IFERROR(__xludf.DUMMYFUNCTION("""COMPUTED_VALUE"""),"ranktracker.com")</f>
        <v>ranktracker.com</v>
      </c>
      <c r="D1025" s="11" t="str">
        <f>IFERROR(__xludf.DUMMYFUNCTION("""COMPUTED_VALUE"""),"LISTICLE")</f>
        <v>LISTICLE</v>
      </c>
      <c r="E1025" s="11" t="str">
        <f>IFERROR(__xludf.DUMMYFUNCTION("""COMPUTED_VALUE"""),"CORPORATE")</f>
        <v>CORPORATE</v>
      </c>
      <c r="F1025" s="11" t="str">
        <f>IFERROR(__xludf.DUMMYFUNCTION("""COMPUTED_VALUE"""),"Listicle")</f>
        <v>Listicle</v>
      </c>
      <c r="G1025" s="11" t="b">
        <f>IFERROR(__xludf.DUMMYFUNCTION("""COMPUTED_VALUE"""),FALSE)</f>
        <v>0</v>
      </c>
      <c r="H1025" s="11" t="str">
        <f>IFERROR(__xludf.DUMMYFUNCTION("""COMPUTED_VALUE"""),"IBM")</f>
        <v>IBM</v>
      </c>
      <c r="I1025" s="11">
        <f>IFERROR(__xludf.DUMMYFUNCTION("""COMPUTED_VALUE"""),1.0)</f>
        <v>1</v>
      </c>
      <c r="J1025" s="11">
        <f>IFERROR(__xludf.DUMMYFUNCTION("""COMPUTED_VALUE"""),0.0)</f>
        <v>0</v>
      </c>
      <c r="K1025" s="11">
        <f>IFERROR(__xludf.DUMMYFUNCTION("""COMPUTED_VALUE"""),0.0)</f>
        <v>0</v>
      </c>
      <c r="L1025" s="11"/>
    </row>
    <row r="1026">
      <c r="A1026" s="10" t="str">
        <f>IFERROR(__xludf.DUMMYFUNCTION("""COMPUTED_VALUE"""),"https://rankz.co/blog/best-agencies-for-ai-search-optimization/")</f>
        <v>https://rankz.co/blog/best-agencies-for-ai-search-optimization/</v>
      </c>
      <c r="B1026" s="11" t="str">
        <f>IFERROR(__xludf.DUMMYFUNCTION("""COMPUTED_VALUE"""),"Best Agencies for AI Search Optimization: 12 Top Picks for 2026")</f>
        <v>Best Agencies for AI Search Optimization: 12 Top Picks for 2026</v>
      </c>
      <c r="C1026" s="10" t="str">
        <f>IFERROR(__xludf.DUMMYFUNCTION("""COMPUTED_VALUE"""),"rankz.co")</f>
        <v>rankz.co</v>
      </c>
      <c r="D1026" s="11" t="str">
        <f>IFERROR(__xludf.DUMMYFUNCTION("""COMPUTED_VALUE"""),"LISTICLE")</f>
        <v>LISTICLE</v>
      </c>
      <c r="E1026" s="11" t="str">
        <f>IFERROR(__xludf.DUMMYFUNCTION("""COMPUTED_VALUE"""),"OTHER")</f>
        <v>OTHER</v>
      </c>
      <c r="F1026" s="11" t="str">
        <f>IFERROR(__xludf.DUMMYFUNCTION("""COMPUTED_VALUE"""),"Listicle")</f>
        <v>Listicle</v>
      </c>
      <c r="G1026" s="11" t="b">
        <f>IFERROR(__xludf.DUMMYFUNCTION("""COMPUTED_VALUE"""),FALSE)</f>
        <v>0</v>
      </c>
      <c r="H1026" s="11" t="str">
        <f>IFERROR(__xludf.DUMMYFUNCTION("""COMPUTED_VALUE"""),"iPullRank, First Page Sage, Avenue Z, NoGood, Single Grain")</f>
        <v>iPullRank, First Page Sage, Avenue Z, NoGood, Single Grain</v>
      </c>
      <c r="I1026" s="11">
        <f>IFERROR(__xludf.DUMMYFUNCTION("""COMPUTED_VALUE"""),1.0)</f>
        <v>1</v>
      </c>
      <c r="J1026" s="11">
        <f>IFERROR(__xludf.DUMMYFUNCTION("""COMPUTED_VALUE"""),0.0)</f>
        <v>0</v>
      </c>
      <c r="K1026" s="11">
        <f>IFERROR(__xludf.DUMMYFUNCTION("""COMPUTED_VALUE"""),0.0)</f>
        <v>0</v>
      </c>
      <c r="L1026" s="11"/>
    </row>
    <row r="1027">
      <c r="A1027" s="10" t="str">
        <f>IFERROR(__xludf.DUMMYFUNCTION("""COMPUTED_VALUE"""),"https://rankz.co/blog/best-ai-marketing-agencies/")</f>
        <v>https://rankz.co/blog/best-ai-marketing-agencies/</v>
      </c>
      <c r="B1027" s="11" t="str">
        <f>IFERROR(__xludf.DUMMYFUNCTION("""COMPUTED_VALUE"""),"Best AI Marketing Agencies (2026): Top Picks for Smarter Growth")</f>
        <v>Best AI Marketing Agencies (2026): Top Picks for Smarter Growth</v>
      </c>
      <c r="C1027" s="10" t="str">
        <f>IFERROR(__xludf.DUMMYFUNCTION("""COMPUTED_VALUE"""),"rankz.co")</f>
        <v>rankz.co</v>
      </c>
      <c r="D1027" s="11" t="str">
        <f>IFERROR(__xludf.DUMMYFUNCTION("""COMPUTED_VALUE"""),"LISTICLE")</f>
        <v>LISTICLE</v>
      </c>
      <c r="E1027" s="11" t="str">
        <f>IFERROR(__xludf.DUMMYFUNCTION("""COMPUTED_VALUE"""),"OTHER")</f>
        <v>OTHER</v>
      </c>
      <c r="F1027" s="11" t="str">
        <f>IFERROR(__xludf.DUMMYFUNCTION("""COMPUTED_VALUE"""),"Listicle")</f>
        <v>Listicle</v>
      </c>
      <c r="G1027" s="11" t="b">
        <f>IFERROR(__xludf.DUMMYFUNCTION("""COMPUTED_VALUE"""),FALSE)</f>
        <v>0</v>
      </c>
      <c r="H1027" s="11" t="str">
        <f>IFERROR(__xludf.DUMMYFUNCTION("""COMPUTED_VALUE"""),"Anomaly, WebFX, IBM, Single Grain, NP Digital, Disruptive Advertising, SmartSites, Directive, Siege Media, Tinuiti, Thrive Internet Marketing Agency, Clutch")</f>
        <v>Anomaly, WebFX, IBM, Single Grain, NP Digital, Disruptive Advertising, SmartSites, Directive, Siege Media, Tinuiti, Thrive Internet Marketing Agency, Clutch</v>
      </c>
      <c r="I1027" s="11">
        <f>IFERROR(__xludf.DUMMYFUNCTION("""COMPUTED_VALUE"""),1.0)</f>
        <v>1</v>
      </c>
      <c r="J1027" s="11">
        <f>IFERROR(__xludf.DUMMYFUNCTION("""COMPUTED_VALUE"""),0.0)</f>
        <v>0</v>
      </c>
      <c r="K1027" s="11">
        <f>IFERROR(__xludf.DUMMYFUNCTION("""COMPUTED_VALUE"""),6.0)</f>
        <v>6</v>
      </c>
      <c r="L1027" s="11"/>
    </row>
    <row r="1028">
      <c r="A1028" s="10" t="str">
        <f>IFERROR(__xludf.DUMMYFUNCTION("""COMPUTED_VALUE"""),"https://rankz.co/blog/top-ai-marketing-agencies/")</f>
        <v>https://rankz.co/blog/top-ai-marketing-agencies/</v>
      </c>
      <c r="B1028" s="11" t="str">
        <f>IFERROR(__xludf.DUMMYFUNCTION("""COMPUTED_VALUE"""),"Top AI Marketing Agencies in 2026: Best Partners for SEO, Paid Media, Content, and AI Search Growth - RankZ Blog")</f>
        <v>Top AI Marketing Agencies in 2026: Best Partners for SEO, Paid Media, Content, and AI Search Growth - RankZ Blog</v>
      </c>
      <c r="C1028" s="10" t="str">
        <f>IFERROR(__xludf.DUMMYFUNCTION("""COMPUTED_VALUE"""),"rankz.co")</f>
        <v>rankz.co</v>
      </c>
      <c r="D1028" s="11" t="str">
        <f>IFERROR(__xludf.DUMMYFUNCTION("""COMPUTED_VALUE"""),"LISTICLE")</f>
        <v>LISTICLE</v>
      </c>
      <c r="E1028" s="11" t="str">
        <f>IFERROR(__xludf.DUMMYFUNCTION("""COMPUTED_VALUE"""),"OTHER")</f>
        <v>OTHER</v>
      </c>
      <c r="F1028" s="11" t="str">
        <f>IFERROR(__xludf.DUMMYFUNCTION("""COMPUTED_VALUE"""),"Listicle")</f>
        <v>Listicle</v>
      </c>
      <c r="G1028" s="11" t="b">
        <f>IFERROR(__xludf.DUMMYFUNCTION("""COMPUTED_VALUE"""),FALSE)</f>
        <v>0</v>
      </c>
      <c r="H1028" s="11" t="str">
        <f>IFERROR(__xludf.DUMMYFUNCTION("""COMPUTED_VALUE"""),"McKinsey, WebFX, NoGood, Single Grain, NP Digital, Jellyfish, Keenfolks, SmartSites, Huge")</f>
        <v>McKinsey, WebFX, NoGood, Single Grain, NP Digital, Jellyfish, Keenfolks, SmartSites, Huge</v>
      </c>
      <c r="I1028" s="11">
        <f>IFERROR(__xludf.DUMMYFUNCTION("""COMPUTED_VALUE"""),1.0)</f>
        <v>1</v>
      </c>
      <c r="J1028" s="11">
        <f>IFERROR(__xludf.DUMMYFUNCTION("""COMPUTED_VALUE"""),0.0)</f>
        <v>0</v>
      </c>
      <c r="K1028" s="11">
        <f>IFERROR(__xludf.DUMMYFUNCTION("""COMPUTED_VALUE"""),0.0)</f>
        <v>0</v>
      </c>
      <c r="L1028" s="11"/>
    </row>
    <row r="1029">
      <c r="A1029" s="10" t="str">
        <f>IFERROR(__xludf.DUMMYFUNCTION("""COMPUTED_VALUE"""),"https://www.rebootonline.com/data-marketing/best-data-marketing-agencies/")</f>
        <v>https://www.rebootonline.com/data-marketing/best-data-marketing-agencies/</v>
      </c>
      <c r="B1029" s="11" t="str">
        <f>IFERROR(__xludf.DUMMYFUNCTION("""COMPUTED_VALUE"""),"Best Data Marketing Agencies 2026 | Ultimate Top 10 List Ranked &amp;amp; Rated")</f>
        <v>Best Data Marketing Agencies 2026 | Ultimate Top 10 List Ranked &amp;amp; Rated</v>
      </c>
      <c r="C1029" s="10" t="str">
        <f>IFERROR(__xludf.DUMMYFUNCTION("""COMPUTED_VALUE"""),"rebootonline.com")</f>
        <v>rebootonline.com</v>
      </c>
      <c r="D1029" s="11" t="str">
        <f>IFERROR(__xludf.DUMMYFUNCTION("""COMPUTED_VALUE"""),"LISTICLE")</f>
        <v>LISTICLE</v>
      </c>
      <c r="E1029" s="11" t="str">
        <f>IFERROR(__xludf.DUMMYFUNCTION("""COMPUTED_VALUE"""),"OTHER")</f>
        <v>OTHER</v>
      </c>
      <c r="F1029" s="11" t="str">
        <f>IFERROR(__xludf.DUMMYFUNCTION("""COMPUTED_VALUE"""),"Listicle")</f>
        <v>Listicle</v>
      </c>
      <c r="G1029" s="11" t="b">
        <f>IFERROR(__xludf.DUMMYFUNCTION("""COMPUTED_VALUE"""),FALSE)</f>
        <v>0</v>
      </c>
      <c r="H1029" s="11" t="str">
        <f>IFERROR(__xludf.DUMMYFUNCTION("""COMPUTED_VALUE"""),"Brainlabs, PMG, Directive")</f>
        <v>Brainlabs, PMG, Directive</v>
      </c>
      <c r="I1029" s="11">
        <f>IFERROR(__xludf.DUMMYFUNCTION("""COMPUTED_VALUE"""),1.0)</f>
        <v>1</v>
      </c>
      <c r="J1029" s="11">
        <f>IFERROR(__xludf.DUMMYFUNCTION("""COMPUTED_VALUE"""),0.0)</f>
        <v>0</v>
      </c>
      <c r="K1029" s="11">
        <f>IFERROR(__xludf.DUMMYFUNCTION("""COMPUTED_VALUE"""),1.0)</f>
        <v>1</v>
      </c>
      <c r="L1029" s="11"/>
    </row>
    <row r="1030">
      <c r="A1030" s="10" t="str">
        <f>IFERROR(__xludf.DUMMYFUNCTION("""COMPUTED_VALUE"""),"https://www.rebootonline.com/seo/best-seo-agencies/")</f>
        <v>https://www.rebootonline.com/seo/best-seo-agencies/</v>
      </c>
      <c r="B1030" s="11" t="str">
        <f>IFERROR(__xludf.DUMMYFUNCTION("""COMPUTED_VALUE"""),"Best SEO Agencies for 2026 | Ultimate Top 20 List Ranked &amp;amp; Rated")</f>
        <v>Best SEO Agencies for 2026 | Ultimate Top 20 List Ranked &amp;amp; Rated</v>
      </c>
      <c r="C1030" s="10" t="str">
        <f>IFERROR(__xludf.DUMMYFUNCTION("""COMPUTED_VALUE"""),"rebootonline.com")</f>
        <v>rebootonline.com</v>
      </c>
      <c r="D1030" s="11" t="str">
        <f>IFERROR(__xludf.DUMMYFUNCTION("""COMPUTED_VALUE"""),"LISTICLE")</f>
        <v>LISTICLE</v>
      </c>
      <c r="E1030" s="11" t="str">
        <f>IFERROR(__xludf.DUMMYFUNCTION("""COMPUTED_VALUE"""),"OTHER")</f>
        <v>OTHER</v>
      </c>
      <c r="F1030" s="11" t="str">
        <f>IFERROR(__xludf.DUMMYFUNCTION("""COMPUTED_VALUE"""),"Listicle")</f>
        <v>Listicle</v>
      </c>
      <c r="G1030" s="11" t="b">
        <f>IFERROR(__xludf.DUMMYFUNCTION("""COMPUTED_VALUE"""),FALSE)</f>
        <v>0</v>
      </c>
      <c r="H1030" s="11" t="str">
        <f>IFERROR(__xludf.DUMMYFUNCTION("""COMPUTED_VALUE"""),"The SEO Works, NP Digital, WebFX, Clutch")</f>
        <v>The SEO Works, NP Digital, WebFX, Clutch</v>
      </c>
      <c r="I1030" s="11">
        <f>IFERROR(__xludf.DUMMYFUNCTION("""COMPUTED_VALUE"""),1.0)</f>
        <v>1</v>
      </c>
      <c r="J1030" s="11">
        <f>IFERROR(__xludf.DUMMYFUNCTION("""COMPUTED_VALUE"""),0.0)</f>
        <v>0</v>
      </c>
      <c r="K1030" s="11">
        <f>IFERROR(__xludf.DUMMYFUNCTION("""COMPUTED_VALUE"""),0.0)</f>
        <v>0</v>
      </c>
      <c r="L1030" s="11"/>
    </row>
    <row r="1031">
      <c r="A1031" s="10" t="str">
        <f>IFERROR(__xludf.DUMMYFUNCTION("""COMPUTED_VALUE"""),"https://red-engage.com/blog/best-ai-seo-agencies")</f>
        <v>https://red-engage.com/blog/best-ai-seo-agencies</v>
      </c>
      <c r="B1031" s="11" t="str">
        <f>IFERROR(__xludf.DUMMYFUNCTION("""COMPUTED_VALUE"""),"10 Best Answer Engine Optimization (AEO) Agencies in 2026")</f>
        <v>10 Best Answer Engine Optimization (AEO) Agencies in 2026</v>
      </c>
      <c r="C1031" s="10" t="str">
        <f>IFERROR(__xludf.DUMMYFUNCTION("""COMPUTED_VALUE"""),"red-engage.com")</f>
        <v>red-engage.com</v>
      </c>
      <c r="D1031" s="11" t="str">
        <f>IFERROR(__xludf.DUMMYFUNCTION("""COMPUTED_VALUE"""),"LISTICLE")</f>
        <v>LISTICLE</v>
      </c>
      <c r="E1031" s="11" t="str">
        <f>IFERROR(__xludf.DUMMYFUNCTION("""COMPUTED_VALUE"""),"CORPORATE")</f>
        <v>CORPORATE</v>
      </c>
      <c r="F1031" s="11" t="str">
        <f>IFERROR(__xludf.DUMMYFUNCTION("""COMPUTED_VALUE"""),"Listicle")</f>
        <v>Listicle</v>
      </c>
      <c r="G1031" s="11" t="b">
        <f>IFERROR(__xludf.DUMMYFUNCTION("""COMPUTED_VALUE"""),FALSE)</f>
        <v>0</v>
      </c>
      <c r="H1031" s="11" t="str">
        <f>IFERROR(__xludf.DUMMYFUNCTION("""COMPUTED_VALUE"""),"iPullRank, Amsive, Sociallyin, First Page Sage, Single Grain, Clutch")</f>
        <v>iPullRank, Amsive, Sociallyin, First Page Sage, Single Grain, Clutch</v>
      </c>
      <c r="I1031" s="11">
        <f>IFERROR(__xludf.DUMMYFUNCTION("""COMPUTED_VALUE"""),1.0)</f>
        <v>1</v>
      </c>
      <c r="J1031" s="11">
        <f>IFERROR(__xludf.DUMMYFUNCTION("""COMPUTED_VALUE"""),0.0)</f>
        <v>0</v>
      </c>
      <c r="K1031" s="11">
        <f>IFERROR(__xludf.DUMMYFUNCTION("""COMPUTED_VALUE"""),0.0)</f>
        <v>0</v>
      </c>
      <c r="L1031" s="11"/>
    </row>
    <row r="1032">
      <c r="A1032" s="10" t="str">
        <f>IFERROR(__xludf.DUMMYFUNCTION("""COMPUTED_VALUE"""),"https://www.reddit.com/r/Agentic_Marketing/comments/1ue8msc/top_ai_consulting_firms_in_the_usa_driving/")</f>
        <v>https://www.reddit.com/r/Agentic_Marketing/comments/1ue8msc/top_ai_consulting_firms_in_the_usa_driving/</v>
      </c>
      <c r="B1032" s="11" t="str">
        <f>IFERROR(__xludf.DUMMYFUNCTION("""COMPUTED_VALUE"""),"Top AI Consulting Firms in the USA: Driving Innovation and Business Transformation in 2026")</f>
        <v>Top AI Consulting Firms in the USA: Driving Innovation and Business Transformation in 2026</v>
      </c>
      <c r="C1032" s="10" t="str">
        <f>IFERROR(__xludf.DUMMYFUNCTION("""COMPUTED_VALUE"""),"reddit.com")</f>
        <v>reddit.com</v>
      </c>
      <c r="D1032" s="11" t="str">
        <f>IFERROR(__xludf.DUMMYFUNCTION("""COMPUTED_VALUE"""),"DISCUSSION")</f>
        <v>DISCUSSION</v>
      </c>
      <c r="E1032" s="11" t="str">
        <f>IFERROR(__xludf.DUMMYFUNCTION("""COMPUTED_VALUE"""),"UGC")</f>
        <v>UGC</v>
      </c>
      <c r="F1032" s="11" t="str">
        <f>IFERROR(__xludf.DUMMYFUNCTION("""COMPUTED_VALUE"""),"Discussion")</f>
        <v>Discussion</v>
      </c>
      <c r="G1032" s="11"/>
      <c r="H1032" s="11" t="str">
        <f>IFERROR(__xludf.DUMMYFUNCTION("""COMPUTED_VALUE"""),"Unknown")</f>
        <v>Unknown</v>
      </c>
      <c r="I1032" s="11">
        <f>IFERROR(__xludf.DUMMYFUNCTION("""COMPUTED_VALUE"""),1.0)</f>
        <v>1</v>
      </c>
      <c r="J1032" s="11">
        <f>IFERROR(__xludf.DUMMYFUNCTION("""COMPUTED_VALUE"""),0.0)</f>
        <v>0</v>
      </c>
      <c r="K1032" s="11">
        <f>IFERROR(__xludf.DUMMYFUNCTION("""COMPUTED_VALUE"""),0.0)</f>
        <v>0</v>
      </c>
      <c r="L1032" s="11"/>
    </row>
    <row r="1033">
      <c r="A1033" s="10" t="str">
        <f>IFERROR(__xludf.DUMMYFUNCTION("""COMPUTED_VALUE"""),"https://www.reddit.com/r/GenEngineOptimization/comments/1qab4rt/what_are_the_top_geo_agencies_and_what_softwares/")</f>
        <v>https://www.reddit.com/r/GenEngineOptimization/comments/1qab4rt/what_are_the_top_geo_agencies_and_what_softwares/</v>
      </c>
      <c r="B1033" s="11" t="str">
        <f>IFERROR(__xludf.DUMMYFUNCTION("""COMPUTED_VALUE"""),"What are the top GEO Agencies and what softwares are they using?")</f>
        <v>What are the top GEO Agencies and what softwares are they using?</v>
      </c>
      <c r="C1033" s="10" t="str">
        <f>IFERROR(__xludf.DUMMYFUNCTION("""COMPUTED_VALUE"""),"reddit.com")</f>
        <v>reddit.com</v>
      </c>
      <c r="D1033" s="11" t="str">
        <f>IFERROR(__xludf.DUMMYFUNCTION("""COMPUTED_VALUE"""),"DISCUSSION")</f>
        <v>DISCUSSION</v>
      </c>
      <c r="E1033" s="11" t="str">
        <f>IFERROR(__xludf.DUMMYFUNCTION("""COMPUTED_VALUE"""),"UGC")</f>
        <v>UGC</v>
      </c>
      <c r="F1033" s="11" t="str">
        <f>IFERROR(__xludf.DUMMYFUNCTION("""COMPUTED_VALUE"""),"Discussion")</f>
        <v>Discussion</v>
      </c>
      <c r="G1033" s="11" t="b">
        <f>IFERROR(__xludf.DUMMYFUNCTION("""COMPUTED_VALUE"""),FALSE)</f>
        <v>0</v>
      </c>
      <c r="H1033" s="11"/>
      <c r="I1033" s="11">
        <f>IFERROR(__xludf.DUMMYFUNCTION("""COMPUTED_VALUE"""),1.0)</f>
        <v>1</v>
      </c>
      <c r="J1033" s="11">
        <f>IFERROR(__xludf.DUMMYFUNCTION("""COMPUTED_VALUE"""),0.0)</f>
        <v>0</v>
      </c>
      <c r="K1033" s="11">
        <f>IFERROR(__xludf.DUMMYFUNCTION("""COMPUTED_VALUE"""),1.0)</f>
        <v>1</v>
      </c>
      <c r="L1033" s="11"/>
    </row>
    <row r="1034">
      <c r="A1034" s="10" t="str">
        <f>IFERROR(__xludf.DUMMYFUNCTION("""COMPUTED_VALUE"""),"https://www.reddit.com/r/SaaS/comments/1rd9bem/whats_the_best_marketing_agency_youve_worked_with/")</f>
        <v>https://www.reddit.com/r/SaaS/comments/1rd9bem/whats_the_best_marketing_agency_youve_worked_with/</v>
      </c>
      <c r="B1034" s="11" t="str">
        <f>IFERROR(__xludf.DUMMYFUNCTION("""COMPUTED_VALUE"""),"What’s the best marketing agency you’ve worked with, and what did they actually do well?")</f>
        <v>What’s the best marketing agency you’ve worked with, and what did they actually do well?</v>
      </c>
      <c r="C1034" s="10" t="str">
        <f>IFERROR(__xludf.DUMMYFUNCTION("""COMPUTED_VALUE"""),"reddit.com")</f>
        <v>reddit.com</v>
      </c>
      <c r="D1034" s="11" t="str">
        <f>IFERROR(__xludf.DUMMYFUNCTION("""COMPUTED_VALUE"""),"DISCUSSION")</f>
        <v>DISCUSSION</v>
      </c>
      <c r="E1034" s="11" t="str">
        <f>IFERROR(__xludf.DUMMYFUNCTION("""COMPUTED_VALUE"""),"UGC")</f>
        <v>UGC</v>
      </c>
      <c r="F1034" s="11" t="str">
        <f>IFERROR(__xludf.DUMMYFUNCTION("""COMPUTED_VALUE"""),"Discussion")</f>
        <v>Discussion</v>
      </c>
      <c r="G1034" s="11" t="b">
        <f>IFERROR(__xludf.DUMMYFUNCTION("""COMPUTED_VALUE"""),FALSE)</f>
        <v>0</v>
      </c>
      <c r="H1034" s="11" t="str">
        <f>IFERROR(__xludf.DUMMYFUNCTION("""COMPUTED_VALUE"""),"Measured, Huge, Animalz")</f>
        <v>Measured, Huge, Animalz</v>
      </c>
      <c r="I1034" s="11">
        <f>IFERROR(__xludf.DUMMYFUNCTION("""COMPUTED_VALUE"""),1.0)</f>
        <v>1</v>
      </c>
      <c r="J1034" s="11">
        <f>IFERROR(__xludf.DUMMYFUNCTION("""COMPUTED_VALUE"""),0.0)</f>
        <v>0</v>
      </c>
      <c r="K1034" s="11">
        <f>IFERROR(__xludf.DUMMYFUNCTION("""COMPUTED_VALUE"""),1.0)</f>
        <v>1</v>
      </c>
      <c r="L1034" s="11"/>
    </row>
    <row r="1035">
      <c r="A1035" s="10" t="str">
        <f>IFERROR(__xludf.DUMMYFUNCTION("""COMPUTED_VALUE"""),"https://www.reddit.com/r/TheTopAgencies/comments/1m6imy5/the_best_digital_marketing_agencies_in_seattle/")</f>
        <v>https://www.reddit.com/r/TheTopAgencies/comments/1m6imy5/the_best_digital_marketing_agencies_in_seattle/</v>
      </c>
      <c r="B1035" s="11" t="str">
        <f>IFERROR(__xludf.DUMMYFUNCTION("""COMPUTED_VALUE"""),"The Best Digital Marketing Agencies in Seattle")</f>
        <v>The Best Digital Marketing Agencies in Seattle</v>
      </c>
      <c r="C1035" s="10" t="str">
        <f>IFERROR(__xludf.DUMMYFUNCTION("""COMPUTED_VALUE"""),"reddit.com")</f>
        <v>reddit.com</v>
      </c>
      <c r="D1035" s="11" t="str">
        <f>IFERROR(__xludf.DUMMYFUNCTION("""COMPUTED_VALUE"""),"DISCUSSION")</f>
        <v>DISCUSSION</v>
      </c>
      <c r="E1035" s="11" t="str">
        <f>IFERROR(__xludf.DUMMYFUNCTION("""COMPUTED_VALUE"""),"UGC")</f>
        <v>UGC</v>
      </c>
      <c r="F1035" s="11" t="str">
        <f>IFERROR(__xludf.DUMMYFUNCTION("""COMPUTED_VALUE"""),"Discussion")</f>
        <v>Discussion</v>
      </c>
      <c r="G1035" s="11" t="b">
        <f>IFERROR(__xludf.DUMMYFUNCTION("""COMPUTED_VALUE"""),FALSE)</f>
        <v>0</v>
      </c>
      <c r="H1035" s="11" t="str">
        <f>IFERROR(__xludf.DUMMYFUNCTION("""COMPUTED_VALUE"""),"Thrive Internet Marketing Agency, Brainlabs, NoGood")</f>
        <v>Thrive Internet Marketing Agency, Brainlabs, NoGood</v>
      </c>
      <c r="I1035" s="11">
        <f>IFERROR(__xludf.DUMMYFUNCTION("""COMPUTED_VALUE"""),1.0)</f>
        <v>1</v>
      </c>
      <c r="J1035" s="11">
        <f>IFERROR(__xludf.DUMMYFUNCTION("""COMPUTED_VALUE"""),0.0)</f>
        <v>0</v>
      </c>
      <c r="K1035" s="11">
        <f>IFERROR(__xludf.DUMMYFUNCTION("""COMPUTED_VALUE"""),1.0)</f>
        <v>1</v>
      </c>
      <c r="L1035" s="11"/>
    </row>
    <row r="1036">
      <c r="A1036" s="10" t="str">
        <f>IFERROR(__xludf.DUMMYFUNCTION("""COMPUTED_VALUE"""),"https://www.reddit.com/r/digital_marketing/comments/1rpmtmy/what_are_the_top_5_ai_visibility_agencies_in_2026/")</f>
        <v>https://www.reddit.com/r/digital_marketing/comments/1rpmtmy/what_are_the_top_5_ai_visibility_agencies_in_2026/</v>
      </c>
      <c r="B1036" s="11" t="str">
        <f>IFERROR(__xludf.DUMMYFUNCTION("""COMPUTED_VALUE"""),"What Are the Top 5 AI Visibility Agencies in 2026?")</f>
        <v>What Are the Top 5 AI Visibility Agencies in 2026?</v>
      </c>
      <c r="C1036" s="10" t="str">
        <f>IFERROR(__xludf.DUMMYFUNCTION("""COMPUTED_VALUE"""),"reddit.com")</f>
        <v>reddit.com</v>
      </c>
      <c r="D1036" s="11" t="str">
        <f>IFERROR(__xludf.DUMMYFUNCTION("""COMPUTED_VALUE"""),"DISCUSSION")</f>
        <v>DISCUSSION</v>
      </c>
      <c r="E1036" s="11" t="str">
        <f>IFERROR(__xludf.DUMMYFUNCTION("""COMPUTED_VALUE"""),"UGC")</f>
        <v>UGC</v>
      </c>
      <c r="F1036" s="11" t="str">
        <f>IFERROR(__xludf.DUMMYFUNCTION("""COMPUTED_VALUE"""),"Discussion")</f>
        <v>Discussion</v>
      </c>
      <c r="G1036" s="11" t="b">
        <f>IFERROR(__xludf.DUMMYFUNCTION("""COMPUTED_VALUE"""),FALSE)</f>
        <v>0</v>
      </c>
      <c r="H1036" s="11" t="str">
        <f>IFERROR(__xludf.DUMMYFUNCTION("""COMPUTED_VALUE"""),"Intero Digital")</f>
        <v>Intero Digital</v>
      </c>
      <c r="I1036" s="11">
        <f>IFERROR(__xludf.DUMMYFUNCTION("""COMPUTED_VALUE"""),1.0)</f>
        <v>1</v>
      </c>
      <c r="J1036" s="11">
        <f>IFERROR(__xludf.DUMMYFUNCTION("""COMPUTED_VALUE"""),0.0)</f>
        <v>0</v>
      </c>
      <c r="K1036" s="11">
        <f>IFERROR(__xludf.DUMMYFUNCTION("""COMPUTED_VALUE"""),2.0)</f>
        <v>2</v>
      </c>
      <c r="L1036" s="11"/>
    </row>
    <row r="1037">
      <c r="A1037" s="10" t="str">
        <f>IFERROR(__xludf.DUMMYFUNCTION("""COMPUTED_VALUE"""),"https://www.reddit.com/r/u_ThoughtMetric/comments/1t4mvsi/we_put_together_a_comparison_of_the_top_shopify/")</f>
        <v>https://www.reddit.com/r/u_ThoughtMetric/comments/1t4mvsi/we_put_together_a_comparison_of_the_top_shopify/</v>
      </c>
      <c r="B1037" s="11" t="str">
        <f>IFERROR(__xludf.DUMMYFUNCTION("""COMPUTED_VALUE"""),"We put together a comparison of the top Shopify attribution tools (features, pricing, and who they fit)")</f>
        <v>We put together a comparison of the top Shopify attribution tools (features, pricing, and who they fit)</v>
      </c>
      <c r="C1037" s="10" t="str">
        <f>IFERROR(__xludf.DUMMYFUNCTION("""COMPUTED_VALUE"""),"reddit.com")</f>
        <v>reddit.com</v>
      </c>
      <c r="D1037" s="11" t="str">
        <f>IFERROR(__xludf.DUMMYFUNCTION("""COMPUTED_VALUE"""),"DISCUSSION")</f>
        <v>DISCUSSION</v>
      </c>
      <c r="E1037" s="11" t="str">
        <f>IFERROR(__xludf.DUMMYFUNCTION("""COMPUTED_VALUE"""),"UGC")</f>
        <v>UGC</v>
      </c>
      <c r="F1037" s="11" t="str">
        <f>IFERROR(__xludf.DUMMYFUNCTION("""COMPUTED_VALUE"""),"Discussion")</f>
        <v>Discussion</v>
      </c>
      <c r="G1037" s="11" t="b">
        <f>IFERROR(__xludf.DUMMYFUNCTION("""COMPUTED_VALUE"""),FALSE)</f>
        <v>0</v>
      </c>
      <c r="H1037" s="11" t="str">
        <f>IFERROR(__xludf.DUMMYFUNCTION("""COMPUTED_VALUE"""),"Rockerbox, Triple Whale, Northbeam")</f>
        <v>Rockerbox, Triple Whale, Northbeam</v>
      </c>
      <c r="I1037" s="11">
        <f>IFERROR(__xludf.DUMMYFUNCTION("""COMPUTED_VALUE"""),1.0)</f>
        <v>1</v>
      </c>
      <c r="J1037" s="11">
        <f>IFERROR(__xludf.DUMMYFUNCTION("""COMPUTED_VALUE"""),0.0)</f>
        <v>0</v>
      </c>
      <c r="K1037" s="11">
        <f>IFERROR(__xludf.DUMMYFUNCTION("""COMPUTED_VALUE"""),2.0)</f>
        <v>2</v>
      </c>
      <c r="L1037" s="11"/>
    </row>
    <row r="1038">
      <c r="A1038" s="10" t="str">
        <f>IFERROR(__xludf.DUMMYFUNCTION("""COMPUTED_VALUE"""),"https://www.reddit.com/r/u_ThoughtMetric/comments/1tdbr6w/top_hyros_alternatives_updated_may_2026/")</f>
        <v>https://www.reddit.com/r/u_ThoughtMetric/comments/1tdbr6w/top_hyros_alternatives_updated_may_2026/</v>
      </c>
      <c r="B1038" s="11" t="str">
        <f>IFERROR(__xludf.DUMMYFUNCTION("""COMPUTED_VALUE"""),"Top Hyros alternatives (updated May 2026)")</f>
        <v>Top Hyros alternatives (updated May 2026)</v>
      </c>
      <c r="C1038" s="10" t="str">
        <f>IFERROR(__xludf.DUMMYFUNCTION("""COMPUTED_VALUE"""),"reddit.com")</f>
        <v>reddit.com</v>
      </c>
      <c r="D1038" s="11" t="str">
        <f>IFERROR(__xludf.DUMMYFUNCTION("""COMPUTED_VALUE"""),"DISCUSSION")</f>
        <v>DISCUSSION</v>
      </c>
      <c r="E1038" s="11" t="str">
        <f>IFERROR(__xludf.DUMMYFUNCTION("""COMPUTED_VALUE"""),"UGC")</f>
        <v>UGC</v>
      </c>
      <c r="F1038" s="11" t="str">
        <f>IFERROR(__xludf.DUMMYFUNCTION("""COMPUTED_VALUE"""),"Discussion")</f>
        <v>Discussion</v>
      </c>
      <c r="G1038" s="11" t="b">
        <f>IFERROR(__xludf.DUMMYFUNCTION("""COMPUTED_VALUE"""),FALSE)</f>
        <v>0</v>
      </c>
      <c r="H1038" s="11" t="str">
        <f>IFERROR(__xludf.DUMMYFUNCTION("""COMPUTED_VALUE"""),"Rockerbox, Northbeam, Triple Whale")</f>
        <v>Rockerbox, Northbeam, Triple Whale</v>
      </c>
      <c r="I1038" s="11">
        <f>IFERROR(__xludf.DUMMYFUNCTION("""COMPUTED_VALUE"""),1.0)</f>
        <v>1</v>
      </c>
      <c r="J1038" s="11">
        <f>IFERROR(__xludf.DUMMYFUNCTION("""COMPUTED_VALUE"""),0.0)</f>
        <v>0</v>
      </c>
      <c r="K1038" s="11">
        <f>IFERROR(__xludf.DUMMYFUNCTION("""COMPUTED_VALUE"""),1.0)</f>
        <v>1</v>
      </c>
      <c r="L1038" s="11"/>
    </row>
    <row r="1039">
      <c r="A1039" s="10" t="str">
        <f>IFERROR(__xludf.DUMMYFUNCTION("""COMPUTED_VALUE"""),"https://www.responsify.com/b2b-content-marketing-agencies")</f>
        <v>https://www.responsify.com/b2b-content-marketing-agencies</v>
      </c>
      <c r="B1039" s="11" t="str">
        <f>IFERROR(__xludf.DUMMYFUNCTION("""COMPUTED_VALUE"""),"Best B2B Content Marketing Agencies: Options to Consider &amp;amp; How to Choose - Responsify")</f>
        <v>Best B2B Content Marketing Agencies: Options to Consider &amp;amp; How to Choose - Responsify</v>
      </c>
      <c r="C1039" s="10" t="str">
        <f>IFERROR(__xludf.DUMMYFUNCTION("""COMPUTED_VALUE"""),"responsify.com")</f>
        <v>responsify.com</v>
      </c>
      <c r="D1039" s="11" t="str">
        <f>IFERROR(__xludf.DUMMYFUNCTION("""COMPUTED_VALUE"""),"LISTICLE")</f>
        <v>LISTICLE</v>
      </c>
      <c r="E1039" s="11" t="str">
        <f>IFERROR(__xludf.DUMMYFUNCTION("""COMPUTED_VALUE"""),"CORPORATE")</f>
        <v>CORPORATE</v>
      </c>
      <c r="F1039" s="11" t="str">
        <f>IFERROR(__xludf.DUMMYFUNCTION("""COMPUTED_VALUE"""),"Listicle")</f>
        <v>Listicle</v>
      </c>
      <c r="G1039" s="11" t="b">
        <f>IFERROR(__xludf.DUMMYFUNCTION("""COMPUTED_VALUE"""),FALSE)</f>
        <v>0</v>
      </c>
      <c r="H1039" s="11" t="str">
        <f>IFERROR(__xludf.DUMMYFUNCTION("""COMPUTED_VALUE"""),"Clutch, Siege Media, Omniscient Digital")</f>
        <v>Clutch, Siege Media, Omniscient Digital</v>
      </c>
      <c r="I1039" s="11">
        <f>IFERROR(__xludf.DUMMYFUNCTION("""COMPUTED_VALUE"""),1.0)</f>
        <v>1</v>
      </c>
      <c r="J1039" s="11">
        <f>IFERROR(__xludf.DUMMYFUNCTION("""COMPUTED_VALUE"""),0.0)</f>
        <v>0</v>
      </c>
      <c r="K1039" s="11">
        <f>IFERROR(__xludf.DUMMYFUNCTION("""COMPUTED_VALUE"""),0.0)</f>
        <v>0</v>
      </c>
      <c r="L1039" s="11"/>
    </row>
    <row r="1040">
      <c r="A1040" s="10" t="str">
        <f>IFERROR(__xludf.DUMMYFUNCTION("""COMPUTED_VALUE"""),"https://www.resultfirst.com/blog/ecommerce-seo/top-ecommerce-seo-agencies/")</f>
        <v>https://www.resultfirst.com/blog/ecommerce-seo/top-ecommerce-seo-agencies/</v>
      </c>
      <c r="B1040" s="11" t="str">
        <f>IFERROR(__xludf.DUMMYFUNCTION("""COMPUTED_VALUE"""),"Best Ecommerce SEO Agencies in the US [2026] | ResultFirst")</f>
        <v>Best Ecommerce SEO Agencies in the US [2026] | ResultFirst</v>
      </c>
      <c r="C1040" s="10" t="str">
        <f>IFERROR(__xludf.DUMMYFUNCTION("""COMPUTED_VALUE"""),"resultfirst.com")</f>
        <v>resultfirst.com</v>
      </c>
      <c r="D1040" s="11" t="str">
        <f>IFERROR(__xludf.DUMMYFUNCTION("""COMPUTED_VALUE"""),"LISTICLE")</f>
        <v>LISTICLE</v>
      </c>
      <c r="E1040" s="11" t="str">
        <f>IFERROR(__xludf.DUMMYFUNCTION("""COMPUTED_VALUE"""),"OTHER")</f>
        <v>OTHER</v>
      </c>
      <c r="F1040" s="11" t="str">
        <f>IFERROR(__xludf.DUMMYFUNCTION("""COMPUTED_VALUE"""),"Listicle")</f>
        <v>Listicle</v>
      </c>
      <c r="G1040" s="11" t="b">
        <f>IFERROR(__xludf.DUMMYFUNCTION("""COMPUTED_VALUE"""),FALSE)</f>
        <v>0</v>
      </c>
      <c r="H1040" s="11" t="str">
        <f>IFERROR(__xludf.DUMMYFUNCTION("""COMPUTED_VALUE"""),"Thrive Internet Marketing Agency, First Page Sage, Siege Media, Searchbloom, Measured, Clutch")</f>
        <v>Thrive Internet Marketing Agency, First Page Sage, Siege Media, Searchbloom, Measured, Clutch</v>
      </c>
      <c r="I1040" s="11">
        <f>IFERROR(__xludf.DUMMYFUNCTION("""COMPUTED_VALUE"""),1.0)</f>
        <v>1</v>
      </c>
      <c r="J1040" s="11">
        <f>IFERROR(__xludf.DUMMYFUNCTION("""COMPUTED_VALUE"""),0.0)</f>
        <v>0</v>
      </c>
      <c r="K1040" s="11">
        <f>IFERROR(__xludf.DUMMYFUNCTION("""COMPUTED_VALUE"""),1.0)</f>
        <v>1</v>
      </c>
      <c r="L1040" s="11"/>
    </row>
    <row r="1041">
      <c r="A1041" s="10" t="str">
        <f>IFERROR(__xludf.DUMMYFUNCTION("""COMPUTED_VALUE"""),"https://www.revvgrowth.com/geo/enterprise-geo-agency")</f>
        <v>https://www.revvgrowth.com/geo/enterprise-geo-agency</v>
      </c>
      <c r="B1041" s="11" t="str">
        <f>IFERROR(__xludf.DUMMYFUNCTION("""COMPUTED_VALUE"""),"10 Best Enterprise GEO Agencies in 2026 | AI Search Optimization")</f>
        <v>10 Best Enterprise GEO Agencies in 2026 | AI Search Optimization</v>
      </c>
      <c r="C1041" s="10" t="str">
        <f>IFERROR(__xludf.DUMMYFUNCTION("""COMPUTED_VALUE"""),"revvgrowth.com")</f>
        <v>revvgrowth.com</v>
      </c>
      <c r="D1041" s="11" t="str">
        <f>IFERROR(__xludf.DUMMYFUNCTION("""COMPUTED_VALUE"""),"LISTICLE")</f>
        <v>LISTICLE</v>
      </c>
      <c r="E1041" s="11" t="str">
        <f>IFERROR(__xludf.DUMMYFUNCTION("""COMPUTED_VALUE"""),"CORPORATE")</f>
        <v>CORPORATE</v>
      </c>
      <c r="F1041" s="11" t="str">
        <f>IFERROR(__xludf.DUMMYFUNCTION("""COMPUTED_VALUE"""),"Listicle")</f>
        <v>Listicle</v>
      </c>
      <c r="G1041" s="11" t="b">
        <f>IFERROR(__xludf.DUMMYFUNCTION("""COMPUTED_VALUE"""),FALSE)</f>
        <v>0</v>
      </c>
      <c r="H1041" s="11" t="str">
        <f>IFERROR(__xludf.DUMMYFUNCTION("""COMPUTED_VALUE"""),"First Page Sage, Intero Digital, Siege Media, Go Fish Digital, WebFX, Omniscient Digital, iPullRank, NoGood, Clutch, Single Grain, Measured")</f>
        <v>First Page Sage, Intero Digital, Siege Media, Go Fish Digital, WebFX, Omniscient Digital, iPullRank, NoGood, Clutch, Single Grain, Measured</v>
      </c>
      <c r="I1041" s="11">
        <f>IFERROR(__xludf.DUMMYFUNCTION("""COMPUTED_VALUE"""),1.0)</f>
        <v>1</v>
      </c>
      <c r="J1041" s="11">
        <f>IFERROR(__xludf.DUMMYFUNCTION("""COMPUTED_VALUE"""),0.0)</f>
        <v>0</v>
      </c>
      <c r="K1041" s="11">
        <f>IFERROR(__xludf.DUMMYFUNCTION("""COMPUTED_VALUE"""),1.0)</f>
        <v>1</v>
      </c>
      <c r="L1041" s="11"/>
    </row>
    <row r="1042">
      <c r="A1042" s="10" t="str">
        <f>IFERROR(__xludf.DUMMYFUNCTION("""COMPUTED_VALUE"""),"https://www.rightsideup.com/blog/top-fractional-marketing-agencies")</f>
        <v>https://www.rightsideup.com/blog/top-fractional-marketing-agencies</v>
      </c>
      <c r="B1042" s="11" t="str">
        <f>IFERROR(__xludf.DUMMYFUNCTION("""COMPUTED_VALUE"""),"The Top 7 Fractional Marketing Agencies in 2026 (and How to Choose the Right One)")</f>
        <v>The Top 7 Fractional Marketing Agencies in 2026 (and How to Choose the Right One)</v>
      </c>
      <c r="C1042" s="10" t="str">
        <f>IFERROR(__xludf.DUMMYFUNCTION("""COMPUTED_VALUE"""),"rightsideup.com")</f>
        <v>rightsideup.com</v>
      </c>
      <c r="D1042" s="11" t="str">
        <f>IFERROR(__xludf.DUMMYFUNCTION("""COMPUTED_VALUE"""),"LISTICLE")</f>
        <v>LISTICLE</v>
      </c>
      <c r="E1042" s="11" t="str">
        <f>IFERROR(__xludf.DUMMYFUNCTION("""COMPUTED_VALUE"""),"COMPETITOR")</f>
        <v>COMPETITOR</v>
      </c>
      <c r="F1042" s="11" t="str">
        <f>IFERROR(__xludf.DUMMYFUNCTION("""COMPUTED_VALUE"""),"Listicle")</f>
        <v>Listicle</v>
      </c>
      <c r="G1042" s="11" t="b">
        <f>IFERROR(__xludf.DUMMYFUNCTION("""COMPUTED_VALUE"""),FALSE)</f>
        <v>0</v>
      </c>
      <c r="H1042" s="11" t="str">
        <f>IFERROR(__xludf.DUMMYFUNCTION("""COMPUTED_VALUE"""),"Right Side Up, Huge")</f>
        <v>Right Side Up, Huge</v>
      </c>
      <c r="I1042" s="11">
        <f>IFERROR(__xludf.DUMMYFUNCTION("""COMPUTED_VALUE"""),1.0)</f>
        <v>1</v>
      </c>
      <c r="J1042" s="11">
        <f>IFERROR(__xludf.DUMMYFUNCTION("""COMPUTED_VALUE"""),0.0)</f>
        <v>0</v>
      </c>
      <c r="K1042" s="11">
        <f>IFERROR(__xludf.DUMMYFUNCTION("""COMPUTED_VALUE"""),1.0)</f>
        <v>1</v>
      </c>
      <c r="L1042" s="11"/>
    </row>
    <row r="1043">
      <c r="A1043" s="10" t="str">
        <f>IFERROR(__xludf.DUMMYFUNCTION("""COMPUTED_VALUE"""),"https://riverjournalonline.com/news/best-amazon-ppc-agencies-to-lower-acos-in-2026/300535/")</f>
        <v>https://riverjournalonline.com/news/best-amazon-ppc-agencies-to-lower-acos-in-2026/300535/</v>
      </c>
      <c r="B1043" s="11" t="str">
        <f>IFERROR(__xludf.DUMMYFUNCTION("""COMPUTED_VALUE"""),"Best Amazon PPC Agencies to Lower ACoS in 2026 - River Journal Online - News for Tarrytown, Sleepy Hollow, Irvington, Ossining, Briarcliff Manor, Croton-on-Hudson, Cortlandt and Peekskill")</f>
        <v>Best Amazon PPC Agencies to Lower ACoS in 2026 - River Journal Online - News for Tarrytown, Sleepy Hollow, Irvington, Ossining, Briarcliff Manor, Croton-on-Hudson, Cortlandt and Peekskill</v>
      </c>
      <c r="C1043" s="10" t="str">
        <f>IFERROR(__xludf.DUMMYFUNCTION("""COMPUTED_VALUE"""),"riverjournalonline.com")</f>
        <v>riverjournalonline.com</v>
      </c>
      <c r="D1043" s="11" t="str">
        <f>IFERROR(__xludf.DUMMYFUNCTION("""COMPUTED_VALUE"""),"LISTICLE")</f>
        <v>LISTICLE</v>
      </c>
      <c r="E1043" s="11" t="str">
        <f>IFERROR(__xludf.DUMMYFUNCTION("""COMPUTED_VALUE"""),"EDITORIAL")</f>
        <v>EDITORIAL</v>
      </c>
      <c r="F1043" s="11" t="str">
        <f>IFERROR(__xludf.DUMMYFUNCTION("""COMPUTED_VALUE"""),"Listicle")</f>
        <v>Listicle</v>
      </c>
      <c r="G1043" s="11" t="b">
        <f>IFERROR(__xludf.DUMMYFUNCTION("""COMPUTED_VALUE"""),FALSE)</f>
        <v>0</v>
      </c>
      <c r="H1043" s="11" t="str">
        <f>IFERROR(__xludf.DUMMYFUNCTION("""COMPUTED_VALUE"""),"Tinuiti")</f>
        <v>Tinuiti</v>
      </c>
      <c r="I1043" s="11">
        <f>IFERROR(__xludf.DUMMYFUNCTION("""COMPUTED_VALUE"""),1.0)</f>
        <v>1</v>
      </c>
      <c r="J1043" s="11">
        <f>IFERROR(__xludf.DUMMYFUNCTION("""COMPUTED_VALUE"""),0.0)</f>
        <v>0</v>
      </c>
      <c r="K1043" s="11">
        <f>IFERROR(__xludf.DUMMYFUNCTION("""COMPUTED_VALUE"""),1.0)</f>
        <v>1</v>
      </c>
      <c r="L1043" s="11"/>
    </row>
    <row r="1044">
      <c r="A1044" s="10" t="str">
        <f>IFERROR(__xludf.DUMMYFUNCTION("""COMPUTED_VALUE"""),"https://s3da-design.com/guest-contribution/best-remodeling-digital-marketing-agencies-in-2025/")</f>
        <v>https://s3da-design.com/guest-contribution/best-remodeling-digital-marketing-agencies-in-2025/</v>
      </c>
      <c r="B1044" s="11" t="str">
        <f>IFERROR(__xludf.DUMMYFUNCTION("""COMPUTED_VALUE"""),"Best Remodeling Digital Marketing &amp;amp; SEO Agencies for Contractors 2025")</f>
        <v>Best Remodeling Digital Marketing &amp;amp; SEO Agencies for Contractors 2025</v>
      </c>
      <c r="C1044" s="10" t="str">
        <f>IFERROR(__xludf.DUMMYFUNCTION("""COMPUTED_VALUE"""),"s3da-design.com")</f>
        <v>s3da-design.com</v>
      </c>
      <c r="D1044" s="11" t="str">
        <f>IFERROR(__xludf.DUMMYFUNCTION("""COMPUTED_VALUE"""),"LISTICLE")</f>
        <v>LISTICLE</v>
      </c>
      <c r="E1044" s="11" t="str">
        <f>IFERROR(__xludf.DUMMYFUNCTION("""COMPUTED_VALUE"""),"CORPORATE")</f>
        <v>CORPORATE</v>
      </c>
      <c r="F1044" s="11" t="str">
        <f>IFERROR(__xludf.DUMMYFUNCTION("""COMPUTED_VALUE"""),"Listicle")</f>
        <v>Listicle</v>
      </c>
      <c r="G1044" s="11" t="b">
        <f>IFERROR(__xludf.DUMMYFUNCTION("""COMPUTED_VALUE"""),FALSE)</f>
        <v>0</v>
      </c>
      <c r="H1044" s="11" t="str">
        <f>IFERROR(__xludf.DUMMYFUNCTION("""COMPUTED_VALUE"""),"NP Digital")</f>
        <v>NP Digital</v>
      </c>
      <c r="I1044" s="11">
        <f>IFERROR(__xludf.DUMMYFUNCTION("""COMPUTED_VALUE"""),1.0)</f>
        <v>1</v>
      </c>
      <c r="J1044" s="11">
        <f>IFERROR(__xludf.DUMMYFUNCTION("""COMPUTED_VALUE"""),0.0)</f>
        <v>0</v>
      </c>
      <c r="K1044" s="11">
        <f>IFERROR(__xludf.DUMMYFUNCTION("""COMPUTED_VALUE"""),0.0)</f>
        <v>0</v>
      </c>
      <c r="L1044" s="11"/>
    </row>
    <row r="1045">
      <c r="A1045" s="10" t="str">
        <f>IFERROR(__xludf.DUMMYFUNCTION("""COMPUTED_VALUE"""),"https://salesduo.com/blog/amazon-product-ads-management-agencies-comparison/")</f>
        <v>https://salesduo.com/blog/amazon-product-ads-management-agencies-comparison/</v>
      </c>
      <c r="B1045" s="11" t="str">
        <f>IFERROR(__xludf.DUMMYFUNCTION("""COMPUTED_VALUE"""),"Best Amazon Product Ads Management Agencies in 2026")</f>
        <v>Best Amazon Product Ads Management Agencies in 2026</v>
      </c>
      <c r="C1045" s="10" t="str">
        <f>IFERROR(__xludf.DUMMYFUNCTION("""COMPUTED_VALUE"""),"salesduo.com")</f>
        <v>salesduo.com</v>
      </c>
      <c r="D1045" s="11" t="str">
        <f>IFERROR(__xludf.DUMMYFUNCTION("""COMPUTED_VALUE"""),"COMPARISON")</f>
        <v>COMPARISON</v>
      </c>
      <c r="E1045" s="11" t="str">
        <f>IFERROR(__xludf.DUMMYFUNCTION("""COMPUTED_VALUE"""),"CORPORATE")</f>
        <v>CORPORATE</v>
      </c>
      <c r="F1045" s="11" t="str">
        <f>IFERROR(__xludf.DUMMYFUNCTION("""COMPUTED_VALUE"""),"Comparison")</f>
        <v>Comparison</v>
      </c>
      <c r="G1045" s="11" t="b">
        <f>IFERROR(__xludf.DUMMYFUNCTION("""COMPUTED_VALUE"""),FALSE)</f>
        <v>0</v>
      </c>
      <c r="H1045" s="11" t="str">
        <f>IFERROR(__xludf.DUMMYFUNCTION("""COMPUTED_VALUE"""),"Tinuiti, Disruptive Advertising, Measured")</f>
        <v>Tinuiti, Disruptive Advertising, Measured</v>
      </c>
      <c r="I1045" s="11">
        <f>IFERROR(__xludf.DUMMYFUNCTION("""COMPUTED_VALUE"""),1.0)</f>
        <v>1</v>
      </c>
      <c r="J1045" s="11">
        <f>IFERROR(__xludf.DUMMYFUNCTION("""COMPUTED_VALUE"""),0.0)</f>
        <v>0</v>
      </c>
      <c r="K1045" s="11">
        <f>IFERROR(__xludf.DUMMYFUNCTION("""COMPUTED_VALUE"""),1.0)</f>
        <v>1</v>
      </c>
      <c r="L1045" s="11"/>
    </row>
    <row r="1046">
      <c r="A1046" s="10" t="str">
        <f>IFERROR(__xludf.DUMMYFUNCTION("""COMPUTED_VALUE"""),"https://scopicstudios.com/blog/best-geo-agencies-ai-search-visibility-2026/")</f>
        <v>https://scopicstudios.com/blog/best-geo-agencies-ai-search-visibility-2026/</v>
      </c>
      <c r="B1046" s="11" t="str">
        <f>IFERROR(__xludf.DUMMYFUNCTION("""COMPUTED_VALUE"""),"10 Best GEO Agencies for AI Search Brand Visibility")</f>
        <v>10 Best GEO Agencies for AI Search Brand Visibility</v>
      </c>
      <c r="C1046" s="10" t="str">
        <f>IFERROR(__xludf.DUMMYFUNCTION("""COMPUTED_VALUE"""),"scopicstudios.com")</f>
        <v>scopicstudios.com</v>
      </c>
      <c r="D1046" s="11" t="str">
        <f>IFERROR(__xludf.DUMMYFUNCTION("""COMPUTED_VALUE"""),"CATEGORY_PAGE")</f>
        <v>CATEGORY_PAGE</v>
      </c>
      <c r="E1046" s="11" t="str">
        <f>IFERROR(__xludf.DUMMYFUNCTION("""COMPUTED_VALUE"""),"CORPORATE")</f>
        <v>CORPORATE</v>
      </c>
      <c r="F1046" s="11" t="str">
        <f>IFERROR(__xludf.DUMMYFUNCTION("""COMPUTED_VALUE"""),"Category Page")</f>
        <v>Category Page</v>
      </c>
      <c r="G1046" s="11" t="b">
        <f>IFERROR(__xludf.DUMMYFUNCTION("""COMPUTED_VALUE"""),FALSE)</f>
        <v>0</v>
      </c>
      <c r="H1046" s="11" t="str">
        <f>IFERROR(__xludf.DUMMYFUNCTION("""COMPUTED_VALUE"""),"Clutch")</f>
        <v>Clutch</v>
      </c>
      <c r="I1046" s="11">
        <f>IFERROR(__xludf.DUMMYFUNCTION("""COMPUTED_VALUE"""),1.0)</f>
        <v>1</v>
      </c>
      <c r="J1046" s="11">
        <f>IFERROR(__xludf.DUMMYFUNCTION("""COMPUTED_VALUE"""),0.0)</f>
        <v>0</v>
      </c>
      <c r="K1046" s="11">
        <f>IFERROR(__xludf.DUMMYFUNCTION("""COMPUTED_VALUE"""),0.0)</f>
        <v>0</v>
      </c>
      <c r="L1046" s="11"/>
    </row>
    <row r="1047">
      <c r="A1047" s="10" t="str">
        <f>IFERROR(__xludf.DUMMYFUNCTION("""COMPUTED_VALUE"""),"https://scopicstudios.com/blog/top-ai-marketing-agencies/")</f>
        <v>https://scopicstudios.com/blog/top-ai-marketing-agencies/</v>
      </c>
      <c r="B1047" s="11" t="str">
        <f>IFERROR(__xludf.DUMMYFUNCTION("""COMPUTED_VALUE"""),"10 Best AI Marketing Agencies in 2026 (Ranked &amp;amp; Reviewed)")</f>
        <v>10 Best AI Marketing Agencies in 2026 (Ranked &amp;amp; Reviewed)</v>
      </c>
      <c r="C1047" s="10" t="str">
        <f>IFERROR(__xludf.DUMMYFUNCTION("""COMPUTED_VALUE"""),"scopicstudios.com")</f>
        <v>scopicstudios.com</v>
      </c>
      <c r="D1047" s="11" t="str">
        <f>IFERROR(__xludf.DUMMYFUNCTION("""COMPUTED_VALUE"""),"LISTICLE")</f>
        <v>LISTICLE</v>
      </c>
      <c r="E1047" s="11" t="str">
        <f>IFERROR(__xludf.DUMMYFUNCTION("""COMPUTED_VALUE"""),"CORPORATE")</f>
        <v>CORPORATE</v>
      </c>
      <c r="F1047" s="11" t="str">
        <f>IFERROR(__xludf.DUMMYFUNCTION("""COMPUTED_VALUE"""),"Listicle")</f>
        <v>Listicle</v>
      </c>
      <c r="G1047" s="11" t="b">
        <f>IFERROR(__xludf.DUMMYFUNCTION("""COMPUTED_VALUE"""),FALSE)</f>
        <v>0</v>
      </c>
      <c r="H1047" s="11" t="str">
        <f>IFERROR(__xludf.DUMMYFUNCTION("""COMPUTED_VALUE"""),"Clutch, NoGood, Single Grain, Keenfolks, Anomaly")</f>
        <v>Clutch, NoGood, Single Grain, Keenfolks, Anomaly</v>
      </c>
      <c r="I1047" s="11">
        <f>IFERROR(__xludf.DUMMYFUNCTION("""COMPUTED_VALUE"""),1.0)</f>
        <v>1</v>
      </c>
      <c r="J1047" s="11">
        <f>IFERROR(__xludf.DUMMYFUNCTION("""COMPUTED_VALUE"""),0.0)</f>
        <v>0</v>
      </c>
      <c r="K1047" s="11">
        <f>IFERROR(__xludf.DUMMYFUNCTION("""COMPUTED_VALUE"""),0.0)</f>
        <v>0</v>
      </c>
      <c r="L1047" s="11"/>
    </row>
    <row r="1048">
      <c r="A1048" s="10" t="str">
        <f>IFERROR(__xludf.DUMMYFUNCTION("""COMPUTED_VALUE"""),"https://searchconversions.com/the-10-best-answer-engine-optimization-aeo-agencies/")</f>
        <v>https://searchconversions.com/the-10-best-answer-engine-optimization-aeo-agencies/</v>
      </c>
      <c r="B1048" s="11" t="str">
        <f>IFERROR(__xludf.DUMMYFUNCTION("""COMPUTED_VALUE"""),"The 10 Best Answer Engine Optimization (AEO) Agencies")</f>
        <v>The 10 Best Answer Engine Optimization (AEO) Agencies</v>
      </c>
      <c r="C1048" s="10" t="str">
        <f>IFERROR(__xludf.DUMMYFUNCTION("""COMPUTED_VALUE"""),"searchconversions.com")</f>
        <v>searchconversions.com</v>
      </c>
      <c r="D1048" s="11" t="str">
        <f>IFERROR(__xludf.DUMMYFUNCTION("""COMPUTED_VALUE"""),"LISTICLE")</f>
        <v>LISTICLE</v>
      </c>
      <c r="E1048" s="11" t="str">
        <f>IFERROR(__xludf.DUMMYFUNCTION("""COMPUTED_VALUE"""),"CORPORATE")</f>
        <v>CORPORATE</v>
      </c>
      <c r="F1048" s="11" t="str">
        <f>IFERROR(__xludf.DUMMYFUNCTION("""COMPUTED_VALUE"""),"Listicle")</f>
        <v>Listicle</v>
      </c>
      <c r="G1048" s="11" t="b">
        <f>IFERROR(__xludf.DUMMYFUNCTION("""COMPUTED_VALUE"""),FALSE)</f>
        <v>0</v>
      </c>
      <c r="H1048" s="11" t="str">
        <f>IFERROR(__xludf.DUMMYFUNCTION("""COMPUTED_VALUE"""),"Omniscient Digital, iPullRank, NoGood, Ignite Visibility, Single Grain")</f>
        <v>Omniscient Digital, iPullRank, NoGood, Ignite Visibility, Single Grain</v>
      </c>
      <c r="I1048" s="11">
        <f>IFERROR(__xludf.DUMMYFUNCTION("""COMPUTED_VALUE"""),1.0)</f>
        <v>1</v>
      </c>
      <c r="J1048" s="11">
        <f>IFERROR(__xludf.DUMMYFUNCTION("""COMPUTED_VALUE"""),0.0)</f>
        <v>0</v>
      </c>
      <c r="K1048" s="11">
        <f>IFERROR(__xludf.DUMMYFUNCTION("""COMPUTED_VALUE"""),0.0)</f>
        <v>0</v>
      </c>
      <c r="L1048" s="11"/>
    </row>
    <row r="1049">
      <c r="A1049" s="10" t="str">
        <f>IFERROR(__xludf.DUMMYFUNCTION("""COMPUTED_VALUE"""),"https://segmentstream.com/blog/articles/best-marketing-intelligence-tools")</f>
        <v>https://segmentstream.com/blog/articles/best-marketing-intelligence-tools</v>
      </c>
      <c r="B1049" s="11" t="str">
        <f>IFERROR(__xludf.DUMMYFUNCTION("""COMPUTED_VALUE"""),"10 Best Marketing Intelligence Tools &amp;amp; Platforms for 2026 — SegmentStream")</f>
        <v>10 Best Marketing Intelligence Tools &amp;amp; Platforms for 2026 — SegmentStream</v>
      </c>
      <c r="C1049" s="10" t="str">
        <f>IFERROR(__xludf.DUMMYFUNCTION("""COMPUTED_VALUE"""),"segmentstream.com")</f>
        <v>segmentstream.com</v>
      </c>
      <c r="D1049" s="11" t="str">
        <f>IFERROR(__xludf.DUMMYFUNCTION("""COMPUTED_VALUE"""),"LISTICLE")</f>
        <v>LISTICLE</v>
      </c>
      <c r="E1049" s="11" t="str">
        <f>IFERROR(__xludf.DUMMYFUNCTION("""COMPUTED_VALUE"""),"COMPETITOR")</f>
        <v>COMPETITOR</v>
      </c>
      <c r="F1049" s="11" t="str">
        <f>IFERROR(__xludf.DUMMYFUNCTION("""COMPUTED_VALUE"""),"Listicle")</f>
        <v>Listicle</v>
      </c>
      <c r="G1049" s="11" t="b">
        <f>IFERROR(__xludf.DUMMYFUNCTION("""COMPUTED_VALUE"""),FALSE)</f>
        <v>0</v>
      </c>
      <c r="H1049" s="11" t="str">
        <f>IFERROR(__xludf.DUMMYFUNCTION("""COMPUTED_VALUE"""),"SegmentStream, LifeSight, Northbeam, Measured, Rockerbox, Anomaly")</f>
        <v>SegmentStream, LifeSight, Northbeam, Measured, Rockerbox, Anomaly</v>
      </c>
      <c r="I1049" s="11">
        <f>IFERROR(__xludf.DUMMYFUNCTION("""COMPUTED_VALUE"""),1.0)</f>
        <v>1</v>
      </c>
      <c r="J1049" s="11">
        <f>IFERROR(__xludf.DUMMYFUNCTION("""COMPUTED_VALUE"""),0.0)</f>
        <v>0</v>
      </c>
      <c r="K1049" s="11">
        <f>IFERROR(__xludf.DUMMYFUNCTION("""COMPUTED_VALUE"""),1.0)</f>
        <v>1</v>
      </c>
      <c r="L1049" s="11"/>
    </row>
    <row r="1050">
      <c r="A1050" s="10" t="str">
        <f>IFERROR(__xludf.DUMMYFUNCTION("""COMPUTED_VALUE"""),"https://segmetrics.io/articles/the-best-marketing-attribution-tools-for-2026-and-how-to-choose-the-right-one/")</f>
        <v>https://segmetrics.io/articles/the-best-marketing-attribution-tools-for-2026-and-how-to-choose-the-right-one/</v>
      </c>
      <c r="B1050" s="11" t="str">
        <f>IFERROR(__xludf.DUMMYFUNCTION("""COMPUTED_VALUE"""),"The Best Marketing Attribution Tools for 2026 (And How to Choose the Right One) - SegMetrics")</f>
        <v>The Best Marketing Attribution Tools for 2026 (And How to Choose the Right One) - SegMetrics</v>
      </c>
      <c r="C1050" s="10" t="str">
        <f>IFERROR(__xludf.DUMMYFUNCTION("""COMPUTED_VALUE"""),"segmetrics.io")</f>
        <v>segmetrics.io</v>
      </c>
      <c r="D1050" s="11" t="str">
        <f>IFERROR(__xludf.DUMMYFUNCTION("""COMPUTED_VALUE"""),"LISTICLE")</f>
        <v>LISTICLE</v>
      </c>
      <c r="E1050" s="11" t="str">
        <f>IFERROR(__xludf.DUMMYFUNCTION("""COMPUTED_VALUE"""),"CORPORATE")</f>
        <v>CORPORATE</v>
      </c>
      <c r="F1050" s="11" t="str">
        <f>IFERROR(__xludf.DUMMYFUNCTION("""COMPUTED_VALUE"""),"Listicle")</f>
        <v>Listicle</v>
      </c>
      <c r="G1050" s="11" t="b">
        <f>IFERROR(__xludf.DUMMYFUNCTION("""COMPUTED_VALUE"""),FALSE)</f>
        <v>0</v>
      </c>
      <c r="H1050" s="11" t="str">
        <f>IFERROR(__xludf.DUMMYFUNCTION("""COMPUTED_VALUE"""),"Triple Whale, Northbeam, Cometly")</f>
        <v>Triple Whale, Northbeam, Cometly</v>
      </c>
      <c r="I1050" s="11">
        <f>IFERROR(__xludf.DUMMYFUNCTION("""COMPUTED_VALUE"""),1.0)</f>
        <v>1</v>
      </c>
      <c r="J1050" s="11">
        <f>IFERROR(__xludf.DUMMYFUNCTION("""COMPUTED_VALUE"""),0.0)</f>
        <v>0</v>
      </c>
      <c r="K1050" s="11">
        <f>IFERROR(__xludf.DUMMYFUNCTION("""COMPUTED_VALUE"""),2.0)</f>
        <v>2</v>
      </c>
      <c r="L1050" s="11"/>
    </row>
    <row r="1051">
      <c r="A1051" s="10" t="str">
        <f>IFERROR(__xludf.DUMMYFUNCTION("""COMPUTED_VALUE"""),"https://selectedfirms.co/companies/aeo-companies")</f>
        <v>https://selectedfirms.co/companies/aeo-companies</v>
      </c>
      <c r="B1051" s="11" t="str">
        <f>IFERROR(__xludf.DUMMYFUNCTION("""COMPUTED_VALUE"""),"Top AEO Companies Companies (2026) — SelectedFirms")</f>
        <v>Top AEO Companies Companies (2026) — SelectedFirms</v>
      </c>
      <c r="C1051" s="10" t="str">
        <f>IFERROR(__xludf.DUMMYFUNCTION("""COMPUTED_VALUE"""),"selectedfirms.co")</f>
        <v>selectedfirms.co</v>
      </c>
      <c r="D1051" s="11" t="str">
        <f>IFERROR(__xludf.DUMMYFUNCTION("""COMPUTED_VALUE"""),"PROFILE")</f>
        <v>PROFILE</v>
      </c>
      <c r="E1051" s="11" t="str">
        <f>IFERROR(__xludf.DUMMYFUNCTION("""COMPUTED_VALUE"""),"CORPORATE")</f>
        <v>CORPORATE</v>
      </c>
      <c r="F1051" s="11" t="str">
        <f>IFERROR(__xludf.DUMMYFUNCTION("""COMPUTED_VALUE"""),"Profile")</f>
        <v>Profile</v>
      </c>
      <c r="G1051" s="11" t="b">
        <f>IFERROR(__xludf.DUMMYFUNCTION("""COMPUTED_VALUE"""),FALSE)</f>
        <v>0</v>
      </c>
      <c r="H1051" s="11" t="str">
        <f>IFERROR(__xludf.DUMMYFUNCTION("""COMPUTED_VALUE"""),"IBM, Silverback Strategies, Clutch, Momentum, Avenue Z")</f>
        <v>IBM, Silverback Strategies, Clutch, Momentum, Avenue Z</v>
      </c>
      <c r="I1051" s="11">
        <f>IFERROR(__xludf.DUMMYFUNCTION("""COMPUTED_VALUE"""),1.0)</f>
        <v>1</v>
      </c>
      <c r="J1051" s="11">
        <f>IFERROR(__xludf.DUMMYFUNCTION("""COMPUTED_VALUE"""),0.0)</f>
        <v>0</v>
      </c>
      <c r="K1051" s="11">
        <f>IFERROR(__xludf.DUMMYFUNCTION("""COMPUTED_VALUE"""),0.0)</f>
        <v>0</v>
      </c>
      <c r="L1051" s="11"/>
    </row>
    <row r="1052">
      <c r="A1052" s="10" t="str">
        <f>IFERROR(__xludf.DUMMYFUNCTION("""COMPUTED_VALUE"""),"https://selectedfirms.co/companies/digital-marketing-agencies/usa")</f>
        <v>https://selectedfirms.co/companies/digital-marketing-agencies/usa</v>
      </c>
      <c r="B1052" s="11" t="str">
        <f>IFERROR(__xludf.DUMMYFUNCTION("""COMPUTED_VALUE"""),"Top Digital Marketing Companies in USA (2026) — SelectedFirms")</f>
        <v>Top Digital Marketing Companies in USA (2026) — SelectedFirms</v>
      </c>
      <c r="C1052" s="10" t="str">
        <f>IFERROR(__xludf.DUMMYFUNCTION("""COMPUTED_VALUE"""),"selectedfirms.co")</f>
        <v>selectedfirms.co</v>
      </c>
      <c r="D1052" s="11" t="str">
        <f>IFERROR(__xludf.DUMMYFUNCTION("""COMPUTED_VALUE"""),"CATEGORY_PAGE")</f>
        <v>CATEGORY_PAGE</v>
      </c>
      <c r="E1052" s="11" t="str">
        <f>IFERROR(__xludf.DUMMYFUNCTION("""COMPUTED_VALUE"""),"CORPORATE")</f>
        <v>CORPORATE</v>
      </c>
      <c r="F1052" s="11" t="str">
        <f>IFERROR(__xludf.DUMMYFUNCTION("""COMPUTED_VALUE"""),"Category Page")</f>
        <v>Category Page</v>
      </c>
      <c r="G1052" s="11" t="b">
        <f>IFERROR(__xludf.DUMMYFUNCTION("""COMPUTED_VALUE"""),FALSE)</f>
        <v>0</v>
      </c>
      <c r="H1052" s="11" t="str">
        <f>IFERROR(__xludf.DUMMYFUNCTION("""COMPUTED_VALUE"""),"IBM, Elit-Web, Clutch, Huge, Momentum, AdVenture Media, HawkSEM, Silverback Strategies, RevenueZen")</f>
        <v>IBM, Elit-Web, Clutch, Huge, Momentum, AdVenture Media, HawkSEM, Silverback Strategies, RevenueZen</v>
      </c>
      <c r="I1052" s="11">
        <f>IFERROR(__xludf.DUMMYFUNCTION("""COMPUTED_VALUE"""),1.0)</f>
        <v>1</v>
      </c>
      <c r="J1052" s="11">
        <f>IFERROR(__xludf.DUMMYFUNCTION("""COMPUTED_VALUE"""),0.0)</f>
        <v>0</v>
      </c>
      <c r="K1052" s="11">
        <f>IFERROR(__xludf.DUMMYFUNCTION("""COMPUTED_VALUE"""),0.0)</f>
        <v>0</v>
      </c>
      <c r="L1052" s="11"/>
    </row>
    <row r="1053">
      <c r="A1053" s="10" t="str">
        <f>IFERROR(__xludf.DUMMYFUNCTION("""COMPUTED_VALUE"""),"https://semnexus.com/top-ai-powered-marketing-agencies-in-2026-ranked-by-innovation-performance/")</f>
        <v>https://semnexus.com/top-ai-powered-marketing-agencies-in-2026-ranked-by-innovation-performance/</v>
      </c>
      <c r="B1053" s="11" t="str">
        <f>IFERROR(__xludf.DUMMYFUNCTION("""COMPUTED_VALUE"""),"Top AI-Powered Marketing Agencies in 2026 (Ranked by Innovation &amp;amp; Performance) | SEM Nexus")</f>
        <v>Top AI-Powered Marketing Agencies in 2026 (Ranked by Innovation &amp;amp; Performance) | SEM Nexus</v>
      </c>
      <c r="C1053" s="10" t="str">
        <f>IFERROR(__xludf.DUMMYFUNCTION("""COMPUTED_VALUE"""),"semnexus.com")</f>
        <v>semnexus.com</v>
      </c>
      <c r="D1053" s="11" t="str">
        <f>IFERROR(__xludf.DUMMYFUNCTION("""COMPUTED_VALUE"""),"LISTICLE")</f>
        <v>LISTICLE</v>
      </c>
      <c r="E1053" s="11" t="str">
        <f>IFERROR(__xludf.DUMMYFUNCTION("""COMPUTED_VALUE"""),"OTHER")</f>
        <v>OTHER</v>
      </c>
      <c r="F1053" s="11" t="str">
        <f>IFERROR(__xludf.DUMMYFUNCTION("""COMPUTED_VALUE"""),"Listicle")</f>
        <v>Listicle</v>
      </c>
      <c r="G1053" s="11" t="b">
        <f>IFERROR(__xludf.DUMMYFUNCTION("""COMPUTED_VALUE"""),FALSE)</f>
        <v>0</v>
      </c>
      <c r="H1053" s="11" t="str">
        <f>IFERROR(__xludf.DUMMYFUNCTION("""COMPUTED_VALUE"""),"Jellyfish, Wpromote, NoGood")</f>
        <v>Jellyfish, Wpromote, NoGood</v>
      </c>
      <c r="I1053" s="11">
        <f>IFERROR(__xludf.DUMMYFUNCTION("""COMPUTED_VALUE"""),1.0)</f>
        <v>1</v>
      </c>
      <c r="J1053" s="11">
        <f>IFERROR(__xludf.DUMMYFUNCTION("""COMPUTED_VALUE"""),0.0)</f>
        <v>0</v>
      </c>
      <c r="K1053" s="11">
        <f>IFERROR(__xludf.DUMMYFUNCTION("""COMPUTED_VALUE"""),0.0)</f>
        <v>0</v>
      </c>
      <c r="L1053" s="11"/>
    </row>
    <row r="1054">
      <c r="A1054" s="10" t="str">
        <f>IFERROR(__xludf.DUMMYFUNCTION("""COMPUTED_VALUE"""),"https://www.semrush.com/agencies/list/display-advertising/information-technology/united-states/")</f>
        <v>https://www.semrush.com/agencies/list/display-advertising/information-technology/united-states/</v>
      </c>
      <c r="B1054" s="11" t="str">
        <f>IFERROR(__xludf.DUMMYFUNCTION("""COMPUTED_VALUE"""),"Best IT Display Ads Agencies in United States 2026 \| Semrush")</f>
        <v>Best IT Display Ads Agencies in United States 2026 \| Semrush</v>
      </c>
      <c r="C1054" s="10" t="str">
        <f>IFERROR(__xludf.DUMMYFUNCTION("""COMPUTED_VALUE"""),"semrush.com")</f>
        <v>semrush.com</v>
      </c>
      <c r="D1054" s="11" t="str">
        <f>IFERROR(__xludf.DUMMYFUNCTION("""COMPUTED_VALUE"""),"PROFILE")</f>
        <v>PROFILE</v>
      </c>
      <c r="E1054" s="11" t="str">
        <f>IFERROR(__xludf.DUMMYFUNCTION("""COMPUTED_VALUE"""),"CORPORATE")</f>
        <v>CORPORATE</v>
      </c>
      <c r="F1054" s="11" t="str">
        <f>IFERROR(__xludf.DUMMYFUNCTION("""COMPUTED_VALUE"""),"Profile")</f>
        <v>Profile</v>
      </c>
      <c r="G1054" s="11" t="b">
        <f>IFERROR(__xludf.DUMMYFUNCTION("""COMPUTED_VALUE"""),FALSE)</f>
        <v>0</v>
      </c>
      <c r="H1054" s="11" t="str">
        <f>IFERROR(__xludf.DUMMYFUNCTION("""COMPUTED_VALUE"""),"SmartSites, Elit-Web, Silverback Strategies, WebFX, Measured, Funnel Boost Media")</f>
        <v>SmartSites, Elit-Web, Silverback Strategies, WebFX, Measured, Funnel Boost Media</v>
      </c>
      <c r="I1054" s="11">
        <f>IFERROR(__xludf.DUMMYFUNCTION("""COMPUTED_VALUE"""),1.0)</f>
        <v>1</v>
      </c>
      <c r="J1054" s="11">
        <f>IFERROR(__xludf.DUMMYFUNCTION("""COMPUTED_VALUE"""),0.0)</f>
        <v>0</v>
      </c>
      <c r="K1054" s="11">
        <f>IFERROR(__xludf.DUMMYFUNCTION("""COMPUTED_VALUE"""),0.0)</f>
        <v>0</v>
      </c>
      <c r="L1054" s="11"/>
    </row>
    <row r="1055">
      <c r="A1055" s="10" t="str">
        <f>IFERROR(__xludf.DUMMYFUNCTION("""COMPUTED_VALUE"""),"https://seostrategylab.com/blog/best-llm-seo-agencies-usa/")</f>
        <v>https://seostrategylab.com/blog/best-llm-seo-agencies-usa/</v>
      </c>
      <c r="B1055" s="11" t="str">
        <f>IFERROR(__xludf.DUMMYFUNCTION("""COMPUTED_VALUE"""),"Best LLM SEO Agencies in the USA for AI Search Growth")</f>
        <v>Best LLM SEO Agencies in the USA for AI Search Growth</v>
      </c>
      <c r="C1055" s="10" t="str">
        <f>IFERROR(__xludf.DUMMYFUNCTION("""COMPUTED_VALUE"""),"seostrategylab.com")</f>
        <v>seostrategylab.com</v>
      </c>
      <c r="D1055" s="11" t="str">
        <f>IFERROR(__xludf.DUMMYFUNCTION("""COMPUTED_VALUE"""),"LISTICLE")</f>
        <v>LISTICLE</v>
      </c>
      <c r="E1055" s="11" t="str">
        <f>IFERROR(__xludf.DUMMYFUNCTION("""COMPUTED_VALUE"""),"CORPORATE")</f>
        <v>CORPORATE</v>
      </c>
      <c r="F1055" s="11" t="str">
        <f>IFERROR(__xludf.DUMMYFUNCTION("""COMPUTED_VALUE"""),"Listicle")</f>
        <v>Listicle</v>
      </c>
      <c r="G1055" s="11" t="b">
        <f>IFERROR(__xludf.DUMMYFUNCTION("""COMPUTED_VALUE"""),FALSE)</f>
        <v>0</v>
      </c>
      <c r="H1055" s="11" t="str">
        <f>IFERROR(__xludf.DUMMYFUNCTION("""COMPUTED_VALUE"""),"Omniscient Digital, iPullRank, Go Fish Digital, Thrive Internet Marketing Agency")</f>
        <v>Omniscient Digital, iPullRank, Go Fish Digital, Thrive Internet Marketing Agency</v>
      </c>
      <c r="I1055" s="11">
        <f>IFERROR(__xludf.DUMMYFUNCTION("""COMPUTED_VALUE"""),1.0)</f>
        <v>1</v>
      </c>
      <c r="J1055" s="11">
        <f>IFERROR(__xludf.DUMMYFUNCTION("""COMPUTED_VALUE"""),0.0)</f>
        <v>0</v>
      </c>
      <c r="K1055" s="11">
        <f>IFERROR(__xludf.DUMMYFUNCTION("""COMPUTED_VALUE"""),0.0)</f>
        <v>0</v>
      </c>
      <c r="L1055" s="11"/>
    </row>
    <row r="1056">
      <c r="A1056" s="10" t="str">
        <f>IFERROR(__xludf.DUMMYFUNCTION("""COMPUTED_VALUE"""),"https://seostrategylab.com/blog/best-technical-seo-agencies-usa/")</f>
        <v>https://seostrategylab.com/blog/best-technical-seo-agencies-usa/</v>
      </c>
      <c r="B1056" s="11" t="str">
        <f>IFERROR(__xludf.DUMMYFUNCTION("""COMPUTED_VALUE"""),"Best Technical SEO Agencies in the USA (2026 Edition) | SEO Strategy Lab")</f>
        <v>Best Technical SEO Agencies in the USA (2026 Edition) | SEO Strategy Lab</v>
      </c>
      <c r="C1056" s="10" t="str">
        <f>IFERROR(__xludf.DUMMYFUNCTION("""COMPUTED_VALUE"""),"seostrategylab.com")</f>
        <v>seostrategylab.com</v>
      </c>
      <c r="D1056" s="11" t="str">
        <f>IFERROR(__xludf.DUMMYFUNCTION("""COMPUTED_VALUE"""),"LISTICLE")</f>
        <v>LISTICLE</v>
      </c>
      <c r="E1056" s="11" t="str">
        <f>IFERROR(__xludf.DUMMYFUNCTION("""COMPUTED_VALUE"""),"CORPORATE")</f>
        <v>CORPORATE</v>
      </c>
      <c r="F1056" s="11" t="str">
        <f>IFERROR(__xludf.DUMMYFUNCTION("""COMPUTED_VALUE"""),"Listicle")</f>
        <v>Listicle</v>
      </c>
      <c r="G1056" s="11" t="b">
        <f>IFERROR(__xludf.DUMMYFUNCTION("""COMPUTED_VALUE"""),FALSE)</f>
        <v>0</v>
      </c>
      <c r="H1056" s="11" t="str">
        <f>IFERROR(__xludf.DUMMYFUNCTION("""COMPUTED_VALUE"""),"iPullRank, Darkroom, Single Grain")</f>
        <v>iPullRank, Darkroom, Single Grain</v>
      </c>
      <c r="I1056" s="11">
        <f>IFERROR(__xludf.DUMMYFUNCTION("""COMPUTED_VALUE"""),1.0)</f>
        <v>1</v>
      </c>
      <c r="J1056" s="11">
        <f>IFERROR(__xludf.DUMMYFUNCTION("""COMPUTED_VALUE"""),0.0)</f>
        <v>0</v>
      </c>
      <c r="K1056" s="11">
        <f>IFERROR(__xludf.DUMMYFUNCTION("""COMPUTED_VALUE"""),1.0)</f>
        <v>1</v>
      </c>
      <c r="L1056" s="11"/>
    </row>
    <row r="1057">
      <c r="A1057" s="10" t="str">
        <f>IFERROR(__xludf.DUMMYFUNCTION("""COMPUTED_VALUE"""),"https://www.sianamarketing.com/resources/the-top-geo-agencies-2026")</f>
        <v>https://www.sianamarketing.com/resources/the-top-geo-agencies-2026</v>
      </c>
      <c r="B1057" s="11" t="str">
        <f>IFERROR(__xludf.DUMMYFUNCTION("""COMPUTED_VALUE"""),"The Top GEO Agencies of 2026 — Siana")</f>
        <v>The Top GEO Agencies of 2026 — Siana</v>
      </c>
      <c r="C1057" s="10" t="str">
        <f>IFERROR(__xludf.DUMMYFUNCTION("""COMPUTED_VALUE"""),"sianamarketing.com")</f>
        <v>sianamarketing.com</v>
      </c>
      <c r="D1057" s="11" t="str">
        <f>IFERROR(__xludf.DUMMYFUNCTION("""COMPUTED_VALUE"""),"LISTICLE")</f>
        <v>LISTICLE</v>
      </c>
      <c r="E1057" s="11" t="str">
        <f>IFERROR(__xludf.DUMMYFUNCTION("""COMPUTED_VALUE"""),"CORPORATE")</f>
        <v>CORPORATE</v>
      </c>
      <c r="F1057" s="11" t="str">
        <f>IFERROR(__xludf.DUMMYFUNCTION("""COMPUTED_VALUE"""),"Listicle")</f>
        <v>Listicle</v>
      </c>
      <c r="G1057" s="11" t="b">
        <f>IFERROR(__xludf.DUMMYFUNCTION("""COMPUTED_VALUE"""),FALSE)</f>
        <v>0</v>
      </c>
      <c r="H1057" s="11" t="str">
        <f>IFERROR(__xludf.DUMMYFUNCTION("""COMPUTED_VALUE"""),"Clutch, First Page Sage, Intero Digital, Graphite")</f>
        <v>Clutch, First Page Sage, Intero Digital, Graphite</v>
      </c>
      <c r="I1057" s="11">
        <f>IFERROR(__xludf.DUMMYFUNCTION("""COMPUTED_VALUE"""),1.0)</f>
        <v>1</v>
      </c>
      <c r="J1057" s="11">
        <f>IFERROR(__xludf.DUMMYFUNCTION("""COMPUTED_VALUE"""),0.0)</f>
        <v>0</v>
      </c>
      <c r="K1057" s="11">
        <f>IFERROR(__xludf.DUMMYFUNCTION("""COMPUTED_VALUE"""),0.0)</f>
        <v>0</v>
      </c>
      <c r="L1057" s="11"/>
    </row>
    <row r="1058">
      <c r="A1058" s="10" t="str">
        <f>IFERROR(__xludf.DUMMYFUNCTION("""COMPUTED_VALUE"""),"https://www.siegemedia.com/strategy/best-link-building-services")</f>
        <v>https://www.siegemedia.com/strategy/best-link-building-services</v>
      </c>
      <c r="B1058" s="11" t="str">
        <f>IFERROR(__xludf.DUMMYFUNCTION("""COMPUTED_VALUE"""),"The 12 Best Link Building Services for Authority &amp;amp; Mentions in 2026")</f>
        <v>The 12 Best Link Building Services for Authority &amp;amp; Mentions in 2026</v>
      </c>
      <c r="C1058" s="10" t="str">
        <f>IFERROR(__xludf.DUMMYFUNCTION("""COMPUTED_VALUE"""),"siegemedia.com")</f>
        <v>siegemedia.com</v>
      </c>
      <c r="D1058" s="11" t="str">
        <f>IFERROR(__xludf.DUMMYFUNCTION("""COMPUTED_VALUE"""),"LISTICLE")</f>
        <v>LISTICLE</v>
      </c>
      <c r="E1058" s="11" t="str">
        <f>IFERROR(__xludf.DUMMYFUNCTION("""COMPUTED_VALUE"""),"COMPETITOR")</f>
        <v>COMPETITOR</v>
      </c>
      <c r="F1058" s="11" t="str">
        <f>IFERROR(__xludf.DUMMYFUNCTION("""COMPUTED_VALUE"""),"Listicle")</f>
        <v>Listicle</v>
      </c>
      <c r="G1058" s="11" t="b">
        <f>IFERROR(__xludf.DUMMYFUNCTION("""COMPUTED_VALUE"""),FALSE)</f>
        <v>0</v>
      </c>
      <c r="H1058" s="11" t="str">
        <f>IFERROR(__xludf.DUMMYFUNCTION("""COMPUTED_VALUE"""),"Siege Media")</f>
        <v>Siege Media</v>
      </c>
      <c r="I1058" s="11">
        <f>IFERROR(__xludf.DUMMYFUNCTION("""COMPUTED_VALUE"""),1.0)</f>
        <v>1</v>
      </c>
      <c r="J1058" s="11">
        <f>IFERROR(__xludf.DUMMYFUNCTION("""COMPUTED_VALUE"""),0.0)</f>
        <v>0</v>
      </c>
      <c r="K1058" s="11">
        <f>IFERROR(__xludf.DUMMYFUNCTION("""COMPUTED_VALUE"""),1.0)</f>
        <v>1</v>
      </c>
      <c r="L1058" s="11"/>
    </row>
    <row r="1059">
      <c r="A1059" s="10" t="str">
        <f>IFERROR(__xludf.DUMMYFUNCTION("""COMPUTED_VALUE"""),"https://www.siegemedia.com/strategy/content-strategy-agency")</f>
        <v>https://www.siegemedia.com/strategy/content-strategy-agency</v>
      </c>
      <c r="B1059" s="11" t="str">
        <f>IFERROR(__xludf.DUMMYFUNCTION("""COMPUTED_VALUE"""),"12 Best Content Strategy Agencies That Drive Results (2026)")</f>
        <v>12 Best Content Strategy Agencies That Drive Results (2026)</v>
      </c>
      <c r="C1059" s="10" t="str">
        <f>IFERROR(__xludf.DUMMYFUNCTION("""COMPUTED_VALUE"""),"siegemedia.com")</f>
        <v>siegemedia.com</v>
      </c>
      <c r="D1059" s="11" t="str">
        <f>IFERROR(__xludf.DUMMYFUNCTION("""COMPUTED_VALUE"""),"LISTICLE")</f>
        <v>LISTICLE</v>
      </c>
      <c r="E1059" s="11" t="str">
        <f>IFERROR(__xludf.DUMMYFUNCTION("""COMPUTED_VALUE"""),"COMPETITOR")</f>
        <v>COMPETITOR</v>
      </c>
      <c r="F1059" s="11" t="str">
        <f>IFERROR(__xludf.DUMMYFUNCTION("""COMPUTED_VALUE"""),"Listicle")</f>
        <v>Listicle</v>
      </c>
      <c r="G1059" s="11" t="b">
        <f>IFERROR(__xludf.DUMMYFUNCTION("""COMPUTED_VALUE"""),FALSE)</f>
        <v>0</v>
      </c>
      <c r="H1059" s="11" t="str">
        <f>IFERROR(__xludf.DUMMYFUNCTION("""COMPUTED_VALUE"""),"Siege Media, Omniscient Digital, Animalz, NP Digital, Power Digital, Single Grain")</f>
        <v>Siege Media, Omniscient Digital, Animalz, NP Digital, Power Digital, Single Grain</v>
      </c>
      <c r="I1059" s="11">
        <f>IFERROR(__xludf.DUMMYFUNCTION("""COMPUTED_VALUE"""),1.0)</f>
        <v>1</v>
      </c>
      <c r="J1059" s="11">
        <f>IFERROR(__xludf.DUMMYFUNCTION("""COMPUTED_VALUE"""),0.0)</f>
        <v>0</v>
      </c>
      <c r="K1059" s="11">
        <f>IFERROR(__xludf.DUMMYFUNCTION("""COMPUTED_VALUE"""),0.0)</f>
        <v>0</v>
      </c>
      <c r="L1059" s="11"/>
    </row>
    <row r="1060">
      <c r="A1060" s="10" t="str">
        <f>IFERROR(__xludf.DUMMYFUNCTION("""COMPUTED_VALUE"""),"https://www.signitysolutions.com/blog/top-ai-consulting-firms")</f>
        <v>https://www.signitysolutions.com/blog/top-ai-consulting-firms</v>
      </c>
      <c r="B1060" s="11" t="str">
        <f>IFERROR(__xludf.DUMMYFUNCTION("""COMPUTED_VALUE"""),"Top 10 AI Consulting Companies 2026")</f>
        <v>Top 10 AI Consulting Companies 2026</v>
      </c>
      <c r="C1060" s="10" t="str">
        <f>IFERROR(__xludf.DUMMYFUNCTION("""COMPUTED_VALUE"""),"signitysolutions.com")</f>
        <v>signitysolutions.com</v>
      </c>
      <c r="D1060" s="11" t="str">
        <f>IFERROR(__xludf.DUMMYFUNCTION("""COMPUTED_VALUE"""),"LISTICLE")</f>
        <v>LISTICLE</v>
      </c>
      <c r="E1060" s="11" t="str">
        <f>IFERROR(__xludf.DUMMYFUNCTION("""COMPUTED_VALUE"""),"CORPORATE")</f>
        <v>CORPORATE</v>
      </c>
      <c r="F1060" s="11" t="str">
        <f>IFERROR(__xludf.DUMMYFUNCTION("""COMPUTED_VALUE"""),"Listicle")</f>
        <v>Listicle</v>
      </c>
      <c r="G1060" s="11" t="b">
        <f>IFERROR(__xludf.DUMMYFUNCTION("""COMPUTED_VALUE"""),FALSE)</f>
        <v>0</v>
      </c>
      <c r="H1060" s="11" t="str">
        <f>IFERROR(__xludf.DUMMYFUNCTION("""COMPUTED_VALUE"""),"Clutch, McKinsey, QuantumBlack, IBM, PwC, BCG")</f>
        <v>Clutch, McKinsey, QuantumBlack, IBM, PwC, BCG</v>
      </c>
      <c r="I1060" s="11">
        <f>IFERROR(__xludf.DUMMYFUNCTION("""COMPUTED_VALUE"""),1.0)</f>
        <v>1</v>
      </c>
      <c r="J1060" s="11">
        <f>IFERROR(__xludf.DUMMYFUNCTION("""COMPUTED_VALUE"""),0.0)</f>
        <v>0</v>
      </c>
      <c r="K1060" s="11">
        <f>IFERROR(__xludf.DUMMYFUNCTION("""COMPUTED_VALUE"""),1.0)</f>
        <v>1</v>
      </c>
      <c r="L1060" s="11"/>
    </row>
    <row r="1061">
      <c r="A1061" s="10" t="str">
        <f>IFERROR(__xludf.DUMMYFUNCTION("""COMPUTED_VALUE"""),"https://www.silverbackstrategies.com/lists/best-ecommerce-agencies-in-the-us-ranked-reviewed/")</f>
        <v>https://www.silverbackstrategies.com/lists/best-ecommerce-agencies-in-the-us-ranked-reviewed/</v>
      </c>
      <c r="B1061" s="11" t="str">
        <f>IFERROR(__xludf.DUMMYFUNCTION("""COMPUTED_VALUE"""),"Best eCommerce Agencies in the U.S. in 2026 (Ranked &amp;amp; Reviewed) | Silverback Strategies")</f>
        <v>Best eCommerce Agencies in the U.S. in 2026 (Ranked &amp;amp; Reviewed) | Silverback Strategies</v>
      </c>
      <c r="C1061" s="10" t="str">
        <f>IFERROR(__xludf.DUMMYFUNCTION("""COMPUTED_VALUE"""),"silverbackstrategies.com")</f>
        <v>silverbackstrategies.com</v>
      </c>
      <c r="D1061" s="11" t="str">
        <f>IFERROR(__xludf.DUMMYFUNCTION("""COMPUTED_VALUE"""),"LISTICLE")</f>
        <v>LISTICLE</v>
      </c>
      <c r="E1061" s="11" t="str">
        <f>IFERROR(__xludf.DUMMYFUNCTION("""COMPUTED_VALUE"""),"COMPETITOR")</f>
        <v>COMPETITOR</v>
      </c>
      <c r="F1061" s="11" t="str">
        <f>IFERROR(__xludf.DUMMYFUNCTION("""COMPUTED_VALUE"""),"Listicle")</f>
        <v>Listicle</v>
      </c>
      <c r="G1061" s="11" t="b">
        <f>IFERROR(__xludf.DUMMYFUNCTION("""COMPUTED_VALUE"""),FALSE)</f>
        <v>0</v>
      </c>
      <c r="H1061" s="11" t="str">
        <f>IFERROR(__xludf.DUMMYFUNCTION("""COMPUTED_VALUE"""),"Silverback Strategies, Measured, Clutch, Disruptive Advertising, Ignite Visibility, Accelerated Digital Media, NinjaPromo, Elit-Web")</f>
        <v>Silverback Strategies, Measured, Clutch, Disruptive Advertising, Ignite Visibility, Accelerated Digital Media, NinjaPromo, Elit-Web</v>
      </c>
      <c r="I1061" s="11">
        <f>IFERROR(__xludf.DUMMYFUNCTION("""COMPUTED_VALUE"""),1.0)</f>
        <v>1</v>
      </c>
      <c r="J1061" s="11">
        <f>IFERROR(__xludf.DUMMYFUNCTION("""COMPUTED_VALUE"""),0.0)</f>
        <v>0</v>
      </c>
      <c r="K1061" s="11">
        <f>IFERROR(__xludf.DUMMYFUNCTION("""COMPUTED_VALUE"""),1.0)</f>
        <v>1</v>
      </c>
      <c r="L1061" s="11"/>
    </row>
    <row r="1062">
      <c r="A1062" s="10" t="str">
        <f>IFERROR(__xludf.DUMMYFUNCTION("""COMPUTED_VALUE"""),"https://simplythebestdigital.com/best-digital-marketing-agencies-usa/")</f>
        <v>https://simplythebestdigital.com/best-digital-marketing-agencies-usa/</v>
      </c>
      <c r="B1062" s="11" t="str">
        <f>IFERROR(__xludf.DUMMYFUNCTION("""COMPUTED_VALUE"""),"Best Digital Marketing Agencies in the USA 2026 (Ranked &amp;amp; Reviewed) | Simply The Best Digital")</f>
        <v>Best Digital Marketing Agencies in the USA 2026 (Ranked &amp;amp; Reviewed) | Simply The Best Digital</v>
      </c>
      <c r="C1062" s="10" t="str">
        <f>IFERROR(__xludf.DUMMYFUNCTION("""COMPUTED_VALUE"""),"simplythebestdigital.com")</f>
        <v>simplythebestdigital.com</v>
      </c>
      <c r="D1062" s="11" t="str">
        <f>IFERROR(__xludf.DUMMYFUNCTION("""COMPUTED_VALUE"""),"LISTICLE")</f>
        <v>LISTICLE</v>
      </c>
      <c r="E1062" s="11" t="str">
        <f>IFERROR(__xludf.DUMMYFUNCTION("""COMPUTED_VALUE"""),"CORPORATE")</f>
        <v>CORPORATE</v>
      </c>
      <c r="F1062" s="11" t="str">
        <f>IFERROR(__xludf.DUMMYFUNCTION("""COMPUTED_VALUE"""),"Listicle")</f>
        <v>Listicle</v>
      </c>
      <c r="G1062" s="11" t="b">
        <f>IFERROR(__xludf.DUMMYFUNCTION("""COMPUTED_VALUE"""),FALSE)</f>
        <v>0</v>
      </c>
      <c r="H1062" s="11" t="str">
        <f>IFERROR(__xludf.DUMMYFUNCTION("""COMPUTED_VALUE"""),"WebFX, Ignite Visibility, SmartSites, Disruptive Advertising, First Page Sage, Power Digital, Clutch")</f>
        <v>WebFX, Ignite Visibility, SmartSites, Disruptive Advertising, First Page Sage, Power Digital, Clutch</v>
      </c>
      <c r="I1062" s="11">
        <f>IFERROR(__xludf.DUMMYFUNCTION("""COMPUTED_VALUE"""),1.0)</f>
        <v>1</v>
      </c>
      <c r="J1062" s="11">
        <f>IFERROR(__xludf.DUMMYFUNCTION("""COMPUTED_VALUE"""),0.0)</f>
        <v>0</v>
      </c>
      <c r="K1062" s="11">
        <f>IFERROR(__xludf.DUMMYFUNCTION("""COMPUTED_VALUE"""),0.0)</f>
        <v>0</v>
      </c>
      <c r="L1062" s="11"/>
    </row>
    <row r="1063">
      <c r="A1063" s="10" t="str">
        <f>IFERROR(__xludf.DUMMYFUNCTION("""COMPUTED_VALUE"""),"https://www.singlegrain.com/?p=69243")</f>
        <v>https://www.singlegrain.com/?p=69243</v>
      </c>
      <c r="B1063" s="11" t="str">
        <f>IFERROR(__xludf.DUMMYFUNCTION("""COMPUTED_VALUE"""),"Top 14 AEO Agencies in 2025")</f>
        <v>Top 14 AEO Agencies in 2025</v>
      </c>
      <c r="C1063" s="10" t="str">
        <f>IFERROR(__xludf.DUMMYFUNCTION("""COMPUTED_VALUE"""),"singlegrain.com")</f>
        <v>singlegrain.com</v>
      </c>
      <c r="D1063" s="11" t="str">
        <f>IFERROR(__xludf.DUMMYFUNCTION("""COMPUTED_VALUE"""),"OTHER")</f>
        <v>OTHER</v>
      </c>
      <c r="E1063" s="11" t="str">
        <f>IFERROR(__xludf.DUMMYFUNCTION("""COMPUTED_VALUE"""),"COMPETITOR")</f>
        <v>COMPETITOR</v>
      </c>
      <c r="F1063" s="11" t="str">
        <f>IFERROR(__xludf.DUMMYFUNCTION("""COMPUTED_VALUE"""),"Other")</f>
        <v>Other</v>
      </c>
      <c r="G1063" s="11" t="b">
        <f>IFERROR(__xludf.DUMMYFUNCTION("""COMPUTED_VALUE"""),FALSE)</f>
        <v>0</v>
      </c>
      <c r="H1063" s="11" t="str">
        <f>IFERROR(__xludf.DUMMYFUNCTION("""COMPUTED_VALUE"""),"Single Grain, NoGood, RevenueZen, iPullRank, WebFX, First Page Sage")</f>
        <v>Single Grain, NoGood, RevenueZen, iPullRank, WebFX, First Page Sage</v>
      </c>
      <c r="I1063" s="11">
        <f>IFERROR(__xludf.DUMMYFUNCTION("""COMPUTED_VALUE"""),1.0)</f>
        <v>1</v>
      </c>
      <c r="J1063" s="11">
        <f>IFERROR(__xludf.DUMMYFUNCTION("""COMPUTED_VALUE"""),0.0)</f>
        <v>0</v>
      </c>
      <c r="K1063" s="11">
        <f>IFERROR(__xludf.DUMMYFUNCTION("""COMPUTED_VALUE"""),0.0)</f>
        <v>0</v>
      </c>
      <c r="L1063" s="11"/>
    </row>
    <row r="1064">
      <c r="A1064" s="10" t="str">
        <f>IFERROR(__xludf.DUMMYFUNCTION("""COMPUTED_VALUE"""),"https://www.singlegrain.com/?p=69273")</f>
        <v>https://www.singlegrain.com/?p=69273</v>
      </c>
      <c r="B1064" s="11" t="str">
        <f>IFERROR(__xludf.DUMMYFUNCTION("""COMPUTED_VALUE"""),"Top 14 AEO Agencies in 2025")</f>
        <v>Top 14 AEO Agencies in 2025</v>
      </c>
      <c r="C1064" s="10" t="str">
        <f>IFERROR(__xludf.DUMMYFUNCTION("""COMPUTED_VALUE"""),"singlegrain.com")</f>
        <v>singlegrain.com</v>
      </c>
      <c r="D1064" s="11" t="str">
        <f>IFERROR(__xludf.DUMMYFUNCTION("""COMPUTED_VALUE"""),"OTHER")</f>
        <v>OTHER</v>
      </c>
      <c r="E1064" s="11" t="str">
        <f>IFERROR(__xludf.DUMMYFUNCTION("""COMPUTED_VALUE"""),"COMPETITOR")</f>
        <v>COMPETITOR</v>
      </c>
      <c r="F1064" s="11" t="str">
        <f>IFERROR(__xludf.DUMMYFUNCTION("""COMPUTED_VALUE"""),"Other")</f>
        <v>Other</v>
      </c>
      <c r="G1064" s="11" t="b">
        <f>IFERROR(__xludf.DUMMYFUNCTION("""COMPUTED_VALUE"""),FALSE)</f>
        <v>0</v>
      </c>
      <c r="H1064" s="11" t="str">
        <f>IFERROR(__xludf.DUMMYFUNCTION("""COMPUTED_VALUE"""),"Single Grain, NoGood, RevenueZen, iPullRank, WebFX, First Page Sage")</f>
        <v>Single Grain, NoGood, RevenueZen, iPullRank, WebFX, First Page Sage</v>
      </c>
      <c r="I1064" s="11">
        <f>IFERROR(__xludf.DUMMYFUNCTION("""COMPUTED_VALUE"""),1.0)</f>
        <v>1</v>
      </c>
      <c r="J1064" s="11">
        <f>IFERROR(__xludf.DUMMYFUNCTION("""COMPUTED_VALUE"""),0.0)</f>
        <v>0</v>
      </c>
      <c r="K1064" s="11">
        <f>IFERROR(__xludf.DUMMYFUNCTION("""COMPUTED_VALUE"""),0.0)</f>
        <v>0</v>
      </c>
      <c r="L1064" s="11"/>
    </row>
    <row r="1065">
      <c r="A1065" s="10" t="str">
        <f>IFERROR(__xludf.DUMMYFUNCTION("""COMPUTED_VALUE"""),"https://www.singlestoneconsulting.com/blog/best-data-modernization-services")</f>
        <v>https://www.singlestoneconsulting.com/blog/best-data-modernization-services</v>
      </c>
      <c r="B1065" s="11" t="str">
        <f>IFERROR(__xludf.DUMMYFUNCTION("""COMPUTED_VALUE"""),"SingleStone - The 6 Best Data Modernization Services of 2026")</f>
        <v>SingleStone - The 6 Best Data Modernization Services of 2026</v>
      </c>
      <c r="C1065" s="10" t="str">
        <f>IFERROR(__xludf.DUMMYFUNCTION("""COMPUTED_VALUE"""),"singlestoneconsulting.com")</f>
        <v>singlestoneconsulting.com</v>
      </c>
      <c r="D1065" s="11" t="str">
        <f>IFERROR(__xludf.DUMMYFUNCTION("""COMPUTED_VALUE"""),"LISTICLE")</f>
        <v>LISTICLE</v>
      </c>
      <c r="E1065" s="11" t="str">
        <f>IFERROR(__xludf.DUMMYFUNCTION("""COMPUTED_VALUE"""),"CORPORATE")</f>
        <v>CORPORATE</v>
      </c>
      <c r="F1065" s="11" t="str">
        <f>IFERROR(__xludf.DUMMYFUNCTION("""COMPUTED_VALUE"""),"Listicle")</f>
        <v>Listicle</v>
      </c>
      <c r="G1065" s="11" t="b">
        <f>IFERROR(__xludf.DUMMYFUNCTION("""COMPUTED_VALUE"""),FALSE)</f>
        <v>0</v>
      </c>
      <c r="H1065" s="11" t="str">
        <f>IFERROR(__xludf.DUMMYFUNCTION("""COMPUTED_VALUE"""),"Slalom, PwC")</f>
        <v>Slalom, PwC</v>
      </c>
      <c r="I1065" s="11">
        <f>IFERROR(__xludf.DUMMYFUNCTION("""COMPUTED_VALUE"""),1.0)</f>
        <v>1</v>
      </c>
      <c r="J1065" s="11">
        <f>IFERROR(__xludf.DUMMYFUNCTION("""COMPUTED_VALUE"""),0.0)</f>
        <v>0</v>
      </c>
      <c r="K1065" s="11">
        <f>IFERROR(__xludf.DUMMYFUNCTION("""COMPUTED_VALUE"""),1.0)</f>
        <v>1</v>
      </c>
      <c r="L1065" s="11"/>
    </row>
    <row r="1066">
      <c r="A1066" s="10" t="str">
        <f>IFERROR(__xludf.DUMMYFUNCTION("""COMPUTED_VALUE"""),"https://slashdot.org/software/incrementality-testing/")</f>
        <v>https://slashdot.org/software/incrementality-testing/</v>
      </c>
      <c r="B1066" s="11" t="str">
        <f>IFERROR(__xludf.DUMMYFUNCTION("""COMPUTED_VALUE"""),"Top Incrementality Testing Tools in 2026")</f>
        <v>Top Incrementality Testing Tools in 2026</v>
      </c>
      <c r="C1066" s="10" t="str">
        <f>IFERROR(__xludf.DUMMYFUNCTION("""COMPUTED_VALUE"""),"slashdot.org")</f>
        <v>slashdot.org</v>
      </c>
      <c r="D1066" s="11" t="str">
        <f>IFERROR(__xludf.DUMMYFUNCTION("""COMPUTED_VALUE"""),"CATEGORY_PAGE")</f>
        <v>CATEGORY_PAGE</v>
      </c>
      <c r="E1066" s="11" t="str">
        <f>IFERROR(__xludf.DUMMYFUNCTION("""COMPUTED_VALUE"""),"EDITORIAL")</f>
        <v>EDITORIAL</v>
      </c>
      <c r="F1066" s="11" t="str">
        <f>IFERROR(__xludf.DUMMYFUNCTION("""COMPUTED_VALUE"""),"Category Page")</f>
        <v>Category Page</v>
      </c>
      <c r="G1066" s="11" t="b">
        <f>IFERROR(__xludf.DUMMYFUNCTION("""COMPUTED_VALUE"""),FALSE)</f>
        <v>0</v>
      </c>
      <c r="H1066" s="11" t="str">
        <f>IFERROR(__xludf.DUMMYFUNCTION("""COMPUTED_VALUE"""),"Measured, LifeSight, Sellforte, Rockerbox, Recast, Haus, Analytic Partners, Momentum")</f>
        <v>Measured, LifeSight, Sellforte, Rockerbox, Recast, Haus, Analytic Partners, Momentum</v>
      </c>
      <c r="I1066" s="11">
        <f>IFERROR(__xludf.DUMMYFUNCTION("""COMPUTED_VALUE"""),1.0)</f>
        <v>1</v>
      </c>
      <c r="J1066" s="11">
        <f>IFERROR(__xludf.DUMMYFUNCTION("""COMPUTED_VALUE"""),0.0)</f>
        <v>0</v>
      </c>
      <c r="K1066" s="11">
        <f>IFERROR(__xludf.DUMMYFUNCTION("""COMPUTED_VALUE"""),0.0)</f>
        <v>0</v>
      </c>
      <c r="L1066" s="11"/>
    </row>
    <row r="1067">
      <c r="A1067" s="10" t="str">
        <f>IFERROR(__xludf.DUMMYFUNCTION("""COMPUTED_VALUE"""),"https://slashdot.org/software/incrementality-testing/in-usa/")</f>
        <v>https://slashdot.org/software/incrementality-testing/in-usa/</v>
      </c>
      <c r="B1067" s="11" t="str">
        <f>IFERROR(__xludf.DUMMYFUNCTION("""COMPUTED_VALUE"""),"Top Incrementality Testing Tools in the USA in 2026")</f>
        <v>Top Incrementality Testing Tools in the USA in 2026</v>
      </c>
      <c r="C1067" s="10" t="str">
        <f>IFERROR(__xludf.DUMMYFUNCTION("""COMPUTED_VALUE"""),"slashdot.org")</f>
        <v>slashdot.org</v>
      </c>
      <c r="D1067" s="11" t="str">
        <f>IFERROR(__xludf.DUMMYFUNCTION("""COMPUTED_VALUE"""),"CATEGORY_PAGE")</f>
        <v>CATEGORY_PAGE</v>
      </c>
      <c r="E1067" s="11" t="str">
        <f>IFERROR(__xludf.DUMMYFUNCTION("""COMPUTED_VALUE"""),"EDITORIAL")</f>
        <v>EDITORIAL</v>
      </c>
      <c r="F1067" s="11" t="str">
        <f>IFERROR(__xludf.DUMMYFUNCTION("""COMPUTED_VALUE"""),"Category Page")</f>
        <v>Category Page</v>
      </c>
      <c r="G1067" s="11" t="b">
        <f>IFERROR(__xludf.DUMMYFUNCTION("""COMPUTED_VALUE"""),FALSE)</f>
        <v>0</v>
      </c>
      <c r="H1067" s="11" t="str">
        <f>IFERROR(__xludf.DUMMYFUNCTION("""COMPUTED_VALUE"""),"Measured, LifeSight, Sellforte, Rockerbox, Recast, Haus, Analytic Partners")</f>
        <v>Measured, LifeSight, Sellforte, Rockerbox, Recast, Haus, Analytic Partners</v>
      </c>
      <c r="I1067" s="11">
        <f>IFERROR(__xludf.DUMMYFUNCTION("""COMPUTED_VALUE"""),1.0)</f>
        <v>1</v>
      </c>
      <c r="J1067" s="11">
        <f>IFERROR(__xludf.DUMMYFUNCTION("""COMPUTED_VALUE"""),0.0)</f>
        <v>0</v>
      </c>
      <c r="K1067" s="11">
        <f>IFERROR(__xludf.DUMMYFUNCTION("""COMPUTED_VALUE"""),0.0)</f>
        <v>0</v>
      </c>
      <c r="L1067" s="11"/>
    </row>
    <row r="1068">
      <c r="A1068" s="10" t="str">
        <f>IFERROR(__xludf.DUMMYFUNCTION("""COMPUTED_VALUE"""),"https://www.smartosc.com/10-best-ai-services-in-japan/")</f>
        <v>https://www.smartosc.com/10-best-ai-services-in-japan/</v>
      </c>
      <c r="B1068" s="11" t="str">
        <f>IFERROR(__xludf.DUMMYFUNCTION("""COMPUTED_VALUE"""),"10 Best AI Services Solutions for Japanese Organisations - SmartOSC")</f>
        <v>10 Best AI Services Solutions for Japanese Organisations - SmartOSC</v>
      </c>
      <c r="C1068" s="10" t="str">
        <f>IFERROR(__xludf.DUMMYFUNCTION("""COMPUTED_VALUE"""),"smartosc.com")</f>
        <v>smartosc.com</v>
      </c>
      <c r="D1068" s="11" t="str">
        <f>IFERROR(__xludf.DUMMYFUNCTION("""COMPUTED_VALUE"""),"ARTICLE")</f>
        <v>ARTICLE</v>
      </c>
      <c r="E1068" s="11" t="str">
        <f>IFERROR(__xludf.DUMMYFUNCTION("""COMPUTED_VALUE"""),"CORPORATE")</f>
        <v>CORPORATE</v>
      </c>
      <c r="F1068" s="11" t="str">
        <f>IFERROR(__xludf.DUMMYFUNCTION("""COMPUTED_VALUE"""),"Article")</f>
        <v>Article</v>
      </c>
      <c r="G1068" s="11" t="b">
        <f>IFERROR(__xludf.DUMMYFUNCTION("""COMPUTED_VALUE"""),FALSE)</f>
        <v>0</v>
      </c>
      <c r="H1068" s="11" t="str">
        <f>IFERROR(__xludf.DUMMYFUNCTION("""COMPUTED_VALUE"""),"McKinsey, Anomaly, Measured")</f>
        <v>McKinsey, Anomaly, Measured</v>
      </c>
      <c r="I1068" s="11">
        <f>IFERROR(__xludf.DUMMYFUNCTION("""COMPUTED_VALUE"""),1.0)</f>
        <v>1</v>
      </c>
      <c r="J1068" s="11">
        <f>IFERROR(__xludf.DUMMYFUNCTION("""COMPUTED_VALUE"""),0.0)</f>
        <v>0</v>
      </c>
      <c r="K1068" s="11">
        <f>IFERROR(__xludf.DUMMYFUNCTION("""COMPUTED_VALUE"""),1.0)</f>
        <v>1</v>
      </c>
      <c r="L1068" s="11"/>
    </row>
    <row r="1069">
      <c r="A1069" s="10" t="str">
        <f>IFERROR(__xludf.DUMMYFUNCTION("""COMPUTED_VALUE"""),"https://www.smartsites.com/ppc-marketing/display-advertising/")</f>
        <v>https://www.smartsites.com/ppc-marketing/display-advertising/</v>
      </c>
      <c r="B1069" s="11" t="str">
        <f>IFERROR(__xludf.DUMMYFUNCTION("""COMPUTED_VALUE"""),"Get Seen with #1 Best Display Advertising Services")</f>
        <v>Get Seen with #1 Best Display Advertising Services</v>
      </c>
      <c r="C1069" s="10" t="str">
        <f>IFERROR(__xludf.DUMMYFUNCTION("""COMPUTED_VALUE"""),"smartsites.com")</f>
        <v>smartsites.com</v>
      </c>
      <c r="D1069" s="11" t="str">
        <f>IFERROR(__xludf.DUMMYFUNCTION("""COMPUTED_VALUE"""),"PRODUCT_PAGE")</f>
        <v>PRODUCT_PAGE</v>
      </c>
      <c r="E1069" s="11" t="str">
        <f>IFERROR(__xludf.DUMMYFUNCTION("""COMPUTED_VALUE"""),"COMPETITOR")</f>
        <v>COMPETITOR</v>
      </c>
      <c r="F1069" s="11" t="str">
        <f>IFERROR(__xludf.DUMMYFUNCTION("""COMPUTED_VALUE"""),"Product Page")</f>
        <v>Product Page</v>
      </c>
      <c r="G1069" s="11" t="b">
        <f>IFERROR(__xludf.DUMMYFUNCTION("""COMPUTED_VALUE"""),FALSE)</f>
        <v>0</v>
      </c>
      <c r="H1069" s="11" t="str">
        <f>IFERROR(__xludf.DUMMYFUNCTION("""COMPUTED_VALUE"""),"SmartSites, Clutch, Huge")</f>
        <v>SmartSites, Clutch, Huge</v>
      </c>
      <c r="I1069" s="11">
        <f>IFERROR(__xludf.DUMMYFUNCTION("""COMPUTED_VALUE"""),1.0)</f>
        <v>1</v>
      </c>
      <c r="J1069" s="11">
        <f>IFERROR(__xludf.DUMMYFUNCTION("""COMPUTED_VALUE"""),0.0)</f>
        <v>0</v>
      </c>
      <c r="K1069" s="11">
        <f>IFERROR(__xludf.DUMMYFUNCTION("""COMPUTED_VALUE"""),1.0)</f>
        <v>1</v>
      </c>
      <c r="L1069" s="11"/>
    </row>
    <row r="1070">
      <c r="A1070" s="10" t="str">
        <f>IFERROR(__xludf.DUMMYFUNCTION("""COMPUTED_VALUE"""),"https://snov.io/blog/best-digital-marketing-platforms/")</f>
        <v>https://snov.io/blog/best-digital-marketing-platforms/</v>
      </c>
      <c r="B1070" s="11" t="str">
        <f>IFERROR(__xludf.DUMMYFUNCTION("""COMPUTED_VALUE"""),"13 best digital marketing platforms in 2026 (reviewed &amp;amp; ranked)")</f>
        <v>13 best digital marketing platforms in 2026 (reviewed &amp;amp; ranked)</v>
      </c>
      <c r="C1070" s="10" t="str">
        <f>IFERROR(__xludf.DUMMYFUNCTION("""COMPUTED_VALUE"""),"snov.io")</f>
        <v>snov.io</v>
      </c>
      <c r="D1070" s="11" t="str">
        <f>IFERROR(__xludf.DUMMYFUNCTION("""COMPUTED_VALUE"""),"LISTICLE")</f>
        <v>LISTICLE</v>
      </c>
      <c r="E1070" s="11" t="str">
        <f>IFERROR(__xludf.DUMMYFUNCTION("""COMPUTED_VALUE"""),"CORPORATE")</f>
        <v>CORPORATE</v>
      </c>
      <c r="F1070" s="11" t="str">
        <f>IFERROR(__xludf.DUMMYFUNCTION("""COMPUTED_VALUE"""),"Listicle")</f>
        <v>Listicle</v>
      </c>
      <c r="G1070" s="11" t="b">
        <f>IFERROR(__xludf.DUMMYFUNCTION("""COMPUTED_VALUE"""),FALSE)</f>
        <v>0</v>
      </c>
      <c r="H1070" s="11" t="str">
        <f>IFERROR(__xludf.DUMMYFUNCTION("""COMPUTED_VALUE"""),"Clay")</f>
        <v>Clay</v>
      </c>
      <c r="I1070" s="11">
        <f>IFERROR(__xludf.DUMMYFUNCTION("""COMPUTED_VALUE"""),1.0)</f>
        <v>1</v>
      </c>
      <c r="J1070" s="11">
        <f>IFERROR(__xludf.DUMMYFUNCTION("""COMPUTED_VALUE"""),0.0)</f>
        <v>0</v>
      </c>
      <c r="K1070" s="11">
        <f>IFERROR(__xludf.DUMMYFUNCTION("""COMPUTED_VALUE"""),1.0)</f>
        <v>1</v>
      </c>
      <c r="L1070" s="11"/>
    </row>
    <row r="1071">
      <c r="A1071" s="10" t="str">
        <f>IFERROR(__xludf.DUMMYFUNCTION("""COMPUTED_VALUE"""),"https://socialander.com/top-digital-marketing-companies-in-usa/")</f>
        <v>https://socialander.com/top-digital-marketing-companies-in-usa/</v>
      </c>
      <c r="B1071" s="11" t="str">
        <f>IFERROR(__xludf.DUMMYFUNCTION("""COMPUTED_VALUE"""),"Top 17 Digital Marketing Companies in USA")</f>
        <v>Top 17 Digital Marketing Companies in USA</v>
      </c>
      <c r="C1071" s="10" t="str">
        <f>IFERROR(__xludf.DUMMYFUNCTION("""COMPUTED_VALUE"""),"socialander.com")</f>
        <v>socialander.com</v>
      </c>
      <c r="D1071" s="11" t="str">
        <f>IFERROR(__xludf.DUMMYFUNCTION("""COMPUTED_VALUE"""),"LISTICLE")</f>
        <v>LISTICLE</v>
      </c>
      <c r="E1071" s="11" t="str">
        <f>IFERROR(__xludf.DUMMYFUNCTION("""COMPUTED_VALUE"""),"CORPORATE")</f>
        <v>CORPORATE</v>
      </c>
      <c r="F1071" s="11" t="str">
        <f>IFERROR(__xludf.DUMMYFUNCTION("""COMPUTED_VALUE"""),"Listicle")</f>
        <v>Listicle</v>
      </c>
      <c r="G1071" s="11" t="b">
        <f>IFERROR(__xludf.DUMMYFUNCTION("""COMPUTED_VALUE"""),FALSE)</f>
        <v>0</v>
      </c>
      <c r="H1071" s="11" t="str">
        <f>IFERROR(__xludf.DUMMYFUNCTION("""COMPUTED_VALUE"""),"Ignite Visibility, WebFX, Disruptive Advertising, KlientBoost, LYFE Marketing, Searchbloom, Thrive Internet Marketing Agency, SmartSites")</f>
        <v>Ignite Visibility, WebFX, Disruptive Advertising, KlientBoost, LYFE Marketing, Searchbloom, Thrive Internet Marketing Agency, SmartSites</v>
      </c>
      <c r="I1071" s="11">
        <f>IFERROR(__xludf.DUMMYFUNCTION("""COMPUTED_VALUE"""),1.0)</f>
        <v>1</v>
      </c>
      <c r="J1071" s="11">
        <f>IFERROR(__xludf.DUMMYFUNCTION("""COMPUTED_VALUE"""),0.0)</f>
        <v>0</v>
      </c>
      <c r="K1071" s="11">
        <f>IFERROR(__xludf.DUMMYFUNCTION("""COMPUTED_VALUE"""),1.0)</f>
        <v>1</v>
      </c>
      <c r="L1071" s="11"/>
    </row>
    <row r="1072">
      <c r="A1072" s="10" t="str">
        <f>IFERROR(__xludf.DUMMYFUNCTION("""COMPUTED_VALUE"""),"https://sociallyin.com/resources/top-creative-strategy-agencies-us/")</f>
        <v>https://sociallyin.com/resources/top-creative-strategy-agencies-us/</v>
      </c>
      <c r="B1072" s="11" t="str">
        <f>IFERROR(__xludf.DUMMYFUNCTION("""COMPUTED_VALUE"""),"Top 5 Creative Strategy Agencies in the US (2026 Rankings)")</f>
        <v>Top 5 Creative Strategy Agencies in the US (2026 Rankings)</v>
      </c>
      <c r="C1072" s="10" t="str">
        <f>IFERROR(__xludf.DUMMYFUNCTION("""COMPUTED_VALUE"""),"sociallyin.com")</f>
        <v>sociallyin.com</v>
      </c>
      <c r="D1072" s="11" t="str">
        <f>IFERROR(__xludf.DUMMYFUNCTION("""COMPUTED_VALUE"""),"LISTICLE")</f>
        <v>LISTICLE</v>
      </c>
      <c r="E1072" s="11" t="str">
        <f>IFERROR(__xludf.DUMMYFUNCTION("""COMPUTED_VALUE"""),"COMPETITOR")</f>
        <v>COMPETITOR</v>
      </c>
      <c r="F1072" s="11" t="str">
        <f>IFERROR(__xludf.DUMMYFUNCTION("""COMPUTED_VALUE"""),"Listicle")</f>
        <v>Listicle</v>
      </c>
      <c r="G1072" s="11" t="b">
        <f>IFERROR(__xludf.DUMMYFUNCTION("""COMPUTED_VALUE"""),FALSE)</f>
        <v>0</v>
      </c>
      <c r="H1072" s="11" t="str">
        <f>IFERROR(__xludf.DUMMYFUNCTION("""COMPUTED_VALUE"""),"Sociallyin, Wieden+Kennedy, Droga5, Accenture Song, R/GA, BBDO, Measured")</f>
        <v>Sociallyin, Wieden+Kennedy, Droga5, Accenture Song, R/GA, BBDO, Measured</v>
      </c>
      <c r="I1072" s="11">
        <f>IFERROR(__xludf.DUMMYFUNCTION("""COMPUTED_VALUE"""),1.0)</f>
        <v>1</v>
      </c>
      <c r="J1072" s="11">
        <f>IFERROR(__xludf.DUMMYFUNCTION("""COMPUTED_VALUE"""),0.0)</f>
        <v>0</v>
      </c>
      <c r="K1072" s="11">
        <f>IFERROR(__xludf.DUMMYFUNCTION("""COMPUTED_VALUE"""),0.0)</f>
        <v>0</v>
      </c>
      <c r="L1072" s="11"/>
    </row>
    <row r="1073">
      <c r="A1073" s="10" t="str">
        <f>IFERROR(__xludf.DUMMYFUNCTION("""COMPUTED_VALUE"""),"https://sociallyin.com/resources/top-social-media-agencies-in-us/")</f>
        <v>https://sociallyin.com/resources/top-social-media-agencies-in-us/</v>
      </c>
      <c r="B1073" s="11" t="str">
        <f>IFERROR(__xludf.DUMMYFUNCTION("""COMPUTED_VALUE"""),"Top 5 Social Media Marketing Agencies in the US (2026)")</f>
        <v>Top 5 Social Media Marketing Agencies in the US (2026)</v>
      </c>
      <c r="C1073" s="10" t="str">
        <f>IFERROR(__xludf.DUMMYFUNCTION("""COMPUTED_VALUE"""),"sociallyin.com")</f>
        <v>sociallyin.com</v>
      </c>
      <c r="D1073" s="11" t="str">
        <f>IFERROR(__xludf.DUMMYFUNCTION("""COMPUTED_VALUE"""),"LISTICLE")</f>
        <v>LISTICLE</v>
      </c>
      <c r="E1073" s="11" t="str">
        <f>IFERROR(__xludf.DUMMYFUNCTION("""COMPUTED_VALUE"""),"COMPETITOR")</f>
        <v>COMPETITOR</v>
      </c>
      <c r="F1073" s="11" t="str">
        <f>IFERROR(__xludf.DUMMYFUNCTION("""COMPUTED_VALUE"""),"Listicle")</f>
        <v>Listicle</v>
      </c>
      <c r="G1073" s="11" t="b">
        <f>IFERROR(__xludf.DUMMYFUNCTION("""COMPUTED_VALUE"""),FALSE)</f>
        <v>0</v>
      </c>
      <c r="H1073" s="11" t="str">
        <f>IFERROR(__xludf.DUMMYFUNCTION("""COMPUTED_VALUE"""),"Sociallyin, Clutch, Viral Nation, Measured, Momentum")</f>
        <v>Sociallyin, Clutch, Viral Nation, Measured, Momentum</v>
      </c>
      <c r="I1073" s="11">
        <f>IFERROR(__xludf.DUMMYFUNCTION("""COMPUTED_VALUE"""),1.0)</f>
        <v>1</v>
      </c>
      <c r="J1073" s="11">
        <f>IFERROR(__xludf.DUMMYFUNCTION("""COMPUTED_VALUE"""),0.0)</f>
        <v>0</v>
      </c>
      <c r="K1073" s="11">
        <f>IFERROR(__xludf.DUMMYFUNCTION("""COMPUTED_VALUE"""),0.0)</f>
        <v>0</v>
      </c>
      <c r="L1073" s="11"/>
    </row>
    <row r="1074">
      <c r="A1074" s="10" t="str">
        <f>IFERROR(__xludf.DUMMYFUNCTION("""COMPUTED_VALUE"""),"https://sociallypowerful.com/post/top-international-marketing-agencies")</f>
        <v>https://sociallypowerful.com/post/top-international-marketing-agencies</v>
      </c>
      <c r="B1074" s="11" t="str">
        <f>IFERROR(__xludf.DUMMYFUNCTION("""COMPUTED_VALUE"""),"Top 25 International Marketing Agencies")</f>
        <v>Top 25 International Marketing Agencies</v>
      </c>
      <c r="C1074" s="10" t="str">
        <f>IFERROR(__xludf.DUMMYFUNCTION("""COMPUTED_VALUE"""),"sociallypowerful.com")</f>
        <v>sociallypowerful.com</v>
      </c>
      <c r="D1074" s="11" t="str">
        <f>IFERROR(__xludf.DUMMYFUNCTION("""COMPUTED_VALUE"""),"LISTICLE")</f>
        <v>LISTICLE</v>
      </c>
      <c r="E1074" s="11" t="str">
        <f>IFERROR(__xludf.DUMMYFUNCTION("""COMPUTED_VALUE"""),"CORPORATE")</f>
        <v>CORPORATE</v>
      </c>
      <c r="F1074" s="11" t="str">
        <f>IFERROR(__xludf.DUMMYFUNCTION("""COMPUTED_VALUE"""),"Listicle")</f>
        <v>Listicle</v>
      </c>
      <c r="G1074" s="11" t="b">
        <f>IFERROR(__xludf.DUMMYFUNCTION("""COMPUTED_VALUE"""),FALSE)</f>
        <v>0</v>
      </c>
      <c r="H1074" s="11" t="str">
        <f>IFERROR(__xludf.DUMMYFUNCTION("""COMPUTED_VALUE"""),"NoGood, AKQA, inBeat, Web Tonic, R/GA, Ignite Visibility, WebFX")</f>
        <v>NoGood, AKQA, inBeat, Web Tonic, R/GA, Ignite Visibility, WebFX</v>
      </c>
      <c r="I1074" s="11">
        <f>IFERROR(__xludf.DUMMYFUNCTION("""COMPUTED_VALUE"""),1.0)</f>
        <v>1</v>
      </c>
      <c r="J1074" s="11">
        <f>IFERROR(__xludf.DUMMYFUNCTION("""COMPUTED_VALUE"""),0.0)</f>
        <v>0</v>
      </c>
      <c r="K1074" s="11">
        <f>IFERROR(__xludf.DUMMYFUNCTION("""COMPUTED_VALUE"""),0.0)</f>
        <v>0</v>
      </c>
      <c r="L1074" s="11"/>
    </row>
    <row r="1075">
      <c r="A1075" s="10" t="str">
        <f>IFERROR(__xludf.DUMMYFUNCTION("""COMPUTED_VALUE"""),"https://sociallypowerful.com/post/top-retail-marketing-agencies")</f>
        <v>https://sociallypowerful.com/post/top-retail-marketing-agencies</v>
      </c>
      <c r="B1075" s="11" t="str">
        <f>IFERROR(__xludf.DUMMYFUNCTION("""COMPUTED_VALUE"""),"Top 30 Retail Marketing Agencies (2025)")</f>
        <v>Top 30 Retail Marketing Agencies (2025)</v>
      </c>
      <c r="C1075" s="10" t="str">
        <f>IFERROR(__xludf.DUMMYFUNCTION("""COMPUTED_VALUE"""),"sociallypowerful.com")</f>
        <v>sociallypowerful.com</v>
      </c>
      <c r="D1075" s="11" t="str">
        <f>IFERROR(__xludf.DUMMYFUNCTION("""COMPUTED_VALUE"""),"LISTICLE")</f>
        <v>LISTICLE</v>
      </c>
      <c r="E1075" s="11" t="str">
        <f>IFERROR(__xludf.DUMMYFUNCTION("""COMPUTED_VALUE"""),"CORPORATE")</f>
        <v>CORPORATE</v>
      </c>
      <c r="F1075" s="11" t="str">
        <f>IFERROR(__xludf.DUMMYFUNCTION("""COMPUTED_VALUE"""),"Listicle")</f>
        <v>Listicle</v>
      </c>
      <c r="G1075" s="11" t="b">
        <f>IFERROR(__xludf.DUMMYFUNCTION("""COMPUTED_VALUE"""),FALSE)</f>
        <v>0</v>
      </c>
      <c r="H1075" s="11" t="str">
        <f>IFERROR(__xludf.DUMMYFUNCTION("""COMPUTED_VALUE"""),"SmartSites, Disruptive Advertising, NoGood, BBDO, Web Tonic")</f>
        <v>SmartSites, Disruptive Advertising, NoGood, BBDO, Web Tonic</v>
      </c>
      <c r="I1075" s="11">
        <f>IFERROR(__xludf.DUMMYFUNCTION("""COMPUTED_VALUE"""),1.0)</f>
        <v>1</v>
      </c>
      <c r="J1075" s="11">
        <f>IFERROR(__xludf.DUMMYFUNCTION("""COMPUTED_VALUE"""),0.0)</f>
        <v>0</v>
      </c>
      <c r="K1075" s="11">
        <f>IFERROR(__xludf.DUMMYFUNCTION("""COMPUTED_VALUE"""),1.0)</f>
        <v>1</v>
      </c>
      <c r="L1075" s="11"/>
    </row>
    <row r="1076">
      <c r="A1076" s="10" t="str">
        <f>IFERROR(__xludf.DUMMYFUNCTION("""COMPUTED_VALUE"""),"https://sociolabs.in/top-indian-generative-engine-optimization-companies/")</f>
        <v>https://sociolabs.in/top-indian-generative-engine-optimization-companies/</v>
      </c>
      <c r="B1076" s="11" t="str">
        <f>IFERROR(__xludf.DUMMYFUNCTION("""COMPUTED_VALUE"""),"Top Indian Companies in Generative Engine Optimization")</f>
        <v>Top Indian Companies in Generative Engine Optimization</v>
      </c>
      <c r="C1076" s="10" t="str">
        <f>IFERROR(__xludf.DUMMYFUNCTION("""COMPUTED_VALUE"""),"sociolabs.in")</f>
        <v>sociolabs.in</v>
      </c>
      <c r="D1076" s="11" t="str">
        <f>IFERROR(__xludf.DUMMYFUNCTION("""COMPUTED_VALUE"""),"LISTICLE")</f>
        <v>LISTICLE</v>
      </c>
      <c r="E1076" s="11" t="str">
        <f>IFERROR(__xludf.DUMMYFUNCTION("""COMPUTED_VALUE"""),"CORPORATE")</f>
        <v>CORPORATE</v>
      </c>
      <c r="F1076" s="11" t="str">
        <f>IFERROR(__xludf.DUMMYFUNCTION("""COMPUTED_VALUE"""),"Listicle")</f>
        <v>Listicle</v>
      </c>
      <c r="G1076" s="11" t="b">
        <f>IFERROR(__xludf.DUMMYFUNCTION("""COMPUTED_VALUE"""),FALSE)</f>
        <v>0</v>
      </c>
      <c r="H1076" s="11"/>
      <c r="I1076" s="11">
        <f>IFERROR(__xludf.DUMMYFUNCTION("""COMPUTED_VALUE"""),1.0)</f>
        <v>1</v>
      </c>
      <c r="J1076" s="11">
        <f>IFERROR(__xludf.DUMMYFUNCTION("""COMPUTED_VALUE"""),0.0)</f>
        <v>0</v>
      </c>
      <c r="K1076" s="11">
        <f>IFERROR(__xludf.DUMMYFUNCTION("""COMPUTED_VALUE"""),1.0)</f>
        <v>1</v>
      </c>
      <c r="L1076" s="11"/>
    </row>
    <row r="1077">
      <c r="A1077" s="10" t="str">
        <f>IFERROR(__xludf.DUMMYFUNCTION("""COMPUTED_VALUE"""),"https://www.sortlist.com/digital-marketing/doha-qa")</f>
        <v>https://www.sortlist.com/digital-marketing/doha-qa</v>
      </c>
      <c r="B1077" s="11" t="str">
        <f>IFERROR(__xludf.DUMMYFUNCTION("""COMPUTED_VALUE"""),"The 10 Best Digital Marketing Agencies in Doha - 2026 Reviews")</f>
        <v>The 10 Best Digital Marketing Agencies in Doha - 2026 Reviews</v>
      </c>
      <c r="C1077" s="10" t="str">
        <f>IFERROR(__xludf.DUMMYFUNCTION("""COMPUTED_VALUE"""),"sortlist.com")</f>
        <v>sortlist.com</v>
      </c>
      <c r="D1077" s="11" t="str">
        <f>IFERROR(__xludf.DUMMYFUNCTION("""COMPUTED_VALUE"""),"CATEGORY_PAGE")</f>
        <v>CATEGORY_PAGE</v>
      </c>
      <c r="E1077" s="11" t="str">
        <f>IFERROR(__xludf.DUMMYFUNCTION("""COMPUTED_VALUE"""),"CORPORATE")</f>
        <v>CORPORATE</v>
      </c>
      <c r="F1077" s="11" t="str">
        <f>IFERROR(__xludf.DUMMYFUNCTION("""COMPUTED_VALUE"""),"Category Page")</f>
        <v>Category Page</v>
      </c>
      <c r="G1077" s="11" t="b">
        <f>IFERROR(__xludf.DUMMYFUNCTION("""COMPUTED_VALUE"""),FALSE)</f>
        <v>0</v>
      </c>
      <c r="H1077" s="11" t="str">
        <f>IFERROR(__xludf.DUMMYFUNCTION("""COMPUTED_VALUE"""),"Clutch, Directive")</f>
        <v>Clutch, Directive</v>
      </c>
      <c r="I1077" s="11">
        <f>IFERROR(__xludf.DUMMYFUNCTION("""COMPUTED_VALUE"""),1.0)</f>
        <v>1</v>
      </c>
      <c r="J1077" s="11">
        <f>IFERROR(__xludf.DUMMYFUNCTION("""COMPUTED_VALUE"""),0.0)</f>
        <v>0</v>
      </c>
      <c r="K1077" s="11">
        <f>IFERROR(__xludf.DUMMYFUNCTION("""COMPUTED_VALUE"""),0.0)</f>
        <v>0</v>
      </c>
      <c r="L1077" s="11"/>
    </row>
    <row r="1078">
      <c r="A1078" s="10" t="str">
        <f>IFERROR(__xludf.DUMMYFUNCTION("""COMPUTED_VALUE"""),"https://www.sortlist.com/paid-media#:~:text=Instead%20of%20traditional%20agencies%20that%20bill%20per,marketing%20across%20all%20key%20channels%20and%20disciplines.")</f>
        <v>https://www.sortlist.com/paid-media#:~:text=Instead%20of%20traditional%20agencies%20that%20bill%20per,marketing%20across%20all%20key%20channels%20and%20disciplines.</v>
      </c>
      <c r="B1078" s="11" t="str">
        <f>IFERROR(__xludf.DUMMYFUNCTION("""COMPUTED_VALUE"""),"The 100 Best Paid Media Agencies - 2026 Reviews")</f>
        <v>The 100 Best Paid Media Agencies - 2026 Reviews</v>
      </c>
      <c r="C1078" s="10" t="str">
        <f>IFERROR(__xludf.DUMMYFUNCTION("""COMPUTED_VALUE"""),"sortlist.com")</f>
        <v>sortlist.com</v>
      </c>
      <c r="D1078" s="11" t="str">
        <f>IFERROR(__xludf.DUMMYFUNCTION("""COMPUTED_VALUE"""),"CATEGORY_PAGE")</f>
        <v>CATEGORY_PAGE</v>
      </c>
      <c r="E1078" s="11" t="str">
        <f>IFERROR(__xludf.DUMMYFUNCTION("""COMPUTED_VALUE"""),"CORPORATE")</f>
        <v>CORPORATE</v>
      </c>
      <c r="F1078" s="11" t="str">
        <f>IFERROR(__xludf.DUMMYFUNCTION("""COMPUTED_VALUE"""),"Category Page")</f>
        <v>Category Page</v>
      </c>
      <c r="G1078" s="11" t="b">
        <f>IFERROR(__xludf.DUMMYFUNCTION("""COMPUTED_VALUE"""),FALSE)</f>
        <v>0</v>
      </c>
      <c r="H1078" s="11" t="str">
        <f>IFERROR(__xludf.DUMMYFUNCTION("""COMPUTED_VALUE"""),"NinjaPromo, Triple Whale, Northbeam, HockeyStack")</f>
        <v>NinjaPromo, Triple Whale, Northbeam, HockeyStack</v>
      </c>
      <c r="I1078" s="11">
        <f>IFERROR(__xludf.DUMMYFUNCTION("""COMPUTED_VALUE"""),1.0)</f>
        <v>1</v>
      </c>
      <c r="J1078" s="11">
        <f>IFERROR(__xludf.DUMMYFUNCTION("""COMPUTED_VALUE"""),0.0)</f>
        <v>0</v>
      </c>
      <c r="K1078" s="11">
        <f>IFERROR(__xludf.DUMMYFUNCTION("""COMPUTED_VALUE"""),2.0)</f>
        <v>2</v>
      </c>
      <c r="L1078" s="11"/>
    </row>
    <row r="1079">
      <c r="A1079" s="10" t="str">
        <f>IFERROR(__xludf.DUMMYFUNCTION("""COMPUTED_VALUE"""),"https://www.sortlist.com/performance-marketing")</f>
        <v>https://www.sortlist.com/performance-marketing</v>
      </c>
      <c r="B1079" s="11" t="str">
        <f>IFERROR(__xludf.DUMMYFUNCTION("""COMPUTED_VALUE"""),"The 100 Best Performance Marketing Agencies - 2026 Reviews")</f>
        <v>The 100 Best Performance Marketing Agencies - 2026 Reviews</v>
      </c>
      <c r="C1079" s="10" t="str">
        <f>IFERROR(__xludf.DUMMYFUNCTION("""COMPUTED_VALUE"""),"sortlist.com")</f>
        <v>sortlist.com</v>
      </c>
      <c r="D1079" s="11" t="str">
        <f>IFERROR(__xludf.DUMMYFUNCTION("""COMPUTED_VALUE"""),"CATEGORY_PAGE")</f>
        <v>CATEGORY_PAGE</v>
      </c>
      <c r="E1079" s="11" t="str">
        <f>IFERROR(__xludf.DUMMYFUNCTION("""COMPUTED_VALUE"""),"CORPORATE")</f>
        <v>CORPORATE</v>
      </c>
      <c r="F1079" s="11" t="str">
        <f>IFERROR(__xludf.DUMMYFUNCTION("""COMPUTED_VALUE"""),"Category Page")</f>
        <v>Category Page</v>
      </c>
      <c r="G1079" s="11" t="b">
        <f>IFERROR(__xludf.DUMMYFUNCTION("""COMPUTED_VALUE"""),FALSE)</f>
        <v>0</v>
      </c>
      <c r="H1079" s="11" t="str">
        <f>IFERROR(__xludf.DUMMYFUNCTION("""COMPUTED_VALUE"""),"Triple Whale, Northbeam, HockeyStack, Measured")</f>
        <v>Triple Whale, Northbeam, HockeyStack, Measured</v>
      </c>
      <c r="I1079" s="11">
        <f>IFERROR(__xludf.DUMMYFUNCTION("""COMPUTED_VALUE"""),1.0)</f>
        <v>1</v>
      </c>
      <c r="J1079" s="11">
        <f>IFERROR(__xludf.DUMMYFUNCTION("""COMPUTED_VALUE"""),0.0)</f>
        <v>0</v>
      </c>
      <c r="K1079" s="11">
        <f>IFERROR(__xludf.DUMMYFUNCTION("""COMPUTED_VALUE"""),0.0)</f>
        <v>0</v>
      </c>
      <c r="L1079" s="11"/>
    </row>
    <row r="1080">
      <c r="A1080" s="10" t="str">
        <f>IFERROR(__xludf.DUMMYFUNCTION("""COMPUTED_VALUE"""),"https://www.sortlist.com/s/artificial-intelligence/united-states-us")</f>
        <v>https://www.sortlist.com/s/artificial-intelligence/united-states-us</v>
      </c>
      <c r="B1080" s="11" t="str">
        <f>IFERROR(__xludf.DUMMYFUNCTION("""COMPUTED_VALUE"""),"The 10 Best Artificial Intelligence Agencies in the United States - 2026 Reviews")</f>
        <v>The 10 Best Artificial Intelligence Agencies in the United States - 2026 Reviews</v>
      </c>
      <c r="C1080" s="10" t="str">
        <f>IFERROR(__xludf.DUMMYFUNCTION("""COMPUTED_VALUE"""),"sortlist.com")</f>
        <v>sortlist.com</v>
      </c>
      <c r="D1080" s="11" t="str">
        <f>IFERROR(__xludf.DUMMYFUNCTION("""COMPUTED_VALUE"""),"CATEGORY_PAGE")</f>
        <v>CATEGORY_PAGE</v>
      </c>
      <c r="E1080" s="11" t="str">
        <f>IFERROR(__xludf.DUMMYFUNCTION("""COMPUTED_VALUE"""),"CORPORATE")</f>
        <v>CORPORATE</v>
      </c>
      <c r="F1080" s="11" t="str">
        <f>IFERROR(__xludf.DUMMYFUNCTION("""COMPUTED_VALUE"""),"Category Page")</f>
        <v>Category Page</v>
      </c>
      <c r="G1080" s="11" t="b">
        <f>IFERROR(__xludf.DUMMYFUNCTION("""COMPUTED_VALUE"""),FALSE)</f>
        <v>0</v>
      </c>
      <c r="H1080" s="11" t="str">
        <f>IFERROR(__xludf.DUMMYFUNCTION("""COMPUTED_VALUE"""),"Clutch")</f>
        <v>Clutch</v>
      </c>
      <c r="I1080" s="11">
        <f>IFERROR(__xludf.DUMMYFUNCTION("""COMPUTED_VALUE"""),1.0)</f>
        <v>1</v>
      </c>
      <c r="J1080" s="11">
        <f>IFERROR(__xludf.DUMMYFUNCTION("""COMPUTED_VALUE"""),0.0)</f>
        <v>0</v>
      </c>
      <c r="K1080" s="11">
        <f>IFERROR(__xludf.DUMMYFUNCTION("""COMPUTED_VALUE"""),0.0)</f>
        <v>0</v>
      </c>
      <c r="L1080" s="11"/>
    </row>
    <row r="1081">
      <c r="A1081" s="10" t="str">
        <f>IFERROR(__xludf.DUMMYFUNCTION("""COMPUTED_VALUE"""),"https://www.sortlist.com/s/display-advertising/los-angeles-ca-us")</f>
        <v>https://www.sortlist.com/s/display-advertising/los-angeles-ca-us</v>
      </c>
      <c r="B1081" s="11" t="str">
        <f>IFERROR(__xludf.DUMMYFUNCTION("""COMPUTED_VALUE"""),"The 10 Best Display Advertising Agencies in Los Angeles, CA - 2026 Reviews")</f>
        <v>The 10 Best Display Advertising Agencies in Los Angeles, CA - 2026 Reviews</v>
      </c>
      <c r="C1081" s="10" t="str">
        <f>IFERROR(__xludf.DUMMYFUNCTION("""COMPUTED_VALUE"""),"sortlist.com")</f>
        <v>sortlist.com</v>
      </c>
      <c r="D1081" s="11" t="str">
        <f>IFERROR(__xludf.DUMMYFUNCTION("""COMPUTED_VALUE"""),"CATEGORY_PAGE")</f>
        <v>CATEGORY_PAGE</v>
      </c>
      <c r="E1081" s="11" t="str">
        <f>IFERROR(__xludf.DUMMYFUNCTION("""COMPUTED_VALUE"""),"CORPORATE")</f>
        <v>CORPORATE</v>
      </c>
      <c r="F1081" s="11" t="str">
        <f>IFERROR(__xludf.DUMMYFUNCTION("""COMPUTED_VALUE"""),"Category Page")</f>
        <v>Category Page</v>
      </c>
      <c r="G1081" s="11" t="b">
        <f>IFERROR(__xludf.DUMMYFUNCTION("""COMPUTED_VALUE"""),FALSE)</f>
        <v>0</v>
      </c>
      <c r="H1081" s="11" t="str">
        <f>IFERROR(__xludf.DUMMYFUNCTION("""COMPUTED_VALUE"""),"NinjaPromo, IBM, Clutch, Clay")</f>
        <v>NinjaPromo, IBM, Clutch, Clay</v>
      </c>
      <c r="I1081" s="11">
        <f>IFERROR(__xludf.DUMMYFUNCTION("""COMPUTED_VALUE"""),1.0)</f>
        <v>1</v>
      </c>
      <c r="J1081" s="11">
        <f>IFERROR(__xludf.DUMMYFUNCTION("""COMPUTED_VALUE"""),0.0)</f>
        <v>0</v>
      </c>
      <c r="K1081" s="11">
        <f>IFERROR(__xludf.DUMMYFUNCTION("""COMPUTED_VALUE"""),0.0)</f>
        <v>0</v>
      </c>
      <c r="L1081" s="11"/>
    </row>
    <row r="1082">
      <c r="A1082" s="10" t="str">
        <f>IFERROR(__xludf.DUMMYFUNCTION("""COMPUTED_VALUE"""),"https://www.sortlist.com/s/display-advertising/nashville-tn-us")</f>
        <v>https://www.sortlist.com/s/display-advertising/nashville-tn-us</v>
      </c>
      <c r="B1082" s="11" t="str">
        <f>IFERROR(__xludf.DUMMYFUNCTION("""COMPUTED_VALUE"""),"The 10 Best Display Advertising Agencies in Nashville - 2026 Reviews")</f>
        <v>The 10 Best Display Advertising Agencies in Nashville - 2026 Reviews</v>
      </c>
      <c r="C1082" s="10" t="str">
        <f>IFERROR(__xludf.DUMMYFUNCTION("""COMPUTED_VALUE"""),"sortlist.com")</f>
        <v>sortlist.com</v>
      </c>
      <c r="D1082" s="11" t="str">
        <f>IFERROR(__xludf.DUMMYFUNCTION("""COMPUTED_VALUE"""),"CATEGORY_PAGE")</f>
        <v>CATEGORY_PAGE</v>
      </c>
      <c r="E1082" s="11" t="str">
        <f>IFERROR(__xludf.DUMMYFUNCTION("""COMPUTED_VALUE"""),"CORPORATE")</f>
        <v>CORPORATE</v>
      </c>
      <c r="F1082" s="11" t="str">
        <f>IFERROR(__xludf.DUMMYFUNCTION("""COMPUTED_VALUE"""),"Category Page")</f>
        <v>Category Page</v>
      </c>
      <c r="G1082" s="11" t="b">
        <f>IFERROR(__xludf.DUMMYFUNCTION("""COMPUTED_VALUE"""),FALSE)</f>
        <v>0</v>
      </c>
      <c r="H1082" s="11" t="str">
        <f>IFERROR(__xludf.DUMMYFUNCTION("""COMPUTED_VALUE"""),"NinjaPromo, IBM, Clutch, Clay, Nielsen")</f>
        <v>NinjaPromo, IBM, Clutch, Clay, Nielsen</v>
      </c>
      <c r="I1082" s="11">
        <f>IFERROR(__xludf.DUMMYFUNCTION("""COMPUTED_VALUE"""),1.0)</f>
        <v>1</v>
      </c>
      <c r="J1082" s="11">
        <f>IFERROR(__xludf.DUMMYFUNCTION("""COMPUTED_VALUE"""),0.0)</f>
        <v>0</v>
      </c>
      <c r="K1082" s="11">
        <f>IFERROR(__xludf.DUMMYFUNCTION("""COMPUTED_VALUE"""),0.0)</f>
        <v>0</v>
      </c>
      <c r="L1082" s="11"/>
    </row>
    <row r="1083">
      <c r="A1083" s="10" t="str">
        <f>IFERROR(__xludf.DUMMYFUNCTION("""COMPUTED_VALUE"""),"https://www.sortlist.com/s/performance-marketing/atlanta-ga-us")</f>
        <v>https://www.sortlist.com/s/performance-marketing/atlanta-ga-us</v>
      </c>
      <c r="B1083" s="11" t="str">
        <f>IFERROR(__xludf.DUMMYFUNCTION("""COMPUTED_VALUE"""),"The 10 Best Performance Marketing Agencies in Atlanta, GA - 2026 Reviews")</f>
        <v>The 10 Best Performance Marketing Agencies in Atlanta, GA - 2026 Reviews</v>
      </c>
      <c r="C1083" s="10" t="str">
        <f>IFERROR(__xludf.DUMMYFUNCTION("""COMPUTED_VALUE"""),"sortlist.com")</f>
        <v>sortlist.com</v>
      </c>
      <c r="D1083" s="11" t="str">
        <f>IFERROR(__xludf.DUMMYFUNCTION("""COMPUTED_VALUE"""),"CATEGORY_PAGE")</f>
        <v>CATEGORY_PAGE</v>
      </c>
      <c r="E1083" s="11" t="str">
        <f>IFERROR(__xludf.DUMMYFUNCTION("""COMPUTED_VALUE"""),"CORPORATE")</f>
        <v>CORPORATE</v>
      </c>
      <c r="F1083" s="11" t="str">
        <f>IFERROR(__xludf.DUMMYFUNCTION("""COMPUTED_VALUE"""),"Category Page")</f>
        <v>Category Page</v>
      </c>
      <c r="G1083" s="11" t="b">
        <f>IFERROR(__xludf.DUMMYFUNCTION("""COMPUTED_VALUE"""),FALSE)</f>
        <v>0</v>
      </c>
      <c r="H1083" s="11" t="str">
        <f>IFERROR(__xludf.DUMMYFUNCTION("""COMPUTED_VALUE"""),"IBM, Clutch, Clay, Anomaly")</f>
        <v>IBM, Clutch, Clay, Anomaly</v>
      </c>
      <c r="I1083" s="11">
        <f>IFERROR(__xludf.DUMMYFUNCTION("""COMPUTED_VALUE"""),1.0)</f>
        <v>1</v>
      </c>
      <c r="J1083" s="11">
        <f>IFERROR(__xludf.DUMMYFUNCTION("""COMPUTED_VALUE"""),0.0)</f>
        <v>0</v>
      </c>
      <c r="K1083" s="11">
        <f>IFERROR(__xludf.DUMMYFUNCTION("""COMPUTED_VALUE"""),0.0)</f>
        <v>0</v>
      </c>
      <c r="L1083" s="11"/>
    </row>
    <row r="1084">
      <c r="A1084" s="10" t="str">
        <f>IFERROR(__xludf.DUMMYFUNCTION("""COMPUTED_VALUE"""),"https://sourceforge.net/software/incrementality-testing/usa/")</f>
        <v>https://sourceforge.net/software/incrementality-testing/usa/</v>
      </c>
      <c r="B1084" s="11" t="str">
        <f>IFERROR(__xludf.DUMMYFUNCTION("""COMPUTED_VALUE"""),"Best Incrementality Testing Tools in the USA of 2026 - Reviews &amp;amp; Comparison")</f>
        <v>Best Incrementality Testing Tools in the USA of 2026 - Reviews &amp;amp; Comparison</v>
      </c>
      <c r="C1084" s="10" t="str">
        <f>IFERROR(__xludf.DUMMYFUNCTION("""COMPUTED_VALUE"""),"sourceforge.net")</f>
        <v>sourceforge.net</v>
      </c>
      <c r="D1084" s="11" t="str">
        <f>IFERROR(__xludf.DUMMYFUNCTION("""COMPUTED_VALUE"""),"LISTICLE")</f>
        <v>LISTICLE</v>
      </c>
      <c r="E1084" s="11" t="str">
        <f>IFERROR(__xludf.DUMMYFUNCTION("""COMPUTED_VALUE"""),"OTHER")</f>
        <v>OTHER</v>
      </c>
      <c r="F1084" s="11" t="str">
        <f>IFERROR(__xludf.DUMMYFUNCTION("""COMPUTED_VALUE"""),"Listicle")</f>
        <v>Listicle</v>
      </c>
      <c r="G1084" s="11" t="b">
        <f>IFERROR(__xludf.DUMMYFUNCTION("""COMPUTED_VALUE"""),FALSE)</f>
        <v>0</v>
      </c>
      <c r="H1084" s="11" t="str">
        <f>IFERROR(__xludf.DUMMYFUNCTION("""COMPUTED_VALUE"""),"Measured, LifeSight, Sellforte, Rockerbox, Recast, Haus, Analytic Partners")</f>
        <v>Measured, LifeSight, Sellforte, Rockerbox, Recast, Haus, Analytic Partners</v>
      </c>
      <c r="I1084" s="11">
        <f>IFERROR(__xludf.DUMMYFUNCTION("""COMPUTED_VALUE"""),1.0)</f>
        <v>1</v>
      </c>
      <c r="J1084" s="11">
        <f>IFERROR(__xludf.DUMMYFUNCTION("""COMPUTED_VALUE"""),0.0)</f>
        <v>0</v>
      </c>
      <c r="K1084" s="11">
        <f>IFERROR(__xludf.DUMMYFUNCTION("""COMPUTED_VALUE"""),0.0)</f>
        <v>0</v>
      </c>
      <c r="L1084" s="11"/>
    </row>
    <row r="1085">
      <c r="A1085" s="10" t="str">
        <f>IFERROR(__xludf.DUMMYFUNCTION("""COMPUTED_VALUE"""),"https://www.sparkouttech.com/ui-ux-design-agencies-usa/")</f>
        <v>https://www.sparkouttech.com/ui-ux-design-agencies-usa/</v>
      </c>
      <c r="B1085" s="11" t="str">
        <f>IFERROR(__xludf.DUMMYFUNCTION("""COMPUTED_VALUE"""),"Discover Top 10 UI/UX Design Agencies in USA For Businesses")</f>
        <v>Discover Top 10 UI/UX Design Agencies in USA For Businesses</v>
      </c>
      <c r="C1085" s="10" t="str">
        <f>IFERROR(__xludf.DUMMYFUNCTION("""COMPUTED_VALUE"""),"sparkouttech.com")</f>
        <v>sparkouttech.com</v>
      </c>
      <c r="D1085" s="11" t="str">
        <f>IFERROR(__xludf.DUMMYFUNCTION("""COMPUTED_VALUE"""),"LISTICLE")</f>
        <v>LISTICLE</v>
      </c>
      <c r="E1085" s="11" t="str">
        <f>IFERROR(__xludf.DUMMYFUNCTION("""COMPUTED_VALUE"""),"CORPORATE")</f>
        <v>CORPORATE</v>
      </c>
      <c r="F1085" s="11" t="str">
        <f>IFERROR(__xludf.DUMMYFUNCTION("""COMPUTED_VALUE"""),"Listicle")</f>
        <v>Listicle</v>
      </c>
      <c r="G1085" s="11" t="b">
        <f>IFERROR(__xludf.DUMMYFUNCTION("""COMPUTED_VALUE"""),FALSE)</f>
        <v>0</v>
      </c>
      <c r="H1085" s="11" t="str">
        <f>IFERROR(__xludf.DUMMYFUNCTION("""COMPUTED_VALUE"""),"Clay, Momentum, IBM, Haus")</f>
        <v>Clay, Momentum, IBM, Haus</v>
      </c>
      <c r="I1085" s="11">
        <f>IFERROR(__xludf.DUMMYFUNCTION("""COMPUTED_VALUE"""),1.0)</f>
        <v>1</v>
      </c>
      <c r="J1085" s="11">
        <f>IFERROR(__xludf.DUMMYFUNCTION("""COMPUTED_VALUE"""),0.0)</f>
        <v>0</v>
      </c>
      <c r="K1085" s="11">
        <f>IFERROR(__xludf.DUMMYFUNCTION("""COMPUTED_VALUE"""),0.0)</f>
        <v>0</v>
      </c>
      <c r="L1085" s="11"/>
    </row>
    <row r="1086">
      <c r="A1086" s="10" t="str">
        <f>IFERROR(__xludf.DUMMYFUNCTION("""COMPUTED_VALUE"""),"https://www.spicymargarita.co/blog/top-ai-seo-agencies-for-b2b")</f>
        <v>https://www.spicymargarita.co/blog/top-ai-seo-agencies-for-b2b</v>
      </c>
      <c r="B1086" s="11" t="str">
        <f>IFERROR(__xludf.DUMMYFUNCTION("""COMPUTED_VALUE"""),"8 Top AI SEO Agencies for B2B | The Best AI SEO Agencies in 2026")</f>
        <v>8 Top AI SEO Agencies for B2B | The Best AI SEO Agencies in 2026</v>
      </c>
      <c r="C1086" s="10" t="str">
        <f>IFERROR(__xludf.DUMMYFUNCTION("""COMPUTED_VALUE"""),"spicymargarita.co")</f>
        <v>spicymargarita.co</v>
      </c>
      <c r="D1086" s="11" t="str">
        <f>IFERROR(__xludf.DUMMYFUNCTION("""COMPUTED_VALUE"""),"LISTICLE")</f>
        <v>LISTICLE</v>
      </c>
      <c r="E1086" s="11" t="str">
        <f>IFERROR(__xludf.DUMMYFUNCTION("""COMPUTED_VALUE"""),"CORPORATE")</f>
        <v>CORPORATE</v>
      </c>
      <c r="F1086" s="11" t="str">
        <f>IFERROR(__xludf.DUMMYFUNCTION("""COMPUTED_VALUE"""),"Listicle")</f>
        <v>Listicle</v>
      </c>
      <c r="G1086" s="11" t="b">
        <f>IFERROR(__xludf.DUMMYFUNCTION("""COMPUTED_VALUE"""),FALSE)</f>
        <v>0</v>
      </c>
      <c r="H1086" s="11" t="str">
        <f>IFERROR(__xludf.DUMMYFUNCTION("""COMPUTED_VALUE"""),"Go Fish Digital, Intero Digital")</f>
        <v>Go Fish Digital, Intero Digital</v>
      </c>
      <c r="I1086" s="11">
        <f>IFERROR(__xludf.DUMMYFUNCTION("""COMPUTED_VALUE"""),1.0)</f>
        <v>1</v>
      </c>
      <c r="J1086" s="11">
        <f>IFERROR(__xludf.DUMMYFUNCTION("""COMPUTED_VALUE"""),0.0)</f>
        <v>0</v>
      </c>
      <c r="K1086" s="11">
        <f>IFERROR(__xludf.DUMMYFUNCTION("""COMPUTED_VALUE"""),2.0)</f>
        <v>2</v>
      </c>
      <c r="L1086" s="11"/>
    </row>
    <row r="1087">
      <c r="A1087" s="10" t="str">
        <f>IFERROR(__xludf.DUMMYFUNCTION("""COMPUTED_VALUE"""),"https://www.stackmatix.com/blog/best-facebook-ads-agencies")</f>
        <v>https://www.stackmatix.com/blog/best-facebook-ads-agencies</v>
      </c>
      <c r="B1087" s="11" t="str">
        <f>IFERROR(__xludf.DUMMYFUNCTION("""COMPUTED_VALUE"""),"15 Best Facebook Ads Agencies in 2026 (Vetted &amp;amp; Compared)")</f>
        <v>15 Best Facebook Ads Agencies in 2026 (Vetted &amp;amp; Compared)</v>
      </c>
      <c r="C1087" s="10" t="str">
        <f>IFERROR(__xludf.DUMMYFUNCTION("""COMPUTED_VALUE"""),"stackmatix.com")</f>
        <v>stackmatix.com</v>
      </c>
      <c r="D1087" s="11" t="str">
        <f>IFERROR(__xludf.DUMMYFUNCTION("""COMPUTED_VALUE"""),"LISTICLE")</f>
        <v>LISTICLE</v>
      </c>
      <c r="E1087" s="11" t="str">
        <f>IFERROR(__xludf.DUMMYFUNCTION("""COMPUTED_VALUE"""),"UGC")</f>
        <v>UGC</v>
      </c>
      <c r="F1087" s="11" t="str">
        <f>IFERROR(__xludf.DUMMYFUNCTION("""COMPUTED_VALUE"""),"Listicle")</f>
        <v>Listicle</v>
      </c>
      <c r="G1087" s="11" t="b">
        <f>IFERROR(__xludf.DUMMYFUNCTION("""COMPUTED_VALUE"""),FALSE)</f>
        <v>0</v>
      </c>
      <c r="H1087" s="11" t="str">
        <f>IFERROR(__xludf.DUMMYFUNCTION("""COMPUTED_VALUE"""),"Disruptive Advertising, Clutch, KlientBoost, SmartSites, WebFX, LYFE Marketing, Thrive Internet Marketing Agency, The Social Shepherd, Brighter Click, Power Digital, Single Grain")</f>
        <v>Disruptive Advertising, Clutch, KlientBoost, SmartSites, WebFX, LYFE Marketing, Thrive Internet Marketing Agency, The Social Shepherd, Brighter Click, Power Digital, Single Grain</v>
      </c>
      <c r="I1087" s="11">
        <f>IFERROR(__xludf.DUMMYFUNCTION("""COMPUTED_VALUE"""),1.0)</f>
        <v>1</v>
      </c>
      <c r="J1087" s="11">
        <f>IFERROR(__xludf.DUMMYFUNCTION("""COMPUTED_VALUE"""),0.0)</f>
        <v>0</v>
      </c>
      <c r="K1087" s="11">
        <f>IFERROR(__xludf.DUMMYFUNCTION("""COMPUTED_VALUE"""),1.0)</f>
        <v>1</v>
      </c>
      <c r="L1087" s="11"/>
    </row>
    <row r="1088">
      <c r="A1088" s="10" t="str">
        <f>IFERROR(__xludf.DUMMYFUNCTION("""COMPUTED_VALUE"""),"https://stridec.com/blog/best-ai-seo-agencies/")</f>
        <v>https://stridec.com/blog/best-ai-seo-agencies/</v>
      </c>
      <c r="B1088" s="11" t="str">
        <f>IFERROR(__xludf.DUMMYFUNCTION("""COMPUTED_VALUE"""),"7 Best AI SEO Agencies in 2026 (Ranked by Results)")</f>
        <v>7 Best AI SEO Agencies in 2026 (Ranked by Results)</v>
      </c>
      <c r="C1088" s="10" t="str">
        <f>IFERROR(__xludf.DUMMYFUNCTION("""COMPUTED_VALUE"""),"stridec.com")</f>
        <v>stridec.com</v>
      </c>
      <c r="D1088" s="11" t="str">
        <f>IFERROR(__xludf.DUMMYFUNCTION("""COMPUTED_VALUE"""),"LISTICLE")</f>
        <v>LISTICLE</v>
      </c>
      <c r="E1088" s="11" t="str">
        <f>IFERROR(__xludf.DUMMYFUNCTION("""COMPUTED_VALUE"""),"CORPORATE")</f>
        <v>CORPORATE</v>
      </c>
      <c r="F1088" s="11" t="str">
        <f>IFERROR(__xludf.DUMMYFUNCTION("""COMPUTED_VALUE"""),"Listicle")</f>
        <v>Listicle</v>
      </c>
      <c r="G1088" s="11" t="b">
        <f>IFERROR(__xludf.DUMMYFUNCTION("""COMPUTED_VALUE"""),FALSE)</f>
        <v>0</v>
      </c>
      <c r="H1088" s="11" t="str">
        <f>IFERROR(__xludf.DUMMYFUNCTION("""COMPUTED_VALUE"""),"First Page Sage, Siege Media, WebFX")</f>
        <v>First Page Sage, Siege Media, WebFX</v>
      </c>
      <c r="I1088" s="11">
        <f>IFERROR(__xludf.DUMMYFUNCTION("""COMPUTED_VALUE"""),1.0)</f>
        <v>1</v>
      </c>
      <c r="J1088" s="11">
        <f>IFERROR(__xludf.DUMMYFUNCTION("""COMPUTED_VALUE"""),0.0)</f>
        <v>0</v>
      </c>
      <c r="K1088" s="11">
        <f>IFERROR(__xludf.DUMMYFUNCTION("""COMPUTED_VALUE"""),5.0)</f>
        <v>5</v>
      </c>
      <c r="L1088" s="11"/>
    </row>
    <row r="1089">
      <c r="A1089" s="10" t="str">
        <f>IFERROR(__xludf.DUMMYFUNCTION("""COMPUTED_VALUE"""),"https://stridec.com/blog/best-geo-tools-ai-search/")</f>
        <v>https://stridec.com/blog/best-geo-tools-ai-search/</v>
      </c>
      <c r="B1089" s="11" t="str">
        <f>IFERROR(__xludf.DUMMYFUNCTION("""COMPUTED_VALUE"""),"10 Best GEO Tools for AI Search Optimization (2026 Guide)")</f>
        <v>10 Best GEO Tools for AI Search Optimization (2026 Guide)</v>
      </c>
      <c r="C1089" s="10" t="str">
        <f>IFERROR(__xludf.DUMMYFUNCTION("""COMPUTED_VALUE"""),"stridec.com")</f>
        <v>stridec.com</v>
      </c>
      <c r="D1089" s="11" t="str">
        <f>IFERROR(__xludf.DUMMYFUNCTION("""COMPUTED_VALUE"""),"LISTICLE")</f>
        <v>LISTICLE</v>
      </c>
      <c r="E1089" s="11" t="str">
        <f>IFERROR(__xludf.DUMMYFUNCTION("""COMPUTED_VALUE"""),"CORPORATE")</f>
        <v>CORPORATE</v>
      </c>
      <c r="F1089" s="11" t="str">
        <f>IFERROR(__xludf.DUMMYFUNCTION("""COMPUTED_VALUE"""),"Listicle")</f>
        <v>Listicle</v>
      </c>
      <c r="G1089" s="11" t="b">
        <f>IFERROR(__xludf.DUMMYFUNCTION("""COMPUTED_VALUE"""),FALSE)</f>
        <v>0</v>
      </c>
      <c r="H1089" s="11"/>
      <c r="I1089" s="11">
        <f>IFERROR(__xludf.DUMMYFUNCTION("""COMPUTED_VALUE"""),1.0)</f>
        <v>1</v>
      </c>
      <c r="J1089" s="11">
        <f>IFERROR(__xludf.DUMMYFUNCTION("""COMPUTED_VALUE"""),0.0)</f>
        <v>0</v>
      </c>
      <c r="K1089" s="11">
        <f>IFERROR(__xludf.DUMMYFUNCTION("""COMPUTED_VALUE"""),1.0)</f>
        <v>1</v>
      </c>
      <c r="L1089" s="11"/>
    </row>
    <row r="1090">
      <c r="A1090" s="10" t="str">
        <f>IFERROR(__xludf.DUMMYFUNCTION("""COMPUTED_VALUE"""),"https://www.stryde.com/best-ecommerce-paid-search-agencies-in-the-us/")</f>
        <v>https://www.stryde.com/best-ecommerce-paid-search-agencies-in-the-us/</v>
      </c>
      <c r="B1090" s="11" t="str">
        <f>IFERROR(__xludf.DUMMYFUNCTION("""COMPUTED_VALUE"""),"Best Ecommerce Paid Search Agencies in the US in 2026 - STRYDE")</f>
        <v>Best Ecommerce Paid Search Agencies in the US in 2026 - STRYDE</v>
      </c>
      <c r="C1090" s="10" t="str">
        <f>IFERROR(__xludf.DUMMYFUNCTION("""COMPUTED_VALUE"""),"stryde.com")</f>
        <v>stryde.com</v>
      </c>
      <c r="D1090" s="11" t="str">
        <f>IFERROR(__xludf.DUMMYFUNCTION("""COMPUTED_VALUE"""),"LISTICLE")</f>
        <v>LISTICLE</v>
      </c>
      <c r="E1090" s="11" t="str">
        <f>IFERROR(__xludf.DUMMYFUNCTION("""COMPUTED_VALUE"""),"CORPORATE")</f>
        <v>CORPORATE</v>
      </c>
      <c r="F1090" s="11" t="str">
        <f>IFERROR(__xludf.DUMMYFUNCTION("""COMPUTED_VALUE"""),"Listicle")</f>
        <v>Listicle</v>
      </c>
      <c r="G1090" s="11" t="b">
        <f>IFERROR(__xludf.DUMMYFUNCTION("""COMPUTED_VALUE"""),FALSE)</f>
        <v>0</v>
      </c>
      <c r="H1090" s="11" t="str">
        <f>IFERROR(__xludf.DUMMYFUNCTION("""COMPUTED_VALUE"""),"NoGood, HawkSEM, Disruptive Advertising, Thrive Internet Marketing Agency, Seer Interactive, Tinuiti, Huge")</f>
        <v>NoGood, HawkSEM, Disruptive Advertising, Thrive Internet Marketing Agency, Seer Interactive, Tinuiti, Huge</v>
      </c>
      <c r="I1090" s="11">
        <f>IFERROR(__xludf.DUMMYFUNCTION("""COMPUTED_VALUE"""),1.0)</f>
        <v>1</v>
      </c>
      <c r="J1090" s="11">
        <f>IFERROR(__xludf.DUMMYFUNCTION("""COMPUTED_VALUE"""),0.0)</f>
        <v>0</v>
      </c>
      <c r="K1090" s="11">
        <f>IFERROR(__xludf.DUMMYFUNCTION("""COMPUTED_VALUE"""),1.0)</f>
        <v>1</v>
      </c>
      <c r="L1090" s="11"/>
    </row>
    <row r="1091">
      <c r="A1091" s="10" t="str">
        <f>IFERROR(__xludf.DUMMYFUNCTION("""COMPUTED_VALUE"""),"https://superbcompanies.com/categories/media-planning-buying-agencies-in-the-usa/")</f>
        <v>https://superbcompanies.com/categories/media-planning-buying-agencies-in-the-usa/</v>
      </c>
      <c r="B1091" s="11" t="str">
        <f>IFERROR(__xludf.DUMMYFUNCTION("""COMPUTED_VALUE"""),"Top 50 Media Planning &amp;amp; Buying Agencies in the United States - Jul 2026 | Ranking | SuperbCompanies")</f>
        <v>Top 50 Media Planning &amp;amp; Buying Agencies in the United States - Jul 2026 | Ranking | SuperbCompanies</v>
      </c>
      <c r="C1091" s="10" t="str">
        <f>IFERROR(__xludf.DUMMYFUNCTION("""COMPUTED_VALUE"""),"superbcompanies.com")</f>
        <v>superbcompanies.com</v>
      </c>
      <c r="D1091" s="11" t="str">
        <f>IFERROR(__xludf.DUMMYFUNCTION("""COMPUTED_VALUE"""),"LISTICLE")</f>
        <v>LISTICLE</v>
      </c>
      <c r="E1091" s="11" t="str">
        <f>IFERROR(__xludf.DUMMYFUNCTION("""COMPUTED_VALUE"""),"REFERENCE")</f>
        <v>REFERENCE</v>
      </c>
      <c r="F1091" s="11" t="str">
        <f>IFERROR(__xludf.DUMMYFUNCTION("""COMPUTED_VALUE"""),"Listicle")</f>
        <v>Listicle</v>
      </c>
      <c r="G1091" s="11" t="b">
        <f>IFERROR(__xludf.DUMMYFUNCTION("""COMPUTED_VALUE"""),FALSE)</f>
        <v>0</v>
      </c>
      <c r="H1091" s="11"/>
      <c r="I1091" s="11">
        <f>IFERROR(__xludf.DUMMYFUNCTION("""COMPUTED_VALUE"""),1.0)</f>
        <v>1</v>
      </c>
      <c r="J1091" s="11">
        <f>IFERROR(__xludf.DUMMYFUNCTION("""COMPUTED_VALUE"""),0.0)</f>
        <v>0</v>
      </c>
      <c r="K1091" s="11">
        <f>IFERROR(__xludf.DUMMYFUNCTION("""COMPUTED_VALUE"""),0.0)</f>
        <v>0</v>
      </c>
      <c r="L1091" s="11"/>
    </row>
    <row r="1092">
      <c r="A1092" s="10" t="str">
        <f>IFERROR(__xludf.DUMMYFUNCTION("""COMPUTED_VALUE"""),"https://www.superside.com/blog/financial-services-creative-agencies")</f>
        <v>https://www.superside.com/blog/financial-services-creative-agencies</v>
      </c>
      <c r="B1092" s="11" t="str">
        <f>IFERROR(__xludf.DUMMYFUNCTION("""COMPUTED_VALUE"""),"The 7 Best Financial Services Creative Agencies in 2026")</f>
        <v>The 7 Best Financial Services Creative Agencies in 2026</v>
      </c>
      <c r="C1092" s="10" t="str">
        <f>IFERROR(__xludf.DUMMYFUNCTION("""COMPUTED_VALUE"""),"superside.com")</f>
        <v>superside.com</v>
      </c>
      <c r="D1092" s="11" t="str">
        <f>IFERROR(__xludf.DUMMYFUNCTION("""COMPUTED_VALUE"""),"LISTICLE")</f>
        <v>LISTICLE</v>
      </c>
      <c r="E1092" s="11" t="str">
        <f>IFERROR(__xludf.DUMMYFUNCTION("""COMPUTED_VALUE"""),"COMPETITOR")</f>
        <v>COMPETITOR</v>
      </c>
      <c r="F1092" s="11" t="str">
        <f>IFERROR(__xludf.DUMMYFUNCTION("""COMPUTED_VALUE"""),"Listicle")</f>
        <v>Listicle</v>
      </c>
      <c r="G1092" s="11" t="b">
        <f>IFERROR(__xludf.DUMMYFUNCTION("""COMPUTED_VALUE"""),FALSE)</f>
        <v>0</v>
      </c>
      <c r="H1092" s="11" t="str">
        <f>IFERROR(__xludf.DUMMYFUNCTION("""COMPUTED_VALUE"""),"Superside, Ogilvy, Droga5, Accenture Song, BBDO, VML, WPP, R/GA, Dentsu, Merkle")</f>
        <v>Superside, Ogilvy, Droga5, Accenture Song, BBDO, VML, WPP, R/GA, Dentsu, Merkle</v>
      </c>
      <c r="I1092" s="11">
        <f>IFERROR(__xludf.DUMMYFUNCTION("""COMPUTED_VALUE"""),1.0)</f>
        <v>1</v>
      </c>
      <c r="J1092" s="11">
        <f>IFERROR(__xludf.DUMMYFUNCTION("""COMPUTED_VALUE"""),0.0)</f>
        <v>0</v>
      </c>
      <c r="K1092" s="11">
        <f>IFERROR(__xludf.DUMMYFUNCTION("""COMPUTED_VALUE"""),2.0)</f>
        <v>2</v>
      </c>
      <c r="L1092" s="11"/>
    </row>
    <row r="1093">
      <c r="A1093" s="10" t="str">
        <f>IFERROR(__xludf.DUMMYFUNCTION("""COMPUTED_VALUE"""),"https://www.superside.com/blog/omnichannel-design-partners")</f>
        <v>https://www.superside.com/blog/omnichannel-design-partners</v>
      </c>
      <c r="B1093" s="11" t="str">
        <f>IFERROR(__xludf.DUMMYFUNCTION("""COMPUTED_VALUE"""),"The 10 best omnichannel design partners for enterprise brands")</f>
        <v>The 10 best omnichannel design partners for enterprise brands</v>
      </c>
      <c r="C1093" s="10" t="str">
        <f>IFERROR(__xludf.DUMMYFUNCTION("""COMPUTED_VALUE"""),"superside.com")</f>
        <v>superside.com</v>
      </c>
      <c r="D1093" s="11" t="str">
        <f>IFERROR(__xludf.DUMMYFUNCTION("""COMPUTED_VALUE"""),"LISTICLE")</f>
        <v>LISTICLE</v>
      </c>
      <c r="E1093" s="11" t="str">
        <f>IFERROR(__xludf.DUMMYFUNCTION("""COMPUTED_VALUE"""),"COMPETITOR")</f>
        <v>COMPETITOR</v>
      </c>
      <c r="F1093" s="11" t="str">
        <f>IFERROR(__xludf.DUMMYFUNCTION("""COMPUTED_VALUE"""),"Listicle")</f>
        <v>Listicle</v>
      </c>
      <c r="G1093" s="11" t="b">
        <f>IFERROR(__xludf.DUMMYFUNCTION("""COMPUTED_VALUE"""),FALSE)</f>
        <v>0</v>
      </c>
      <c r="H1093" s="11" t="str">
        <f>IFERROR(__xludf.DUMMYFUNCTION("""COMPUTED_VALUE"""),"Superside, Momentum, Accenture Song, DEPT, Wieden+Kennedy, Monks, R/GA, Huge")</f>
        <v>Superside, Momentum, Accenture Song, DEPT, Wieden+Kennedy, Monks, R/GA, Huge</v>
      </c>
      <c r="I1093" s="11">
        <f>IFERROR(__xludf.DUMMYFUNCTION("""COMPUTED_VALUE"""),1.0)</f>
        <v>1</v>
      </c>
      <c r="J1093" s="11">
        <f>IFERROR(__xludf.DUMMYFUNCTION("""COMPUTED_VALUE"""),0.0)</f>
        <v>0</v>
      </c>
      <c r="K1093" s="11">
        <f>IFERROR(__xludf.DUMMYFUNCTION("""COMPUTED_VALUE"""),1.0)</f>
        <v>1</v>
      </c>
      <c r="L1093" s="11"/>
    </row>
    <row r="1094">
      <c r="A1094" s="10" t="str">
        <f>IFERROR(__xludf.DUMMYFUNCTION("""COMPUTED_VALUE"""),"https://sweatpantsagency.com/the-top-9-digital-marketing-agencies")</f>
        <v>https://sweatpantsagency.com/the-top-9-digital-marketing-agencies</v>
      </c>
      <c r="B1094" s="11" t="str">
        <f>IFERROR(__xludf.DUMMYFUNCTION("""COMPUTED_VALUE"""),"The Top 9 Digital Marketing Agencies in 2026 | Sweat Pants Agency")</f>
        <v>The Top 9 Digital Marketing Agencies in 2026 | Sweat Pants Agency</v>
      </c>
      <c r="C1094" s="10" t="str">
        <f>IFERROR(__xludf.DUMMYFUNCTION("""COMPUTED_VALUE"""),"sweatpantsagency.com")</f>
        <v>sweatpantsagency.com</v>
      </c>
      <c r="D1094" s="11" t="str">
        <f>IFERROR(__xludf.DUMMYFUNCTION("""COMPUTED_VALUE"""),"LISTICLE")</f>
        <v>LISTICLE</v>
      </c>
      <c r="E1094" s="11" t="str">
        <f>IFERROR(__xludf.DUMMYFUNCTION("""COMPUTED_VALUE"""),"CORPORATE")</f>
        <v>CORPORATE</v>
      </c>
      <c r="F1094" s="11" t="str">
        <f>IFERROR(__xludf.DUMMYFUNCTION("""COMPUTED_VALUE"""),"Listicle")</f>
        <v>Listicle</v>
      </c>
      <c r="G1094" s="11" t="b">
        <f>IFERROR(__xludf.DUMMYFUNCTION("""COMPUTED_VALUE"""),FALSE)</f>
        <v>0</v>
      </c>
      <c r="H1094" s="11" t="str">
        <f>IFERROR(__xludf.DUMMYFUNCTION("""COMPUTED_VALUE"""),"Wieden+Kennedy, NoGood, WebFX, The Social Shepherd, LYFE Marketing, First Page Sage, Disruptive Advertising")</f>
        <v>Wieden+Kennedy, NoGood, WebFX, The Social Shepherd, LYFE Marketing, First Page Sage, Disruptive Advertising</v>
      </c>
      <c r="I1094" s="11">
        <f>IFERROR(__xludf.DUMMYFUNCTION("""COMPUTED_VALUE"""),1.0)</f>
        <v>1</v>
      </c>
      <c r="J1094" s="11">
        <f>IFERROR(__xludf.DUMMYFUNCTION("""COMPUTED_VALUE"""),0.0)</f>
        <v>0</v>
      </c>
      <c r="K1094" s="11">
        <f>IFERROR(__xludf.DUMMYFUNCTION("""COMPUTED_VALUE"""),1.0)</f>
        <v>1</v>
      </c>
      <c r="L1094" s="11"/>
    </row>
    <row r="1095">
      <c r="A1095" s="10" t="str">
        <f>IFERROR(__xludf.DUMMYFUNCTION("""COMPUTED_VALUE"""),"https://taqwah.agency/blog/top-saas-landing-page-design-agencies")</f>
        <v>https://taqwah.agency/blog/top-saas-landing-page-design-agencies</v>
      </c>
      <c r="B1095" s="11" t="str">
        <f>IFERROR(__xludf.DUMMYFUNCTION("""COMPUTED_VALUE"""),"Top 10 SaaS Landing Page Design Agencies 2026")</f>
        <v>Top 10 SaaS Landing Page Design Agencies 2026</v>
      </c>
      <c r="C1095" s="11" t="str">
        <f>IFERROR(__xludf.DUMMYFUNCTION("""COMPUTED_VALUE"""),"taqwah.agency")</f>
        <v>taqwah.agency</v>
      </c>
      <c r="D1095" s="11" t="str">
        <f>IFERROR(__xludf.DUMMYFUNCTION("""COMPUTED_VALUE"""),"LISTICLE")</f>
        <v>LISTICLE</v>
      </c>
      <c r="E1095" s="11" t="str">
        <f>IFERROR(__xludf.DUMMYFUNCTION("""COMPUTED_VALUE"""),"CORPORATE")</f>
        <v>CORPORATE</v>
      </c>
      <c r="F1095" s="11" t="str">
        <f>IFERROR(__xludf.DUMMYFUNCTION("""COMPUTED_VALUE"""),"Listicle")</f>
        <v>Listicle</v>
      </c>
      <c r="G1095" s="11" t="b">
        <f>IFERROR(__xludf.DUMMYFUNCTION("""COMPUTED_VALUE"""),FALSE)</f>
        <v>0</v>
      </c>
      <c r="H1095" s="11" t="str">
        <f>IFERROR(__xludf.DUMMYFUNCTION("""COMPUTED_VALUE"""),"Clay, Clutch")</f>
        <v>Clay, Clutch</v>
      </c>
      <c r="I1095" s="11">
        <f>IFERROR(__xludf.DUMMYFUNCTION("""COMPUTED_VALUE"""),1.0)</f>
        <v>1</v>
      </c>
      <c r="J1095" s="11">
        <f>IFERROR(__xludf.DUMMYFUNCTION("""COMPUTED_VALUE"""),0.0)</f>
        <v>0</v>
      </c>
      <c r="K1095" s="11">
        <f>IFERROR(__xludf.DUMMYFUNCTION("""COMPUTED_VALUE"""),0.0)</f>
        <v>0</v>
      </c>
      <c r="L1095" s="11"/>
    </row>
    <row r="1096">
      <c r="A1096" s="10" t="str">
        <f>IFERROR(__xludf.DUMMYFUNCTION("""COMPUTED_VALUE"""),"https://techradiant.co/agencies/social-media-marketing/")</f>
        <v>https://techradiant.co/agencies/social-media-marketing/</v>
      </c>
      <c r="B1096" s="11" t="str">
        <f>IFERROR(__xludf.DUMMYFUNCTION("""COMPUTED_VALUE"""),"Best Social Media Marketing Agencies 2026 | Top SMM Experts - Techradiant")</f>
        <v>Best Social Media Marketing Agencies 2026 | Top SMM Experts - Techradiant</v>
      </c>
      <c r="C1096" s="10" t="str">
        <f>IFERROR(__xludf.DUMMYFUNCTION("""COMPUTED_VALUE"""),"techradiant.co")</f>
        <v>techradiant.co</v>
      </c>
      <c r="D1096" s="11" t="str">
        <f>IFERROR(__xludf.DUMMYFUNCTION("""COMPUTED_VALUE"""),"LISTICLE")</f>
        <v>LISTICLE</v>
      </c>
      <c r="E1096" s="11" t="str">
        <f>IFERROR(__xludf.DUMMYFUNCTION("""COMPUTED_VALUE"""),"REFERENCE")</f>
        <v>REFERENCE</v>
      </c>
      <c r="F1096" s="11" t="str">
        <f>IFERROR(__xludf.DUMMYFUNCTION("""COMPUTED_VALUE"""),"Listicle")</f>
        <v>Listicle</v>
      </c>
      <c r="G1096" s="11" t="b">
        <f>IFERROR(__xludf.DUMMYFUNCTION("""COMPUTED_VALUE"""),FALSE)</f>
        <v>0</v>
      </c>
      <c r="H1096" s="11" t="str">
        <f>IFERROR(__xludf.DUMMYFUNCTION("""COMPUTED_VALUE"""),"Power Digital, Sociallyin, Elit-Web")</f>
        <v>Power Digital, Sociallyin, Elit-Web</v>
      </c>
      <c r="I1096" s="11">
        <f>IFERROR(__xludf.DUMMYFUNCTION("""COMPUTED_VALUE"""),1.0)</f>
        <v>1</v>
      </c>
      <c r="J1096" s="11">
        <f>IFERROR(__xludf.DUMMYFUNCTION("""COMPUTED_VALUE"""),0.0)</f>
        <v>0</v>
      </c>
      <c r="K1096" s="11">
        <f>IFERROR(__xludf.DUMMYFUNCTION("""COMPUTED_VALUE"""),0.0)</f>
        <v>0</v>
      </c>
      <c r="L1096" s="11"/>
    </row>
    <row r="1097">
      <c r="A1097" s="10" t="str">
        <f>IFERROR(__xludf.DUMMYFUNCTION("""COMPUTED_VALUE"""),"https://techreviewer.co/digital-marketing")</f>
        <v>https://techreviewer.co/digital-marketing</v>
      </c>
      <c r="B1097" s="11" t="str">
        <f>IFERROR(__xludf.DUMMYFUNCTION("""COMPUTED_VALUE"""),"Top Digital Marketing Agencies in 2026 | Techreviewer.co")</f>
        <v>Top Digital Marketing Agencies in 2026 | Techreviewer.co</v>
      </c>
      <c r="C1097" s="10" t="str">
        <f>IFERROR(__xludf.DUMMYFUNCTION("""COMPUTED_VALUE"""),"techreviewer.co")</f>
        <v>techreviewer.co</v>
      </c>
      <c r="D1097" s="11" t="str">
        <f>IFERROR(__xludf.DUMMYFUNCTION("""COMPUTED_VALUE"""),"LISTICLE")</f>
        <v>LISTICLE</v>
      </c>
      <c r="E1097" s="11" t="str">
        <f>IFERROR(__xludf.DUMMYFUNCTION("""COMPUTED_VALUE"""),"REFERENCE")</f>
        <v>REFERENCE</v>
      </c>
      <c r="F1097" s="11" t="str">
        <f>IFERROR(__xludf.DUMMYFUNCTION("""COMPUTED_VALUE"""),"Listicle")</f>
        <v>Listicle</v>
      </c>
      <c r="G1097" s="11" t="b">
        <f>IFERROR(__xludf.DUMMYFUNCTION("""COMPUTED_VALUE"""),FALSE)</f>
        <v>0</v>
      </c>
      <c r="H1097" s="11" t="str">
        <f>IFERROR(__xludf.DUMMYFUNCTION("""COMPUTED_VALUE"""),"inBeat, Clutch, Huge")</f>
        <v>inBeat, Clutch, Huge</v>
      </c>
      <c r="I1097" s="11">
        <f>IFERROR(__xludf.DUMMYFUNCTION("""COMPUTED_VALUE"""),1.0)</f>
        <v>1</v>
      </c>
      <c r="J1097" s="11">
        <f>IFERROR(__xludf.DUMMYFUNCTION("""COMPUTED_VALUE"""),0.0)</f>
        <v>0</v>
      </c>
      <c r="K1097" s="11">
        <f>IFERROR(__xludf.DUMMYFUNCTION("""COMPUTED_VALUE"""),1.0)</f>
        <v>1</v>
      </c>
      <c r="L1097" s="11"/>
    </row>
    <row r="1098">
      <c r="A1098" s="10" t="str">
        <f>IFERROR(__xludf.DUMMYFUNCTION("""COMPUTED_VALUE"""),"https://www.tenspeed.io/blog/best-content-marketing-agencies")</f>
        <v>https://www.tenspeed.io/blog/best-content-marketing-agencies</v>
      </c>
      <c r="B1098" s="11" t="str">
        <f>IFERROR(__xludf.DUMMYFUNCTION("""COMPUTED_VALUE"""),"The 8 Best Content Marketing Agencies in 2026 | Ten Speed")</f>
        <v>The 8 Best Content Marketing Agencies in 2026 | Ten Speed</v>
      </c>
      <c r="C1098" s="10" t="str">
        <f>IFERROR(__xludf.DUMMYFUNCTION("""COMPUTED_VALUE"""),"tenspeed.io")</f>
        <v>tenspeed.io</v>
      </c>
      <c r="D1098" s="11" t="str">
        <f>IFERROR(__xludf.DUMMYFUNCTION("""COMPUTED_VALUE"""),"LISTICLE")</f>
        <v>LISTICLE</v>
      </c>
      <c r="E1098" s="11" t="str">
        <f>IFERROR(__xludf.DUMMYFUNCTION("""COMPUTED_VALUE"""),"CORPORATE")</f>
        <v>CORPORATE</v>
      </c>
      <c r="F1098" s="11" t="str">
        <f>IFERROR(__xludf.DUMMYFUNCTION("""COMPUTED_VALUE"""),"Listicle")</f>
        <v>Listicle</v>
      </c>
      <c r="G1098" s="11" t="b">
        <f>IFERROR(__xludf.DUMMYFUNCTION("""COMPUTED_VALUE"""),FALSE)</f>
        <v>0</v>
      </c>
      <c r="H1098" s="11" t="str">
        <f>IFERROR(__xludf.DUMMYFUNCTION("""COMPUTED_VALUE"""),"Single Grain, Siege Media, Omniscient Digital, Animalz, Power Digital, Clutch")</f>
        <v>Single Grain, Siege Media, Omniscient Digital, Animalz, Power Digital, Clutch</v>
      </c>
      <c r="I1098" s="11">
        <f>IFERROR(__xludf.DUMMYFUNCTION("""COMPUTED_VALUE"""),1.0)</f>
        <v>1</v>
      </c>
      <c r="J1098" s="11">
        <f>IFERROR(__xludf.DUMMYFUNCTION("""COMPUTED_VALUE"""),0.0)</f>
        <v>0</v>
      </c>
      <c r="K1098" s="11">
        <f>IFERROR(__xludf.DUMMYFUNCTION("""COMPUTED_VALUE"""),0.0)</f>
        <v>0</v>
      </c>
      <c r="L1098" s="11"/>
    </row>
    <row r="1099">
      <c r="A1099" s="10" t="str">
        <f>IFERROR(__xludf.DUMMYFUNCTION("""COMPUTED_VALUE"""),"https://theb2bplaybook.com/best-google-ads-agencies-for-b2b")</f>
        <v>https://theb2bplaybook.com/best-google-ads-agencies-for-b2b</v>
      </c>
      <c r="B1099" s="11" t="str">
        <f>IFERROR(__xludf.DUMMYFUNCTION("""COMPUTED_VALUE"""),"12 Best Google Ads Agencies for B2B Companies [2026]")</f>
        <v>12 Best Google Ads Agencies for B2B Companies [2026]</v>
      </c>
      <c r="C1099" s="10" t="str">
        <f>IFERROR(__xludf.DUMMYFUNCTION("""COMPUTED_VALUE"""),"theb2bplaybook.com")</f>
        <v>theb2bplaybook.com</v>
      </c>
      <c r="D1099" s="11" t="str">
        <f>IFERROR(__xludf.DUMMYFUNCTION("""COMPUTED_VALUE"""),"LISTICLE")</f>
        <v>LISTICLE</v>
      </c>
      <c r="E1099" s="11" t="str">
        <f>IFERROR(__xludf.DUMMYFUNCTION("""COMPUTED_VALUE"""),"EDITORIAL")</f>
        <v>EDITORIAL</v>
      </c>
      <c r="F1099" s="11" t="str">
        <f>IFERROR(__xludf.DUMMYFUNCTION("""COMPUTED_VALUE"""),"Listicle")</f>
        <v>Listicle</v>
      </c>
      <c r="G1099" s="11" t="b">
        <f>IFERROR(__xludf.DUMMYFUNCTION("""COMPUTED_VALUE"""),FALSE)</f>
        <v>0</v>
      </c>
      <c r="H1099" s="11" t="str">
        <f>IFERROR(__xludf.DUMMYFUNCTION("""COMPUTED_VALUE"""),"Directive, McKinsey, KlientBoost, HawkSEM, Disruptive Advertising, WebFX, Single Grain, Silverback Strategies, NP Digital, Momentum, Clutch")</f>
        <v>Directive, McKinsey, KlientBoost, HawkSEM, Disruptive Advertising, WebFX, Single Grain, Silverback Strategies, NP Digital, Momentum, Clutch</v>
      </c>
      <c r="I1099" s="11">
        <f>IFERROR(__xludf.DUMMYFUNCTION("""COMPUTED_VALUE"""),1.0)</f>
        <v>1</v>
      </c>
      <c r="J1099" s="11">
        <f>IFERROR(__xludf.DUMMYFUNCTION("""COMPUTED_VALUE"""),0.0)</f>
        <v>0</v>
      </c>
      <c r="K1099" s="11">
        <f>IFERROR(__xludf.DUMMYFUNCTION("""COMPUTED_VALUE"""),1.0)</f>
        <v>1</v>
      </c>
      <c r="L1099" s="11"/>
    </row>
    <row r="1100">
      <c r="A1100" s="10" t="str">
        <f>IFERROR(__xludf.DUMMYFUNCTION("""COMPUTED_VALUE"""),"https://www.thebusinessrover.com/blog/best-ppc-agencies")</f>
        <v>https://www.thebusinessrover.com/blog/best-ppc-agencies</v>
      </c>
      <c r="B1100" s="11" t="str">
        <f>IFERROR(__xludf.DUMMYFUNCTION("""COMPUTED_VALUE"""),"21 Best PPC Agencies in 2026 | The Business Rover")</f>
        <v>21 Best PPC Agencies in 2026 | The Business Rover</v>
      </c>
      <c r="C1100" s="10" t="str">
        <f>IFERROR(__xludf.DUMMYFUNCTION("""COMPUTED_VALUE"""),"thebusinessrover.com")</f>
        <v>thebusinessrover.com</v>
      </c>
      <c r="D1100" s="11" t="str">
        <f>IFERROR(__xludf.DUMMYFUNCTION("""COMPUTED_VALUE"""),"LISTICLE")</f>
        <v>LISTICLE</v>
      </c>
      <c r="E1100" s="11" t="str">
        <f>IFERROR(__xludf.DUMMYFUNCTION("""COMPUTED_VALUE"""),"CORPORATE")</f>
        <v>CORPORATE</v>
      </c>
      <c r="F1100" s="11" t="str">
        <f>IFERROR(__xludf.DUMMYFUNCTION("""COMPUTED_VALUE"""),"Listicle")</f>
        <v>Listicle</v>
      </c>
      <c r="G1100" s="11" t="b">
        <f>IFERROR(__xludf.DUMMYFUNCTION("""COMPUTED_VALUE"""),FALSE)</f>
        <v>0</v>
      </c>
      <c r="H1100" s="11" t="str">
        <f>IFERROR(__xludf.DUMMYFUNCTION("""COMPUTED_VALUE"""),"Disruptive Advertising, KlientBoost, Directive, Tinuiti, AdVenture Media, Brainlabs, Merkle, iProspect, DEPT, Wpromote, Jellyfish, Momentum, Dentsu, TransUnion")</f>
        <v>Disruptive Advertising, KlientBoost, Directive, Tinuiti, AdVenture Media, Brainlabs, Merkle, iProspect, DEPT, Wpromote, Jellyfish, Momentum, Dentsu, TransUnion</v>
      </c>
      <c r="I1100" s="11">
        <f>IFERROR(__xludf.DUMMYFUNCTION("""COMPUTED_VALUE"""),1.0)</f>
        <v>1</v>
      </c>
      <c r="J1100" s="11">
        <f>IFERROR(__xludf.DUMMYFUNCTION("""COMPUTED_VALUE"""),0.0)</f>
        <v>0</v>
      </c>
      <c r="K1100" s="11">
        <f>IFERROR(__xludf.DUMMYFUNCTION("""COMPUTED_VALUE"""),2.0)</f>
        <v>2</v>
      </c>
      <c r="L1100" s="11"/>
    </row>
    <row r="1101">
      <c r="A1101" s="10" t="str">
        <f>IFERROR(__xludf.DUMMYFUNCTION("""COMPUTED_VALUE"""),"https://www.thebusinessrover.com/sv/blog/growth-marketing-agencies#:~:text=Right%20Side%20Up%20is%20a,house%2C%20not%20junior%20account%20managers.")</f>
        <v>https://www.thebusinessrover.com/sv/blog/growth-marketing-agencies#:~:text=Right%20Side%20Up%20is%20a,house%2C%20not%20junior%20account%20managers.</v>
      </c>
      <c r="B1101" s="11" t="str">
        <f>IFERROR(__xludf.DUMMYFUNCTION("""COMPUTED_VALUE"""),"14 Best Growth Marketing Agencies in 2026 | Business Rover")</f>
        <v>14 Best Growth Marketing Agencies in 2026 | Business Rover</v>
      </c>
      <c r="C1101" s="10" t="str">
        <f>IFERROR(__xludf.DUMMYFUNCTION("""COMPUTED_VALUE"""),"thebusinessrover.com")</f>
        <v>thebusinessrover.com</v>
      </c>
      <c r="D1101" s="11" t="str">
        <f>IFERROR(__xludf.DUMMYFUNCTION("""COMPUTED_VALUE"""),"LISTICLE")</f>
        <v>LISTICLE</v>
      </c>
      <c r="E1101" s="11" t="str">
        <f>IFERROR(__xludf.DUMMYFUNCTION("""COMPUTED_VALUE"""),"CORPORATE")</f>
        <v>CORPORATE</v>
      </c>
      <c r="F1101" s="11" t="str">
        <f>IFERROR(__xludf.DUMMYFUNCTION("""COMPUTED_VALUE"""),"Listicle")</f>
        <v>Listicle</v>
      </c>
      <c r="G1101" s="11" t="b">
        <f>IFERROR(__xludf.DUMMYFUNCTION("""COMPUTED_VALUE"""),FALSE)</f>
        <v>0</v>
      </c>
      <c r="H1101" s="11" t="str">
        <f>IFERROR(__xludf.DUMMYFUNCTION("""COMPUTED_VALUE"""),"NoGood, NP Digital, Right Side Up, Wpromote, Omniscient Digital, Single Grain, Refine Labs, TransUnion")</f>
        <v>NoGood, NP Digital, Right Side Up, Wpromote, Omniscient Digital, Single Grain, Refine Labs, TransUnion</v>
      </c>
      <c r="I1101" s="11">
        <f>IFERROR(__xludf.DUMMYFUNCTION("""COMPUTED_VALUE"""),1.0)</f>
        <v>1</v>
      </c>
      <c r="J1101" s="11">
        <f>IFERROR(__xludf.DUMMYFUNCTION("""COMPUTED_VALUE"""),0.0)</f>
        <v>0</v>
      </c>
      <c r="K1101" s="11">
        <f>IFERROR(__xludf.DUMMYFUNCTION("""COMPUTED_VALUE"""),2.0)</f>
        <v>2</v>
      </c>
      <c r="L1101" s="11"/>
    </row>
    <row r="1102">
      <c r="A1102" s="10" t="str">
        <f>IFERROR(__xludf.DUMMYFUNCTION("""COMPUTED_VALUE"""),"https://thecmo.com/services/best-digital-marketing-agency/")</f>
        <v>https://thecmo.com/services/best-digital-marketing-agency/</v>
      </c>
      <c r="B1102" s="11" t="str">
        <f>IFERROR(__xludf.DUMMYFUNCTION("""COMPUTED_VALUE"""),"10 Best Digital Marketing Agency Reviewed in 2026")</f>
        <v>10 Best Digital Marketing Agency Reviewed in 2026</v>
      </c>
      <c r="C1102" s="10" t="str">
        <f>IFERROR(__xludf.DUMMYFUNCTION("""COMPUTED_VALUE"""),"thecmo.com")</f>
        <v>thecmo.com</v>
      </c>
      <c r="D1102" s="11" t="str">
        <f>IFERROR(__xludf.DUMMYFUNCTION("""COMPUTED_VALUE"""),"LISTICLE")</f>
        <v>LISTICLE</v>
      </c>
      <c r="E1102" s="11" t="str">
        <f>IFERROR(__xludf.DUMMYFUNCTION("""COMPUTED_VALUE"""),"OTHER")</f>
        <v>OTHER</v>
      </c>
      <c r="F1102" s="11" t="str">
        <f>IFERROR(__xludf.DUMMYFUNCTION("""COMPUTED_VALUE"""),"Listicle")</f>
        <v>Listicle</v>
      </c>
      <c r="G1102" s="11" t="b">
        <f>IFERROR(__xludf.DUMMYFUNCTION("""COMPUTED_VALUE"""),FALSE)</f>
        <v>0</v>
      </c>
      <c r="H1102" s="11" t="str">
        <f>IFERROR(__xludf.DUMMYFUNCTION("""COMPUTED_VALUE"""),"Victorious, Searchbloom, Thrive Internet Marketing Agency, WebFX, SmartSites, KlientBoost")</f>
        <v>Victorious, Searchbloom, Thrive Internet Marketing Agency, WebFX, SmartSites, KlientBoost</v>
      </c>
      <c r="I1102" s="11">
        <f>IFERROR(__xludf.DUMMYFUNCTION("""COMPUTED_VALUE"""),1.0)</f>
        <v>1</v>
      </c>
      <c r="J1102" s="11">
        <f>IFERROR(__xludf.DUMMYFUNCTION("""COMPUTED_VALUE"""),0.0)</f>
        <v>0</v>
      </c>
      <c r="K1102" s="11">
        <f>IFERROR(__xludf.DUMMYFUNCTION("""COMPUTED_VALUE"""),1.0)</f>
        <v>1</v>
      </c>
      <c r="L1102" s="11"/>
    </row>
    <row r="1103">
      <c r="A1103" s="10" t="str">
        <f>IFERROR(__xludf.DUMMYFUNCTION("""COMPUTED_VALUE"""),"https://thecrunch.io/ai-software-sales/")</f>
        <v>https://thecrunch.io/ai-software-sales/</v>
      </c>
      <c r="B1103" s="11" t="str">
        <f>IFERROR(__xludf.DUMMYFUNCTION("""COMPUTED_VALUE"""),"10 Best AI Software Sales Tools to Double Your Revenue in 2026")</f>
        <v>10 Best AI Software Sales Tools to Double Your Revenue in 2026</v>
      </c>
      <c r="C1103" s="10" t="str">
        <f>IFERROR(__xludf.DUMMYFUNCTION("""COMPUTED_VALUE"""),"thecrunch.io")</f>
        <v>thecrunch.io</v>
      </c>
      <c r="D1103" s="11" t="str">
        <f>IFERROR(__xludf.DUMMYFUNCTION("""COMPUTED_VALUE"""),"LISTICLE")</f>
        <v>LISTICLE</v>
      </c>
      <c r="E1103" s="11" t="str">
        <f>IFERROR(__xludf.DUMMYFUNCTION("""COMPUTED_VALUE"""),"CORPORATE")</f>
        <v>CORPORATE</v>
      </c>
      <c r="F1103" s="11" t="str">
        <f>IFERROR(__xludf.DUMMYFUNCTION("""COMPUTED_VALUE"""),"Listicle")</f>
        <v>Listicle</v>
      </c>
      <c r="G1103" s="11" t="b">
        <f>IFERROR(__xludf.DUMMYFUNCTION("""COMPUTED_VALUE"""),FALSE)</f>
        <v>0</v>
      </c>
      <c r="H1103" s="11" t="str">
        <f>IFERROR(__xludf.DUMMYFUNCTION("""COMPUTED_VALUE"""),"Momentum")</f>
        <v>Momentum</v>
      </c>
      <c r="I1103" s="11">
        <f>IFERROR(__xludf.DUMMYFUNCTION("""COMPUTED_VALUE"""),1.0)</f>
        <v>1</v>
      </c>
      <c r="J1103" s="11">
        <f>IFERROR(__xludf.DUMMYFUNCTION("""COMPUTED_VALUE"""),0.0)</f>
        <v>0</v>
      </c>
      <c r="K1103" s="11">
        <f>IFERROR(__xludf.DUMMYFUNCTION("""COMPUTED_VALUE"""),1.0)</f>
        <v>1</v>
      </c>
      <c r="L1103" s="11"/>
    </row>
    <row r="1104">
      <c r="A1104" s="10" t="str">
        <f>IFERROR(__xludf.DUMMYFUNCTION("""COMPUTED_VALUE"""),"https://www.thedrum.com/news/world-creative-rankings-the-top-100-most-awarded-agencies-the-us")</f>
        <v>https://www.thedrum.com/news/world-creative-rankings-the-top-100-most-awarded-agencies-the-us</v>
      </c>
      <c r="B1104" s="11" t="str">
        <f>IFERROR(__xludf.DUMMYFUNCTION("""COMPUTED_VALUE"""),"World Creative Rankings: the top 100 most awarded agencies in the US \| The Drum")</f>
        <v>World Creative Rankings: the top 100 most awarded agencies in the US \| The Drum</v>
      </c>
      <c r="C1104" s="10" t="str">
        <f>IFERROR(__xludf.DUMMYFUNCTION("""COMPUTED_VALUE"""),"thedrum.com")</f>
        <v>thedrum.com</v>
      </c>
      <c r="D1104" s="11" t="str">
        <f>IFERROR(__xludf.DUMMYFUNCTION("""COMPUTED_VALUE"""),"LISTICLE")</f>
        <v>LISTICLE</v>
      </c>
      <c r="E1104" s="11" t="str">
        <f>IFERROR(__xludf.DUMMYFUNCTION("""COMPUTED_VALUE"""),"EDITORIAL")</f>
        <v>EDITORIAL</v>
      </c>
      <c r="F1104" s="11" t="str">
        <f>IFERROR(__xludf.DUMMYFUNCTION("""COMPUTED_VALUE"""),"Listicle")</f>
        <v>Listicle</v>
      </c>
      <c r="G1104" s="11" t="b">
        <f>IFERROR(__xludf.DUMMYFUNCTION("""COMPUTED_VALUE"""),FALSE)</f>
        <v>0</v>
      </c>
      <c r="H1104" s="11" t="str">
        <f>IFERROR(__xludf.DUMMYFUNCTION("""COMPUTED_VALUE"""),"72andSunny, Merkle")</f>
        <v>72andSunny, Merkle</v>
      </c>
      <c r="I1104" s="11">
        <f>IFERROR(__xludf.DUMMYFUNCTION("""COMPUTED_VALUE"""),1.0)</f>
        <v>1</v>
      </c>
      <c r="J1104" s="11">
        <f>IFERROR(__xludf.DUMMYFUNCTION("""COMPUTED_VALUE"""),0.0)</f>
        <v>0</v>
      </c>
      <c r="K1104" s="11">
        <f>IFERROR(__xludf.DUMMYFUNCTION("""COMPUTED_VALUE"""),0.0)</f>
        <v>0</v>
      </c>
      <c r="L1104" s="11"/>
    </row>
    <row r="1105">
      <c r="A1105" s="10" t="str">
        <f>IFERROR(__xludf.DUMMYFUNCTION("""COMPUTED_VALUE"""),"https://www.thegrowthsyndicate.com/agencies/best-b2b-marketing-agencies-us")</f>
        <v>https://www.thegrowthsyndicate.com/agencies/best-b2b-marketing-agencies-us</v>
      </c>
      <c r="B1105" s="11" t="str">
        <f>IFERROR(__xludf.DUMMYFUNCTION("""COMPUTED_VALUE"""),"The 10 Best B2B Marketing Agencies in the US in 2026")</f>
        <v>The 10 Best B2B Marketing Agencies in the US in 2026</v>
      </c>
      <c r="C1105" s="10" t="str">
        <f>IFERROR(__xludf.DUMMYFUNCTION("""COMPUTED_VALUE"""),"thegrowthsyndicate.com")</f>
        <v>thegrowthsyndicate.com</v>
      </c>
      <c r="D1105" s="11" t="str">
        <f>IFERROR(__xludf.DUMMYFUNCTION("""COMPUTED_VALUE"""),"LISTICLE")</f>
        <v>LISTICLE</v>
      </c>
      <c r="E1105" s="11" t="str">
        <f>IFERROR(__xludf.DUMMYFUNCTION("""COMPUTED_VALUE"""),"CORPORATE")</f>
        <v>CORPORATE</v>
      </c>
      <c r="F1105" s="11" t="str">
        <f>IFERROR(__xludf.DUMMYFUNCTION("""COMPUTED_VALUE"""),"Listicle")</f>
        <v>Listicle</v>
      </c>
      <c r="G1105" s="11" t="b">
        <f>IFERROR(__xludf.DUMMYFUNCTION("""COMPUTED_VALUE"""),FALSE)</f>
        <v>0</v>
      </c>
      <c r="H1105" s="11" t="str">
        <f>IFERROR(__xludf.DUMMYFUNCTION("""COMPUTED_VALUE"""),"Directive, Measured, Animalz, Clutch, Refine Labs")</f>
        <v>Directive, Measured, Animalz, Clutch, Refine Labs</v>
      </c>
      <c r="I1105" s="11">
        <f>IFERROR(__xludf.DUMMYFUNCTION("""COMPUTED_VALUE"""),1.0)</f>
        <v>1</v>
      </c>
      <c r="J1105" s="11">
        <f>IFERROR(__xludf.DUMMYFUNCTION("""COMPUTED_VALUE"""),0.0)</f>
        <v>0</v>
      </c>
      <c r="K1105" s="11">
        <f>IFERROR(__xludf.DUMMYFUNCTION("""COMPUTED_VALUE"""),1.0)</f>
        <v>1</v>
      </c>
      <c r="L1105" s="11"/>
    </row>
    <row r="1106">
      <c r="A1106" s="10" t="str">
        <f>IFERROR(__xludf.DUMMYFUNCTION("""COMPUTED_VALUE"""),"https://www.thegrowthsyndicate.com/agencies/best-linkedin-ads-agencies-us")</f>
        <v>https://www.thegrowthsyndicate.com/agencies/best-linkedin-ads-agencies-us</v>
      </c>
      <c r="B1106" s="11" t="str">
        <f>IFERROR(__xludf.DUMMYFUNCTION("""COMPUTED_VALUE"""),"Best LinkedIn Ads Agencies in the US (2026)")</f>
        <v>Best LinkedIn Ads Agencies in the US (2026)</v>
      </c>
      <c r="C1106" s="10" t="str">
        <f>IFERROR(__xludf.DUMMYFUNCTION("""COMPUTED_VALUE"""),"thegrowthsyndicate.com")</f>
        <v>thegrowthsyndicate.com</v>
      </c>
      <c r="D1106" s="11" t="str">
        <f>IFERROR(__xludf.DUMMYFUNCTION("""COMPUTED_VALUE"""),"LISTICLE")</f>
        <v>LISTICLE</v>
      </c>
      <c r="E1106" s="11" t="str">
        <f>IFERROR(__xludf.DUMMYFUNCTION("""COMPUTED_VALUE"""),"CORPORATE")</f>
        <v>CORPORATE</v>
      </c>
      <c r="F1106" s="11" t="str">
        <f>IFERROR(__xludf.DUMMYFUNCTION("""COMPUTED_VALUE"""),"Listicle")</f>
        <v>Listicle</v>
      </c>
      <c r="G1106" s="11" t="b">
        <f>IFERROR(__xludf.DUMMYFUNCTION("""COMPUTED_VALUE"""),FALSE)</f>
        <v>0</v>
      </c>
      <c r="H1106" s="11" t="str">
        <f>IFERROR(__xludf.DUMMYFUNCTION("""COMPUTED_VALUE"""),"Directive, Refine Labs, Disruptive Advertising, Clutch, Measured")</f>
        <v>Directive, Refine Labs, Disruptive Advertising, Clutch, Measured</v>
      </c>
      <c r="I1106" s="11">
        <f>IFERROR(__xludf.DUMMYFUNCTION("""COMPUTED_VALUE"""),1.0)</f>
        <v>1</v>
      </c>
      <c r="J1106" s="11">
        <f>IFERROR(__xludf.DUMMYFUNCTION("""COMPUTED_VALUE"""),0.0)</f>
        <v>0</v>
      </c>
      <c r="K1106" s="11">
        <f>IFERROR(__xludf.DUMMYFUNCTION("""COMPUTED_VALUE"""),2.0)</f>
        <v>2</v>
      </c>
      <c r="L1106" s="11"/>
    </row>
    <row r="1107">
      <c r="A1107" s="10" t="str">
        <f>IFERROR(__xludf.DUMMYFUNCTION("""COMPUTED_VALUE"""),"https://theinklusive.com/blog/12-best-branding-agencies/")</f>
        <v>https://theinklusive.com/blog/12-best-branding-agencies/</v>
      </c>
      <c r="B1107" s="11" t="str">
        <f>IFERROR(__xludf.DUMMYFUNCTION("""COMPUTED_VALUE"""),"Top 15 Branding Agencies in the World (2025 Rankings)")</f>
        <v>Top 15 Branding Agencies in the World (2025 Rankings)</v>
      </c>
      <c r="C1107" s="10" t="str">
        <f>IFERROR(__xludf.DUMMYFUNCTION("""COMPUTED_VALUE"""),"theinklusive.com")</f>
        <v>theinklusive.com</v>
      </c>
      <c r="D1107" s="11" t="str">
        <f>IFERROR(__xludf.DUMMYFUNCTION("""COMPUTED_VALUE"""),"LISTICLE")</f>
        <v>LISTICLE</v>
      </c>
      <c r="E1107" s="11" t="str">
        <f>IFERROR(__xludf.DUMMYFUNCTION("""COMPUTED_VALUE"""),"CORPORATE")</f>
        <v>CORPORATE</v>
      </c>
      <c r="F1107" s="11" t="str">
        <f>IFERROR(__xludf.DUMMYFUNCTION("""COMPUTED_VALUE"""),"Listicle")</f>
        <v>Listicle</v>
      </c>
      <c r="G1107" s="11" t="b">
        <f>IFERROR(__xludf.DUMMYFUNCTION("""COMPUTED_VALUE"""),FALSE)</f>
        <v>0</v>
      </c>
      <c r="H1107" s="11" t="str">
        <f>IFERROR(__xludf.DUMMYFUNCTION("""COMPUTED_VALUE"""),"BCG, Dentsu, Anomaly, Pentagram, WPP")</f>
        <v>BCG, Dentsu, Anomaly, Pentagram, WPP</v>
      </c>
      <c r="I1107" s="11">
        <f>IFERROR(__xludf.DUMMYFUNCTION("""COMPUTED_VALUE"""),1.0)</f>
        <v>1</v>
      </c>
      <c r="J1107" s="11">
        <f>IFERROR(__xludf.DUMMYFUNCTION("""COMPUTED_VALUE"""),0.0)</f>
        <v>0</v>
      </c>
      <c r="K1107" s="11">
        <f>IFERROR(__xludf.DUMMYFUNCTION("""COMPUTED_VALUE"""),1.0)</f>
        <v>1</v>
      </c>
      <c r="L1107" s="11"/>
    </row>
    <row r="1108">
      <c r="A1108" s="10" t="str">
        <f>IFERROR(__xludf.DUMMYFUNCTION("""COMPUTED_VALUE"""),"https://www.thekeenfolks.com/blog-article/top-ai-marketing-companies")</f>
        <v>https://www.thekeenfolks.com/blog-article/top-ai-marketing-companies</v>
      </c>
      <c r="B1108" s="11" t="str">
        <f>IFERROR(__xludf.DUMMYFUNCTION("""COMPUTED_VALUE"""),"The best AI Marketing Companies for large enterprises")</f>
        <v>The best AI Marketing Companies for large enterprises</v>
      </c>
      <c r="C1108" s="10" t="str">
        <f>IFERROR(__xludf.DUMMYFUNCTION("""COMPUTED_VALUE"""),"thekeenfolks.com")</f>
        <v>thekeenfolks.com</v>
      </c>
      <c r="D1108" s="11" t="str">
        <f>IFERROR(__xludf.DUMMYFUNCTION("""COMPUTED_VALUE"""),"LISTICLE")</f>
        <v>LISTICLE</v>
      </c>
      <c r="E1108" s="11" t="str">
        <f>IFERROR(__xludf.DUMMYFUNCTION("""COMPUTED_VALUE"""),"COMPETITOR")</f>
        <v>COMPETITOR</v>
      </c>
      <c r="F1108" s="11" t="str">
        <f>IFERROR(__xludf.DUMMYFUNCTION("""COMPUTED_VALUE"""),"Listicle")</f>
        <v>Listicle</v>
      </c>
      <c r="G1108" s="11" t="b">
        <f>IFERROR(__xludf.DUMMYFUNCTION("""COMPUTED_VALUE"""),FALSE)</f>
        <v>0</v>
      </c>
      <c r="H1108" s="11" t="str">
        <f>IFERROR(__xludf.DUMMYFUNCTION("""COMPUTED_VALUE"""),"Keenfolks, Tinuiti, Wpromote, DEPT, Clay, Measured")</f>
        <v>Keenfolks, Tinuiti, Wpromote, DEPT, Clay, Measured</v>
      </c>
      <c r="I1108" s="11">
        <f>IFERROR(__xludf.DUMMYFUNCTION("""COMPUTED_VALUE"""),1.0)</f>
        <v>1</v>
      </c>
      <c r="J1108" s="11">
        <f>IFERROR(__xludf.DUMMYFUNCTION("""COMPUTED_VALUE"""),0.0)</f>
        <v>0</v>
      </c>
      <c r="K1108" s="11">
        <f>IFERROR(__xludf.DUMMYFUNCTION("""COMPUTED_VALUE"""),1.0)</f>
        <v>1</v>
      </c>
      <c r="L1108" s="11"/>
    </row>
    <row r="1109">
      <c r="A1109" s="10" t="str">
        <f>IFERROR(__xludf.DUMMYFUNCTION("""COMPUTED_VALUE"""),"https://www.thekeenfolks.com/solutions/20-the-best-ai-marketing-companies-for-large-enterprises")</f>
        <v>https://www.thekeenfolks.com/solutions/20-the-best-ai-marketing-companies-for-large-enterprises</v>
      </c>
      <c r="B1109" s="11" t="str">
        <f>IFERROR(__xludf.DUMMYFUNCTION("""COMPUTED_VALUE"""),"20-The best AI Marketing Companies for large enterprises")</f>
        <v>20-The best AI Marketing Companies for large enterprises</v>
      </c>
      <c r="C1109" s="10" t="str">
        <f>IFERROR(__xludf.DUMMYFUNCTION("""COMPUTED_VALUE"""),"thekeenfolks.com")</f>
        <v>thekeenfolks.com</v>
      </c>
      <c r="D1109" s="11" t="str">
        <f>IFERROR(__xludf.DUMMYFUNCTION("""COMPUTED_VALUE"""),"PRODUCT_PAGE")</f>
        <v>PRODUCT_PAGE</v>
      </c>
      <c r="E1109" s="11" t="str">
        <f>IFERROR(__xludf.DUMMYFUNCTION("""COMPUTED_VALUE"""),"COMPETITOR")</f>
        <v>COMPETITOR</v>
      </c>
      <c r="F1109" s="11" t="str">
        <f>IFERROR(__xludf.DUMMYFUNCTION("""COMPUTED_VALUE"""),"Product Page")</f>
        <v>Product Page</v>
      </c>
      <c r="G1109" s="11" t="b">
        <f>IFERROR(__xludf.DUMMYFUNCTION("""COMPUTED_VALUE"""),FALSE)</f>
        <v>0</v>
      </c>
      <c r="H1109" s="11" t="str">
        <f>IFERROR(__xludf.DUMMYFUNCTION("""COMPUTED_VALUE"""),"Keenfolks, Tinuiti, Wpromote, DEPT, Clay, Measured")</f>
        <v>Keenfolks, Tinuiti, Wpromote, DEPT, Clay, Measured</v>
      </c>
      <c r="I1109" s="11">
        <f>IFERROR(__xludf.DUMMYFUNCTION("""COMPUTED_VALUE"""),1.0)</f>
        <v>1</v>
      </c>
      <c r="J1109" s="11">
        <f>IFERROR(__xludf.DUMMYFUNCTION("""COMPUTED_VALUE"""),0.0)</f>
        <v>0</v>
      </c>
      <c r="K1109" s="11">
        <f>IFERROR(__xludf.DUMMYFUNCTION("""COMPUTED_VALUE"""),2.0)</f>
        <v>2</v>
      </c>
      <c r="L1109" s="11"/>
    </row>
    <row r="1110">
      <c r="A1110" s="10" t="str">
        <f>IFERROR(__xludf.DUMMYFUNCTION("""COMPUTED_VALUE"""),"https://themanifest.com/media-buying/agencies")</f>
        <v>https://themanifest.com/media-buying/agencies</v>
      </c>
      <c r="B1110" s="11" t="str">
        <f>IFERROR(__xludf.DUMMYFUNCTION("""COMPUTED_VALUE"""),"The Best Media Planning and Buying Companies - Jul 2026 | The Manifest")</f>
        <v>The Best Media Planning and Buying Companies - Jul 2026 | The Manifest</v>
      </c>
      <c r="C1110" s="10" t="str">
        <f>IFERROR(__xludf.DUMMYFUNCTION("""COMPUTED_VALUE"""),"themanifest.com")</f>
        <v>themanifest.com</v>
      </c>
      <c r="D1110" s="11" t="str">
        <f>IFERROR(__xludf.DUMMYFUNCTION("""COMPUTED_VALUE"""),"LISTICLE")</f>
        <v>LISTICLE</v>
      </c>
      <c r="E1110" s="11" t="str">
        <f>IFERROR(__xludf.DUMMYFUNCTION("""COMPUTED_VALUE"""),"REFERENCE")</f>
        <v>REFERENCE</v>
      </c>
      <c r="F1110" s="11" t="str">
        <f>IFERROR(__xludf.DUMMYFUNCTION("""COMPUTED_VALUE"""),"Listicle")</f>
        <v>Listicle</v>
      </c>
      <c r="G1110" s="11" t="b">
        <f>IFERROR(__xludf.DUMMYFUNCTION("""COMPUTED_VALUE"""),FALSE)</f>
        <v>0</v>
      </c>
      <c r="H1110" s="11" t="str">
        <f>IFERROR(__xludf.DUMMYFUNCTION("""COMPUTED_VALUE"""),"Clutch, Accelerated Digital Media, Major Tom, Tinuiti")</f>
        <v>Clutch, Accelerated Digital Media, Major Tom, Tinuiti</v>
      </c>
      <c r="I1110" s="11">
        <f>IFERROR(__xludf.DUMMYFUNCTION("""COMPUTED_VALUE"""),1.0)</f>
        <v>1</v>
      </c>
      <c r="J1110" s="11">
        <f>IFERROR(__xludf.DUMMYFUNCTION("""COMPUTED_VALUE"""),0.0)</f>
        <v>0</v>
      </c>
      <c r="K1110" s="11">
        <f>IFERROR(__xludf.DUMMYFUNCTION("""COMPUTED_VALUE"""),0.0)</f>
        <v>0</v>
      </c>
      <c r="L1110" s="11"/>
    </row>
    <row r="1111">
      <c r="A1111" s="10" t="str">
        <f>IFERROR(__xludf.DUMMYFUNCTION("""COMPUTED_VALUE"""),"https://themanifest.com/us/creative/agencies?page=1")</f>
        <v>https://themanifest.com/us/creative/agencies?page=1</v>
      </c>
      <c r="B1111" s="11" t="str">
        <f>IFERROR(__xludf.DUMMYFUNCTION("""COMPUTED_VALUE"""),"The Best Creative Companies in United States - Jul 2026 | The Manifest")</f>
        <v>The Best Creative Companies in United States - Jul 2026 | The Manifest</v>
      </c>
      <c r="C1111" s="10" t="str">
        <f>IFERROR(__xludf.DUMMYFUNCTION("""COMPUTED_VALUE"""),"themanifest.com")</f>
        <v>themanifest.com</v>
      </c>
      <c r="D1111" s="11" t="str">
        <f>IFERROR(__xludf.DUMMYFUNCTION("""COMPUTED_VALUE"""),"LISTICLE")</f>
        <v>LISTICLE</v>
      </c>
      <c r="E1111" s="11" t="str">
        <f>IFERROR(__xludf.DUMMYFUNCTION("""COMPUTED_VALUE"""),"REFERENCE")</f>
        <v>REFERENCE</v>
      </c>
      <c r="F1111" s="11" t="str">
        <f>IFERROR(__xludf.DUMMYFUNCTION("""COMPUTED_VALUE"""),"Listicle")</f>
        <v>Listicle</v>
      </c>
      <c r="G1111" s="11" t="b">
        <f>IFERROR(__xludf.DUMMYFUNCTION("""COMPUTED_VALUE"""),FALSE)</f>
        <v>0</v>
      </c>
      <c r="H1111" s="11" t="str">
        <f>IFERROR(__xludf.DUMMYFUNCTION("""COMPUTED_VALUE"""),"Clutch")</f>
        <v>Clutch</v>
      </c>
      <c r="I1111" s="11">
        <f>IFERROR(__xludf.DUMMYFUNCTION("""COMPUTED_VALUE"""),1.0)</f>
        <v>1</v>
      </c>
      <c r="J1111" s="11">
        <f>IFERROR(__xludf.DUMMYFUNCTION("""COMPUTED_VALUE"""),0.0)</f>
        <v>0</v>
      </c>
      <c r="K1111" s="11">
        <f>IFERROR(__xludf.DUMMYFUNCTION("""COMPUTED_VALUE"""),0.0)</f>
        <v>0</v>
      </c>
      <c r="L1111" s="11"/>
    </row>
    <row r="1112">
      <c r="A1112" s="10" t="str">
        <f>IFERROR(__xludf.DUMMYFUNCTION("""COMPUTED_VALUE"""),"https://themanifest.com/us/digital/agencies")</f>
        <v>https://themanifest.com/us/digital/agencies</v>
      </c>
      <c r="B1112" s="11" t="str">
        <f>IFERROR(__xludf.DUMMYFUNCTION("""COMPUTED_VALUE"""),"The Best Full Service Digital Companies in United States - Jul 2026 | The Manifest")</f>
        <v>The Best Full Service Digital Companies in United States - Jul 2026 | The Manifest</v>
      </c>
      <c r="C1112" s="10" t="str">
        <f>IFERROR(__xludf.DUMMYFUNCTION("""COMPUTED_VALUE"""),"themanifest.com")</f>
        <v>themanifest.com</v>
      </c>
      <c r="D1112" s="11" t="str">
        <f>IFERROR(__xludf.DUMMYFUNCTION("""COMPUTED_VALUE"""),"LISTICLE")</f>
        <v>LISTICLE</v>
      </c>
      <c r="E1112" s="11" t="str">
        <f>IFERROR(__xludf.DUMMYFUNCTION("""COMPUTED_VALUE"""),"REFERENCE")</f>
        <v>REFERENCE</v>
      </c>
      <c r="F1112" s="11" t="str">
        <f>IFERROR(__xludf.DUMMYFUNCTION("""COMPUTED_VALUE"""),"Listicle")</f>
        <v>Listicle</v>
      </c>
      <c r="G1112" s="11" t="b">
        <f>IFERROR(__xludf.DUMMYFUNCTION("""COMPUTED_VALUE"""),FALSE)</f>
        <v>0</v>
      </c>
      <c r="H1112" s="11" t="str">
        <f>IFERROR(__xludf.DUMMYFUNCTION("""COMPUTED_VALUE"""),"Clutch, Ignite Visibility, Storm Brain, Funnel Boost Media")</f>
        <v>Clutch, Ignite Visibility, Storm Brain, Funnel Boost Media</v>
      </c>
      <c r="I1112" s="11">
        <f>IFERROR(__xludf.DUMMYFUNCTION("""COMPUTED_VALUE"""),1.0)</f>
        <v>1</v>
      </c>
      <c r="J1112" s="11">
        <f>IFERROR(__xludf.DUMMYFUNCTION("""COMPUTED_VALUE"""),0.0)</f>
        <v>0</v>
      </c>
      <c r="K1112" s="11">
        <f>IFERROR(__xludf.DUMMYFUNCTION("""COMPUTED_VALUE"""),0.0)</f>
        <v>0</v>
      </c>
      <c r="L1112" s="11"/>
    </row>
    <row r="1113">
      <c r="A1113" s="10" t="str">
        <f>IFERROR(__xludf.DUMMYFUNCTION("""COMPUTED_VALUE"""),"https://themanifest.com/us/social-media/agencies?page=1")</f>
        <v>https://themanifest.com/us/social-media/agencies?page=1</v>
      </c>
      <c r="B1113" s="11" t="str">
        <f>IFERROR(__xludf.DUMMYFUNCTION("""COMPUTED_VALUE"""),"The Best Social Media Marketing Companies in United States - Jul 2026 | The Manifest")</f>
        <v>The Best Social Media Marketing Companies in United States - Jul 2026 | The Manifest</v>
      </c>
      <c r="C1113" s="10" t="str">
        <f>IFERROR(__xludf.DUMMYFUNCTION("""COMPUTED_VALUE"""),"themanifest.com")</f>
        <v>themanifest.com</v>
      </c>
      <c r="D1113" s="11" t="str">
        <f>IFERROR(__xludf.DUMMYFUNCTION("""COMPUTED_VALUE"""),"OTHER")</f>
        <v>OTHER</v>
      </c>
      <c r="E1113" s="11" t="str">
        <f>IFERROR(__xludf.DUMMYFUNCTION("""COMPUTED_VALUE"""),"REFERENCE")</f>
        <v>REFERENCE</v>
      </c>
      <c r="F1113" s="11" t="str">
        <f>IFERROR(__xludf.DUMMYFUNCTION("""COMPUTED_VALUE"""),"Other")</f>
        <v>Other</v>
      </c>
      <c r="G1113" s="11" t="b">
        <f>IFERROR(__xludf.DUMMYFUNCTION("""COMPUTED_VALUE"""),FALSE)</f>
        <v>0</v>
      </c>
      <c r="H1113" s="11" t="str">
        <f>IFERROR(__xludf.DUMMYFUNCTION("""COMPUTED_VALUE"""),"Clutch, Ignite Visibility, Elit-Web, KlientBoost, Disruptive Advertising, AdVenture Media, HawkSEM, Acadia, SmartSites, NinjaPromo, LYFE Marketing, Sociallyin")</f>
        <v>Clutch, Ignite Visibility, Elit-Web, KlientBoost, Disruptive Advertising, AdVenture Media, HawkSEM, Acadia, SmartSites, NinjaPromo, LYFE Marketing, Sociallyin</v>
      </c>
      <c r="I1113" s="11">
        <f>IFERROR(__xludf.DUMMYFUNCTION("""COMPUTED_VALUE"""),1.0)</f>
        <v>1</v>
      </c>
      <c r="J1113" s="11">
        <f>IFERROR(__xludf.DUMMYFUNCTION("""COMPUTED_VALUE"""),0.0)</f>
        <v>0</v>
      </c>
      <c r="K1113" s="11">
        <f>IFERROR(__xludf.DUMMYFUNCTION("""COMPUTED_VALUE"""),0.0)</f>
        <v>0</v>
      </c>
      <c r="L1113" s="11"/>
    </row>
    <row r="1114">
      <c r="A1114" s="10" t="str">
        <f>IFERROR(__xludf.DUMMYFUNCTION("""COMPUTED_VALUE"""),"https://themanifest.com/us/social-media/instagram/agencies")</f>
        <v>https://themanifest.com/us/social-media/instagram/agencies</v>
      </c>
      <c r="B1114" s="11" t="str">
        <f>IFERROR(__xludf.DUMMYFUNCTION("""COMPUTED_VALUE"""),"The Best Instagram Advertising Companies in United States - Jul 2026 | The Manifest")</f>
        <v>The Best Instagram Advertising Companies in United States - Jul 2026 | The Manifest</v>
      </c>
      <c r="C1114" s="10" t="str">
        <f>IFERROR(__xludf.DUMMYFUNCTION("""COMPUTED_VALUE"""),"themanifest.com")</f>
        <v>themanifest.com</v>
      </c>
      <c r="D1114" s="11" t="str">
        <f>IFERROR(__xludf.DUMMYFUNCTION("""COMPUTED_VALUE"""),"CATEGORY_PAGE")</f>
        <v>CATEGORY_PAGE</v>
      </c>
      <c r="E1114" s="11" t="str">
        <f>IFERROR(__xludf.DUMMYFUNCTION("""COMPUTED_VALUE"""),"REFERENCE")</f>
        <v>REFERENCE</v>
      </c>
      <c r="F1114" s="11" t="str">
        <f>IFERROR(__xludf.DUMMYFUNCTION("""COMPUTED_VALUE"""),"Category Page")</f>
        <v>Category Page</v>
      </c>
      <c r="G1114" s="11" t="b">
        <f>IFERROR(__xludf.DUMMYFUNCTION("""COMPUTED_VALUE"""),FALSE)</f>
        <v>0</v>
      </c>
      <c r="H1114" s="11" t="str">
        <f>IFERROR(__xludf.DUMMYFUNCTION("""COMPUTED_VALUE"""),"Clutch, LYFE Marketing, Elit-Web, Power Digital, Disruptive Advertising, Sociallyin, SmartSites, AdVenture Media, HawkSEM, Brighter Click, NinjaPromo")</f>
        <v>Clutch, LYFE Marketing, Elit-Web, Power Digital, Disruptive Advertising, Sociallyin, SmartSites, AdVenture Media, HawkSEM, Brighter Click, NinjaPromo</v>
      </c>
      <c r="I1114" s="11">
        <f>IFERROR(__xludf.DUMMYFUNCTION("""COMPUTED_VALUE"""),1.0)</f>
        <v>1</v>
      </c>
      <c r="J1114" s="11">
        <f>IFERROR(__xludf.DUMMYFUNCTION("""COMPUTED_VALUE"""),0.0)</f>
        <v>0</v>
      </c>
      <c r="K1114" s="11">
        <f>IFERROR(__xludf.DUMMYFUNCTION("""COMPUTED_VALUE"""),0.0)</f>
        <v>0</v>
      </c>
      <c r="L1114" s="11"/>
    </row>
    <row r="1115">
      <c r="A1115" s="10" t="str">
        <f>IFERROR(__xludf.DUMMYFUNCTION("""COMPUTED_VALUE"""),"https://thesocialshepherd.com/blog/top-advertising-agencies-us")</f>
        <v>https://thesocialshepherd.com/blog/top-advertising-agencies-us</v>
      </c>
      <c r="B1115" s="11" t="str">
        <f>IFERROR(__xludf.DUMMYFUNCTION("""COMPUTED_VALUE"""),"The Social Shepherd | Top 17 Advertising Agencies in the U.S. (2026)")</f>
        <v>The Social Shepherd | Top 17 Advertising Agencies in the U.S. (2026)</v>
      </c>
      <c r="C1115" s="10" t="str">
        <f>IFERROR(__xludf.DUMMYFUNCTION("""COMPUTED_VALUE"""),"thesocialshepherd.com")</f>
        <v>thesocialshepherd.com</v>
      </c>
      <c r="D1115" s="11" t="str">
        <f>IFERROR(__xludf.DUMMYFUNCTION("""COMPUTED_VALUE"""),"LISTICLE")</f>
        <v>LISTICLE</v>
      </c>
      <c r="E1115" s="11" t="str">
        <f>IFERROR(__xludf.DUMMYFUNCTION("""COMPUTED_VALUE"""),"COMPETITOR")</f>
        <v>COMPETITOR</v>
      </c>
      <c r="F1115" s="11" t="str">
        <f>IFERROR(__xludf.DUMMYFUNCTION("""COMPUTED_VALUE"""),"Listicle")</f>
        <v>Listicle</v>
      </c>
      <c r="G1115" s="11" t="b">
        <f>IFERROR(__xludf.DUMMYFUNCTION("""COMPUTED_VALUE"""),FALSE)</f>
        <v>0</v>
      </c>
      <c r="H1115" s="11" t="str">
        <f>IFERROR(__xludf.DUMMYFUNCTION("""COMPUTED_VALUE"""),"The Social Shepherd, Refine Labs, Kobe Digital")</f>
        <v>The Social Shepherd, Refine Labs, Kobe Digital</v>
      </c>
      <c r="I1115" s="11">
        <f>IFERROR(__xludf.DUMMYFUNCTION("""COMPUTED_VALUE"""),1.0)</f>
        <v>1</v>
      </c>
      <c r="J1115" s="11">
        <f>IFERROR(__xludf.DUMMYFUNCTION("""COMPUTED_VALUE"""),0.0)</f>
        <v>0</v>
      </c>
      <c r="K1115" s="11">
        <f>IFERROR(__xludf.DUMMYFUNCTION("""COMPUTED_VALUE"""),0.0)</f>
        <v>0</v>
      </c>
      <c r="L1115" s="11"/>
    </row>
    <row r="1116">
      <c r="A1116" s="10" t="str">
        <f>IFERROR(__xludf.DUMMYFUNCTION("""COMPUTED_VALUE"""),"https://thesocialshepherd.com/blog/top-digital-marketing-agencies-us")</f>
        <v>https://thesocialshepherd.com/blog/top-digital-marketing-agencies-us</v>
      </c>
      <c r="B1116" s="11" t="str">
        <f>IFERROR(__xludf.DUMMYFUNCTION("""COMPUTED_VALUE"""),"The Social Shepherd | Top 17 Digital Marketing Agencies in the U.S.…")</f>
        <v>The Social Shepherd | Top 17 Digital Marketing Agencies in the U.S.…</v>
      </c>
      <c r="C1116" s="10" t="str">
        <f>IFERROR(__xludf.DUMMYFUNCTION("""COMPUTED_VALUE"""),"thesocialshepherd.com")</f>
        <v>thesocialshepherd.com</v>
      </c>
      <c r="D1116" s="11" t="str">
        <f>IFERROR(__xludf.DUMMYFUNCTION("""COMPUTED_VALUE"""),"LISTICLE")</f>
        <v>LISTICLE</v>
      </c>
      <c r="E1116" s="11" t="str">
        <f>IFERROR(__xludf.DUMMYFUNCTION("""COMPUTED_VALUE"""),"COMPETITOR")</f>
        <v>COMPETITOR</v>
      </c>
      <c r="F1116" s="11" t="str">
        <f>IFERROR(__xludf.DUMMYFUNCTION("""COMPUTED_VALUE"""),"Listicle")</f>
        <v>Listicle</v>
      </c>
      <c r="G1116" s="11" t="b">
        <f>IFERROR(__xludf.DUMMYFUNCTION("""COMPUTED_VALUE"""),FALSE)</f>
        <v>0</v>
      </c>
      <c r="H1116" s="11" t="str">
        <f>IFERROR(__xludf.DUMMYFUNCTION("""COMPUTED_VALUE"""),"The Social Shepherd, Refine Labs, Intero Digital, Single Grain, Power Digital, KlientBoost, VaynerMedia, Publicis Groupe, Digitas")</f>
        <v>The Social Shepherd, Refine Labs, Intero Digital, Single Grain, Power Digital, KlientBoost, VaynerMedia, Publicis Groupe, Digitas</v>
      </c>
      <c r="I1116" s="11">
        <f>IFERROR(__xludf.DUMMYFUNCTION("""COMPUTED_VALUE"""),1.0)</f>
        <v>1</v>
      </c>
      <c r="J1116" s="11">
        <f>IFERROR(__xludf.DUMMYFUNCTION("""COMPUTED_VALUE"""),0.0)</f>
        <v>0</v>
      </c>
      <c r="K1116" s="11">
        <f>IFERROR(__xludf.DUMMYFUNCTION("""COMPUTED_VALUE"""),3.0)</f>
        <v>3</v>
      </c>
      <c r="L1116" s="11"/>
    </row>
    <row r="1117">
      <c r="A1117" s="10" t="str">
        <f>IFERROR(__xludf.DUMMYFUNCTION("""COMPUTED_VALUE"""),"https://www.thezulumethod.com/top-ai-marketing-agencies")</f>
        <v>https://www.thezulumethod.com/top-ai-marketing-agencies</v>
      </c>
      <c r="B1117" s="11" t="str">
        <f>IFERROR(__xludf.DUMMYFUNCTION("""COMPUTED_VALUE"""),"Top 7 AI Marketing Agencies in 2026 (Compared) | Zulu")</f>
        <v>Top 7 AI Marketing Agencies in 2026 (Compared) | Zulu</v>
      </c>
      <c r="C1117" s="10" t="str">
        <f>IFERROR(__xludf.DUMMYFUNCTION("""COMPUTED_VALUE"""),"thezulumethod.com")</f>
        <v>thezulumethod.com</v>
      </c>
      <c r="D1117" s="11" t="str">
        <f>IFERROR(__xludf.DUMMYFUNCTION("""COMPUTED_VALUE"""),"LISTICLE")</f>
        <v>LISTICLE</v>
      </c>
      <c r="E1117" s="11" t="str">
        <f>IFERROR(__xludf.DUMMYFUNCTION("""COMPUTED_VALUE"""),"CORPORATE")</f>
        <v>CORPORATE</v>
      </c>
      <c r="F1117" s="11" t="str">
        <f>IFERROR(__xludf.DUMMYFUNCTION("""COMPUTED_VALUE"""),"Listicle")</f>
        <v>Listicle</v>
      </c>
      <c r="G1117" s="11" t="b">
        <f>IFERROR(__xludf.DUMMYFUNCTION("""COMPUTED_VALUE"""),FALSE)</f>
        <v>0</v>
      </c>
      <c r="H1117" s="11" t="str">
        <f>IFERROR(__xludf.DUMMYFUNCTION("""COMPUTED_VALUE"""),"Power Digital, Wpromote, Single Grain, Directive, NoGood, Giant Spoon, Hawke Media, Measured")</f>
        <v>Power Digital, Wpromote, Single Grain, Directive, NoGood, Giant Spoon, Hawke Media, Measured</v>
      </c>
      <c r="I1117" s="11">
        <f>IFERROR(__xludf.DUMMYFUNCTION("""COMPUTED_VALUE"""),1.0)</f>
        <v>1</v>
      </c>
      <c r="J1117" s="11">
        <f>IFERROR(__xludf.DUMMYFUNCTION("""COMPUTED_VALUE"""),0.0)</f>
        <v>0</v>
      </c>
      <c r="K1117" s="11">
        <f>IFERROR(__xludf.DUMMYFUNCTION("""COMPUTED_VALUE"""),9.0)</f>
        <v>9</v>
      </c>
      <c r="L1117" s="11"/>
    </row>
    <row r="1118">
      <c r="A1118" s="10" t="str">
        <f>IFERROR(__xludf.DUMMYFUNCTION("""COMPUTED_VALUE"""),"https://thinkwithalec.com/2025/03/02/best-marketing-platforms-for-tracking-first-party-data/")</f>
        <v>https://thinkwithalec.com/2025/03/02/best-marketing-platforms-for-tracking-first-party-data/</v>
      </c>
      <c r="B1118" s="11" t="str">
        <f>IFERROR(__xludf.DUMMYFUNCTION("""COMPUTED_VALUE"""),"Best Marketing Platforms for Tracking First-Party Data – THINK WITH ALEC")</f>
        <v>Best Marketing Platforms for Tracking First-Party Data – THINK WITH ALEC</v>
      </c>
      <c r="C1118" s="10" t="str">
        <f>IFERROR(__xludf.DUMMYFUNCTION("""COMPUTED_VALUE"""),"thinkwithalec.com")</f>
        <v>thinkwithalec.com</v>
      </c>
      <c r="D1118" s="11" t="str">
        <f>IFERROR(__xludf.DUMMYFUNCTION("""COMPUTED_VALUE"""),"LISTICLE")</f>
        <v>LISTICLE</v>
      </c>
      <c r="E1118" s="11" t="str">
        <f>IFERROR(__xludf.DUMMYFUNCTION("""COMPUTED_VALUE"""),"EDITORIAL")</f>
        <v>EDITORIAL</v>
      </c>
      <c r="F1118" s="11" t="str">
        <f>IFERROR(__xludf.DUMMYFUNCTION("""COMPUTED_VALUE"""),"Listicle")</f>
        <v>Listicle</v>
      </c>
      <c r="G1118" s="11" t="b">
        <f>IFERROR(__xludf.DUMMYFUNCTION("""COMPUTED_VALUE"""),FALSE)</f>
        <v>0</v>
      </c>
      <c r="H1118" s="11"/>
      <c r="I1118" s="11">
        <f>IFERROR(__xludf.DUMMYFUNCTION("""COMPUTED_VALUE"""),1.0)</f>
        <v>1</v>
      </c>
      <c r="J1118" s="11">
        <f>IFERROR(__xludf.DUMMYFUNCTION("""COMPUTED_VALUE"""),0.0)</f>
        <v>0</v>
      </c>
      <c r="K1118" s="11">
        <f>IFERROR(__xludf.DUMMYFUNCTION("""COMPUTED_VALUE"""),0.0)</f>
        <v>0</v>
      </c>
      <c r="L1118" s="11"/>
    </row>
    <row r="1119">
      <c r="A1119" s="10" t="str">
        <f>IFERROR(__xludf.DUMMYFUNCTION("""COMPUTED_VALUE"""),"https://www.thirstysprout.com/post/best-tech-recruiting-agencies")</f>
        <v>https://www.thirstysprout.com/post/best-tech-recruiting-agencies</v>
      </c>
      <c r="B1119" s="11" t="str">
        <f>IFERROR(__xludf.DUMMYFUNCTION("""COMPUTED_VALUE"""),"7 Best Tech Recruiting Agencies for AI &amp;amp; Engineering in 2025 | ThirstySprout")</f>
        <v>7 Best Tech Recruiting Agencies for AI &amp;amp; Engineering in 2025 | ThirstySprout</v>
      </c>
      <c r="C1119" s="10" t="str">
        <f>IFERROR(__xludf.DUMMYFUNCTION("""COMPUTED_VALUE"""),"thirstysprout.com")</f>
        <v>thirstysprout.com</v>
      </c>
      <c r="D1119" s="11" t="str">
        <f>IFERROR(__xludf.DUMMYFUNCTION("""COMPUTED_VALUE"""),"LISTICLE")</f>
        <v>LISTICLE</v>
      </c>
      <c r="E1119" s="11" t="str">
        <f>IFERROR(__xludf.DUMMYFUNCTION("""COMPUTED_VALUE"""),"CORPORATE")</f>
        <v>CORPORATE</v>
      </c>
      <c r="F1119" s="11" t="str">
        <f>IFERROR(__xludf.DUMMYFUNCTION("""COMPUTED_VALUE"""),"Listicle")</f>
        <v>Listicle</v>
      </c>
      <c r="G1119" s="11" t="b">
        <f>IFERROR(__xludf.DUMMYFUNCTION("""COMPUTED_VALUE"""),FALSE)</f>
        <v>0</v>
      </c>
      <c r="H1119" s="11" t="str">
        <f>IFERROR(__xludf.DUMMYFUNCTION("""COMPUTED_VALUE"""),"Clutch")</f>
        <v>Clutch</v>
      </c>
      <c r="I1119" s="11">
        <f>IFERROR(__xludf.DUMMYFUNCTION("""COMPUTED_VALUE"""),1.0)</f>
        <v>1</v>
      </c>
      <c r="J1119" s="11">
        <f>IFERROR(__xludf.DUMMYFUNCTION("""COMPUTED_VALUE"""),0.0)</f>
        <v>0</v>
      </c>
      <c r="K1119" s="11">
        <f>IFERROR(__xludf.DUMMYFUNCTION("""COMPUTED_VALUE"""),1.0)</f>
        <v>1</v>
      </c>
      <c r="L1119" s="11"/>
    </row>
    <row r="1120">
      <c r="A1120" s="10" t="str">
        <f>IFERROR(__xludf.DUMMYFUNCTION("""COMPUTED_VALUE"""),"https://thriveagency.com/news/best-digital-pr-agencies/")</f>
        <v>https://thriveagency.com/news/best-digital-pr-agencies/</v>
      </c>
      <c r="B1120" s="11" t="str">
        <f>IFERROR(__xludf.DUMMYFUNCTION("""COMPUTED_VALUE"""),"10 Best Digital PR Agencies in 2026 | Thrive Agency")</f>
        <v>10 Best Digital PR Agencies in 2026 | Thrive Agency</v>
      </c>
      <c r="C1120" s="10" t="str">
        <f>IFERROR(__xludf.DUMMYFUNCTION("""COMPUTED_VALUE"""),"thriveagency.com")</f>
        <v>thriveagency.com</v>
      </c>
      <c r="D1120" s="11" t="str">
        <f>IFERROR(__xludf.DUMMYFUNCTION("""COMPUTED_VALUE"""),"LISTICLE")</f>
        <v>LISTICLE</v>
      </c>
      <c r="E1120" s="11" t="str">
        <f>IFERROR(__xludf.DUMMYFUNCTION("""COMPUTED_VALUE"""),"COMPETITOR")</f>
        <v>COMPETITOR</v>
      </c>
      <c r="F1120" s="11" t="str">
        <f>IFERROR(__xludf.DUMMYFUNCTION("""COMPUTED_VALUE"""),"Listicle")</f>
        <v>Listicle</v>
      </c>
      <c r="G1120" s="11" t="b">
        <f>IFERROR(__xludf.DUMMYFUNCTION("""COMPUTED_VALUE"""),FALSE)</f>
        <v>0</v>
      </c>
      <c r="H1120" s="11" t="str">
        <f>IFERROR(__xludf.DUMMYFUNCTION("""COMPUTED_VALUE"""),"Thrive Internet Marketing Agency, Go Fish Digital, Momentum")</f>
        <v>Thrive Internet Marketing Agency, Go Fish Digital, Momentum</v>
      </c>
      <c r="I1120" s="11">
        <f>IFERROR(__xludf.DUMMYFUNCTION("""COMPUTED_VALUE"""),1.0)</f>
        <v>1</v>
      </c>
      <c r="J1120" s="11">
        <f>IFERROR(__xludf.DUMMYFUNCTION("""COMPUTED_VALUE"""),0.0)</f>
        <v>0</v>
      </c>
      <c r="K1120" s="11">
        <f>IFERROR(__xludf.DUMMYFUNCTION("""COMPUTED_VALUE"""),1.0)</f>
        <v>1</v>
      </c>
      <c r="L1120" s="11"/>
    </row>
    <row r="1121">
      <c r="A1121" s="10" t="str">
        <f>IFERROR(__xludf.DUMMYFUNCTION("""COMPUTED_VALUE"""),"https://thriveagency.com/news/best-social-media-marketing-companies/")</f>
        <v>https://thriveagency.com/news/best-social-media-marketing-companies/</v>
      </c>
      <c r="B1121" s="11" t="str">
        <f>IFERROR(__xludf.DUMMYFUNCTION("""COMPUTED_VALUE"""),"19 Best Social Media Marketing Companies in 2026 | Thrive")</f>
        <v>19 Best Social Media Marketing Companies in 2026 | Thrive</v>
      </c>
      <c r="C1121" s="10" t="str">
        <f>IFERROR(__xludf.DUMMYFUNCTION("""COMPUTED_VALUE"""),"thriveagency.com")</f>
        <v>thriveagency.com</v>
      </c>
      <c r="D1121" s="11" t="str">
        <f>IFERROR(__xludf.DUMMYFUNCTION("""COMPUTED_VALUE"""),"LISTICLE")</f>
        <v>LISTICLE</v>
      </c>
      <c r="E1121" s="11" t="str">
        <f>IFERROR(__xludf.DUMMYFUNCTION("""COMPUTED_VALUE"""),"COMPETITOR")</f>
        <v>COMPETITOR</v>
      </c>
      <c r="F1121" s="11" t="str">
        <f>IFERROR(__xludf.DUMMYFUNCTION("""COMPUTED_VALUE"""),"Listicle")</f>
        <v>Listicle</v>
      </c>
      <c r="G1121" s="11" t="b">
        <f>IFERROR(__xludf.DUMMYFUNCTION("""COMPUTED_VALUE"""),FALSE)</f>
        <v>0</v>
      </c>
      <c r="H1121" s="11" t="str">
        <f>IFERROR(__xludf.DUMMYFUNCTION("""COMPUTED_VALUE"""),"Thrive Internet Marketing Agency, Sociallyin, KlientBoost, Power Digital, Hawke Media, Clutch")</f>
        <v>Thrive Internet Marketing Agency, Sociallyin, KlientBoost, Power Digital, Hawke Media, Clutch</v>
      </c>
      <c r="I1121" s="11">
        <f>IFERROR(__xludf.DUMMYFUNCTION("""COMPUTED_VALUE"""),1.0)</f>
        <v>1</v>
      </c>
      <c r="J1121" s="11">
        <f>IFERROR(__xludf.DUMMYFUNCTION("""COMPUTED_VALUE"""),0.0)</f>
        <v>0</v>
      </c>
      <c r="K1121" s="11">
        <f>IFERROR(__xludf.DUMMYFUNCTION("""COMPUTED_VALUE"""),1.0)</f>
        <v>1</v>
      </c>
      <c r="L1121" s="11"/>
    </row>
    <row r="1122">
      <c r="A1122" s="10" t="str">
        <f>IFERROR(__xludf.DUMMYFUNCTION("""COMPUTED_VALUE"""),"https://trailblazermktg.com/blog/best-seo-agency-in-the-usa#:~:text=They%20operate%20in%2015%2B%20languages,around%20content%20and%20authority%20signals.")</f>
        <v>https://trailblazermktg.com/blog/best-seo-agency-in-the-usa#:~:text=They%20operate%20in%2015%2B%20languages,around%20content%20and%20authority%20signals.</v>
      </c>
      <c r="B1122" s="11" t="str">
        <f>IFERROR(__xludf.DUMMYFUNCTION("""COMPUTED_VALUE"""),"42 Best SEO Agencies in the USA in 2026 to Grow Traffic &amp;amp; Revenue - Trailblazer")</f>
        <v>42 Best SEO Agencies in the USA in 2026 to Grow Traffic &amp;amp; Revenue - Trailblazer</v>
      </c>
      <c r="C1122" s="10" t="str">
        <f>IFERROR(__xludf.DUMMYFUNCTION("""COMPUTED_VALUE"""),"trailblazermktg.com")</f>
        <v>trailblazermktg.com</v>
      </c>
      <c r="D1122" s="11" t="str">
        <f>IFERROR(__xludf.DUMMYFUNCTION("""COMPUTED_VALUE"""),"LISTICLE")</f>
        <v>LISTICLE</v>
      </c>
      <c r="E1122" s="11" t="str">
        <f>IFERROR(__xludf.DUMMYFUNCTION("""COMPUTED_VALUE"""),"CORPORATE")</f>
        <v>CORPORATE</v>
      </c>
      <c r="F1122" s="11" t="str">
        <f>IFERROR(__xludf.DUMMYFUNCTION("""COMPUTED_VALUE"""),"Listicle")</f>
        <v>Listicle</v>
      </c>
      <c r="G1122" s="11" t="b">
        <f>IFERROR(__xludf.DUMMYFUNCTION("""COMPUTED_VALUE"""),FALSE)</f>
        <v>0</v>
      </c>
      <c r="H1122" s="11" t="str">
        <f>IFERROR(__xludf.DUMMYFUNCTION("""COMPUTED_VALUE"""),"Momentum, WebFX, Clutch, First Page Sage, Victorious, Thrive Internet Marketing Agency, Ignite Visibility, SmartSites, LYFE Marketing, NinjaPromo, Storm Brain, Go Fish Digital, Funnel Boost Media, KlientBoost, Major Tom, Searchbloom, Directive, Siege Medi"&amp;"a")</f>
        <v>Momentum, WebFX, Clutch, First Page Sage, Victorious, Thrive Internet Marketing Agency, Ignite Visibility, SmartSites, LYFE Marketing, NinjaPromo, Storm Brain, Go Fish Digital, Funnel Boost Media, KlientBoost, Major Tom, Searchbloom, Directive, Siege Media</v>
      </c>
      <c r="I1122" s="11">
        <f>IFERROR(__xludf.DUMMYFUNCTION("""COMPUTED_VALUE"""),1.0)</f>
        <v>1</v>
      </c>
      <c r="J1122" s="11">
        <f>IFERROR(__xludf.DUMMYFUNCTION("""COMPUTED_VALUE"""),0.0)</f>
        <v>0</v>
      </c>
      <c r="K1122" s="11">
        <f>IFERROR(__xludf.DUMMYFUNCTION("""COMPUTED_VALUE"""),1.0)</f>
        <v>1</v>
      </c>
      <c r="L1122" s="11"/>
    </row>
    <row r="1123">
      <c r="A1123" s="10" t="str">
        <f>IFERROR(__xludf.DUMMYFUNCTION("""COMPUTED_VALUE"""),"https://tribetronics.com/blog/top-ai-marketing-agencies-in-usa")</f>
        <v>https://tribetronics.com/blog/top-ai-marketing-agencies-in-usa</v>
      </c>
      <c r="B1123" s="11" t="str">
        <f>IFERROR(__xludf.DUMMYFUNCTION("""COMPUTED_VALUE"""),"Top AI Marketing Agencies in USA | Tribetronics")</f>
        <v>Top AI Marketing Agencies in USA | Tribetronics</v>
      </c>
      <c r="C1123" s="10" t="str">
        <f>IFERROR(__xludf.DUMMYFUNCTION("""COMPUTED_VALUE"""),"tribetronics.com")</f>
        <v>tribetronics.com</v>
      </c>
      <c r="D1123" s="11" t="str">
        <f>IFERROR(__xludf.DUMMYFUNCTION("""COMPUTED_VALUE"""),"LISTICLE")</f>
        <v>LISTICLE</v>
      </c>
      <c r="E1123" s="11" t="str">
        <f>IFERROR(__xludf.DUMMYFUNCTION("""COMPUTED_VALUE"""),"CORPORATE")</f>
        <v>CORPORATE</v>
      </c>
      <c r="F1123" s="11" t="str">
        <f>IFERROR(__xludf.DUMMYFUNCTION("""COMPUTED_VALUE"""),"Listicle")</f>
        <v>Listicle</v>
      </c>
      <c r="G1123" s="11" t="b">
        <f>IFERROR(__xludf.DUMMYFUNCTION("""COMPUTED_VALUE"""),FALSE)</f>
        <v>0</v>
      </c>
      <c r="H1123" s="11"/>
      <c r="I1123" s="11">
        <f>IFERROR(__xludf.DUMMYFUNCTION("""COMPUTED_VALUE"""),1.0)</f>
        <v>1</v>
      </c>
      <c r="J1123" s="11">
        <f>IFERROR(__xludf.DUMMYFUNCTION("""COMPUTED_VALUE"""),0.0)</f>
        <v>0</v>
      </c>
      <c r="K1123" s="11">
        <f>IFERROR(__xludf.DUMMYFUNCTION("""COMPUTED_VALUE"""),1.0)</f>
        <v>1</v>
      </c>
      <c r="L1123" s="11"/>
    </row>
    <row r="1124">
      <c r="A1124" s="10" t="str">
        <f>IFERROR(__xludf.DUMMYFUNCTION("""COMPUTED_VALUE"""),"https://www.tripledart.com/ai-marketing/ai-marketing-agencies")</f>
        <v>https://www.tripledart.com/ai-marketing/ai-marketing-agencies</v>
      </c>
      <c r="B1124" s="11" t="str">
        <f>IFERROR(__xludf.DUMMYFUNCTION("""COMPUTED_VALUE"""),"7 Best B2B AI Marketing Agencies for 2026")</f>
        <v>7 Best B2B AI Marketing Agencies for 2026</v>
      </c>
      <c r="C1124" s="10" t="str">
        <f>IFERROR(__xludf.DUMMYFUNCTION("""COMPUTED_VALUE"""),"tripledart.com")</f>
        <v>tripledart.com</v>
      </c>
      <c r="D1124" s="11" t="str">
        <f>IFERROR(__xludf.DUMMYFUNCTION("""COMPUTED_VALUE"""),"LISTICLE")</f>
        <v>LISTICLE</v>
      </c>
      <c r="E1124" s="11" t="str">
        <f>IFERROR(__xludf.DUMMYFUNCTION("""COMPUTED_VALUE"""),"OTHER")</f>
        <v>OTHER</v>
      </c>
      <c r="F1124" s="11" t="str">
        <f>IFERROR(__xludf.DUMMYFUNCTION("""COMPUTED_VALUE"""),"Listicle")</f>
        <v>Listicle</v>
      </c>
      <c r="G1124" s="11" t="b">
        <f>IFERROR(__xludf.DUMMYFUNCTION("""COMPUTED_VALUE"""),FALSE)</f>
        <v>0</v>
      </c>
      <c r="H1124" s="11" t="str">
        <f>IFERROR(__xludf.DUMMYFUNCTION("""COMPUTED_VALUE"""),"Single Grain, NoGood, Major Tom, Clutch, Croud")</f>
        <v>Single Grain, NoGood, Major Tom, Clutch, Croud</v>
      </c>
      <c r="I1124" s="11">
        <f>IFERROR(__xludf.DUMMYFUNCTION("""COMPUTED_VALUE"""),1.0)</f>
        <v>1</v>
      </c>
      <c r="J1124" s="11">
        <f>IFERROR(__xludf.DUMMYFUNCTION("""COMPUTED_VALUE"""),0.0)</f>
        <v>0</v>
      </c>
      <c r="K1124" s="11">
        <f>IFERROR(__xludf.DUMMYFUNCTION("""COMPUTED_VALUE"""),1.0)</f>
        <v>1</v>
      </c>
      <c r="L1124" s="11"/>
    </row>
    <row r="1125">
      <c r="A1125" s="10" t="str">
        <f>IFERROR(__xludf.DUMMYFUNCTION("""COMPUTED_VALUE"""),"https://www.tripledart.com/ai-seo/ai-seo-agencies")</f>
        <v>https://www.tripledart.com/ai-seo/ai-seo-agencies</v>
      </c>
      <c r="B1125" s="11" t="str">
        <f>IFERROR(__xludf.DUMMYFUNCTION("""COMPUTED_VALUE"""),"Best AI SEO Agencies in 2026")</f>
        <v>Best AI SEO Agencies in 2026</v>
      </c>
      <c r="C1125" s="10" t="str">
        <f>IFERROR(__xludf.DUMMYFUNCTION("""COMPUTED_VALUE"""),"tripledart.com")</f>
        <v>tripledart.com</v>
      </c>
      <c r="D1125" s="11" t="str">
        <f>IFERROR(__xludf.DUMMYFUNCTION("""COMPUTED_VALUE"""),"LISTICLE")</f>
        <v>LISTICLE</v>
      </c>
      <c r="E1125" s="11" t="str">
        <f>IFERROR(__xludf.DUMMYFUNCTION("""COMPUTED_VALUE"""),"OTHER")</f>
        <v>OTHER</v>
      </c>
      <c r="F1125" s="11" t="str">
        <f>IFERROR(__xludf.DUMMYFUNCTION("""COMPUTED_VALUE"""),"Listicle")</f>
        <v>Listicle</v>
      </c>
      <c r="G1125" s="11" t="b">
        <f>IFERROR(__xludf.DUMMYFUNCTION("""COMPUTED_VALUE"""),FALSE)</f>
        <v>0</v>
      </c>
      <c r="H1125" s="11" t="str">
        <f>IFERROR(__xludf.DUMMYFUNCTION("""COMPUTED_VALUE"""),"iPullRank, First Page Sage, WebFX, NoGood, SmartSites, Omniscient Digital, Siege Media, Measured")</f>
        <v>iPullRank, First Page Sage, WebFX, NoGood, SmartSites, Omniscient Digital, Siege Media, Measured</v>
      </c>
      <c r="I1125" s="11">
        <f>IFERROR(__xludf.DUMMYFUNCTION("""COMPUTED_VALUE"""),1.0)</f>
        <v>1</v>
      </c>
      <c r="J1125" s="11">
        <f>IFERROR(__xludf.DUMMYFUNCTION("""COMPUTED_VALUE"""),0.0)</f>
        <v>0</v>
      </c>
      <c r="K1125" s="11">
        <f>IFERROR(__xludf.DUMMYFUNCTION("""COMPUTED_VALUE"""),1.0)</f>
        <v>1</v>
      </c>
      <c r="L1125" s="11"/>
    </row>
    <row r="1126">
      <c r="A1126" s="10" t="str">
        <f>IFERROR(__xludf.DUMMYFUNCTION("""COMPUTED_VALUE"""),"https://www.tripledart.com/saas-seo/agencies")</f>
        <v>https://www.tripledart.com/saas-seo/agencies</v>
      </c>
      <c r="B1126" s="11" t="str">
        <f>IFERROR(__xludf.DUMMYFUNCTION("""COMPUTED_VALUE"""),"Top SaaS SEO Agencies in 2026")</f>
        <v>Top SaaS SEO Agencies in 2026</v>
      </c>
      <c r="C1126" s="10" t="str">
        <f>IFERROR(__xludf.DUMMYFUNCTION("""COMPUTED_VALUE"""),"tripledart.com")</f>
        <v>tripledart.com</v>
      </c>
      <c r="D1126" s="11" t="str">
        <f>IFERROR(__xludf.DUMMYFUNCTION("""COMPUTED_VALUE"""),"LISTICLE")</f>
        <v>LISTICLE</v>
      </c>
      <c r="E1126" s="11" t="str">
        <f>IFERROR(__xludf.DUMMYFUNCTION("""COMPUTED_VALUE"""),"OTHER")</f>
        <v>OTHER</v>
      </c>
      <c r="F1126" s="11" t="str">
        <f>IFERROR(__xludf.DUMMYFUNCTION("""COMPUTED_VALUE"""),"Listicle")</f>
        <v>Listicle</v>
      </c>
      <c r="G1126" s="11" t="b">
        <f>IFERROR(__xludf.DUMMYFUNCTION("""COMPUTED_VALUE"""),FALSE)</f>
        <v>0</v>
      </c>
      <c r="H1126" s="11" t="str">
        <f>IFERROR(__xludf.DUMMYFUNCTION("""COMPUTED_VALUE"""),"Omniscient Digital, Single Grain, Directive, Optimist, Clutch, WebFX")</f>
        <v>Omniscient Digital, Single Grain, Directive, Optimist, Clutch, WebFX</v>
      </c>
      <c r="I1126" s="11">
        <f>IFERROR(__xludf.DUMMYFUNCTION("""COMPUTED_VALUE"""),1.0)</f>
        <v>1</v>
      </c>
      <c r="J1126" s="11">
        <f>IFERROR(__xludf.DUMMYFUNCTION("""COMPUTED_VALUE"""),0.0)</f>
        <v>0</v>
      </c>
      <c r="K1126" s="11">
        <f>IFERROR(__xludf.DUMMYFUNCTION("""COMPUTED_VALUE"""),1.0)</f>
        <v>1</v>
      </c>
      <c r="L1126" s="11"/>
    </row>
    <row r="1127">
      <c r="A1127" s="10" t="str">
        <f>IFERROR(__xludf.DUMMYFUNCTION("""COMPUTED_VALUE"""),"https://www.uforocks.com/blog/20-top-marketing-agencies-in-kansas-city-for-impressive-business-growth/")</f>
        <v>https://www.uforocks.com/blog/20-top-marketing-agencies-in-kansas-city-for-impressive-business-growth/</v>
      </c>
      <c r="B1127" s="11" t="str">
        <f>IFERROR(__xludf.DUMMYFUNCTION("""COMPUTED_VALUE"""),"20 Top Marketing Agencies in Kansas City for Impressive Business Growth - UFO Digital Marketing Agency")</f>
        <v>20 Top Marketing Agencies in Kansas City for Impressive Business Growth - UFO Digital Marketing Agency</v>
      </c>
      <c r="C1127" s="10" t="str">
        <f>IFERROR(__xludf.DUMMYFUNCTION("""COMPUTED_VALUE"""),"uforocks.com")</f>
        <v>uforocks.com</v>
      </c>
      <c r="D1127" s="11" t="str">
        <f>IFERROR(__xludf.DUMMYFUNCTION("""COMPUTED_VALUE"""),"LISTICLE")</f>
        <v>LISTICLE</v>
      </c>
      <c r="E1127" s="11" t="str">
        <f>IFERROR(__xludf.DUMMYFUNCTION("""COMPUTED_VALUE"""),"CORPORATE")</f>
        <v>CORPORATE</v>
      </c>
      <c r="F1127" s="11" t="str">
        <f>IFERROR(__xludf.DUMMYFUNCTION("""COMPUTED_VALUE"""),"Listicle")</f>
        <v>Listicle</v>
      </c>
      <c r="G1127" s="11" t="b">
        <f>IFERROR(__xludf.DUMMYFUNCTION("""COMPUTED_VALUE"""),FALSE)</f>
        <v>0</v>
      </c>
      <c r="H1127" s="11"/>
      <c r="I1127" s="11">
        <f>IFERROR(__xludf.DUMMYFUNCTION("""COMPUTED_VALUE"""),1.0)</f>
        <v>1</v>
      </c>
      <c r="J1127" s="11">
        <f>IFERROR(__xludf.DUMMYFUNCTION("""COMPUTED_VALUE"""),0.0)</f>
        <v>0</v>
      </c>
      <c r="K1127" s="11">
        <f>IFERROR(__xludf.DUMMYFUNCTION("""COMPUTED_VALUE"""),0.0)</f>
        <v>0</v>
      </c>
      <c r="L1127" s="11"/>
    </row>
    <row r="1128">
      <c r="A1128" s="10" t="str">
        <f>IFERROR(__xludf.DUMMYFUNCTION("""COMPUTED_VALUE"""),"https://ugcengine.ai/blog/best-aeo-agencies")</f>
        <v>https://ugcengine.ai/blog/best-aeo-agencies</v>
      </c>
      <c r="B1128" s="11" t="str">
        <f>IFERROR(__xludf.DUMMYFUNCTION("""COMPUTED_VALUE"""),"Best AEO Agencies in 2026: 9 Top Firms for AI Search Visibility")</f>
        <v>Best AEO Agencies in 2026: 9 Top Firms for AI Search Visibility</v>
      </c>
      <c r="C1128" s="10" t="str">
        <f>IFERROR(__xludf.DUMMYFUNCTION("""COMPUTED_VALUE"""),"ugcengine.ai")</f>
        <v>ugcengine.ai</v>
      </c>
      <c r="D1128" s="11" t="str">
        <f>IFERROR(__xludf.DUMMYFUNCTION("""COMPUTED_VALUE"""),"LISTICLE")</f>
        <v>LISTICLE</v>
      </c>
      <c r="E1128" s="11" t="str">
        <f>IFERROR(__xludf.DUMMYFUNCTION("""COMPUTED_VALUE"""),"CORPORATE")</f>
        <v>CORPORATE</v>
      </c>
      <c r="F1128" s="11" t="str">
        <f>IFERROR(__xludf.DUMMYFUNCTION("""COMPUTED_VALUE"""),"Listicle")</f>
        <v>Listicle</v>
      </c>
      <c r="G1128" s="11" t="b">
        <f>IFERROR(__xludf.DUMMYFUNCTION("""COMPUTED_VALUE"""),FALSE)</f>
        <v>0</v>
      </c>
      <c r="H1128" s="11" t="str">
        <f>IFERROR(__xludf.DUMMYFUNCTION("""COMPUTED_VALUE"""),"NoGood, iPullRank, Animalz, Omniscient Digital, Graphite, First Page Sage, Amsive, Momentum")</f>
        <v>NoGood, iPullRank, Animalz, Omniscient Digital, Graphite, First Page Sage, Amsive, Momentum</v>
      </c>
      <c r="I1128" s="11">
        <f>IFERROR(__xludf.DUMMYFUNCTION("""COMPUTED_VALUE"""),1.0)</f>
        <v>1</v>
      </c>
      <c r="J1128" s="11">
        <f>IFERROR(__xludf.DUMMYFUNCTION("""COMPUTED_VALUE"""),0.0)</f>
        <v>0</v>
      </c>
      <c r="K1128" s="11">
        <f>IFERROR(__xludf.DUMMYFUNCTION("""COMPUTED_VALUE"""),1.0)</f>
        <v>1</v>
      </c>
      <c r="L1128" s="11"/>
    </row>
    <row r="1129">
      <c r="A1129" s="10" t="str">
        <f>IFERROR(__xludf.DUMMYFUNCTION("""COMPUTED_VALUE"""),"https://uitop.design/blog/design/b2b-design-agency/")</f>
        <v>https://uitop.design/blog/design/b2b-design-agency/</v>
      </c>
      <c r="B1129" s="11" t="str">
        <f>IFERROR(__xludf.DUMMYFUNCTION("""COMPUTED_VALUE"""),"TOP-5 B2B Design Agencies in 2025 | UITOP")</f>
        <v>TOP-5 B2B Design Agencies in 2025 | UITOP</v>
      </c>
      <c r="C1129" s="11" t="str">
        <f>IFERROR(__xludf.DUMMYFUNCTION("""COMPUTED_VALUE"""),"uitop.design")</f>
        <v>uitop.design</v>
      </c>
      <c r="D1129" s="11" t="str">
        <f>IFERROR(__xludf.DUMMYFUNCTION("""COMPUTED_VALUE"""),"LISTICLE")</f>
        <v>LISTICLE</v>
      </c>
      <c r="E1129" s="11" t="str">
        <f>IFERROR(__xludf.DUMMYFUNCTION("""COMPUTED_VALUE"""),"CORPORATE")</f>
        <v>CORPORATE</v>
      </c>
      <c r="F1129" s="11" t="str">
        <f>IFERROR(__xludf.DUMMYFUNCTION("""COMPUTED_VALUE"""),"Listicle")</f>
        <v>Listicle</v>
      </c>
      <c r="G1129" s="11" t="b">
        <f>IFERROR(__xludf.DUMMYFUNCTION("""COMPUTED_VALUE"""),FALSE)</f>
        <v>0</v>
      </c>
      <c r="H1129" s="11" t="str">
        <f>IFERROR(__xludf.DUMMYFUNCTION("""COMPUTED_VALUE"""),"Clay, Pentagram, Clutch")</f>
        <v>Clay, Pentagram, Clutch</v>
      </c>
      <c r="I1129" s="11">
        <f>IFERROR(__xludf.DUMMYFUNCTION("""COMPUTED_VALUE"""),1.0)</f>
        <v>1</v>
      </c>
      <c r="J1129" s="11">
        <f>IFERROR(__xludf.DUMMYFUNCTION("""COMPUTED_VALUE"""),0.0)</f>
        <v>0</v>
      </c>
      <c r="K1129" s="11">
        <f>IFERROR(__xludf.DUMMYFUNCTION("""COMPUTED_VALUE"""),1.0)</f>
        <v>1</v>
      </c>
      <c r="L1129" s="11"/>
    </row>
    <row r="1130">
      <c r="A1130" s="10" t="str">
        <f>IFERROR(__xludf.DUMMYFUNCTION("""COMPUTED_VALUE"""),"https://www.usekaya.com/blog/b2b-marketing-agencies-for-ads")</f>
        <v>https://www.usekaya.com/blog/b2b-marketing-agencies-for-ads</v>
      </c>
      <c r="B1130" s="11" t="str">
        <f>IFERROR(__xludf.DUMMYFUNCTION("""COMPUTED_VALUE"""),"Top B2B Marketing Agencies for Paid Ads in 2025 \| Kaya")</f>
        <v>Top B2B Marketing Agencies for Paid Ads in 2025 \| Kaya</v>
      </c>
      <c r="C1130" s="10" t="str">
        <f>IFERROR(__xludf.DUMMYFUNCTION("""COMPUTED_VALUE"""),"usekaya.com")</f>
        <v>usekaya.com</v>
      </c>
      <c r="D1130" s="11" t="str">
        <f>IFERROR(__xludf.DUMMYFUNCTION("""COMPUTED_VALUE"""),"LISTICLE")</f>
        <v>LISTICLE</v>
      </c>
      <c r="E1130" s="11" t="str">
        <f>IFERROR(__xludf.DUMMYFUNCTION("""COMPUTED_VALUE"""),"OTHER")</f>
        <v>OTHER</v>
      </c>
      <c r="F1130" s="11" t="str">
        <f>IFERROR(__xludf.DUMMYFUNCTION("""COMPUTED_VALUE"""),"Listicle")</f>
        <v>Listicle</v>
      </c>
      <c r="G1130" s="11" t="b">
        <f>IFERROR(__xludf.DUMMYFUNCTION("""COMPUTED_VALUE"""),FALSE)</f>
        <v>0</v>
      </c>
      <c r="H1130" s="11" t="str">
        <f>IFERROR(__xludf.DUMMYFUNCTION("""COMPUTED_VALUE"""),"Directive, WebFX, KlientBoost, Single Grain, Hey Digital, Metric Theory, Brainlabs, Measured, Huge")</f>
        <v>Directive, WebFX, KlientBoost, Single Grain, Hey Digital, Metric Theory, Brainlabs, Measured, Huge</v>
      </c>
      <c r="I1130" s="11">
        <f>IFERROR(__xludf.DUMMYFUNCTION("""COMPUTED_VALUE"""),1.0)</f>
        <v>1</v>
      </c>
      <c r="J1130" s="11">
        <f>IFERROR(__xludf.DUMMYFUNCTION("""COMPUTED_VALUE"""),0.0)</f>
        <v>0</v>
      </c>
      <c r="K1130" s="11">
        <f>IFERROR(__xludf.DUMMYFUNCTION("""COMPUTED_VALUE"""),1.0)</f>
        <v>1</v>
      </c>
      <c r="L1130" s="11"/>
    </row>
    <row r="1131">
      <c r="A1131" s="10" t="str">
        <f>IFERROR(__xludf.DUMMYFUNCTION("""COMPUTED_VALUE"""),"https://usermaven.com/blog/marketing-attribution-tools")</f>
        <v>https://usermaven.com/blog/marketing-attribution-tools</v>
      </c>
      <c r="B1131" s="11" t="str">
        <f>IFERROR(__xludf.DUMMYFUNCTION("""COMPUTED_VALUE"""),"15 best marketing attribution tools (compared for 2026)")</f>
        <v>15 best marketing attribution tools (compared for 2026)</v>
      </c>
      <c r="C1131" s="10" t="str">
        <f>IFERROR(__xludf.DUMMYFUNCTION("""COMPUTED_VALUE"""),"usermaven.com")</f>
        <v>usermaven.com</v>
      </c>
      <c r="D1131" s="11" t="str">
        <f>IFERROR(__xludf.DUMMYFUNCTION("""COMPUTED_VALUE"""),"LISTICLE")</f>
        <v>LISTICLE</v>
      </c>
      <c r="E1131" s="11" t="str">
        <f>IFERROR(__xludf.DUMMYFUNCTION("""COMPUTED_VALUE"""),"CORPORATE")</f>
        <v>CORPORATE</v>
      </c>
      <c r="F1131" s="11" t="str">
        <f>IFERROR(__xludf.DUMMYFUNCTION("""COMPUTED_VALUE"""),"Listicle")</f>
        <v>Listicle</v>
      </c>
      <c r="G1131" s="11" t="b">
        <f>IFERROR(__xludf.DUMMYFUNCTION("""COMPUTED_VALUE"""),FALSE)</f>
        <v>0</v>
      </c>
      <c r="H1131" s="11" t="str">
        <f>IFERROR(__xludf.DUMMYFUNCTION("""COMPUTED_VALUE"""),"HockeyStack, Triple Whale, Cometly, Rockerbox, Measured, Ruler Analytics, Northbeam")</f>
        <v>HockeyStack, Triple Whale, Cometly, Rockerbox, Measured, Ruler Analytics, Northbeam</v>
      </c>
      <c r="I1131" s="11">
        <f>IFERROR(__xludf.DUMMYFUNCTION("""COMPUTED_VALUE"""),1.0)</f>
        <v>1</v>
      </c>
      <c r="J1131" s="11">
        <f>IFERROR(__xludf.DUMMYFUNCTION("""COMPUTED_VALUE"""),0.0)</f>
        <v>0</v>
      </c>
      <c r="K1131" s="11">
        <f>IFERROR(__xludf.DUMMYFUNCTION("""COMPUTED_VALUE"""),1.0)</f>
        <v>1</v>
      </c>
      <c r="L1131" s="11"/>
    </row>
    <row r="1132">
      <c r="A1132" s="10" t="str">
        <f>IFERROR(__xludf.DUMMYFUNCTION("""COMPUTED_VALUE"""),"https://www.venturemedia.io/post/top-social-media-marketing-agencies-in-the-united-states#:~:text=Sociallyin%20is%20a%20creative%2Dled%20social%20media%20marketing,strong%20blend%20of%20creativity%20with%20data%2Ddriven%20strategy.")</f>
        <v>https://www.venturemedia.io/post/top-social-media-marketing-agencies-in-the-united-states#:~:text=Sociallyin%20is%20a%20creative%2Dled%20social%20media%20marketing,strong%20blend%20of%20creativity%20with%20data%2Ddriven%20strategy.</v>
      </c>
      <c r="B1132" s="11" t="str">
        <f>IFERROR(__xludf.DUMMYFUNCTION("""COMPUTED_VALUE"""),"Top Social Media Marketing Agencies in the US (2026)")</f>
        <v>Top Social Media Marketing Agencies in the US (2026)</v>
      </c>
      <c r="C1132" s="10" t="str">
        <f>IFERROR(__xludf.DUMMYFUNCTION("""COMPUTED_VALUE"""),"venturemedia.io")</f>
        <v>venturemedia.io</v>
      </c>
      <c r="D1132" s="11" t="str">
        <f>IFERROR(__xludf.DUMMYFUNCTION("""COMPUTED_VALUE"""),"OTHER")</f>
        <v>OTHER</v>
      </c>
      <c r="E1132" s="11" t="str">
        <f>IFERROR(__xludf.DUMMYFUNCTION("""COMPUTED_VALUE"""),"CORPORATE")</f>
        <v>CORPORATE</v>
      </c>
      <c r="F1132" s="11" t="str">
        <f>IFERROR(__xludf.DUMMYFUNCTION("""COMPUTED_VALUE"""),"Other")</f>
        <v>Other</v>
      </c>
      <c r="G1132" s="11" t="b">
        <f>IFERROR(__xludf.DUMMYFUNCTION("""COMPUTED_VALUE"""),FALSE)</f>
        <v>0</v>
      </c>
      <c r="H1132" s="11" t="str">
        <f>IFERROR(__xludf.DUMMYFUNCTION("""COMPUTED_VALUE"""),"Clutch, SmartSites, LYFE Marketing, Sociallyin, Disruptive Advertising, Ignite Visibility, Power Digital, VaynerMedia")</f>
        <v>Clutch, SmartSites, LYFE Marketing, Sociallyin, Disruptive Advertising, Ignite Visibility, Power Digital, VaynerMedia</v>
      </c>
      <c r="I1132" s="11">
        <f>IFERROR(__xludf.DUMMYFUNCTION("""COMPUTED_VALUE"""),1.0)</f>
        <v>1</v>
      </c>
      <c r="J1132" s="11">
        <f>IFERROR(__xludf.DUMMYFUNCTION("""COMPUTED_VALUE"""),0.0)</f>
        <v>0</v>
      </c>
      <c r="K1132" s="11">
        <f>IFERROR(__xludf.DUMMYFUNCTION("""COMPUTED_VALUE"""),2.0)</f>
        <v>2</v>
      </c>
      <c r="L1132" s="11"/>
    </row>
    <row r="1133">
      <c r="A1133" s="10" t="str">
        <f>IFERROR(__xludf.DUMMYFUNCTION("""COMPUTED_VALUE"""),"https://vibebranding.com/blog/best-performance-marketing-agencies/")</f>
        <v>https://vibebranding.com/blog/best-performance-marketing-agencies/</v>
      </c>
      <c r="B1133" s="11" t="str">
        <f>IFERROR(__xludf.DUMMYFUNCTION("""COMPUTED_VALUE"""),"Best Performance Marketing Agencies for ROI Growth 2025")</f>
        <v>Best Performance Marketing Agencies for ROI Growth 2025</v>
      </c>
      <c r="C1133" s="10" t="str">
        <f>IFERROR(__xludf.DUMMYFUNCTION("""COMPUTED_VALUE"""),"vibebranding.com")</f>
        <v>vibebranding.com</v>
      </c>
      <c r="D1133" s="11" t="str">
        <f>IFERROR(__xludf.DUMMYFUNCTION("""COMPUTED_VALUE"""),"LISTICLE")</f>
        <v>LISTICLE</v>
      </c>
      <c r="E1133" s="11" t="str">
        <f>IFERROR(__xludf.DUMMYFUNCTION("""COMPUTED_VALUE"""),"CORPORATE")</f>
        <v>CORPORATE</v>
      </c>
      <c r="F1133" s="11" t="str">
        <f>IFERROR(__xludf.DUMMYFUNCTION("""COMPUTED_VALUE"""),"Listicle")</f>
        <v>Listicle</v>
      </c>
      <c r="G1133" s="11" t="b">
        <f>IFERROR(__xludf.DUMMYFUNCTION("""COMPUTED_VALUE"""),FALSE)</f>
        <v>0</v>
      </c>
      <c r="H1133" s="11" t="str">
        <f>IFERROR(__xludf.DUMMYFUNCTION("""COMPUTED_VALUE"""),"Momentum, Clutch")</f>
        <v>Momentum, Clutch</v>
      </c>
      <c r="I1133" s="11">
        <f>IFERROR(__xludf.DUMMYFUNCTION("""COMPUTED_VALUE"""),1.0)</f>
        <v>1</v>
      </c>
      <c r="J1133" s="11">
        <f>IFERROR(__xludf.DUMMYFUNCTION("""COMPUTED_VALUE"""),0.0)</f>
        <v>0</v>
      </c>
      <c r="K1133" s="11">
        <f>IFERROR(__xludf.DUMMYFUNCTION("""COMPUTED_VALUE"""),0.0)</f>
        <v>0</v>
      </c>
      <c r="L1133" s="11"/>
    </row>
    <row r="1134">
      <c r="A1134" s="10" t="str">
        <f>IFERROR(__xludf.DUMMYFUNCTION("""COMPUTED_VALUE"""),"https://vidi-corp.com/ecommerce-analytics-companies/")</f>
        <v>https://vidi-corp.com/ecommerce-analytics-companies/</v>
      </c>
      <c r="B1134" s="11" t="str">
        <f>IFERROR(__xludf.DUMMYFUNCTION("""COMPUTED_VALUE"""),"Top 10 Ecommerce Analytics Companies For Data-Driven Growth")</f>
        <v>Top 10 Ecommerce Analytics Companies For Data-Driven Growth</v>
      </c>
      <c r="C1134" s="10" t="str">
        <f>IFERROR(__xludf.DUMMYFUNCTION("""COMPUTED_VALUE"""),"vidi-corp.com")</f>
        <v>vidi-corp.com</v>
      </c>
      <c r="D1134" s="11" t="str">
        <f>IFERROR(__xludf.DUMMYFUNCTION("""COMPUTED_VALUE"""),"LISTICLE")</f>
        <v>LISTICLE</v>
      </c>
      <c r="E1134" s="11" t="str">
        <f>IFERROR(__xludf.DUMMYFUNCTION("""COMPUTED_VALUE"""),"CORPORATE")</f>
        <v>CORPORATE</v>
      </c>
      <c r="F1134" s="11" t="str">
        <f>IFERROR(__xludf.DUMMYFUNCTION("""COMPUTED_VALUE"""),"Listicle")</f>
        <v>Listicle</v>
      </c>
      <c r="G1134" s="11" t="b">
        <f>IFERROR(__xludf.DUMMYFUNCTION("""COMPUTED_VALUE"""),FALSE)</f>
        <v>0</v>
      </c>
      <c r="H1134" s="11" t="str">
        <f>IFERROR(__xludf.DUMMYFUNCTION("""COMPUTED_VALUE"""),"Fractal Analytics, Artefact")</f>
        <v>Fractal Analytics, Artefact</v>
      </c>
      <c r="I1134" s="11">
        <f>IFERROR(__xludf.DUMMYFUNCTION("""COMPUTED_VALUE"""),1.0)</f>
        <v>1</v>
      </c>
      <c r="J1134" s="11">
        <f>IFERROR(__xludf.DUMMYFUNCTION("""COMPUTED_VALUE"""),0.0)</f>
        <v>0</v>
      </c>
      <c r="K1134" s="11">
        <f>IFERROR(__xludf.DUMMYFUNCTION("""COMPUTED_VALUE"""),1.0)</f>
        <v>1</v>
      </c>
      <c r="L1134" s="11"/>
    </row>
    <row r="1135">
      <c r="A1135" s="10" t="str">
        <f>IFERROR(__xludf.DUMMYFUNCTION("""COMPUTED_VALUE"""),"https://vidico.com/news/creative-advertising-agencies/")</f>
        <v>https://vidico.com/news/creative-advertising-agencies/</v>
      </c>
      <c r="B1135" s="11" t="str">
        <f>IFERROR(__xludf.DUMMYFUNCTION("""COMPUTED_VALUE"""),"15 Best Creative Advertising Agencies in 2026 (Complete Guide)")</f>
        <v>15 Best Creative Advertising Agencies in 2026 (Complete Guide)</v>
      </c>
      <c r="C1135" s="10" t="str">
        <f>IFERROR(__xludf.DUMMYFUNCTION("""COMPUTED_VALUE"""),"vidico.com")</f>
        <v>vidico.com</v>
      </c>
      <c r="D1135" s="11" t="str">
        <f>IFERROR(__xludf.DUMMYFUNCTION("""COMPUTED_VALUE"""),"LISTICLE")</f>
        <v>LISTICLE</v>
      </c>
      <c r="E1135" s="11" t="str">
        <f>IFERROR(__xludf.DUMMYFUNCTION("""COMPUTED_VALUE"""),"CORPORATE")</f>
        <v>CORPORATE</v>
      </c>
      <c r="F1135" s="11" t="str">
        <f>IFERROR(__xludf.DUMMYFUNCTION("""COMPUTED_VALUE"""),"Listicle")</f>
        <v>Listicle</v>
      </c>
      <c r="G1135" s="11" t="b">
        <f>IFERROR(__xludf.DUMMYFUNCTION("""COMPUTED_VALUE"""),FALSE)</f>
        <v>0</v>
      </c>
      <c r="H1135" s="11" t="str">
        <f>IFERROR(__xludf.DUMMYFUNCTION("""COMPUTED_VALUE"""),"Wieden+Kennedy, Ogilvy, Superside, Giant Spoon, IBM, WPP, Measured, Droga5, Accenture Song, Publicis Groupe, Dentsu, VML, BBDO, Kantar")</f>
        <v>Wieden+Kennedy, Ogilvy, Superside, Giant Spoon, IBM, WPP, Measured, Droga5, Accenture Song, Publicis Groupe, Dentsu, VML, BBDO, Kantar</v>
      </c>
      <c r="I1135" s="11">
        <f>IFERROR(__xludf.DUMMYFUNCTION("""COMPUTED_VALUE"""),1.0)</f>
        <v>1</v>
      </c>
      <c r="J1135" s="11">
        <f>IFERROR(__xludf.DUMMYFUNCTION("""COMPUTED_VALUE"""),0.0)</f>
        <v>0</v>
      </c>
      <c r="K1135" s="11">
        <f>IFERROR(__xludf.DUMMYFUNCTION("""COMPUTED_VALUE"""),0.0)</f>
        <v>0</v>
      </c>
      <c r="L1135" s="11"/>
    </row>
    <row r="1136">
      <c r="A1136" s="10" t="str">
        <f>IFERROR(__xludf.DUMMYFUNCTION("""COMPUTED_VALUE"""),"https://vietnammarcom.edu.vn/marketing/best-digital-marketing-agencies-winning-projects-around-the-world/")</f>
        <v>https://vietnammarcom.edu.vn/marketing/best-digital-marketing-agencies-winning-projects-around-the-world/</v>
      </c>
      <c r="B1136" s="11" t="str">
        <f>IFERROR(__xludf.DUMMYFUNCTION("""COMPUTED_VALUE"""),"Best Digital Marketing Agencies Winning Projects Around The World - VietnamMarcom")</f>
        <v>Best Digital Marketing Agencies Winning Projects Around The World - VietnamMarcom</v>
      </c>
      <c r="C1136" s="10" t="str">
        <f>IFERROR(__xludf.DUMMYFUNCTION("""COMPUTED_VALUE"""),"vietnammarcom.edu.vn")</f>
        <v>vietnammarcom.edu.vn</v>
      </c>
      <c r="D1136" s="11" t="str">
        <f>IFERROR(__xludf.DUMMYFUNCTION("""COMPUTED_VALUE"""),"LISTICLE")</f>
        <v>LISTICLE</v>
      </c>
      <c r="E1136" s="11" t="str">
        <f>IFERROR(__xludf.DUMMYFUNCTION("""COMPUTED_VALUE"""),"INSTITUTIONAL")</f>
        <v>INSTITUTIONAL</v>
      </c>
      <c r="F1136" s="11" t="str">
        <f>IFERROR(__xludf.DUMMYFUNCTION("""COMPUTED_VALUE"""),"Listicle")</f>
        <v>Listicle</v>
      </c>
      <c r="G1136" s="11" t="b">
        <f>IFERROR(__xludf.DUMMYFUNCTION("""COMPUTED_VALUE"""),FALSE)</f>
        <v>0</v>
      </c>
      <c r="H1136" s="11" t="str">
        <f>IFERROR(__xludf.DUMMYFUNCTION("""COMPUTED_VALUE"""),"WebFX, Disruptive Advertising, NoGood, Directive")</f>
        <v>WebFX, Disruptive Advertising, NoGood, Directive</v>
      </c>
      <c r="I1136" s="11">
        <f>IFERROR(__xludf.DUMMYFUNCTION("""COMPUTED_VALUE"""),1.0)</f>
        <v>1</v>
      </c>
      <c r="J1136" s="11">
        <f>IFERROR(__xludf.DUMMYFUNCTION("""COMPUTED_VALUE"""),0.0)</f>
        <v>0</v>
      </c>
      <c r="K1136" s="11">
        <f>IFERROR(__xludf.DUMMYFUNCTION("""COMPUTED_VALUE"""),1.0)</f>
        <v>1</v>
      </c>
      <c r="L1136" s="11"/>
    </row>
    <row r="1137">
      <c r="A1137" s="10" t="str">
        <f>IFERROR(__xludf.DUMMYFUNCTION("""COMPUTED_VALUE"""),"https://virtualadagency.com.au/top-digital-advertising-agencies/")</f>
        <v>https://virtualadagency.com.au/top-digital-advertising-agencies/</v>
      </c>
      <c r="B1137" s="11" t="str">
        <f>IFERROR(__xludf.DUMMYFUNCTION("""COMPUTED_VALUE"""),"7 Top Digital Advertising Agencies in Australia (2025 Guide)")</f>
        <v>7 Top Digital Advertising Agencies in Australia (2025 Guide)</v>
      </c>
      <c r="C1137" s="10" t="str">
        <f>IFERROR(__xludf.DUMMYFUNCTION("""COMPUTED_VALUE"""),"virtualadagency.com.au")</f>
        <v>virtualadagency.com.au</v>
      </c>
      <c r="D1137" s="11" t="str">
        <f>IFERROR(__xludf.DUMMYFUNCTION("""COMPUTED_VALUE"""),"LISTICLE")</f>
        <v>LISTICLE</v>
      </c>
      <c r="E1137" s="11" t="str">
        <f>IFERROR(__xludf.DUMMYFUNCTION("""COMPUTED_VALUE"""),"CORPORATE")</f>
        <v>CORPORATE</v>
      </c>
      <c r="F1137" s="11" t="str">
        <f>IFERROR(__xludf.DUMMYFUNCTION("""COMPUTED_VALUE"""),"Listicle")</f>
        <v>Listicle</v>
      </c>
      <c r="G1137" s="11" t="b">
        <f>IFERROR(__xludf.DUMMYFUNCTION("""COMPUTED_VALUE"""),FALSE)</f>
        <v>0</v>
      </c>
      <c r="H1137" s="11" t="str">
        <f>IFERROR(__xludf.DUMMYFUNCTION("""COMPUTED_VALUE"""),"Clutch")</f>
        <v>Clutch</v>
      </c>
      <c r="I1137" s="11">
        <f>IFERROR(__xludf.DUMMYFUNCTION("""COMPUTED_VALUE"""),1.0)</f>
        <v>1</v>
      </c>
      <c r="J1137" s="11">
        <f>IFERROR(__xludf.DUMMYFUNCTION("""COMPUTED_VALUE"""),0.0)</f>
        <v>0</v>
      </c>
      <c r="K1137" s="11">
        <f>IFERROR(__xludf.DUMMYFUNCTION("""COMPUTED_VALUE"""),0.0)</f>
        <v>0</v>
      </c>
      <c r="L1137" s="11"/>
    </row>
    <row r="1138">
      <c r="A1138" s="10" t="str">
        <f>IFERROR(__xludf.DUMMYFUNCTION("""COMPUTED_VALUE"""),"https://vstorm.co/agentic-ai/top-10-agentic-ai-development-and-consulting-companies-for-smbs-and-enterprises/")</f>
        <v>https://vstorm.co/agentic-ai/top-10-agentic-ai-development-and-consulting-companies-for-smbs-and-enterprises/</v>
      </c>
      <c r="B1138" s="11" t="str">
        <f>IFERROR(__xludf.DUMMYFUNCTION("""COMPUTED_VALUE"""),"Top 10 agentic AI development and consulting companies for SMBs and enterprises in 2026 - Vstorm")</f>
        <v>Top 10 agentic AI development and consulting companies for SMBs and enterprises in 2026 - Vstorm</v>
      </c>
      <c r="C1138" s="10" t="str">
        <f>IFERROR(__xludf.DUMMYFUNCTION("""COMPUTED_VALUE"""),"vstorm.co")</f>
        <v>vstorm.co</v>
      </c>
      <c r="D1138" s="11" t="str">
        <f>IFERROR(__xludf.DUMMYFUNCTION("""COMPUTED_VALUE"""),"LISTICLE")</f>
        <v>LISTICLE</v>
      </c>
      <c r="E1138" s="11" t="str">
        <f>IFERROR(__xludf.DUMMYFUNCTION("""COMPUTED_VALUE"""),"OTHER")</f>
        <v>OTHER</v>
      </c>
      <c r="F1138" s="11" t="str">
        <f>IFERROR(__xludf.DUMMYFUNCTION("""COMPUTED_VALUE"""),"Listicle")</f>
        <v>Listicle</v>
      </c>
      <c r="G1138" s="11" t="b">
        <f>IFERROR(__xludf.DUMMYFUNCTION("""COMPUTED_VALUE"""),FALSE)</f>
        <v>0</v>
      </c>
      <c r="H1138" s="11" t="str">
        <f>IFERROR(__xludf.DUMMYFUNCTION("""COMPUTED_VALUE"""),"Measured, WPP, McKinsey")</f>
        <v>Measured, WPP, McKinsey</v>
      </c>
      <c r="I1138" s="11">
        <f>IFERROR(__xludf.DUMMYFUNCTION("""COMPUTED_VALUE"""),1.0)</f>
        <v>1</v>
      </c>
      <c r="J1138" s="11">
        <f>IFERROR(__xludf.DUMMYFUNCTION("""COMPUTED_VALUE"""),0.0)</f>
        <v>0</v>
      </c>
      <c r="K1138" s="11">
        <f>IFERROR(__xludf.DUMMYFUNCTION("""COMPUTED_VALUE"""),1.0)</f>
        <v>1</v>
      </c>
      <c r="L1138" s="11"/>
    </row>
    <row r="1139">
      <c r="A1139" s="10" t="str">
        <f>IFERROR(__xludf.DUMMYFUNCTION("""COMPUTED_VALUE"""),"https://www.w3era.com/blog/local-seo/top-digital-marketing-agencies-usa/")</f>
        <v>https://www.w3era.com/blog/local-seo/top-digital-marketing-agencies-usa/</v>
      </c>
      <c r="B1139" s="11" t="str">
        <f>IFERROR(__xludf.DUMMYFUNCTION("""COMPUTED_VALUE"""),"Top 10 Digital Marketing Agencies in USA (2025 Guide)")</f>
        <v>Top 10 Digital Marketing Agencies in USA (2025 Guide)</v>
      </c>
      <c r="C1139" s="10" t="str">
        <f>IFERROR(__xludf.DUMMYFUNCTION("""COMPUTED_VALUE"""),"w3era.com")</f>
        <v>w3era.com</v>
      </c>
      <c r="D1139" s="11" t="str">
        <f>IFERROR(__xludf.DUMMYFUNCTION("""COMPUTED_VALUE"""),"LISTICLE")</f>
        <v>LISTICLE</v>
      </c>
      <c r="E1139" s="11" t="str">
        <f>IFERROR(__xludf.DUMMYFUNCTION("""COMPUTED_VALUE"""),"OTHER")</f>
        <v>OTHER</v>
      </c>
      <c r="F1139" s="11" t="str">
        <f>IFERROR(__xludf.DUMMYFUNCTION("""COMPUTED_VALUE"""),"Listicle")</f>
        <v>Listicle</v>
      </c>
      <c r="G1139" s="11" t="b">
        <f>IFERROR(__xludf.DUMMYFUNCTION("""COMPUTED_VALUE"""),FALSE)</f>
        <v>0</v>
      </c>
      <c r="H1139" s="11" t="str">
        <f>IFERROR(__xludf.DUMMYFUNCTION("""COMPUTED_VALUE"""),"Clutch, Ignite Visibility, WebFX, Disruptive Advertising, Thrive Internet Marketing Agency, SmartSites, LYFE Marketing, Directive, Measured")</f>
        <v>Clutch, Ignite Visibility, WebFX, Disruptive Advertising, Thrive Internet Marketing Agency, SmartSites, LYFE Marketing, Directive, Measured</v>
      </c>
      <c r="I1139" s="11">
        <f>IFERROR(__xludf.DUMMYFUNCTION("""COMPUTED_VALUE"""),1.0)</f>
        <v>1</v>
      </c>
      <c r="J1139" s="11">
        <f>IFERROR(__xludf.DUMMYFUNCTION("""COMPUTED_VALUE"""),0.0)</f>
        <v>0</v>
      </c>
      <c r="K1139" s="11">
        <f>IFERROR(__xludf.DUMMYFUNCTION("""COMPUTED_VALUE"""),0.0)</f>
        <v>0</v>
      </c>
      <c r="L1139" s="11"/>
    </row>
    <row r="1140">
      <c r="A1140" s="10" t="str">
        <f>IFERROR(__xludf.DUMMYFUNCTION("""COMPUTED_VALUE"""),"https://www.weareqry.com/blog/best-performance-marketing-agencies")</f>
        <v>https://www.weareqry.com/blog/best-performance-marketing-agencies</v>
      </c>
      <c r="B1140" s="11" t="str">
        <f>IFERROR(__xludf.DUMMYFUNCTION("""COMPUTED_VALUE"""),"Best Performance Marketing Agencies for 2026 | QRY")</f>
        <v>Best Performance Marketing Agencies for 2026 | QRY</v>
      </c>
      <c r="C1140" s="10" t="str">
        <f>IFERROR(__xludf.DUMMYFUNCTION("""COMPUTED_VALUE"""),"weareqry.com")</f>
        <v>weareqry.com</v>
      </c>
      <c r="D1140" s="11" t="str">
        <f>IFERROR(__xludf.DUMMYFUNCTION("""COMPUTED_VALUE"""),"LISTICLE")</f>
        <v>LISTICLE</v>
      </c>
      <c r="E1140" s="11" t="str">
        <f>IFERROR(__xludf.DUMMYFUNCTION("""COMPUTED_VALUE"""),"CORPORATE")</f>
        <v>CORPORATE</v>
      </c>
      <c r="F1140" s="11" t="str">
        <f>IFERROR(__xludf.DUMMYFUNCTION("""COMPUTED_VALUE"""),"Listicle")</f>
        <v>Listicle</v>
      </c>
      <c r="G1140" s="11" t="b">
        <f>IFERROR(__xludf.DUMMYFUNCTION("""COMPUTED_VALUE"""),FALSE)</f>
        <v>0</v>
      </c>
      <c r="H1140" s="11" t="str">
        <f>IFERROR(__xludf.DUMMYFUNCTION("""COMPUTED_VALUE"""),"Measured, Tinuiti, Power Digital, NoGood, Right Side Up, Major Tom, Hawke Media")</f>
        <v>Measured, Tinuiti, Power Digital, NoGood, Right Side Up, Major Tom, Hawke Media</v>
      </c>
      <c r="I1140" s="11">
        <f>IFERROR(__xludf.DUMMYFUNCTION("""COMPUTED_VALUE"""),1.0)</f>
        <v>1</v>
      </c>
      <c r="J1140" s="11">
        <f>IFERROR(__xludf.DUMMYFUNCTION("""COMPUTED_VALUE"""),0.0)</f>
        <v>0</v>
      </c>
      <c r="K1140" s="11">
        <f>IFERROR(__xludf.DUMMYFUNCTION("""COMPUTED_VALUE"""),0.0)</f>
        <v>0</v>
      </c>
      <c r="L1140" s="11"/>
    </row>
    <row r="1141">
      <c r="A1141" s="10" t="str">
        <f>IFERROR(__xludf.DUMMYFUNCTION("""COMPUTED_VALUE"""),"https://www.webfx.com/analytics/learn/top-marketing-analytics-companies/")</f>
        <v>https://www.webfx.com/analytics/learn/top-marketing-analytics-companies/</v>
      </c>
      <c r="B1141" s="11" t="str">
        <f>IFERROR(__xludf.DUMMYFUNCTION("""COMPUTED_VALUE"""),"11 Top Marketing Analytics Companies to Enhance Your Campaigns")</f>
        <v>11 Top Marketing Analytics Companies to Enhance Your Campaigns</v>
      </c>
      <c r="C1141" s="10" t="str">
        <f>IFERROR(__xludf.DUMMYFUNCTION("""COMPUTED_VALUE"""),"webfx.com")</f>
        <v>webfx.com</v>
      </c>
      <c r="D1141" s="11" t="str">
        <f>IFERROR(__xludf.DUMMYFUNCTION("""COMPUTED_VALUE"""),"LISTICLE")</f>
        <v>LISTICLE</v>
      </c>
      <c r="E1141" s="11" t="str">
        <f>IFERROR(__xludf.DUMMYFUNCTION("""COMPUTED_VALUE"""),"COMPETITOR")</f>
        <v>COMPETITOR</v>
      </c>
      <c r="F1141" s="11" t="str">
        <f>IFERROR(__xludf.DUMMYFUNCTION("""COMPUTED_VALUE"""),"Listicle")</f>
        <v>Listicle</v>
      </c>
      <c r="G1141" s="11" t="b">
        <f>IFERROR(__xludf.DUMMYFUNCTION("""COMPUTED_VALUE"""),FALSE)</f>
        <v>0</v>
      </c>
      <c r="H1141" s="11" t="str">
        <f>IFERROR(__xludf.DUMMYFUNCTION("""COMPUTED_VALUE"""),"WebFX")</f>
        <v>WebFX</v>
      </c>
      <c r="I1141" s="11">
        <f>IFERROR(__xludf.DUMMYFUNCTION("""COMPUTED_VALUE"""),1.0)</f>
        <v>1</v>
      </c>
      <c r="J1141" s="11">
        <f>IFERROR(__xludf.DUMMYFUNCTION("""COMPUTED_VALUE"""),0.0)</f>
        <v>0</v>
      </c>
      <c r="K1141" s="11">
        <f>IFERROR(__xludf.DUMMYFUNCTION("""COMPUTED_VALUE"""),1.0)</f>
        <v>1</v>
      </c>
      <c r="L1141" s="11"/>
    </row>
    <row r="1142">
      <c r="A1142" s="10" t="str">
        <f>IFERROR(__xludf.DUMMYFUNCTION("""COMPUTED_VALUE"""),"https://www.webtonic.io/blog/best-ai-powered-agencies")</f>
        <v>https://www.webtonic.io/blog/best-ai-powered-agencies</v>
      </c>
      <c r="B1142" s="11" t="str">
        <f>IFERROR(__xludf.DUMMYFUNCTION("""COMPUTED_VALUE"""),"30 Best AI-Powered Agencies for 2026")</f>
        <v>30 Best AI-Powered Agencies for 2026</v>
      </c>
      <c r="C1142" s="10" t="str">
        <f>IFERROR(__xludf.DUMMYFUNCTION("""COMPUTED_VALUE"""),"webtonic.io")</f>
        <v>webtonic.io</v>
      </c>
      <c r="D1142" s="11" t="str">
        <f>IFERROR(__xludf.DUMMYFUNCTION("""COMPUTED_VALUE"""),"LISTICLE")</f>
        <v>LISTICLE</v>
      </c>
      <c r="E1142" s="11" t="str">
        <f>IFERROR(__xludf.DUMMYFUNCTION("""COMPUTED_VALUE"""),"COMPETITOR")</f>
        <v>COMPETITOR</v>
      </c>
      <c r="F1142" s="11" t="str">
        <f>IFERROR(__xludf.DUMMYFUNCTION("""COMPUTED_VALUE"""),"Listicle")</f>
        <v>Listicle</v>
      </c>
      <c r="G1142" s="11" t="b">
        <f>IFERROR(__xludf.DUMMYFUNCTION("""COMPUTED_VALUE"""),FALSE)</f>
        <v>0</v>
      </c>
      <c r="H1142" s="11" t="str">
        <f>IFERROR(__xludf.DUMMYFUNCTION("""COMPUTED_VALUE"""),"Web Tonic, Disruptive Advertising, WebFX, Sociallyin, Ignite Visibility, Merkle, Dentsu, iProspect, Jellyfish, Publicis Sapient, Huge, R/GA, Accenture Song, Hawke Media, Wpromote, TransUnion, Tinuiti, Brainlabs, VaynerMedia, IBM, Seer Interactive, SmartSi"&amp;"tes, Power Digital")</f>
        <v>Web Tonic, Disruptive Advertising, WebFX, Sociallyin, Ignite Visibility, Merkle, Dentsu, iProspect, Jellyfish, Publicis Sapient, Huge, R/GA, Accenture Song, Hawke Media, Wpromote, TransUnion, Tinuiti, Brainlabs, VaynerMedia, IBM, Seer Interactive, SmartSites, Power Digital</v>
      </c>
      <c r="I1142" s="11">
        <f>IFERROR(__xludf.DUMMYFUNCTION("""COMPUTED_VALUE"""),1.0)</f>
        <v>1</v>
      </c>
      <c r="J1142" s="11">
        <f>IFERROR(__xludf.DUMMYFUNCTION("""COMPUTED_VALUE"""),0.0)</f>
        <v>0</v>
      </c>
      <c r="K1142" s="11">
        <f>IFERROR(__xludf.DUMMYFUNCTION("""COMPUTED_VALUE"""),0.0)</f>
        <v>0</v>
      </c>
      <c r="L1142" s="11"/>
    </row>
    <row r="1143">
      <c r="A1143" s="10" t="str">
        <f>IFERROR(__xludf.DUMMYFUNCTION("""COMPUTED_VALUE"""),"https://www.webtonic.io/blog/best-global-marketing-agencies")</f>
        <v>https://www.webtonic.io/blog/best-global-marketing-agencies</v>
      </c>
      <c r="B1143" s="11" t="str">
        <f>IFERROR(__xludf.DUMMYFUNCTION("""COMPUTED_VALUE"""),"35 Best Global Marketing Agencies for 2026")</f>
        <v>35 Best Global Marketing Agencies for 2026</v>
      </c>
      <c r="C1143" s="10" t="str">
        <f>IFERROR(__xludf.DUMMYFUNCTION("""COMPUTED_VALUE"""),"webtonic.io")</f>
        <v>webtonic.io</v>
      </c>
      <c r="D1143" s="11" t="str">
        <f>IFERROR(__xludf.DUMMYFUNCTION("""COMPUTED_VALUE"""),"LISTICLE")</f>
        <v>LISTICLE</v>
      </c>
      <c r="E1143" s="11" t="str">
        <f>IFERROR(__xludf.DUMMYFUNCTION("""COMPUTED_VALUE"""),"COMPETITOR")</f>
        <v>COMPETITOR</v>
      </c>
      <c r="F1143" s="11" t="str">
        <f>IFERROR(__xludf.DUMMYFUNCTION("""COMPUTED_VALUE"""),"Listicle")</f>
        <v>Listicle</v>
      </c>
      <c r="G1143" s="11" t="b">
        <f>IFERROR(__xludf.DUMMYFUNCTION("""COMPUTED_VALUE"""),FALSE)</f>
        <v>0</v>
      </c>
      <c r="H1143" s="11" t="str">
        <f>IFERROR(__xludf.DUMMYFUNCTION("""COMPUTED_VALUE"""),"Web Tonic, BBDO, WPP, Ogilvy, VML, GroupM, Publicis Groupe, Dentsu, Merkle, Accenture Song, Deloitte Digital, PwC, IBM, R/GA, 72andSunny, Wieden+Kennedy, Droga5, AKQA, Huge")</f>
        <v>Web Tonic, BBDO, WPP, Ogilvy, VML, GroupM, Publicis Groupe, Dentsu, Merkle, Accenture Song, Deloitte Digital, PwC, IBM, R/GA, 72andSunny, Wieden+Kennedy, Droga5, AKQA, Huge</v>
      </c>
      <c r="I1143" s="11">
        <f>IFERROR(__xludf.DUMMYFUNCTION("""COMPUTED_VALUE"""),1.0)</f>
        <v>1</v>
      </c>
      <c r="J1143" s="11">
        <f>IFERROR(__xludf.DUMMYFUNCTION("""COMPUTED_VALUE"""),0.0)</f>
        <v>0</v>
      </c>
      <c r="K1143" s="11">
        <f>IFERROR(__xludf.DUMMYFUNCTION("""COMPUTED_VALUE"""),1.0)</f>
        <v>1</v>
      </c>
      <c r="L1143" s="11"/>
    </row>
    <row r="1144">
      <c r="A1144" s="10" t="str">
        <f>IFERROR(__xludf.DUMMYFUNCTION("""COMPUTED_VALUE"""),"https://www.webtonic.io/blog/best-ppc-agencies-us#:~:text=%238.-,HawkSEM,clients%20averaging%204.5x%20ROI.")</f>
        <v>https://www.webtonic.io/blog/best-ppc-agencies-us#:~:text=%238.-,HawkSEM,clients%20averaging%204.5x%20ROI.</v>
      </c>
      <c r="B1144" s="11" t="str">
        <f>IFERROR(__xludf.DUMMYFUNCTION("""COMPUTED_VALUE"""),"The 37 Best PPC Agencies in the US for 2026")</f>
        <v>The 37 Best PPC Agencies in the US for 2026</v>
      </c>
      <c r="C1144" s="10" t="str">
        <f>IFERROR(__xludf.DUMMYFUNCTION("""COMPUTED_VALUE"""),"webtonic.io")</f>
        <v>webtonic.io</v>
      </c>
      <c r="D1144" s="11" t="str">
        <f>IFERROR(__xludf.DUMMYFUNCTION("""COMPUTED_VALUE"""),"LISTICLE")</f>
        <v>LISTICLE</v>
      </c>
      <c r="E1144" s="11" t="str">
        <f>IFERROR(__xludf.DUMMYFUNCTION("""COMPUTED_VALUE"""),"COMPETITOR")</f>
        <v>COMPETITOR</v>
      </c>
      <c r="F1144" s="11" t="str">
        <f>IFERROR(__xludf.DUMMYFUNCTION("""COMPUTED_VALUE"""),"Listicle")</f>
        <v>Listicle</v>
      </c>
      <c r="G1144" s="11" t="b">
        <f>IFERROR(__xludf.DUMMYFUNCTION("""COMPUTED_VALUE"""),FALSE)</f>
        <v>0</v>
      </c>
      <c r="H1144" s="11" t="str">
        <f>IFERROR(__xludf.DUMMYFUNCTION("""COMPUTED_VALUE"""),"Web Tonic, Disruptive Advertising, KlientBoost, WebFX, SmartSites, Thrive Internet Marketing Agency, Tinuiti, HawkSEM, Ignite Visibility, Directive, Power Digital, Wpromote, TransUnion, Silverback Strategies, Clutch, AdVenture Media, Intero Digital, LYFE "&amp;"Marketing, Hawke Media, Seer Interactive, Searchbloom, NinjaPromo")</f>
        <v>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v>
      </c>
      <c r="I1144" s="11">
        <f>IFERROR(__xludf.DUMMYFUNCTION("""COMPUTED_VALUE"""),1.0)</f>
        <v>1</v>
      </c>
      <c r="J1144" s="11">
        <f>IFERROR(__xludf.DUMMYFUNCTION("""COMPUTED_VALUE"""),0.0)</f>
        <v>0</v>
      </c>
      <c r="K1144" s="11">
        <f>IFERROR(__xludf.DUMMYFUNCTION("""COMPUTED_VALUE"""),2.0)</f>
        <v>2</v>
      </c>
      <c r="L1144" s="11"/>
    </row>
    <row r="1145">
      <c r="A1145" s="10" t="str">
        <f>IFERROR(__xludf.DUMMYFUNCTION("""COMPUTED_VALUE"""),"https://www.webtonic.io/blog/top-creative-performance-agencies")</f>
        <v>https://www.webtonic.io/blog/top-creative-performance-agencies</v>
      </c>
      <c r="B1145" s="11" t="str">
        <f>IFERROR(__xludf.DUMMYFUNCTION("""COMPUTED_VALUE"""),"37 Top Creative Performance Agencies for 2026")</f>
        <v>37 Top Creative Performance Agencies for 2026</v>
      </c>
      <c r="C1145" s="10" t="str">
        <f>IFERROR(__xludf.DUMMYFUNCTION("""COMPUTED_VALUE"""),"webtonic.io")</f>
        <v>webtonic.io</v>
      </c>
      <c r="D1145" s="11" t="str">
        <f>IFERROR(__xludf.DUMMYFUNCTION("""COMPUTED_VALUE"""),"LISTICLE")</f>
        <v>LISTICLE</v>
      </c>
      <c r="E1145" s="11" t="str">
        <f>IFERROR(__xludf.DUMMYFUNCTION("""COMPUTED_VALUE"""),"COMPETITOR")</f>
        <v>COMPETITOR</v>
      </c>
      <c r="F1145" s="11" t="str">
        <f>IFERROR(__xludf.DUMMYFUNCTION("""COMPUTED_VALUE"""),"Listicle")</f>
        <v>Listicle</v>
      </c>
      <c r="G1145" s="11" t="b">
        <f>IFERROR(__xludf.DUMMYFUNCTION("""COMPUTED_VALUE"""),FALSE)</f>
        <v>0</v>
      </c>
      <c r="H1145" s="11" t="str">
        <f>IFERROR(__xludf.DUMMYFUNCTION("""COMPUTED_VALUE"""),"Web Tonic, MuteSix, Tinuiti, Wpromote, TransUnion, Metric Theory, WPP, Hawke Media, AKQA, R/GA, Droga5, Accenture Song, 72andSunny, Wieden+Kennedy, Superside")</f>
        <v>Web Tonic, MuteSix, Tinuiti, Wpromote, TransUnion, Metric Theory, WPP, Hawke Media, AKQA, R/GA, Droga5, Accenture Song, 72andSunny, Wieden+Kennedy, Superside</v>
      </c>
      <c r="I1145" s="11">
        <f>IFERROR(__xludf.DUMMYFUNCTION("""COMPUTED_VALUE"""),1.0)</f>
        <v>1</v>
      </c>
      <c r="J1145" s="11">
        <f>IFERROR(__xludf.DUMMYFUNCTION("""COMPUTED_VALUE"""),0.0)</f>
        <v>0</v>
      </c>
      <c r="K1145" s="11">
        <f>IFERROR(__xludf.DUMMYFUNCTION("""COMPUTED_VALUE"""),1.0)</f>
        <v>1</v>
      </c>
      <c r="L1145" s="11"/>
    </row>
    <row r="1146">
      <c r="A1146" s="10" t="str">
        <f>IFERROR(__xludf.DUMMYFUNCTION("""COMPUTED_VALUE"""),"https://www.webtonic.io/blog/top-performance-creative-agencies")</f>
        <v>https://www.webtonic.io/blog/top-performance-creative-agencies</v>
      </c>
      <c r="B1146" s="11" t="str">
        <f>IFERROR(__xludf.DUMMYFUNCTION("""COMPUTED_VALUE"""),"36 Top Performance Creative Agencies in 2026")</f>
        <v>36 Top Performance Creative Agencies in 2026</v>
      </c>
      <c r="C1146" s="10" t="str">
        <f>IFERROR(__xludf.DUMMYFUNCTION("""COMPUTED_VALUE"""),"webtonic.io")</f>
        <v>webtonic.io</v>
      </c>
      <c r="D1146" s="11" t="str">
        <f>IFERROR(__xludf.DUMMYFUNCTION("""COMPUTED_VALUE"""),"LISTICLE")</f>
        <v>LISTICLE</v>
      </c>
      <c r="E1146" s="11" t="str">
        <f>IFERROR(__xludf.DUMMYFUNCTION("""COMPUTED_VALUE"""),"COMPETITOR")</f>
        <v>COMPETITOR</v>
      </c>
      <c r="F1146" s="11" t="str">
        <f>IFERROR(__xludf.DUMMYFUNCTION("""COMPUTED_VALUE"""),"Listicle")</f>
        <v>Listicle</v>
      </c>
      <c r="G1146" s="11" t="b">
        <f>IFERROR(__xludf.DUMMYFUNCTION("""COMPUTED_VALUE"""),FALSE)</f>
        <v>0</v>
      </c>
      <c r="H1146" s="11" t="str">
        <f>IFERROR(__xludf.DUMMYFUNCTION("""COMPUTED_VALUE"""),"Web Tonic, Triple Whale, Superside, MuteSix, Brainlabs, Tinuiti, NoGood, Jellyfish")</f>
        <v>Web Tonic, Triple Whale, Superside, MuteSix, Brainlabs, Tinuiti, NoGood, Jellyfish</v>
      </c>
      <c r="I1146" s="11">
        <f>IFERROR(__xludf.DUMMYFUNCTION("""COMPUTED_VALUE"""),1.0)</f>
        <v>1</v>
      </c>
      <c r="J1146" s="11">
        <f>IFERROR(__xludf.DUMMYFUNCTION("""COMPUTED_VALUE"""),0.0)</f>
        <v>0</v>
      </c>
      <c r="K1146" s="11">
        <f>IFERROR(__xludf.DUMMYFUNCTION("""COMPUTED_VALUE"""),1.0)</f>
        <v>1</v>
      </c>
      <c r="L1146" s="11"/>
    </row>
    <row r="1147">
      <c r="A1147" s="10" t="str">
        <f>IFERROR(__xludf.DUMMYFUNCTION("""COMPUTED_VALUE"""),"https://wellows.com/blog/digital-marketing-agencies/")</f>
        <v>https://wellows.com/blog/digital-marketing-agencies/</v>
      </c>
      <c r="B1147" s="11" t="str">
        <f>IFERROR(__xludf.DUMMYFUNCTION("""COMPUTED_VALUE"""),"Top Digital Marketing Agencies in 2026: A Practical Buyer’s Guide")</f>
        <v>Top Digital Marketing Agencies in 2026: A Practical Buyer’s Guide</v>
      </c>
      <c r="C1147" s="10" t="str">
        <f>IFERROR(__xludf.DUMMYFUNCTION("""COMPUTED_VALUE"""),"wellows.com")</f>
        <v>wellows.com</v>
      </c>
      <c r="D1147" s="11" t="str">
        <f>IFERROR(__xludf.DUMMYFUNCTION("""COMPUTED_VALUE"""),"LISTICLE")</f>
        <v>LISTICLE</v>
      </c>
      <c r="E1147" s="11" t="str">
        <f>IFERROR(__xludf.DUMMYFUNCTION("""COMPUTED_VALUE"""),"CORPORATE")</f>
        <v>CORPORATE</v>
      </c>
      <c r="F1147" s="11" t="str">
        <f>IFERROR(__xludf.DUMMYFUNCTION("""COMPUTED_VALUE"""),"Listicle")</f>
        <v>Listicle</v>
      </c>
      <c r="G1147" s="11" t="b">
        <f>IFERROR(__xludf.DUMMYFUNCTION("""COMPUTED_VALUE"""),FALSE)</f>
        <v>0</v>
      </c>
      <c r="H1147" s="11" t="str">
        <f>IFERROR(__xludf.DUMMYFUNCTION("""COMPUTED_VALUE"""),"Storm Brain, NoGood, Ignite Visibility, inBeat, Funnel Boost Media, Silverback Strategies, Measured, McKinsey, Momentum")</f>
        <v>Storm Brain, NoGood, Ignite Visibility, inBeat, Funnel Boost Media, Silverback Strategies, Measured, McKinsey, Momentum</v>
      </c>
      <c r="I1147" s="11">
        <f>IFERROR(__xludf.DUMMYFUNCTION("""COMPUTED_VALUE"""),1.0)</f>
        <v>1</v>
      </c>
      <c r="J1147" s="11">
        <f>IFERROR(__xludf.DUMMYFUNCTION("""COMPUTED_VALUE"""),0.0)</f>
        <v>0</v>
      </c>
      <c r="K1147" s="11">
        <f>IFERROR(__xludf.DUMMYFUNCTION("""COMPUTED_VALUE"""),2.0)</f>
        <v>2</v>
      </c>
      <c r="L1147" s="11"/>
    </row>
    <row r="1148">
      <c r="A1148" s="10" t="str">
        <f>IFERROR(__xludf.DUMMYFUNCTION("""COMPUTED_VALUE"""),"https://wellows.com/blog/social-media-marketing-agencies/")</f>
        <v>https://wellows.com/blog/social-media-marketing-agencies/</v>
      </c>
      <c r="B1148" s="11" t="str">
        <f>IFERROR(__xludf.DUMMYFUNCTION("""COMPUTED_VALUE"""),"Top 25 Social Media Marketing Agencies in 2026")</f>
        <v>Top 25 Social Media Marketing Agencies in 2026</v>
      </c>
      <c r="C1148" s="10" t="str">
        <f>IFERROR(__xludf.DUMMYFUNCTION("""COMPUTED_VALUE"""),"wellows.com")</f>
        <v>wellows.com</v>
      </c>
      <c r="D1148" s="11" t="str">
        <f>IFERROR(__xludf.DUMMYFUNCTION("""COMPUTED_VALUE"""),"LISTICLE")</f>
        <v>LISTICLE</v>
      </c>
      <c r="E1148" s="11" t="str">
        <f>IFERROR(__xludf.DUMMYFUNCTION("""COMPUTED_VALUE"""),"CORPORATE")</f>
        <v>CORPORATE</v>
      </c>
      <c r="F1148" s="11" t="str">
        <f>IFERROR(__xludf.DUMMYFUNCTION("""COMPUTED_VALUE"""),"Listicle")</f>
        <v>Listicle</v>
      </c>
      <c r="G1148" s="11" t="b">
        <f>IFERROR(__xludf.DUMMYFUNCTION("""COMPUTED_VALUE"""),FALSE)</f>
        <v>0</v>
      </c>
      <c r="H1148" s="11" t="str">
        <f>IFERROR(__xludf.DUMMYFUNCTION("""COMPUTED_VALUE"""),"KlientBoost, VaynerMedia, Viral Nation, The Social Shepherd, NoGood, LYFE Marketing, Disruptive Advertising, Sociallyin, inBeat, Silverback Strategies, Ignite Visibility, Tinuiti, MuteSix, Wpromote, Measured")</f>
        <v>KlientBoost, VaynerMedia, Viral Nation, The Social Shepherd, NoGood, LYFE Marketing, Disruptive Advertising, Sociallyin, inBeat, Silverback Strategies, Ignite Visibility, Tinuiti, MuteSix, Wpromote, Measured</v>
      </c>
      <c r="I1148" s="11">
        <f>IFERROR(__xludf.DUMMYFUNCTION("""COMPUTED_VALUE"""),1.0)</f>
        <v>1</v>
      </c>
      <c r="J1148" s="11">
        <f>IFERROR(__xludf.DUMMYFUNCTION("""COMPUTED_VALUE"""),0.0)</f>
        <v>0</v>
      </c>
      <c r="K1148" s="11">
        <f>IFERROR(__xludf.DUMMYFUNCTION("""COMPUTED_VALUE"""),1.0)</f>
        <v>1</v>
      </c>
      <c r="L1148" s="11"/>
    </row>
    <row r="1149">
      <c r="A1149" s="10" t="str">
        <f>IFERROR(__xludf.DUMMYFUNCTION("""COMPUTED_VALUE"""),"https://wellows.com/blog/top-ai-seo-agencies/")</f>
        <v>https://wellows.com/blog/top-ai-seo-agencies/</v>
      </c>
      <c r="B1149" s="11" t="str">
        <f>IFERROR(__xludf.DUMMYFUNCTION("""COMPUTED_VALUE"""),"17 Top AI SEO agencies in 2026")</f>
        <v>17 Top AI SEO agencies in 2026</v>
      </c>
      <c r="C1149" s="10" t="str">
        <f>IFERROR(__xludf.DUMMYFUNCTION("""COMPUTED_VALUE"""),"wellows.com")</f>
        <v>wellows.com</v>
      </c>
      <c r="D1149" s="11" t="str">
        <f>IFERROR(__xludf.DUMMYFUNCTION("""COMPUTED_VALUE"""),"LISTICLE")</f>
        <v>LISTICLE</v>
      </c>
      <c r="E1149" s="11" t="str">
        <f>IFERROR(__xludf.DUMMYFUNCTION("""COMPUTED_VALUE"""),"CORPORATE")</f>
        <v>CORPORATE</v>
      </c>
      <c r="F1149" s="11" t="str">
        <f>IFERROR(__xludf.DUMMYFUNCTION("""COMPUTED_VALUE"""),"Listicle")</f>
        <v>Listicle</v>
      </c>
      <c r="G1149" s="11" t="b">
        <f>IFERROR(__xludf.DUMMYFUNCTION("""COMPUTED_VALUE"""),FALSE)</f>
        <v>0</v>
      </c>
      <c r="H1149" s="11" t="str">
        <f>IFERROR(__xludf.DUMMYFUNCTION("""COMPUTED_VALUE"""),"iPullRank, Avenue Z, NP Digital, WebFX, Victorious, NoGood, Measured")</f>
        <v>iPullRank, Avenue Z, NP Digital, WebFX, Victorious, NoGood, Measured</v>
      </c>
      <c r="I1149" s="11">
        <f>IFERROR(__xludf.DUMMYFUNCTION("""COMPUTED_VALUE"""),1.0)</f>
        <v>1</v>
      </c>
      <c r="J1149" s="11">
        <f>IFERROR(__xludf.DUMMYFUNCTION("""COMPUTED_VALUE"""),0.0)</f>
        <v>0</v>
      </c>
      <c r="K1149" s="11">
        <f>IFERROR(__xludf.DUMMYFUNCTION("""COMPUTED_VALUE"""),6.0)</f>
        <v>6</v>
      </c>
      <c r="L1149" s="11"/>
    </row>
    <row r="1150">
      <c r="A1150" s="10" t="str">
        <f>IFERROR(__xludf.DUMMYFUNCTION("""COMPUTED_VALUE"""),"https://whyflagshalfmasttoday.com/the-best-aeo-optimization-company-in-the-united-states-2026-a-decision-stage-ranking/")</f>
        <v>https://whyflagshalfmasttoday.com/the-best-aeo-optimization-company-in-the-united-states-2026-a-decision-stage-ranking/</v>
      </c>
      <c r="B1150" s="11" t="str">
        <f>IFERROR(__xludf.DUMMYFUNCTION("""COMPUTED_VALUE"""),"The Best AEO Optimization Company in the United States (2026): A Decision-Stage Ranking - Whyflagshalfmasttoday")</f>
        <v>The Best AEO Optimization Company in the United States (2026): A Decision-Stage Ranking - Whyflagshalfmasttoday</v>
      </c>
      <c r="C1150" s="10" t="str">
        <f>IFERROR(__xludf.DUMMYFUNCTION("""COMPUTED_VALUE"""),"whyflagshalfmasttoday.com")</f>
        <v>whyflagshalfmasttoday.com</v>
      </c>
      <c r="D1150" s="11" t="str">
        <f>IFERROR(__xludf.DUMMYFUNCTION("""COMPUTED_VALUE"""),"LISTICLE")</f>
        <v>LISTICLE</v>
      </c>
      <c r="E1150" s="11" t="str">
        <f>IFERROR(__xludf.DUMMYFUNCTION("""COMPUTED_VALUE"""),"EDITORIAL")</f>
        <v>EDITORIAL</v>
      </c>
      <c r="F1150" s="11" t="str">
        <f>IFERROR(__xludf.DUMMYFUNCTION("""COMPUTED_VALUE"""),"Listicle")</f>
        <v>Listicle</v>
      </c>
      <c r="G1150" s="11" t="b">
        <f>IFERROR(__xludf.DUMMYFUNCTION("""COMPUTED_VALUE"""),FALSE)</f>
        <v>0</v>
      </c>
      <c r="H1150" s="11" t="str">
        <f>IFERROR(__xludf.DUMMYFUNCTION("""COMPUTED_VALUE"""),"iPullRank, Seer Interactive, WebFX, Measured")</f>
        <v>iPullRank, Seer Interactive, WebFX, Measured</v>
      </c>
      <c r="I1150" s="11">
        <f>IFERROR(__xludf.DUMMYFUNCTION("""COMPUTED_VALUE"""),1.0)</f>
        <v>1</v>
      </c>
      <c r="J1150" s="11">
        <f>IFERROR(__xludf.DUMMYFUNCTION("""COMPUTED_VALUE"""),0.0)</f>
        <v>0</v>
      </c>
      <c r="K1150" s="11">
        <f>IFERROR(__xludf.DUMMYFUNCTION("""COMPUTED_VALUE"""),0.0)</f>
        <v>0</v>
      </c>
      <c r="L1150" s="11"/>
    </row>
    <row r="1151">
      <c r="A1151" s="10" t="str">
        <f>IFERROR(__xludf.DUMMYFUNCTION("""COMPUTED_VALUE"""),"https://wifitalents.com/service/ai-adoption/")</f>
        <v>https://wifitalents.com/service/ai-adoption/</v>
      </c>
      <c r="B1151" s="11" t="str">
        <f>IFERROR(__xludf.DUMMYFUNCTION("""COMPUTED_VALUE"""),"Top AI Adoption Services (2026)")</f>
        <v>Top AI Adoption Services (2026)</v>
      </c>
      <c r="C1151" s="10" t="str">
        <f>IFERROR(__xludf.DUMMYFUNCTION("""COMPUTED_VALUE"""),"wifitalents.com")</f>
        <v>wifitalents.com</v>
      </c>
      <c r="D1151" s="11" t="str">
        <f>IFERROR(__xludf.DUMMYFUNCTION("""COMPUTED_VALUE"""),"LISTICLE")</f>
        <v>LISTICLE</v>
      </c>
      <c r="E1151" s="11" t="str">
        <f>IFERROR(__xludf.DUMMYFUNCTION("""COMPUTED_VALUE"""),"REFERENCE")</f>
        <v>REFERENCE</v>
      </c>
      <c r="F1151" s="11" t="str">
        <f>IFERROR(__xludf.DUMMYFUNCTION("""COMPUTED_VALUE"""),"Listicle")</f>
        <v>Listicle</v>
      </c>
      <c r="G1151" s="11" t="b">
        <f>IFERROR(__xludf.DUMMYFUNCTION("""COMPUTED_VALUE"""),FALSE)</f>
        <v>0</v>
      </c>
      <c r="H1151" s="11" t="str">
        <f>IFERROR(__xludf.DUMMYFUNCTION("""COMPUTED_VALUE"""),"PwC, IBM, Momentum, Clutch")</f>
        <v>PwC, IBM, Momentum, Clutch</v>
      </c>
      <c r="I1151" s="11">
        <f>IFERROR(__xludf.DUMMYFUNCTION("""COMPUTED_VALUE"""),1.0)</f>
        <v>1</v>
      </c>
      <c r="J1151" s="11">
        <f>IFERROR(__xludf.DUMMYFUNCTION("""COMPUTED_VALUE"""),0.0)</f>
        <v>0</v>
      </c>
      <c r="K1151" s="11">
        <f>IFERROR(__xludf.DUMMYFUNCTION("""COMPUTED_VALUE"""),3.0)</f>
        <v>3</v>
      </c>
      <c r="L1151" s="11"/>
    </row>
    <row r="1152">
      <c r="A1152" s="10" t="str">
        <f>IFERROR(__xludf.DUMMYFUNCTION("""COMPUTED_VALUE"""),"https://www.within.co/blog/best-agencies-for-enterprise-brands/")</f>
        <v>https://www.within.co/blog/best-agencies-for-enterprise-brands/</v>
      </c>
      <c r="B1152" s="11" t="str">
        <f>IFERROR(__xludf.DUMMYFUNCTION("""COMPUTED_VALUE"""),"Best Integrated Marketing Agencies for Enterprise Brands 2026 — WITHIN")</f>
        <v>Best Integrated Marketing Agencies for Enterprise Brands 2026 — WITHIN</v>
      </c>
      <c r="C1152" s="10" t="str">
        <f>IFERROR(__xludf.DUMMYFUNCTION("""COMPUTED_VALUE"""),"within.co")</f>
        <v>within.co</v>
      </c>
      <c r="D1152" s="11" t="str">
        <f>IFERROR(__xludf.DUMMYFUNCTION("""COMPUTED_VALUE"""),"LISTICLE")</f>
        <v>LISTICLE</v>
      </c>
      <c r="E1152" s="11" t="str">
        <f>IFERROR(__xludf.DUMMYFUNCTION("""COMPUTED_VALUE"""),"CORPORATE")</f>
        <v>CORPORATE</v>
      </c>
      <c r="F1152" s="11" t="str">
        <f>IFERROR(__xludf.DUMMYFUNCTION("""COMPUTED_VALUE"""),"Listicle")</f>
        <v>Listicle</v>
      </c>
      <c r="G1152" s="11" t="b">
        <f>IFERROR(__xludf.DUMMYFUNCTION("""COMPUTED_VALUE"""),FALSE)</f>
        <v>0</v>
      </c>
      <c r="H1152" s="11" t="str">
        <f>IFERROR(__xludf.DUMMYFUNCTION("""COMPUTED_VALUE"""),"Measured, Giant Spoon, Wpromote, NoGood")</f>
        <v>Measured, Giant Spoon, Wpromote, NoGood</v>
      </c>
      <c r="I1152" s="11">
        <f>IFERROR(__xludf.DUMMYFUNCTION("""COMPUTED_VALUE"""),1.0)</f>
        <v>1</v>
      </c>
      <c r="J1152" s="11">
        <f>IFERROR(__xludf.DUMMYFUNCTION("""COMPUTED_VALUE"""),0.0)</f>
        <v>0</v>
      </c>
      <c r="K1152" s="11">
        <f>IFERROR(__xludf.DUMMYFUNCTION("""COMPUTED_VALUE"""),0.0)</f>
        <v>0</v>
      </c>
      <c r="L1152" s="11"/>
    </row>
    <row r="1153">
      <c r="A1153" s="10" t="str">
        <f>IFERROR(__xludf.DUMMYFUNCTION("""COMPUTED_VALUE"""),"https://wordable.io/best-ai-seo-agency/")</f>
        <v>https://wordable.io/best-ai-seo-agency/</v>
      </c>
      <c r="B1153" s="11" t="str">
        <f>IFERROR(__xludf.DUMMYFUNCTION("""COMPUTED_VALUE"""),"5 Best AI SEO Agencies to Boost Your Business in 2025")</f>
        <v>5 Best AI SEO Agencies to Boost Your Business in 2025</v>
      </c>
      <c r="C1153" s="10" t="str">
        <f>IFERROR(__xludf.DUMMYFUNCTION("""COMPUTED_VALUE"""),"wordable.io")</f>
        <v>wordable.io</v>
      </c>
      <c r="D1153" s="11" t="str">
        <f>IFERROR(__xludf.DUMMYFUNCTION("""COMPUTED_VALUE"""),"LISTICLE")</f>
        <v>LISTICLE</v>
      </c>
      <c r="E1153" s="11" t="str">
        <f>IFERROR(__xludf.DUMMYFUNCTION("""COMPUTED_VALUE"""),"CORPORATE")</f>
        <v>CORPORATE</v>
      </c>
      <c r="F1153" s="11" t="str">
        <f>IFERROR(__xludf.DUMMYFUNCTION("""COMPUTED_VALUE"""),"Listicle")</f>
        <v>Listicle</v>
      </c>
      <c r="G1153" s="11" t="b">
        <f>IFERROR(__xludf.DUMMYFUNCTION("""COMPUTED_VALUE"""),FALSE)</f>
        <v>0</v>
      </c>
      <c r="H1153" s="11" t="str">
        <f>IFERROR(__xludf.DUMMYFUNCTION("""COMPUTED_VALUE"""),"Clutch, WebFX, iPullRank, NoGood, Victorious, Huge")</f>
        <v>Clutch, WebFX, iPullRank, NoGood, Victorious, Huge</v>
      </c>
      <c r="I1153" s="11">
        <f>IFERROR(__xludf.DUMMYFUNCTION("""COMPUTED_VALUE"""),1.0)</f>
        <v>1</v>
      </c>
      <c r="J1153" s="11">
        <f>IFERROR(__xludf.DUMMYFUNCTION("""COMPUTED_VALUE"""),0.0)</f>
        <v>0</v>
      </c>
      <c r="K1153" s="11">
        <f>IFERROR(__xludf.DUMMYFUNCTION("""COMPUTED_VALUE"""),1.0)</f>
        <v>1</v>
      </c>
      <c r="L1153" s="11"/>
    </row>
    <row r="1154">
      <c r="A1154" s="10" t="str">
        <f>IFERROR(__xludf.DUMMYFUNCTION("""COMPUTED_VALUE"""),"https://worldmetrics.org/service/ai-adoption/")</f>
        <v>https://worldmetrics.org/service/ai-adoption/</v>
      </c>
      <c r="B1154" s="11" t="str">
        <f>IFERROR(__xludf.DUMMYFUNCTION("""COMPUTED_VALUE"""),"Top 10 Best AI Adoption Services | 2026 Expert Picks")</f>
        <v>Top 10 Best AI Adoption Services | 2026 Expert Picks</v>
      </c>
      <c r="C1154" s="10" t="str">
        <f>IFERROR(__xludf.DUMMYFUNCTION("""COMPUTED_VALUE"""),"worldmetrics.org")</f>
        <v>worldmetrics.org</v>
      </c>
      <c r="D1154" s="11" t="str">
        <f>IFERROR(__xludf.DUMMYFUNCTION("""COMPUTED_VALUE"""),"LISTICLE")</f>
        <v>LISTICLE</v>
      </c>
      <c r="E1154" s="11" t="str">
        <f>IFERROR(__xludf.DUMMYFUNCTION("""COMPUTED_VALUE"""),"REFERENCE")</f>
        <v>REFERENCE</v>
      </c>
      <c r="F1154" s="11" t="str">
        <f>IFERROR(__xludf.DUMMYFUNCTION("""COMPUTED_VALUE"""),"Listicle")</f>
        <v>Listicle</v>
      </c>
      <c r="G1154" s="11" t="b">
        <f>IFERROR(__xludf.DUMMYFUNCTION("""COMPUTED_VALUE"""),FALSE)</f>
        <v>0</v>
      </c>
      <c r="H1154" s="11" t="str">
        <f>IFERROR(__xludf.DUMMYFUNCTION("""COMPUTED_VALUE"""),"PwC, IBM, Momentum, Clutch")</f>
        <v>PwC, IBM, Momentum, Clutch</v>
      </c>
      <c r="I1154" s="11">
        <f>IFERROR(__xludf.DUMMYFUNCTION("""COMPUTED_VALUE"""),1.0)</f>
        <v>1</v>
      </c>
      <c r="J1154" s="11">
        <f>IFERROR(__xludf.DUMMYFUNCTION("""COMPUTED_VALUE"""),0.0)</f>
        <v>0</v>
      </c>
      <c r="K1154" s="11">
        <f>IFERROR(__xludf.DUMMYFUNCTION("""COMPUTED_VALUE"""),0.0)</f>
        <v>0</v>
      </c>
      <c r="L1154" s="11"/>
    </row>
    <row r="1155">
      <c r="A1155" s="10" t="str">
        <f>IFERROR(__xludf.DUMMYFUNCTION("""COMPUTED_VALUE"""),"https://worldmetrics.org/service/data-marketing/")</f>
        <v>https://worldmetrics.org/service/data-marketing/</v>
      </c>
      <c r="B1155" s="11" t="str">
        <f>IFERROR(__xludf.DUMMYFUNCTION("""COMPUTED_VALUE"""),"Best Data Marketing Services (2026)")</f>
        <v>Best Data Marketing Services (2026)</v>
      </c>
      <c r="C1155" s="10" t="str">
        <f>IFERROR(__xludf.DUMMYFUNCTION("""COMPUTED_VALUE"""),"worldmetrics.org")</f>
        <v>worldmetrics.org</v>
      </c>
      <c r="D1155" s="11" t="str">
        <f>IFERROR(__xludf.DUMMYFUNCTION("""COMPUTED_VALUE"""),"LISTICLE")</f>
        <v>LISTICLE</v>
      </c>
      <c r="E1155" s="11" t="str">
        <f>IFERROR(__xludf.DUMMYFUNCTION("""COMPUTED_VALUE"""),"REFERENCE")</f>
        <v>REFERENCE</v>
      </c>
      <c r="F1155" s="11" t="str">
        <f>IFERROR(__xludf.DUMMYFUNCTION("""COMPUTED_VALUE"""),"Listicle")</f>
        <v>Listicle</v>
      </c>
      <c r="G1155" s="11" t="b">
        <f>IFERROR(__xludf.DUMMYFUNCTION("""COMPUTED_VALUE"""),FALSE)</f>
        <v>0</v>
      </c>
      <c r="H1155" s="11" t="str">
        <f>IFERROR(__xludf.DUMMYFUNCTION("""COMPUTED_VALUE"""),"Merkle, Dentsu, Publicis Groupe, WPP, Kantar, iProspect, Clutch")</f>
        <v>Merkle, Dentsu, Publicis Groupe, WPP, Kantar, iProspect, Clutch</v>
      </c>
      <c r="I1155" s="11">
        <f>IFERROR(__xludf.DUMMYFUNCTION("""COMPUTED_VALUE"""),1.0)</f>
        <v>1</v>
      </c>
      <c r="J1155" s="11">
        <f>IFERROR(__xludf.DUMMYFUNCTION("""COMPUTED_VALUE"""),0.0)</f>
        <v>0</v>
      </c>
      <c r="K1155" s="11">
        <f>IFERROR(__xludf.DUMMYFUNCTION("""COMPUTED_VALUE"""),0.0)</f>
        <v>0</v>
      </c>
      <c r="L1155" s="11"/>
    </row>
    <row r="1156">
      <c r="A1156" s="10" t="str">
        <f>IFERROR(__xludf.DUMMYFUNCTION("""COMPUTED_VALUE"""),"https://worldmetrics.org/service/digital-content-marketing/")</f>
        <v>https://worldmetrics.org/service/digital-content-marketing/</v>
      </c>
      <c r="B1156" s="11" t="str">
        <f>IFERROR(__xludf.DUMMYFUNCTION("""COMPUTED_VALUE"""),"Best Digital Content Marketing Services | 2026 Rankings")</f>
        <v>Best Digital Content Marketing Services | 2026 Rankings</v>
      </c>
      <c r="C1156" s="10" t="str">
        <f>IFERROR(__xludf.DUMMYFUNCTION("""COMPUTED_VALUE"""),"worldmetrics.org")</f>
        <v>worldmetrics.org</v>
      </c>
      <c r="D1156" s="11" t="str">
        <f>IFERROR(__xludf.DUMMYFUNCTION("""COMPUTED_VALUE"""),"LISTICLE")</f>
        <v>LISTICLE</v>
      </c>
      <c r="E1156" s="11" t="str">
        <f>IFERROR(__xludf.DUMMYFUNCTION("""COMPUTED_VALUE"""),"REFERENCE")</f>
        <v>REFERENCE</v>
      </c>
      <c r="F1156" s="11" t="str">
        <f>IFERROR(__xludf.DUMMYFUNCTION("""COMPUTED_VALUE"""),"Listicle")</f>
        <v>Listicle</v>
      </c>
      <c r="G1156" s="11" t="b">
        <f>IFERROR(__xludf.DUMMYFUNCTION("""COMPUTED_VALUE"""),FALSE)</f>
        <v>0</v>
      </c>
      <c r="H1156" s="11" t="str">
        <f>IFERROR(__xludf.DUMMYFUNCTION("""COMPUTED_VALUE"""),"Dentsu, WPP, Accenture Song, Publicis Groupe, IBM, R/GA, Ogilvy, AKQA, VML, Clutch")</f>
        <v>Dentsu, WPP, Accenture Song, Publicis Groupe, IBM, R/GA, Ogilvy, AKQA, VML, Clutch</v>
      </c>
      <c r="I1156" s="11">
        <f>IFERROR(__xludf.DUMMYFUNCTION("""COMPUTED_VALUE"""),1.0)</f>
        <v>1</v>
      </c>
      <c r="J1156" s="11">
        <f>IFERROR(__xludf.DUMMYFUNCTION("""COMPUTED_VALUE"""),0.0)</f>
        <v>0</v>
      </c>
      <c r="K1156" s="11">
        <f>IFERROR(__xludf.DUMMYFUNCTION("""COMPUTED_VALUE"""),0.0)</f>
        <v>0</v>
      </c>
      <c r="L1156" s="11"/>
    </row>
    <row r="1157">
      <c r="A1157" s="10" t="str">
        <f>IFERROR(__xludf.DUMMYFUNCTION("""COMPUTED_VALUE"""),"https://worldmetrics.org/service/digital-media-planning/")</f>
        <v>https://worldmetrics.org/service/digital-media-planning/</v>
      </c>
      <c r="B1157" s="11" t="str">
        <f>IFERROR(__xludf.DUMMYFUNCTION("""COMPUTED_VALUE"""),"Best Digital Media Planning Services | 2026 Rankings")</f>
        <v>Best Digital Media Planning Services | 2026 Rankings</v>
      </c>
      <c r="C1157" s="10" t="str">
        <f>IFERROR(__xludf.DUMMYFUNCTION("""COMPUTED_VALUE"""),"worldmetrics.org")</f>
        <v>worldmetrics.org</v>
      </c>
      <c r="D1157" s="11" t="str">
        <f>IFERROR(__xludf.DUMMYFUNCTION("""COMPUTED_VALUE"""),"LISTICLE")</f>
        <v>LISTICLE</v>
      </c>
      <c r="E1157" s="11" t="str">
        <f>IFERROR(__xludf.DUMMYFUNCTION("""COMPUTED_VALUE"""),"REFERENCE")</f>
        <v>REFERENCE</v>
      </c>
      <c r="F1157" s="11" t="str">
        <f>IFERROR(__xludf.DUMMYFUNCTION("""COMPUTED_VALUE"""),"Listicle")</f>
        <v>Listicle</v>
      </c>
      <c r="G1157" s="11" t="b">
        <f>IFERROR(__xludf.DUMMYFUNCTION("""COMPUTED_VALUE"""),FALSE)</f>
        <v>0</v>
      </c>
      <c r="H1157" s="11" t="str">
        <f>IFERROR(__xludf.DUMMYFUNCTION("""COMPUTED_VALUE"""),"GroupM, Dentsu, Measured, Accenture Song, Deloitte Digital, WPP, Merkle, VML, Clutch")</f>
        <v>GroupM, Dentsu, Measured, Accenture Song, Deloitte Digital, WPP, Merkle, VML, Clutch</v>
      </c>
      <c r="I1157" s="11">
        <f>IFERROR(__xludf.DUMMYFUNCTION("""COMPUTED_VALUE"""),1.0)</f>
        <v>1</v>
      </c>
      <c r="J1157" s="11">
        <f>IFERROR(__xludf.DUMMYFUNCTION("""COMPUTED_VALUE"""),0.0)</f>
        <v>0</v>
      </c>
      <c r="K1157" s="11">
        <f>IFERROR(__xludf.DUMMYFUNCTION("""COMPUTED_VALUE"""),0.0)</f>
        <v>0</v>
      </c>
      <c r="L1157" s="11"/>
    </row>
    <row r="1158">
      <c r="A1158" s="10" t="str">
        <f>IFERROR(__xludf.DUMMYFUNCTION("""COMPUTED_VALUE"""),"https://worldmetrics.org/service/digital-media-production/")</f>
        <v>https://worldmetrics.org/service/digital-media-production/</v>
      </c>
      <c r="B1158" s="11" t="str">
        <f>IFERROR(__xludf.DUMMYFUNCTION("""COMPUTED_VALUE"""),"Best Digital Media Production Services (2026)")</f>
        <v>Best Digital Media Production Services (2026)</v>
      </c>
      <c r="C1158" s="10" t="str">
        <f>IFERROR(__xludf.DUMMYFUNCTION("""COMPUTED_VALUE"""),"worldmetrics.org")</f>
        <v>worldmetrics.org</v>
      </c>
      <c r="D1158" s="11" t="str">
        <f>IFERROR(__xludf.DUMMYFUNCTION("""COMPUTED_VALUE"""),"LISTICLE")</f>
        <v>LISTICLE</v>
      </c>
      <c r="E1158" s="11" t="str">
        <f>IFERROR(__xludf.DUMMYFUNCTION("""COMPUTED_VALUE"""),"REFERENCE")</f>
        <v>REFERENCE</v>
      </c>
      <c r="F1158" s="11" t="str">
        <f>IFERROR(__xludf.DUMMYFUNCTION("""COMPUTED_VALUE"""),"Listicle")</f>
        <v>Listicle</v>
      </c>
      <c r="G1158" s="11" t="b">
        <f>IFERROR(__xludf.DUMMYFUNCTION("""COMPUTED_VALUE"""),FALSE)</f>
        <v>0</v>
      </c>
      <c r="H1158" s="11" t="str">
        <f>IFERROR(__xludf.DUMMYFUNCTION("""COMPUTED_VALUE"""),"Wieden+Kennedy, R/GA, AKQA, Dentsu, VML, Clutch")</f>
        <v>Wieden+Kennedy, R/GA, AKQA, Dentsu, VML, Clutch</v>
      </c>
      <c r="I1158" s="11">
        <f>IFERROR(__xludf.DUMMYFUNCTION("""COMPUTED_VALUE"""),1.0)</f>
        <v>1</v>
      </c>
      <c r="J1158" s="11">
        <f>IFERROR(__xludf.DUMMYFUNCTION("""COMPUTED_VALUE"""),0.0)</f>
        <v>0</v>
      </c>
      <c r="K1158" s="11">
        <f>IFERROR(__xludf.DUMMYFUNCTION("""COMPUTED_VALUE"""),0.0)</f>
        <v>0</v>
      </c>
      <c r="L1158" s="11"/>
    </row>
    <row r="1159">
      <c r="A1159" s="10" t="str">
        <f>IFERROR(__xludf.DUMMYFUNCTION("""COMPUTED_VALUE"""),"https://www.wpp.com/en/news/2026/03/wpp-claims-top-spot-on-warc-creative-100-for-fourth-consecutive-year")</f>
        <v>https://www.wpp.com/en/news/2026/03/wpp-claims-top-spot-on-warc-creative-100-for-fourth-consecutive-year</v>
      </c>
      <c r="B1159" s="11" t="str">
        <f>IFERROR(__xludf.DUMMYFUNCTION("""COMPUTED_VALUE"""),"WPP claims top spot on WARC Creative 100 for fourth consecutive year | WPP")</f>
        <v>WPP claims top spot on WARC Creative 100 for fourth consecutive year | WPP</v>
      </c>
      <c r="C1159" s="10" t="str">
        <f>IFERROR(__xludf.DUMMYFUNCTION("""COMPUTED_VALUE"""),"wpp.com")</f>
        <v>wpp.com</v>
      </c>
      <c r="D1159" s="11" t="str">
        <f>IFERROR(__xludf.DUMMYFUNCTION("""COMPUTED_VALUE"""),"PROFILE")</f>
        <v>PROFILE</v>
      </c>
      <c r="E1159" s="11" t="str">
        <f>IFERROR(__xludf.DUMMYFUNCTION("""COMPUTED_VALUE"""),"COMPETITOR")</f>
        <v>COMPETITOR</v>
      </c>
      <c r="F1159" s="11" t="str">
        <f>IFERROR(__xludf.DUMMYFUNCTION("""COMPUTED_VALUE"""),"Profile")</f>
        <v>Profile</v>
      </c>
      <c r="G1159" s="11" t="b">
        <f>IFERROR(__xludf.DUMMYFUNCTION("""COMPUTED_VALUE"""),FALSE)</f>
        <v>0</v>
      </c>
      <c r="H1159" s="11" t="str">
        <f>IFERROR(__xludf.DUMMYFUNCTION("""COMPUTED_VALUE"""),"WPP, Ogilvy, VML, AKQA")</f>
        <v>WPP, Ogilvy, VML, AKQA</v>
      </c>
      <c r="I1159" s="11">
        <f>IFERROR(__xludf.DUMMYFUNCTION("""COMPUTED_VALUE"""),1.0)</f>
        <v>1</v>
      </c>
      <c r="J1159" s="11">
        <f>IFERROR(__xludf.DUMMYFUNCTION("""COMPUTED_VALUE"""),0.0)</f>
        <v>0</v>
      </c>
      <c r="K1159" s="11">
        <f>IFERROR(__xludf.DUMMYFUNCTION("""COMPUTED_VALUE"""),0.0)</f>
        <v>0</v>
      </c>
      <c r="L1159" s="11"/>
    </row>
    <row r="1160">
      <c r="A1160" s="10" t="str">
        <f>IFERROR(__xludf.DUMMYFUNCTION("""COMPUTED_VALUE"""),"https://xcelacore.com/ai-consultants-for-mid-sized-companies/")</f>
        <v>https://xcelacore.com/ai-consultants-for-mid-sized-companies/</v>
      </c>
      <c r="B1160" s="11" t="str">
        <f>IFERROR(__xludf.DUMMYFUNCTION("""COMPUTED_VALUE"""),"Top AI Consultants for Mid-Sized Companies (2026)")</f>
        <v>Top AI Consultants for Mid-Sized Companies (2026)</v>
      </c>
      <c r="C1160" s="10" t="str">
        <f>IFERROR(__xludf.DUMMYFUNCTION("""COMPUTED_VALUE"""),"xcelacore.com")</f>
        <v>xcelacore.com</v>
      </c>
      <c r="D1160" s="11" t="str">
        <f>IFERROR(__xludf.DUMMYFUNCTION("""COMPUTED_VALUE"""),"LISTICLE")</f>
        <v>LISTICLE</v>
      </c>
      <c r="E1160" s="11" t="str">
        <f>IFERROR(__xludf.DUMMYFUNCTION("""COMPUTED_VALUE"""),"CORPORATE")</f>
        <v>CORPORATE</v>
      </c>
      <c r="F1160" s="11" t="str">
        <f>IFERROR(__xludf.DUMMYFUNCTION("""COMPUTED_VALUE"""),"Listicle")</f>
        <v>Listicle</v>
      </c>
      <c r="G1160" s="11" t="b">
        <f>IFERROR(__xludf.DUMMYFUNCTION("""COMPUTED_VALUE"""),FALSE)</f>
        <v>0</v>
      </c>
      <c r="H1160" s="11" t="str">
        <f>IFERROR(__xludf.DUMMYFUNCTION("""COMPUTED_VALUE"""),"BCG, PwC")</f>
        <v>BCG, PwC</v>
      </c>
      <c r="I1160" s="11">
        <f>IFERROR(__xludf.DUMMYFUNCTION("""COMPUTED_VALUE"""),1.0)</f>
        <v>1</v>
      </c>
      <c r="J1160" s="11">
        <f>IFERROR(__xludf.DUMMYFUNCTION("""COMPUTED_VALUE"""),0.0)</f>
        <v>0</v>
      </c>
      <c r="K1160" s="11">
        <f>IFERROR(__xludf.DUMMYFUNCTION("""COMPUTED_VALUE"""),2.0)</f>
        <v>2</v>
      </c>
      <c r="L1160" s="11"/>
    </row>
    <row r="1161">
      <c r="A1161" s="10" t="str">
        <f>IFERROR(__xludf.DUMMYFUNCTION("""COMPUTED_VALUE"""),"https://xcelacore.com/best-ai-automation-agencies-usa-guide/")</f>
        <v>https://xcelacore.com/best-ai-automation-agencies-usa-guide/</v>
      </c>
      <c r="B1161" s="11" t="str">
        <f>IFERROR(__xludf.DUMMYFUNCTION("""COMPUTED_VALUE"""),"Top AI Automation Agencies in the USA: Best Enterprise Solutions")</f>
        <v>Top AI Automation Agencies in the USA: Best Enterprise Solutions</v>
      </c>
      <c r="C1161" s="10" t="str">
        <f>IFERROR(__xludf.DUMMYFUNCTION("""COMPUTED_VALUE"""),"xcelacore.com")</f>
        <v>xcelacore.com</v>
      </c>
      <c r="D1161" s="11" t="str">
        <f>IFERROR(__xludf.DUMMYFUNCTION("""COMPUTED_VALUE"""),"LISTICLE")</f>
        <v>LISTICLE</v>
      </c>
      <c r="E1161" s="11" t="str">
        <f>IFERROR(__xludf.DUMMYFUNCTION("""COMPUTED_VALUE"""),"CORPORATE")</f>
        <v>CORPORATE</v>
      </c>
      <c r="F1161" s="11" t="str">
        <f>IFERROR(__xludf.DUMMYFUNCTION("""COMPUTED_VALUE"""),"Listicle")</f>
        <v>Listicle</v>
      </c>
      <c r="G1161" s="11" t="b">
        <f>IFERROR(__xludf.DUMMYFUNCTION("""COMPUTED_VALUE"""),FALSE)</f>
        <v>0</v>
      </c>
      <c r="H1161" s="11" t="str">
        <f>IFERROR(__xludf.DUMMYFUNCTION("""COMPUTED_VALUE"""),"Slalom")</f>
        <v>Slalom</v>
      </c>
      <c r="I1161" s="11">
        <f>IFERROR(__xludf.DUMMYFUNCTION("""COMPUTED_VALUE"""),1.0)</f>
        <v>1</v>
      </c>
      <c r="J1161" s="11">
        <f>IFERROR(__xludf.DUMMYFUNCTION("""COMPUTED_VALUE"""),0.0)</f>
        <v>0</v>
      </c>
      <c r="K1161" s="11">
        <f>IFERROR(__xludf.DUMMYFUNCTION("""COMPUTED_VALUE"""),1.0)</f>
        <v>1</v>
      </c>
      <c r="L1161" s="11"/>
    </row>
    <row r="1162">
      <c r="A1162" s="10" t="str">
        <f>IFERROR(__xludf.DUMMYFUNCTION("""COMPUTED_VALUE"""),"https://yourcontentmart.co/best-answer-engine-optimization-agencies/")</f>
        <v>https://yourcontentmart.co/best-answer-engine-optimization-agencies/</v>
      </c>
      <c r="B1162" s="11" t="str">
        <f>IFERROR(__xludf.DUMMYFUNCTION("""COMPUTED_VALUE"""),"7 Best Answer Engine Optimization Agencies for SaaS Companies")</f>
        <v>7 Best Answer Engine Optimization Agencies for SaaS Companies</v>
      </c>
      <c r="C1162" s="10" t="str">
        <f>IFERROR(__xludf.DUMMYFUNCTION("""COMPUTED_VALUE"""),"yourcontentmart.co")</f>
        <v>yourcontentmart.co</v>
      </c>
      <c r="D1162" s="11" t="str">
        <f>IFERROR(__xludf.DUMMYFUNCTION("""COMPUTED_VALUE"""),"LISTICLE")</f>
        <v>LISTICLE</v>
      </c>
      <c r="E1162" s="11" t="str">
        <f>IFERROR(__xludf.DUMMYFUNCTION("""COMPUTED_VALUE"""),"CORPORATE")</f>
        <v>CORPORATE</v>
      </c>
      <c r="F1162" s="11" t="str">
        <f>IFERROR(__xludf.DUMMYFUNCTION("""COMPUTED_VALUE"""),"Listicle")</f>
        <v>Listicle</v>
      </c>
      <c r="G1162" s="11" t="b">
        <f>IFERROR(__xludf.DUMMYFUNCTION("""COMPUTED_VALUE"""),FALSE)</f>
        <v>0</v>
      </c>
      <c r="H1162" s="11" t="str">
        <f>IFERROR(__xludf.DUMMYFUNCTION("""COMPUTED_VALUE"""),"iPullRank, Omniscient Digital, Discovered Labs, NoGood, Momentum, Clutch")</f>
        <v>iPullRank, Omniscient Digital, Discovered Labs, NoGood, Momentum, Clutch</v>
      </c>
      <c r="I1162" s="11">
        <f>IFERROR(__xludf.DUMMYFUNCTION("""COMPUTED_VALUE"""),1.0)</f>
        <v>1</v>
      </c>
      <c r="J1162" s="11">
        <f>IFERROR(__xludf.DUMMYFUNCTION("""COMPUTED_VALUE"""),0.0)</f>
        <v>0</v>
      </c>
      <c r="K1162" s="11">
        <f>IFERROR(__xludf.DUMMYFUNCTION("""COMPUTED_VALUE"""),1.0)</f>
        <v>1</v>
      </c>
      <c r="L1162" s="11"/>
    </row>
    <row r="1163">
      <c r="A1163" s="10" t="str">
        <f>IFERROR(__xludf.DUMMYFUNCTION("""COMPUTED_VALUE"""),"https://www.youtube.com/shorts/-1J3sczOLNs")</f>
        <v>https://www.youtube.com/shorts/-1J3sczOLNs</v>
      </c>
      <c r="B1163" s="11" t="str">
        <f>IFERROR(__xludf.DUMMYFUNCTION("""COMPUTED_VALUE"""),"5 Best Answer Engine Optimization (AEO) Agencies in 2026")</f>
        <v>5 Best Answer Engine Optimization (AEO) Agencies in 2026</v>
      </c>
      <c r="C1163" s="10" t="str">
        <f>IFERROR(__xludf.DUMMYFUNCTION("""COMPUTED_VALUE"""),"youtube.com")</f>
        <v>youtube.com</v>
      </c>
      <c r="D1163" s="11" t="str">
        <f>IFERROR(__xludf.DUMMYFUNCTION("""COMPUTED_VALUE"""),"LISTICLE")</f>
        <v>LISTICLE</v>
      </c>
      <c r="E1163" s="11" t="str">
        <f>IFERROR(__xludf.DUMMYFUNCTION("""COMPUTED_VALUE"""),"UGC")</f>
        <v>UGC</v>
      </c>
      <c r="F1163" s="11" t="str">
        <f>IFERROR(__xludf.DUMMYFUNCTION("""COMPUTED_VALUE"""),"Listicle")</f>
        <v>Listicle</v>
      </c>
      <c r="G1163" s="11" t="b">
        <f>IFERROR(__xludf.DUMMYFUNCTION("""COMPUTED_VALUE"""),FALSE)</f>
        <v>0</v>
      </c>
      <c r="H1163" s="11" t="str">
        <f>IFERROR(__xludf.DUMMYFUNCTION("""COMPUTED_VALUE"""),"Single Grain, First Page Sage, Siege Media")</f>
        <v>Single Grain, First Page Sage, Siege Media</v>
      </c>
      <c r="I1163" s="11">
        <f>IFERROR(__xludf.DUMMYFUNCTION("""COMPUTED_VALUE"""),1.0)</f>
        <v>1</v>
      </c>
      <c r="J1163" s="11">
        <f>IFERROR(__xludf.DUMMYFUNCTION("""COMPUTED_VALUE"""),0.0)</f>
        <v>0</v>
      </c>
      <c r="K1163" s="11">
        <f>IFERROR(__xludf.DUMMYFUNCTION("""COMPUTED_VALUE"""),1.0)</f>
        <v>1</v>
      </c>
      <c r="L1163" s="11"/>
    </row>
    <row r="1164">
      <c r="A1164" s="10" t="str">
        <f>IFERROR(__xludf.DUMMYFUNCTION("""COMPUTED_VALUE"""),"https://www.youtube.com/watch?v=3KVWXIXXyJo")</f>
        <v>https://www.youtube.com/watch?v=3KVWXIXXyJo</v>
      </c>
      <c r="B1164" s="11" t="str">
        <f>IFERROR(__xludf.DUMMYFUNCTION("""COMPUTED_VALUE"""),"What Are the Best Generative Engine Optimization (GEO) Agencies in Moreno Valley?")</f>
        <v>What Are the Best Generative Engine Optimization (GEO) Agencies in Moreno Valley?</v>
      </c>
      <c r="C1164" s="10" t="str">
        <f>IFERROR(__xludf.DUMMYFUNCTION("""COMPUTED_VALUE"""),"youtube.com")</f>
        <v>youtube.com</v>
      </c>
      <c r="D1164" s="11" t="str">
        <f>IFERROR(__xludf.DUMMYFUNCTION("""COMPUTED_VALUE"""),"LISTICLE")</f>
        <v>LISTICLE</v>
      </c>
      <c r="E1164" s="11" t="str">
        <f>IFERROR(__xludf.DUMMYFUNCTION("""COMPUTED_VALUE"""),"UGC")</f>
        <v>UGC</v>
      </c>
      <c r="F1164" s="11" t="str">
        <f>IFERROR(__xludf.DUMMYFUNCTION("""COMPUTED_VALUE"""),"Listicle")</f>
        <v>Listicle</v>
      </c>
      <c r="G1164" s="11" t="b">
        <f>IFERROR(__xludf.DUMMYFUNCTION("""COMPUTED_VALUE"""),FALSE)</f>
        <v>0</v>
      </c>
      <c r="H1164" s="11"/>
      <c r="I1164" s="11">
        <f>IFERROR(__xludf.DUMMYFUNCTION("""COMPUTED_VALUE"""),1.0)</f>
        <v>1</v>
      </c>
      <c r="J1164" s="11">
        <f>IFERROR(__xludf.DUMMYFUNCTION("""COMPUTED_VALUE"""),0.0)</f>
        <v>0</v>
      </c>
      <c r="K1164" s="11">
        <f>IFERROR(__xludf.DUMMYFUNCTION("""COMPUTED_VALUE"""),1.0)</f>
        <v>1</v>
      </c>
      <c r="L1164" s="11"/>
    </row>
    <row r="1165">
      <c r="A1165" s="10" t="str">
        <f>IFERROR(__xludf.DUMMYFUNCTION("""COMPUTED_VALUE"""),"https://www.youtube.com/watch?v=DKfcaxbRHcQ&amp;t=331")</f>
        <v>https://www.youtube.com/watch?v=DKfcaxbRHcQ&amp;t=331</v>
      </c>
      <c r="B1165" s="11" t="str">
        <f>IFERROR(__xludf.DUMMYFUNCTION("""COMPUTED_VALUE"""),"Cometly Review: The Best Marketing Attribution Platform for B2B")</f>
        <v>Cometly Review: The Best Marketing Attribution Platform for B2B</v>
      </c>
      <c r="C1165" s="10" t="str">
        <f>IFERROR(__xludf.DUMMYFUNCTION("""COMPUTED_VALUE"""),"youtube.com")</f>
        <v>youtube.com</v>
      </c>
      <c r="D1165" s="11" t="str">
        <f>IFERROR(__xludf.DUMMYFUNCTION("""COMPUTED_VALUE"""),"OTHER")</f>
        <v>OTHER</v>
      </c>
      <c r="E1165" s="11" t="str">
        <f>IFERROR(__xludf.DUMMYFUNCTION("""COMPUTED_VALUE"""),"UGC")</f>
        <v>UGC</v>
      </c>
      <c r="F1165" s="11" t="str">
        <f>IFERROR(__xludf.DUMMYFUNCTION("""COMPUTED_VALUE"""),"Other")</f>
        <v>Other</v>
      </c>
      <c r="G1165" s="11" t="b">
        <f>IFERROR(__xludf.DUMMYFUNCTION("""COMPUTED_VALUE"""),FALSE)</f>
        <v>0</v>
      </c>
      <c r="H1165" s="11" t="str">
        <f>IFERROR(__xludf.DUMMYFUNCTION("""COMPUTED_VALUE"""),"Cometly")</f>
        <v>Cometly</v>
      </c>
      <c r="I1165" s="11">
        <f>IFERROR(__xludf.DUMMYFUNCTION("""COMPUTED_VALUE"""),1.0)</f>
        <v>1</v>
      </c>
      <c r="J1165" s="11">
        <f>IFERROR(__xludf.DUMMYFUNCTION("""COMPUTED_VALUE"""),0.0)</f>
        <v>0</v>
      </c>
      <c r="K1165" s="11">
        <f>IFERROR(__xludf.DUMMYFUNCTION("""COMPUTED_VALUE"""),1.0)</f>
        <v>1</v>
      </c>
      <c r="L1165" s="11"/>
    </row>
    <row r="1166">
      <c r="A1166" s="10" t="str">
        <f>IFERROR(__xludf.DUMMYFUNCTION("""COMPUTED_VALUE"""),"https://www.youtube.com/watch?v=GBZzmnhPh4U&amp;t=5")</f>
        <v>https://www.youtube.com/watch?v=GBZzmnhPh4U&amp;t=5</v>
      </c>
      <c r="B1166" s="11" t="str">
        <f>IFERROR(__xludf.DUMMYFUNCTION("""COMPUTED_VALUE"""),"What Are The 10 Best Artificial Intelligence (AI) Consulting Firms?")</f>
        <v>What Are The 10 Best Artificial Intelligence (AI) Consulting Firms?</v>
      </c>
      <c r="C1166" s="10" t="str">
        <f>IFERROR(__xludf.DUMMYFUNCTION("""COMPUTED_VALUE"""),"youtube.com")</f>
        <v>youtube.com</v>
      </c>
      <c r="D1166" s="11" t="str">
        <f>IFERROR(__xludf.DUMMYFUNCTION("""COMPUTED_VALUE"""),"LISTICLE")</f>
        <v>LISTICLE</v>
      </c>
      <c r="E1166" s="11" t="str">
        <f>IFERROR(__xludf.DUMMYFUNCTION("""COMPUTED_VALUE"""),"UGC")</f>
        <v>UGC</v>
      </c>
      <c r="F1166" s="11" t="str">
        <f>IFERROR(__xludf.DUMMYFUNCTION("""COMPUTED_VALUE"""),"Listicle")</f>
        <v>Listicle</v>
      </c>
      <c r="G1166" s="11" t="b">
        <f>IFERROR(__xludf.DUMMYFUNCTION("""COMPUTED_VALUE"""),FALSE)</f>
        <v>0</v>
      </c>
      <c r="H1166" s="11" t="str">
        <f>IFERROR(__xludf.DUMMYFUNCTION("""COMPUTED_VALUE"""),"PwC, QuantumBlack, McKinsey, BCG, IBM")</f>
        <v>PwC, QuantumBlack, McKinsey, BCG, IBM</v>
      </c>
      <c r="I1166" s="11">
        <f>IFERROR(__xludf.DUMMYFUNCTION("""COMPUTED_VALUE"""),1.0)</f>
        <v>1</v>
      </c>
      <c r="J1166" s="11">
        <f>IFERROR(__xludf.DUMMYFUNCTION("""COMPUTED_VALUE"""),0.0)</f>
        <v>0</v>
      </c>
      <c r="K1166" s="11">
        <f>IFERROR(__xludf.DUMMYFUNCTION("""COMPUTED_VALUE"""),2.0)</f>
        <v>2</v>
      </c>
      <c r="L1166" s="11"/>
    </row>
    <row r="1167">
      <c r="A1167" s="10" t="str">
        <f>IFERROR(__xludf.DUMMYFUNCTION("""COMPUTED_VALUE"""),"https://www.youtube.com/watch?v=IjasEPvA-K4")</f>
        <v>https://www.youtube.com/watch?v=IjasEPvA-K4</v>
      </c>
      <c r="B1167" s="11" t="str">
        <f>IFERROR(__xludf.DUMMYFUNCTION("""COMPUTED_VALUE"""),"Top 10 AI-Native B2B Marketing Agencies for 2026 | Unbiased list")</f>
        <v>Top 10 AI-Native B2B Marketing Agencies for 2026 | Unbiased list</v>
      </c>
      <c r="C1167" s="10" t="str">
        <f>IFERROR(__xludf.DUMMYFUNCTION("""COMPUTED_VALUE"""),"youtube.com")</f>
        <v>youtube.com</v>
      </c>
      <c r="D1167" s="11" t="str">
        <f>IFERROR(__xludf.DUMMYFUNCTION("""COMPUTED_VALUE"""),"LISTICLE")</f>
        <v>LISTICLE</v>
      </c>
      <c r="E1167" s="11" t="str">
        <f>IFERROR(__xludf.DUMMYFUNCTION("""COMPUTED_VALUE"""),"UGC")</f>
        <v>UGC</v>
      </c>
      <c r="F1167" s="11" t="str">
        <f>IFERROR(__xludf.DUMMYFUNCTION("""COMPUTED_VALUE"""),"Listicle")</f>
        <v>Listicle</v>
      </c>
      <c r="G1167" s="11" t="b">
        <f>IFERROR(__xludf.DUMMYFUNCTION("""COMPUTED_VALUE"""),FALSE)</f>
        <v>0</v>
      </c>
      <c r="H1167" s="11" t="str">
        <f>IFERROR(__xludf.DUMMYFUNCTION("""COMPUTED_VALUE"""),"Single Grain, Directive, NoGood, Omniscient Digital, Measured, Major Tom, GrowthSpree")</f>
        <v>Single Grain, Directive, NoGood, Omniscient Digital, Measured, Major Tom, GrowthSpree</v>
      </c>
      <c r="I1167" s="11">
        <f>IFERROR(__xludf.DUMMYFUNCTION("""COMPUTED_VALUE"""),1.0)</f>
        <v>1</v>
      </c>
      <c r="J1167" s="11">
        <f>IFERROR(__xludf.DUMMYFUNCTION("""COMPUTED_VALUE"""),0.0)</f>
        <v>0</v>
      </c>
      <c r="K1167" s="11">
        <f>IFERROR(__xludf.DUMMYFUNCTION("""COMPUTED_VALUE"""),1.0)</f>
        <v>1</v>
      </c>
      <c r="L1167" s="11"/>
    </row>
    <row r="1168">
      <c r="A1168" s="10" t="str">
        <f>IFERROR(__xludf.DUMMYFUNCTION("""COMPUTED_VALUE"""),"https://www.youtube.com/watch?v=NXkXQbQ9-kk&amp;vl=en&amp;t=332")</f>
        <v>https://www.youtube.com/watch?v=NXkXQbQ9-kk&amp;vl=en&amp;t=332</v>
      </c>
      <c r="B1168" s="11" t="str">
        <f>IFERROR(__xludf.DUMMYFUNCTION("""COMPUTED_VALUE"""),"Best AI Tools for Generative Engine Optimization (GEO)")</f>
        <v>Best AI Tools for Generative Engine Optimization (GEO)</v>
      </c>
      <c r="C1168" s="10" t="str">
        <f>IFERROR(__xludf.DUMMYFUNCTION("""COMPUTED_VALUE"""),"youtube.com")</f>
        <v>youtube.com</v>
      </c>
      <c r="D1168" s="11" t="str">
        <f>IFERROR(__xludf.DUMMYFUNCTION("""COMPUTED_VALUE"""),"LISTICLE")</f>
        <v>LISTICLE</v>
      </c>
      <c r="E1168" s="11" t="str">
        <f>IFERROR(__xludf.DUMMYFUNCTION("""COMPUTED_VALUE"""),"UGC")</f>
        <v>UGC</v>
      </c>
      <c r="F1168" s="11" t="str">
        <f>IFERROR(__xludf.DUMMYFUNCTION("""COMPUTED_VALUE"""),"Listicle")</f>
        <v>Listicle</v>
      </c>
      <c r="G1168" s="11" t="b">
        <f>IFERROR(__xludf.DUMMYFUNCTION("""COMPUTED_VALUE"""),FALSE)</f>
        <v>0</v>
      </c>
      <c r="H1168" s="11"/>
      <c r="I1168" s="11">
        <f>IFERROR(__xludf.DUMMYFUNCTION("""COMPUTED_VALUE"""),1.0)</f>
        <v>1</v>
      </c>
      <c r="J1168" s="11">
        <f>IFERROR(__xludf.DUMMYFUNCTION("""COMPUTED_VALUE"""),0.0)</f>
        <v>0</v>
      </c>
      <c r="K1168" s="11">
        <f>IFERROR(__xludf.DUMMYFUNCTION("""COMPUTED_VALUE"""),1.0)</f>
        <v>1</v>
      </c>
      <c r="L1168" s="11"/>
    </row>
    <row r="1169">
      <c r="A1169" s="10" t="str">
        <f>IFERROR(__xludf.DUMMYFUNCTION("""COMPUTED_VALUE"""),"https://www.youtube.com/watch?v=VQQ_1ODhyvo&amp;vl=en")</f>
        <v>https://www.youtube.com/watch?v=VQQ_1ODhyvo&amp;vl=en</v>
      </c>
      <c r="B1169" s="11" t="str">
        <f>IFERROR(__xludf.DUMMYFUNCTION("""COMPUTED_VALUE"""),"HubSpot AEO vs Profound vs Rankability: What's Best for Agencies?")</f>
        <v>HubSpot AEO vs Profound vs Rankability: What's Best for Agencies?</v>
      </c>
      <c r="C1169" s="10" t="str">
        <f>IFERROR(__xludf.DUMMYFUNCTION("""COMPUTED_VALUE"""),"youtube.com")</f>
        <v>youtube.com</v>
      </c>
      <c r="D1169" s="11" t="str">
        <f>IFERROR(__xludf.DUMMYFUNCTION("""COMPUTED_VALUE"""),"COMPARISON")</f>
        <v>COMPARISON</v>
      </c>
      <c r="E1169" s="11" t="str">
        <f>IFERROR(__xludf.DUMMYFUNCTION("""COMPUTED_VALUE"""),"UGC")</f>
        <v>UGC</v>
      </c>
      <c r="F1169" s="11" t="str">
        <f>IFERROR(__xludf.DUMMYFUNCTION("""COMPUTED_VALUE"""),"Comparison")</f>
        <v>Comparison</v>
      </c>
      <c r="G1169" s="11" t="b">
        <f>IFERROR(__xludf.DUMMYFUNCTION("""COMPUTED_VALUE"""),FALSE)</f>
        <v>0</v>
      </c>
      <c r="H1169" s="11" t="str">
        <f>IFERROR(__xludf.DUMMYFUNCTION("""COMPUTED_VALUE"""),"Huge")</f>
        <v>Huge</v>
      </c>
      <c r="I1169" s="11">
        <f>IFERROR(__xludf.DUMMYFUNCTION("""COMPUTED_VALUE"""),1.0)</f>
        <v>1</v>
      </c>
      <c r="J1169" s="11">
        <f>IFERROR(__xludf.DUMMYFUNCTION("""COMPUTED_VALUE"""),0.0)</f>
        <v>0</v>
      </c>
      <c r="K1169" s="11">
        <f>IFERROR(__xludf.DUMMYFUNCTION("""COMPUTED_VALUE"""),1.0)</f>
        <v>1</v>
      </c>
      <c r="L1169" s="11"/>
    </row>
    <row r="1170">
      <c r="A1170" s="10" t="str">
        <f>IFERROR(__xludf.DUMMYFUNCTION("""COMPUTED_VALUE"""),"https://www.youtube.com/watch?v=YVG_HfB0Dpw&amp;t=604")</f>
        <v>https://www.youtube.com/watch?v=YVG_HfB0Dpw&amp;t=604</v>
      </c>
      <c r="B1170" s="11" t="str">
        <f>IFERROR(__xludf.DUMMYFUNCTION("""COMPUTED_VALUE"""),"3 Best AI Marketing Agencies To Start in 2025")</f>
        <v>3 Best AI Marketing Agencies To Start in 2025</v>
      </c>
      <c r="C1170" s="10" t="str">
        <f>IFERROR(__xludf.DUMMYFUNCTION("""COMPUTED_VALUE"""),"youtube.com")</f>
        <v>youtube.com</v>
      </c>
      <c r="D1170" s="11" t="str">
        <f>IFERROR(__xludf.DUMMYFUNCTION("""COMPUTED_VALUE"""),"ARTICLE")</f>
        <v>ARTICLE</v>
      </c>
      <c r="E1170" s="11" t="str">
        <f>IFERROR(__xludf.DUMMYFUNCTION("""COMPUTED_VALUE"""),"UGC")</f>
        <v>UGC</v>
      </c>
      <c r="F1170" s="11" t="str">
        <f>IFERROR(__xludf.DUMMYFUNCTION("""COMPUTED_VALUE"""),"Article")</f>
        <v>Article</v>
      </c>
      <c r="G1170" s="11" t="b">
        <f>IFERROR(__xludf.DUMMYFUNCTION("""COMPUTED_VALUE"""),FALSE)</f>
        <v>0</v>
      </c>
      <c r="H1170" s="11"/>
      <c r="I1170" s="11">
        <f>IFERROR(__xludf.DUMMYFUNCTION("""COMPUTED_VALUE"""),1.0)</f>
        <v>1</v>
      </c>
      <c r="J1170" s="11">
        <f>IFERROR(__xludf.DUMMYFUNCTION("""COMPUTED_VALUE"""),0.0)</f>
        <v>0</v>
      </c>
      <c r="K1170" s="11">
        <f>IFERROR(__xludf.DUMMYFUNCTION("""COMPUTED_VALUE"""),1.0)</f>
        <v>1</v>
      </c>
      <c r="L1170" s="11"/>
    </row>
    <row r="1171">
      <c r="A1171" s="10" t="str">
        <f>IFERROR(__xludf.DUMMYFUNCTION("""COMPUTED_VALUE"""),"https://www.youtube.com/watch?v=a_Q3LpltO8I&amp;t=2")</f>
        <v>https://www.youtube.com/watch?v=a_Q3LpltO8I&amp;t=2</v>
      </c>
      <c r="B1171" s="11" t="str">
        <f>IFERROR(__xludf.DUMMYFUNCTION("""COMPUTED_VALUE"""),"Top Marketing Attribution Software")</f>
        <v>Top Marketing Attribution Software</v>
      </c>
      <c r="C1171" s="10" t="str">
        <f>IFERROR(__xludf.DUMMYFUNCTION("""COMPUTED_VALUE"""),"youtube.com")</f>
        <v>youtube.com</v>
      </c>
      <c r="D1171" s="11" t="str">
        <f>IFERROR(__xludf.DUMMYFUNCTION("""COMPUTED_VALUE"""),"ARTICLE")</f>
        <v>ARTICLE</v>
      </c>
      <c r="E1171" s="11" t="str">
        <f>IFERROR(__xludf.DUMMYFUNCTION("""COMPUTED_VALUE"""),"UGC")</f>
        <v>UGC</v>
      </c>
      <c r="F1171" s="11" t="str">
        <f>IFERROR(__xludf.DUMMYFUNCTION("""COMPUTED_VALUE"""),"Article")</f>
        <v>Article</v>
      </c>
      <c r="G1171" s="11" t="b">
        <f>IFERROR(__xludf.DUMMYFUNCTION("""COMPUTED_VALUE"""),FALSE)</f>
        <v>0</v>
      </c>
      <c r="H1171" s="11" t="str">
        <f>IFERROR(__xludf.DUMMYFUNCTION("""COMPUTED_VALUE"""),"Cometly")</f>
        <v>Cometly</v>
      </c>
      <c r="I1171" s="11">
        <f>IFERROR(__xludf.DUMMYFUNCTION("""COMPUTED_VALUE"""),1.0)</f>
        <v>1</v>
      </c>
      <c r="J1171" s="11">
        <f>IFERROR(__xludf.DUMMYFUNCTION("""COMPUTED_VALUE"""),0.0)</f>
        <v>0</v>
      </c>
      <c r="K1171" s="11">
        <f>IFERROR(__xludf.DUMMYFUNCTION("""COMPUTED_VALUE"""),1.0)</f>
        <v>1</v>
      </c>
      <c r="L1171" s="11"/>
    </row>
    <row r="1172">
      <c r="A1172" s="10" t="str">
        <f>IFERROR(__xludf.DUMMYFUNCTION("""COMPUTED_VALUE"""),"https://www.youtube.com/watch?v=yIAxLp4yY3E")</f>
        <v>https://www.youtube.com/watch?v=yIAxLp4yY3E</v>
      </c>
      <c r="B1172" s="11" t="str">
        <f>IFERROR(__xludf.DUMMYFUNCTION("""COMPUTED_VALUE"""),"7 Best B2B SaaS Marketing Agencies Under $5,000/Month in 2026")</f>
        <v>7 Best B2B SaaS Marketing Agencies Under $5,000/Month in 2026</v>
      </c>
      <c r="C1172" s="10" t="str">
        <f>IFERROR(__xludf.DUMMYFUNCTION("""COMPUTED_VALUE"""),"youtube.com")</f>
        <v>youtube.com</v>
      </c>
      <c r="D1172" s="11" t="str">
        <f>IFERROR(__xludf.DUMMYFUNCTION("""COMPUTED_VALUE"""),"LISTICLE")</f>
        <v>LISTICLE</v>
      </c>
      <c r="E1172" s="11" t="str">
        <f>IFERROR(__xludf.DUMMYFUNCTION("""COMPUTED_VALUE"""),"UGC")</f>
        <v>UGC</v>
      </c>
      <c r="F1172" s="11" t="str">
        <f>IFERROR(__xludf.DUMMYFUNCTION("""COMPUTED_VALUE"""),"Listicle")</f>
        <v>Listicle</v>
      </c>
      <c r="G1172" s="11" t="b">
        <f>IFERROR(__xludf.DUMMYFUNCTION("""COMPUTED_VALUE"""),FALSE)</f>
        <v>0</v>
      </c>
      <c r="H1172" s="11" t="str">
        <f>IFERROR(__xludf.DUMMYFUNCTION("""COMPUTED_VALUE"""),"GrowthSpree, AdVenture Media, Searchbloom, Clutch")</f>
        <v>GrowthSpree, AdVenture Media, Searchbloom, Clutch</v>
      </c>
      <c r="I1172" s="11">
        <f>IFERROR(__xludf.DUMMYFUNCTION("""COMPUTED_VALUE"""),1.0)</f>
        <v>1</v>
      </c>
      <c r="J1172" s="11">
        <f>IFERROR(__xludf.DUMMYFUNCTION("""COMPUTED_VALUE"""),0.0)</f>
        <v>0</v>
      </c>
      <c r="K1172" s="11">
        <f>IFERROR(__xludf.DUMMYFUNCTION("""COMPUTED_VALUE"""),1.0)</f>
        <v>1</v>
      </c>
      <c r="L1172" s="11"/>
    </row>
    <row r="1173">
      <c r="A1173" s="10" t="str">
        <f>IFERROR(__xludf.DUMMYFUNCTION("""COMPUTED_VALUE"""),"https://zeroado.com/blog/best-marketing-agencies-for-small-businesses")</f>
        <v>https://zeroado.com/blog/best-marketing-agencies-for-small-businesses</v>
      </c>
      <c r="B1173" s="11" t="str">
        <f>IFERROR(__xludf.DUMMYFUNCTION("""COMPUTED_VALUE"""),"7 Best Marketing Agencies for Small Businesses in India")</f>
        <v>7 Best Marketing Agencies for Small Businesses in India</v>
      </c>
      <c r="C1173" s="10" t="str">
        <f>IFERROR(__xludf.DUMMYFUNCTION("""COMPUTED_VALUE"""),"zeroado.com")</f>
        <v>zeroado.com</v>
      </c>
      <c r="D1173" s="11" t="str">
        <f>IFERROR(__xludf.DUMMYFUNCTION("""COMPUTED_VALUE"""),"LISTICLE")</f>
        <v>LISTICLE</v>
      </c>
      <c r="E1173" s="11" t="str">
        <f>IFERROR(__xludf.DUMMYFUNCTION("""COMPUTED_VALUE"""),"CORPORATE")</f>
        <v>CORPORATE</v>
      </c>
      <c r="F1173" s="11" t="str">
        <f>IFERROR(__xludf.DUMMYFUNCTION("""COMPUTED_VALUE"""),"Listicle")</f>
        <v>Listicle</v>
      </c>
      <c r="G1173" s="11" t="b">
        <f>IFERROR(__xludf.DUMMYFUNCTION("""COMPUTED_VALUE"""),FALSE)</f>
        <v>0</v>
      </c>
      <c r="H1173" s="11" t="str">
        <f>IFERROR(__xludf.DUMMYFUNCTION("""COMPUTED_VALUE"""),"IBM, Huge")</f>
        <v>IBM, Huge</v>
      </c>
      <c r="I1173" s="11">
        <f>IFERROR(__xludf.DUMMYFUNCTION("""COMPUTED_VALUE"""),1.0)</f>
        <v>1</v>
      </c>
      <c r="J1173" s="11">
        <f>IFERROR(__xludf.DUMMYFUNCTION("""COMPUTED_VALUE"""),0.0)</f>
        <v>0</v>
      </c>
      <c r="K1173" s="11">
        <f>IFERROR(__xludf.DUMMYFUNCTION("""COMPUTED_VALUE"""),1.0)</f>
        <v>1</v>
      </c>
      <c r="L1173" s="11"/>
    </row>
    <row r="1174">
      <c r="A1174" s="10" t="str">
        <f>IFERROR(__xludf.DUMMYFUNCTION("""COMPUTED_VALUE"""),"https://zeroado.com/blog/generative-engine-optimization-agencies-in-bangalore")</f>
        <v>https://zeroado.com/blog/generative-engine-optimization-agencies-in-bangalore</v>
      </c>
      <c r="B1174" s="11" t="str">
        <f>IFERROR(__xludf.DUMMYFUNCTION("""COMPUTED_VALUE"""),"7 Best GEO Agencies in Bangalore for AI SEO in 2026")</f>
        <v>7 Best GEO Agencies in Bangalore for AI SEO in 2026</v>
      </c>
      <c r="C1174" s="10" t="str">
        <f>IFERROR(__xludf.DUMMYFUNCTION("""COMPUTED_VALUE"""),"zeroado.com")</f>
        <v>zeroado.com</v>
      </c>
      <c r="D1174" s="11" t="str">
        <f>IFERROR(__xludf.DUMMYFUNCTION("""COMPUTED_VALUE"""),"LISTICLE")</f>
        <v>LISTICLE</v>
      </c>
      <c r="E1174" s="11" t="str">
        <f>IFERROR(__xludf.DUMMYFUNCTION("""COMPUTED_VALUE"""),"CORPORATE")</f>
        <v>CORPORATE</v>
      </c>
      <c r="F1174" s="11" t="str">
        <f>IFERROR(__xludf.DUMMYFUNCTION("""COMPUTED_VALUE"""),"Listicle")</f>
        <v>Listicle</v>
      </c>
      <c r="G1174" s="11" t="b">
        <f>IFERROR(__xludf.DUMMYFUNCTION("""COMPUTED_VALUE"""),FALSE)</f>
        <v>0</v>
      </c>
      <c r="H1174" s="11" t="str">
        <f>IFERROR(__xludf.DUMMYFUNCTION("""COMPUTED_VALUE"""),"Clutch")</f>
        <v>Clutch</v>
      </c>
      <c r="I1174" s="11">
        <f>IFERROR(__xludf.DUMMYFUNCTION("""COMPUTED_VALUE"""),1.0)</f>
        <v>1</v>
      </c>
      <c r="J1174" s="11">
        <f>IFERROR(__xludf.DUMMYFUNCTION("""COMPUTED_VALUE"""),0.0)</f>
        <v>0</v>
      </c>
      <c r="K1174" s="11">
        <f>IFERROR(__xludf.DUMMYFUNCTION("""COMPUTED_VALUE"""),0.0)</f>
        <v>0</v>
      </c>
      <c r="L1174" s="11"/>
    </row>
    <row r="1175">
      <c r="A1175" s="10" t="str">
        <f>IFERROR(__xludf.DUMMYFUNCTION("""COMPUTED_VALUE"""),"https://zipdo.co/service/business-digital-marketing/")</f>
        <v>https://zipdo.co/service/business-digital-marketing/</v>
      </c>
      <c r="B1175" s="11" t="str">
        <f>IFERROR(__xludf.DUMMYFUNCTION("""COMPUTED_VALUE"""),"Best Business Digital Marketing Services | 2026 Rankings")</f>
        <v>Best Business Digital Marketing Services | 2026 Rankings</v>
      </c>
      <c r="C1175" s="10" t="str">
        <f>IFERROR(__xludf.DUMMYFUNCTION("""COMPUTED_VALUE"""),"zipdo.co")</f>
        <v>zipdo.co</v>
      </c>
      <c r="D1175" s="11" t="str">
        <f>IFERROR(__xludf.DUMMYFUNCTION("""COMPUTED_VALUE"""),"LISTICLE")</f>
        <v>LISTICLE</v>
      </c>
      <c r="E1175" s="11" t="str">
        <f>IFERROR(__xludf.DUMMYFUNCTION("""COMPUTED_VALUE"""),"REFERENCE")</f>
        <v>REFERENCE</v>
      </c>
      <c r="F1175" s="11" t="str">
        <f>IFERROR(__xludf.DUMMYFUNCTION("""COMPUTED_VALUE"""),"Listicle")</f>
        <v>Listicle</v>
      </c>
      <c r="G1175" s="11" t="b">
        <f>IFERROR(__xludf.DUMMYFUNCTION("""COMPUTED_VALUE"""),FALSE)</f>
        <v>0</v>
      </c>
      <c r="H1175" s="11" t="str">
        <f>IFERROR(__xludf.DUMMYFUNCTION("""COMPUTED_VALUE"""),"WPP, Dentsu, Publicis Groupe, Accenture Song, IBM, Merkle, Publicis Sapient, iProspect, Thrive Internet Marketing Agency, Momentum, Clutch")</f>
        <v>WPP, Dentsu, Publicis Groupe, Accenture Song, IBM, Merkle, Publicis Sapient, iProspect, Thrive Internet Marketing Agency, Momentum, Clutch</v>
      </c>
      <c r="I1175" s="11">
        <f>IFERROR(__xludf.DUMMYFUNCTION("""COMPUTED_VALUE"""),1.0)</f>
        <v>1</v>
      </c>
      <c r="J1175" s="11">
        <f>IFERROR(__xludf.DUMMYFUNCTION("""COMPUTED_VALUE"""),0.0)</f>
        <v>0</v>
      </c>
      <c r="K1175" s="11">
        <f>IFERROR(__xludf.DUMMYFUNCTION("""COMPUTED_VALUE"""),1.0)</f>
        <v>1</v>
      </c>
      <c r="L1175" s="11"/>
    </row>
    <row r="1176">
      <c r="A1176" s="10" t="str">
        <f>IFERROR(__xludf.DUMMYFUNCTION("""COMPUTED_VALUE"""),"https://zipdo.co/service/digital-marketing-analytics/")</f>
        <v>https://zipdo.co/service/digital-marketing-analytics/</v>
      </c>
      <c r="B1176" s="11" t="str">
        <f>IFERROR(__xludf.DUMMYFUNCTION("""COMPUTED_VALUE"""),"Digital Marketing Analytics Services: Best Picks (2026)")</f>
        <v>Digital Marketing Analytics Services: Best Picks (2026)</v>
      </c>
      <c r="C1176" s="10" t="str">
        <f>IFERROR(__xludf.DUMMYFUNCTION("""COMPUTED_VALUE"""),"zipdo.co")</f>
        <v>zipdo.co</v>
      </c>
      <c r="D1176" s="11" t="str">
        <f>IFERROR(__xludf.DUMMYFUNCTION("""COMPUTED_VALUE"""),"LISTICLE")</f>
        <v>LISTICLE</v>
      </c>
      <c r="E1176" s="11" t="str">
        <f>IFERROR(__xludf.DUMMYFUNCTION("""COMPUTED_VALUE"""),"REFERENCE")</f>
        <v>REFERENCE</v>
      </c>
      <c r="F1176" s="11" t="str">
        <f>IFERROR(__xludf.DUMMYFUNCTION("""COMPUTED_VALUE"""),"Listicle")</f>
        <v>Listicle</v>
      </c>
      <c r="G1176" s="11" t="b">
        <f>IFERROR(__xludf.DUMMYFUNCTION("""COMPUTED_VALUE"""),FALSE)</f>
        <v>0</v>
      </c>
      <c r="H1176" s="11" t="str">
        <f>IFERROR(__xludf.DUMMYFUNCTION("""COMPUTED_VALUE"""),"Merkle, Dentsu, Publicis Sapient, Kantar, WebFX, Victorious, Clutch")</f>
        <v>Merkle, Dentsu, Publicis Sapient, Kantar, WebFX, Victorious, Clutch</v>
      </c>
      <c r="I1176" s="11">
        <f>IFERROR(__xludf.DUMMYFUNCTION("""COMPUTED_VALUE"""),1.0)</f>
        <v>1</v>
      </c>
      <c r="J1176" s="11">
        <f>IFERROR(__xludf.DUMMYFUNCTION("""COMPUTED_VALUE"""),0.0)</f>
        <v>0</v>
      </c>
      <c r="K1176" s="11">
        <f>IFERROR(__xludf.DUMMYFUNCTION("""COMPUTED_VALUE"""),0.0)</f>
        <v>0</v>
      </c>
      <c r="L1176" s="11"/>
    </row>
    <row r="1177">
      <c r="A1177" s="10" t="str">
        <f>IFERROR(__xludf.DUMMYFUNCTION("""COMPUTED_VALUE"""),"https://zipdo.co/service/first-party-data/")</f>
        <v>https://zipdo.co/service/first-party-data/</v>
      </c>
      <c r="B1177" s="11" t="str">
        <f>IFERROR(__xludf.DUMMYFUNCTION("""COMPUTED_VALUE"""),"First Party Data Services: Best Picks (2026)")</f>
        <v>First Party Data Services: Best Picks (2026)</v>
      </c>
      <c r="C1177" s="10" t="str">
        <f>IFERROR(__xludf.DUMMYFUNCTION("""COMPUTED_VALUE"""),"zipdo.co")</f>
        <v>zipdo.co</v>
      </c>
      <c r="D1177" s="11" t="str">
        <f>IFERROR(__xludf.DUMMYFUNCTION("""COMPUTED_VALUE"""),"LISTICLE")</f>
        <v>LISTICLE</v>
      </c>
      <c r="E1177" s="11" t="str">
        <f>IFERROR(__xludf.DUMMYFUNCTION("""COMPUTED_VALUE"""),"REFERENCE")</f>
        <v>REFERENCE</v>
      </c>
      <c r="F1177" s="11" t="str">
        <f>IFERROR(__xludf.DUMMYFUNCTION("""COMPUTED_VALUE"""),"Listicle")</f>
        <v>Listicle</v>
      </c>
      <c r="G1177" s="11" t="b">
        <f>IFERROR(__xludf.DUMMYFUNCTION("""COMPUTED_VALUE"""),FALSE)</f>
        <v>0</v>
      </c>
      <c r="H1177" s="11" t="str">
        <f>IFERROR(__xludf.DUMMYFUNCTION("""COMPUTED_VALUE"""),"Cardinal Path, Merkle, Dentsu, Publicis Groupe, PwC, Clutch")</f>
        <v>Cardinal Path, Merkle, Dentsu, Publicis Groupe, PwC, Clutch</v>
      </c>
      <c r="I1177" s="11">
        <f>IFERROR(__xludf.DUMMYFUNCTION("""COMPUTED_VALUE"""),1.0)</f>
        <v>1</v>
      </c>
      <c r="J1177" s="11">
        <f>IFERROR(__xludf.DUMMYFUNCTION("""COMPUTED_VALUE"""),0.0)</f>
        <v>0</v>
      </c>
      <c r="K1177" s="11">
        <f>IFERROR(__xludf.DUMMYFUNCTION("""COMPUTED_VALUE"""),2.0)</f>
        <v>2</v>
      </c>
      <c r="L1177" s="11"/>
    </row>
    <row r="1178">
      <c r="A1178" s="10" t="str">
        <f>IFERROR(__xludf.DUMMYFUNCTION("""COMPUTED_VALUE"""),"https://zipdo.co/service/media-mix-modeling/")</f>
        <v>https://zipdo.co/service/media-mix-modeling/</v>
      </c>
      <c r="B1178" s="11" t="str">
        <f>IFERROR(__xludf.DUMMYFUNCTION("""COMPUTED_VALUE"""),"Top 10 Best Media Mix Modeling Services: 2026 Comparison")</f>
        <v>Top 10 Best Media Mix Modeling Services: 2026 Comparison</v>
      </c>
      <c r="C1178" s="10" t="str">
        <f>IFERROR(__xludf.DUMMYFUNCTION("""COMPUTED_VALUE"""),"zipdo.co")</f>
        <v>zipdo.co</v>
      </c>
      <c r="D1178" s="11" t="str">
        <f>IFERROR(__xludf.DUMMYFUNCTION("""COMPUTED_VALUE"""),"LISTICLE")</f>
        <v>LISTICLE</v>
      </c>
      <c r="E1178" s="11" t="str">
        <f>IFERROR(__xludf.DUMMYFUNCTION("""COMPUTED_VALUE"""),"REFERENCE")</f>
        <v>REFERENCE</v>
      </c>
      <c r="F1178" s="11" t="str">
        <f>IFERROR(__xludf.DUMMYFUNCTION("""COMPUTED_VALUE"""),"Listicle")</f>
        <v>Listicle</v>
      </c>
      <c r="G1178" s="11" t="b">
        <f>IFERROR(__xludf.DUMMYFUNCTION("""COMPUTED_VALUE"""),FALSE)</f>
        <v>0</v>
      </c>
      <c r="H1178" s="11" t="str">
        <f>IFERROR(__xludf.DUMMYFUNCTION("""COMPUTED_VALUE"""),"Kantar, Epsilon, Merkle, Dentsu, GroupM, Measured, Momentum, Clutch")</f>
        <v>Kantar, Epsilon, Merkle, Dentsu, GroupM, Measured, Momentum, Clutch</v>
      </c>
      <c r="I1178" s="11">
        <f>IFERROR(__xludf.DUMMYFUNCTION("""COMPUTED_VALUE"""),1.0)</f>
        <v>1</v>
      </c>
      <c r="J1178" s="11">
        <f>IFERROR(__xludf.DUMMYFUNCTION("""COMPUTED_VALUE"""),0.0)</f>
        <v>0</v>
      </c>
      <c r="K1178" s="11">
        <f>IFERROR(__xludf.DUMMYFUNCTION("""COMPUTED_VALUE"""),0.0)</f>
        <v>0</v>
      </c>
      <c r="L1178" s="11"/>
    </row>
    <row r="1179">
      <c r="A1179" s="10" t="str">
        <f>IFERROR(__xludf.DUMMYFUNCTION("""COMPUTED_VALUE"""),"https://zryly.net/paid-social-agencies-in-the-u-s/")</f>
        <v>https://zryly.net/paid-social-agencies-in-the-u-s/</v>
      </c>
      <c r="B1179" s="11" t="str">
        <f>IFERROR(__xludf.DUMMYFUNCTION("""COMPUTED_VALUE"""),"Top 17 Paid Social Agencies in the U.S. (2025)")</f>
        <v>Top 17 Paid Social Agencies in the U.S. (2025)</v>
      </c>
      <c r="C1179" s="10" t="str">
        <f>IFERROR(__xludf.DUMMYFUNCTION("""COMPUTED_VALUE"""),"zryly.net")</f>
        <v>zryly.net</v>
      </c>
      <c r="D1179" s="11" t="str">
        <f>IFERROR(__xludf.DUMMYFUNCTION("""COMPUTED_VALUE"""),"LISTICLE")</f>
        <v>LISTICLE</v>
      </c>
      <c r="E1179" s="11" t="str">
        <f>IFERROR(__xludf.DUMMYFUNCTION("""COMPUTED_VALUE"""),"CORPORATE")</f>
        <v>CORPORATE</v>
      </c>
      <c r="F1179" s="11" t="str">
        <f>IFERROR(__xludf.DUMMYFUNCTION("""COMPUTED_VALUE"""),"Listicle")</f>
        <v>Listicle</v>
      </c>
      <c r="G1179" s="11" t="b">
        <f>IFERROR(__xludf.DUMMYFUNCTION("""COMPUTED_VALUE"""),FALSE)</f>
        <v>0</v>
      </c>
      <c r="H1179" s="11" t="str">
        <f>IFERROR(__xludf.DUMMYFUNCTION("""COMPUTED_VALUE"""),"The Social Shepherd, Jellyfish, Tinuiti, iProspect")</f>
        <v>The Social Shepherd, Jellyfish, Tinuiti, iProspect</v>
      </c>
      <c r="I1179" s="11">
        <f>IFERROR(__xludf.DUMMYFUNCTION("""COMPUTED_VALUE"""),1.0)</f>
        <v>1</v>
      </c>
      <c r="J1179" s="11">
        <f>IFERROR(__xludf.DUMMYFUNCTION("""COMPUTED_VALUE"""),0.0)</f>
        <v>0</v>
      </c>
      <c r="K1179" s="11">
        <f>IFERROR(__xludf.DUMMYFUNCTION("""COMPUTED_VALUE"""),0.0)</f>
        <v>0</v>
      </c>
      <c r="L1179" s="11"/>
    </row>
    <row r="1180">
      <c r="A1180" s="10" t="str">
        <f>IFERROR(__xludf.DUMMYFUNCTION("""COMPUTED_VALUE"""),"https://zyner.io/blog/best-ui-ux-design-agency")</f>
        <v>https://zyner.io/blog/best-ui-ux-design-agency</v>
      </c>
      <c r="B1180" s="11" t="str">
        <f>IFERROR(__xludf.DUMMYFUNCTION("""COMPUTED_VALUE"""),"Best UI UX Design Agencies for Startups 2026 (Ranked)")</f>
        <v>Best UI UX Design Agencies for Startups 2026 (Ranked)</v>
      </c>
      <c r="C1180" s="10" t="str">
        <f>IFERROR(__xludf.DUMMYFUNCTION("""COMPUTED_VALUE"""),"zyner.io")</f>
        <v>zyner.io</v>
      </c>
      <c r="D1180" s="11" t="str">
        <f>IFERROR(__xludf.DUMMYFUNCTION("""COMPUTED_VALUE"""),"LISTICLE")</f>
        <v>LISTICLE</v>
      </c>
      <c r="E1180" s="11" t="str">
        <f>IFERROR(__xludf.DUMMYFUNCTION("""COMPUTED_VALUE"""),"CORPORATE")</f>
        <v>CORPORATE</v>
      </c>
      <c r="F1180" s="11" t="str">
        <f>IFERROR(__xludf.DUMMYFUNCTION("""COMPUTED_VALUE"""),"Listicle")</f>
        <v>Listicle</v>
      </c>
      <c r="G1180" s="11" t="b">
        <f>IFERROR(__xludf.DUMMYFUNCTION("""COMPUTED_VALUE"""),FALSE)</f>
        <v>0</v>
      </c>
      <c r="H1180" s="11" t="str">
        <f>IFERROR(__xludf.DUMMYFUNCTION("""COMPUTED_VALUE"""),"Clutch, Clay")</f>
        <v>Clutch, Clay</v>
      </c>
      <c r="I1180" s="11">
        <f>IFERROR(__xludf.DUMMYFUNCTION("""COMPUTED_VALUE"""),1.0)</f>
        <v>1</v>
      </c>
      <c r="J1180" s="11">
        <f>IFERROR(__xludf.DUMMYFUNCTION("""COMPUTED_VALUE"""),0.0)</f>
        <v>0</v>
      </c>
      <c r="K1180" s="11">
        <f>IFERROR(__xludf.DUMMYFUNCTION("""COMPUTED_VALUE"""),0.0)</f>
        <v>0</v>
      </c>
      <c r="L1180" s="11"/>
    </row>
  </sheetData>
  <autoFilter ref="$A$1:$Z$801"/>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location=":~:text=NP%20Digital%20is%20a%20full%2Dfunnel%20analytics%20partner,rigorous%20analytics%2C%20delivering%20clarity%20across%20every%20channel." ref="A20"/>
    <hyperlink r:id="rId36" ref="A21"/>
    <hyperlink r:id="rId37" ref="C21"/>
    <hyperlink r:id="rId38" ref="A22"/>
    <hyperlink r:id="rId39" ref="C22"/>
    <hyperlink r:id="rId40" ref="A23"/>
    <hyperlink r:id="rId41" ref="C23"/>
    <hyperlink r:id="rId42" ref="A24"/>
    <hyperlink r:id="rId43" ref="C24"/>
    <hyperlink r:id="rId44" ref="A25"/>
    <hyperlink r:id="rId45" ref="C25"/>
    <hyperlink r:id="rId46" location=":~:text=Their%20service%20positioning%20spans%20SEO%2C%20PPC%2C%20social,a%20traditional%20agency%20in%20the%20classic%20sense." ref="A26"/>
    <hyperlink r:id="rId47" ref="C26"/>
    <hyperlink r:id="rId48" ref="A27"/>
    <hyperlink r:id="rId49" ref="C27"/>
    <hyperlink r:id="rId50" ref="A28"/>
    <hyperlink r:id="rId51" ref="C28"/>
    <hyperlink r:id="rId52" ref="A29"/>
    <hyperlink r:id="rId53" ref="C29"/>
    <hyperlink r:id="rId54" ref="A30"/>
    <hyperlink r:id="rId55" ref="C30"/>
    <hyperlink r:id="rId56" ref="A31"/>
    <hyperlink r:id="rId57" ref="C31"/>
    <hyperlink r:id="rId58" ref="A32"/>
    <hyperlink r:id="rId59" ref="C32"/>
    <hyperlink r:id="rId60" location=":~:text=The%20agency%20consistently%20received%20high%20ratings%20for,2%20of%202%20reviews%20are%205%20stars."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 r:id="rId86"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C64"/>
    <hyperlink r:id="rId124" ref="A65"/>
    <hyperlink r:id="rId125" ref="C65"/>
    <hyperlink r:id="rId126" location=":~:text=%2D%20NoGood.%20Born%20in%20New%20York%20City,%2D%20BBDO.%20%2D%20Digitas.%20%2D%20Disruptive%20Advertising." ref="A66"/>
    <hyperlink r:id="rId127" ref="C66"/>
    <hyperlink r:id="rId128" ref="A67"/>
    <hyperlink r:id="rId129" ref="C67"/>
    <hyperlink r:id="rId130" ref="A68"/>
    <hyperlink r:id="rId131" ref="C68"/>
    <hyperlink r:id="rId132" ref="A69"/>
    <hyperlink r:id="rId133" ref="C69"/>
    <hyperlink r:id="rId134" ref="A70"/>
    <hyperlink r:id="rId135" ref="C70"/>
    <hyperlink r:id="rId136" ref="A71"/>
    <hyperlink r:id="rId137" ref="C71"/>
    <hyperlink r:id="rId138" ref="A72"/>
    <hyperlink r:id="rId139" ref="C72"/>
    <hyperlink r:id="rId140" ref="A73"/>
    <hyperlink r:id="rId141" ref="C73"/>
    <hyperlink r:id="rId142" ref="A74"/>
    <hyperlink r:id="rId143" ref="C74"/>
    <hyperlink r:id="rId144" ref="A75"/>
    <hyperlink r:id="rId145" ref="C75"/>
    <hyperlink r:id="rId146" ref="A76"/>
    <hyperlink r:id="rId147" ref="C76"/>
    <hyperlink r:id="rId148" ref="A77"/>
    <hyperlink r:id="rId149" ref="C77"/>
    <hyperlink r:id="rId150" ref="A78"/>
    <hyperlink r:id="rId151" ref="C78"/>
    <hyperlink r:id="rId152" ref="A79"/>
    <hyperlink r:id="rId153" ref="C79"/>
    <hyperlink r:id="rId154" ref="A80"/>
    <hyperlink r:id="rId155" ref="C80"/>
    <hyperlink r:id="rId156" ref="A81"/>
    <hyperlink r:id="rId157" ref="C81"/>
    <hyperlink r:id="rId158" ref="A82"/>
    <hyperlink r:id="rId159" ref="C82"/>
    <hyperlink r:id="rId160" ref="A83"/>
    <hyperlink r:id="rId161" ref="C83"/>
    <hyperlink r:id="rId162" ref="A84"/>
    <hyperlink r:id="rId163" ref="C84"/>
    <hyperlink r:id="rId164" ref="A85"/>
    <hyperlink r:id="rId165" ref="C85"/>
    <hyperlink r:id="rId166" ref="A86"/>
    <hyperlink r:id="rId167" ref="C86"/>
    <hyperlink r:id="rId168" ref="A87"/>
    <hyperlink r:id="rId169" ref="C87"/>
    <hyperlink r:id="rId170" ref="A88"/>
    <hyperlink r:id="rId171" ref="C88"/>
    <hyperlink r:id="rId172" ref="A89"/>
    <hyperlink r:id="rId173" ref="C89"/>
    <hyperlink r:id="rId174" ref="A90"/>
    <hyperlink r:id="rId175" ref="C90"/>
    <hyperlink r:id="rId176" ref="A91"/>
    <hyperlink r:id="rId177" ref="C91"/>
    <hyperlink r:id="rId178" ref="A92"/>
    <hyperlink r:id="rId179" ref="C92"/>
    <hyperlink r:id="rId180" ref="A93"/>
    <hyperlink r:id="rId181" ref="C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location=":~:text=A%20powerhouse%20in%20the%20top%2010%20media,them%20a%20place%20among%20top%20marketing%20firms."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C107"/>
    <hyperlink r:id="rId210" ref="A108"/>
    <hyperlink r:id="rId211" ref="C108"/>
    <hyperlink r:id="rId212"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location=":~:text=Growth%2Dstage%20startups.%20%24%24.%20TikTok.%20Multi%2Dchannel.%20ScalixAI.%20B2B,%2B%20SEO.%20%24%24%24.%20IKEA.%20Paid%20search%2C%20analytics."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ref="A130"/>
    <hyperlink r:id="rId255" ref="C130"/>
    <hyperlink r:id="rId256" ref="A131"/>
    <hyperlink r:id="rId257" ref="C131"/>
    <hyperlink r:id="rId258" ref="A132"/>
    <hyperlink r:id="rId259" ref="C132"/>
    <hyperlink r:id="rId260" ref="A133"/>
    <hyperlink r:id="rId261" ref="C133"/>
    <hyperlink r:id="rId262" ref="A134"/>
    <hyperlink r:id="rId263" ref="C134"/>
    <hyperlink r:id="rId264" ref="A135"/>
    <hyperlink r:id="rId265" ref="C135"/>
    <hyperlink r:id="rId266" ref="A136"/>
    <hyperlink r:id="rId267" ref="C136"/>
    <hyperlink r:id="rId268" ref="A137"/>
    <hyperlink r:id="rId269" ref="C137"/>
    <hyperlink r:id="rId270" ref="A138"/>
    <hyperlink r:id="rId271" ref="C138"/>
    <hyperlink r:id="rId272" location=":~:text=%23%20%233%20iPullRank%20Headquarters%20%7C%20New%20York%2C,Pricing%20%7C%20Custom%20%E2%80%94%20contact%20for%20quote" ref="A139"/>
    <hyperlink r:id="rId273" ref="C139"/>
    <hyperlink r:id="rId274" ref="A140"/>
    <hyperlink r:id="rId275" ref="C140"/>
    <hyperlink r:id="rId276" ref="A141"/>
    <hyperlink r:id="rId277" ref="C141"/>
    <hyperlink r:id="rId278" ref="A142"/>
    <hyperlink r:id="rId279" ref="C142"/>
    <hyperlink r:id="rId280" ref="A143"/>
    <hyperlink r:id="rId281" ref="C143"/>
    <hyperlink r:id="rId282" ref="A144"/>
    <hyperlink r:id="rId283" ref="C144"/>
    <hyperlink r:id="rId284" ref="A145"/>
    <hyperlink r:id="rId285" ref="C145"/>
    <hyperlink r:id="rId286" ref="A146"/>
    <hyperlink r:id="rId287" ref="C146"/>
    <hyperlink r:id="rId288" ref="A147"/>
    <hyperlink r:id="rId289" ref="C147"/>
    <hyperlink r:id="rId290" ref="A148"/>
    <hyperlink r:id="rId291" ref="C148"/>
    <hyperlink r:id="rId292" ref="A149"/>
    <hyperlink r:id="rId293" ref="C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ref="A155"/>
    <hyperlink r:id="rId305" ref="C155"/>
    <hyperlink r:id="rId306" ref="A156"/>
    <hyperlink r:id="rId307" ref="C156"/>
    <hyperlink r:id="rId308" ref="A157"/>
    <hyperlink r:id="rId309" ref="C157"/>
    <hyperlink r:id="rId310" ref="A158"/>
    <hyperlink r:id="rId311" ref="C158"/>
    <hyperlink r:id="rId312" ref="A159"/>
    <hyperlink r:id="rId313" ref="C159"/>
    <hyperlink r:id="rId314" ref="A160"/>
    <hyperlink r:id="rId315" ref="C160"/>
    <hyperlink r:id="rId316" ref="A161"/>
    <hyperlink r:id="rId317" ref="C161"/>
    <hyperlink r:id="rId318" ref="A162"/>
    <hyperlink r:id="rId319" ref="C162"/>
    <hyperlink r:id="rId320" ref="A163"/>
    <hyperlink r:id="rId321" ref="C163"/>
    <hyperlink r:id="rId322" ref="A164"/>
    <hyperlink r:id="rId323" ref="C164"/>
    <hyperlink r:id="rId324" ref="A165"/>
    <hyperlink r:id="rId325" ref="C165"/>
    <hyperlink r:id="rId326" ref="A166"/>
    <hyperlink r:id="rId327" ref="C166"/>
    <hyperlink r:id="rId328" ref="A167"/>
    <hyperlink r:id="rId329" ref="C167"/>
    <hyperlink r:id="rId330" ref="A168"/>
    <hyperlink r:id="rId331" ref="C168"/>
    <hyperlink r:id="rId332" ref="A169"/>
    <hyperlink r:id="rId333" ref="A170"/>
    <hyperlink r:id="rId334" ref="C170"/>
    <hyperlink r:id="rId335" ref="A171"/>
    <hyperlink r:id="rId336" ref="C171"/>
    <hyperlink r:id="rId337" ref="A172"/>
    <hyperlink r:id="rId338" ref="C172"/>
    <hyperlink r:id="rId339" ref="A173"/>
    <hyperlink r:id="rId340" ref="C173"/>
    <hyperlink r:id="rId341" ref="A174"/>
    <hyperlink r:id="rId342" ref="C174"/>
    <hyperlink r:id="rId343" ref="A175"/>
    <hyperlink r:id="rId344" ref="C175"/>
    <hyperlink r:id="rId345" ref="A176"/>
    <hyperlink r:id="rId346" ref="C176"/>
    <hyperlink r:id="rId347" ref="A177"/>
    <hyperlink r:id="rId348" ref="C177"/>
    <hyperlink r:id="rId349" ref="A178"/>
    <hyperlink r:id="rId350" ref="C178"/>
    <hyperlink r:id="rId351" ref="A179"/>
    <hyperlink r:id="rId352" ref="A180"/>
    <hyperlink r:id="rId353" ref="C180"/>
    <hyperlink r:id="rId354" ref="A181"/>
    <hyperlink r:id="rId355" ref="C181"/>
    <hyperlink r:id="rId356" ref="A182"/>
    <hyperlink r:id="rId357" ref="C182"/>
    <hyperlink r:id="rId358" ref="A183"/>
    <hyperlink r:id="rId359" ref="C183"/>
    <hyperlink r:id="rId360" ref="A184"/>
    <hyperlink r:id="rId361" ref="C184"/>
    <hyperlink r:id="rId362" ref="A185"/>
    <hyperlink r:id="rId363" ref="C185"/>
    <hyperlink r:id="rId364" ref="A186"/>
    <hyperlink r:id="rId365" ref="C186"/>
    <hyperlink r:id="rId366" ref="A187"/>
    <hyperlink r:id="rId367" ref="C187"/>
    <hyperlink r:id="rId368" ref="A188"/>
    <hyperlink r:id="rId369" ref="C188"/>
    <hyperlink r:id="rId370" location=":~:text=Growth%20Marketing%20Pro.%20Olivine%20Marketing.%201.%20%2D,Disruptive%20Advertising.%20%2D%20Skale.%20%2D%20Directive%20Consulting." ref="A189"/>
    <hyperlink r:id="rId371" ref="C189"/>
    <hyperlink r:id="rId372" location=":~:text=List%20of%20the%20Top%20United%20States%20Programmatic,108%20reviews.%20%2D%20Onya.%205.0%2030%20reviews." ref="A190"/>
    <hyperlink r:id="rId373" ref="C190"/>
    <hyperlink r:id="rId374" ref="A191"/>
    <hyperlink r:id="rId375" ref="C191"/>
    <hyperlink r:id="rId376" ref="A192"/>
    <hyperlink r:id="rId377" ref="C192"/>
    <hyperlink r:id="rId378" location=":~:text=Power%20Digital%20is%20a%20tech%2Denabled%20growth%20marketing,forecasts%2C%20and%20tracks%20attribution%20across%20every%20channel."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C199"/>
    <hyperlink r:id="rId392" ref="A200"/>
    <hyperlink r:id="rId393" ref="C200"/>
    <hyperlink r:id="rId394" ref="A201"/>
    <hyperlink r:id="rId395" ref="C201"/>
    <hyperlink r:id="rId396"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location=":~:text=Great%20For%3A%20Mid%2Dmarket%20to%20enterprise%2Dlevel%20businesses%20requiring,and%20advanced%20analytics%20to%20drive%20measurable%20results." ref="A210"/>
    <hyperlink r:id="rId413" ref="C210"/>
    <hyperlink r:id="rId414" ref="A211"/>
    <hyperlink r:id="rId415" ref="A212"/>
    <hyperlink r:id="rId416" ref="C212"/>
    <hyperlink r:id="rId417" ref="A213"/>
    <hyperlink r:id="rId418" ref="C213"/>
    <hyperlink r:id="rId419" ref="A214"/>
    <hyperlink r:id="rId420" ref="C214"/>
    <hyperlink r:id="rId421" ref="A215"/>
    <hyperlink r:id="rId422" ref="C215"/>
    <hyperlink r:id="rId423" ref="A216"/>
    <hyperlink r:id="rId424" ref="C216"/>
    <hyperlink r:id="rId425" ref="A217"/>
    <hyperlink r:id="rId426" ref="C217"/>
    <hyperlink r:id="rId427" ref="A218"/>
    <hyperlink r:id="rId428" ref="C218"/>
    <hyperlink r:id="rId429" ref="A219"/>
    <hyperlink r:id="rId430" ref="A220"/>
    <hyperlink r:id="rId431" ref="C220"/>
    <hyperlink r:id="rId432" ref="A221"/>
    <hyperlink r:id="rId433" ref="C221"/>
    <hyperlink r:id="rId434" ref="A222"/>
    <hyperlink r:id="rId435" ref="C222"/>
    <hyperlink r:id="rId436" ref="A223"/>
    <hyperlink r:id="rId437" ref="C223"/>
    <hyperlink r:id="rId438" ref="A224"/>
    <hyperlink r:id="rId439" ref="C224"/>
    <hyperlink r:id="rId440" ref="A225"/>
    <hyperlink r:id="rId441" ref="C225"/>
    <hyperlink r:id="rId442" ref="A226"/>
    <hyperlink r:id="rId443" ref="C226"/>
    <hyperlink r:id="rId444" ref="A227"/>
    <hyperlink r:id="rId445" ref="C227"/>
    <hyperlink r:id="rId446" ref="A228"/>
    <hyperlink r:id="rId447" ref="C228"/>
    <hyperlink r:id="rId448" ref="A229"/>
    <hyperlink r:id="rId449" ref="C229"/>
    <hyperlink r:id="rId450" ref="A230"/>
    <hyperlink r:id="rId451" ref="C230"/>
    <hyperlink r:id="rId452" ref="A231"/>
    <hyperlink r:id="rId453" ref="C231"/>
    <hyperlink r:id="rId454" ref="A232"/>
    <hyperlink r:id="rId455" ref="A233"/>
    <hyperlink r:id="rId456" ref="C233"/>
    <hyperlink r:id="rId457" ref="A234"/>
    <hyperlink r:id="rId458" ref="C234"/>
    <hyperlink r:id="rId459" ref="A235"/>
    <hyperlink r:id="rId460" ref="C235"/>
    <hyperlink r:id="rId461" ref="A236"/>
    <hyperlink r:id="rId462" ref="C236"/>
    <hyperlink r:id="rId463" ref="A237"/>
    <hyperlink r:id="rId464" ref="C237"/>
    <hyperlink r:id="rId465" ref="A238"/>
    <hyperlink r:id="rId466" ref="C238"/>
    <hyperlink r:id="rId467" ref="A239"/>
    <hyperlink r:id="rId468" ref="C239"/>
    <hyperlink r:id="rId469" ref="A240"/>
    <hyperlink r:id="rId470" ref="C240"/>
    <hyperlink r:id="rId471" ref="A241"/>
    <hyperlink r:id="rId472" ref="C241"/>
    <hyperlink r:id="rId473" ref="A242"/>
    <hyperlink r:id="rId474" ref="C242"/>
    <hyperlink r:id="rId475" ref="A243"/>
    <hyperlink r:id="rId476" ref="C243"/>
    <hyperlink r:id="rId477" ref="A244"/>
    <hyperlink r:id="rId478" ref="A245"/>
    <hyperlink r:id="rId479" ref="C245"/>
    <hyperlink r:id="rId480" ref="A246"/>
    <hyperlink r:id="rId481" ref="C246"/>
    <hyperlink r:id="rId482" ref="A247"/>
    <hyperlink r:id="rId483" ref="C247"/>
    <hyperlink r:id="rId484" ref="A248"/>
    <hyperlink r:id="rId485" ref="C248"/>
    <hyperlink r:id="rId486" ref="A249"/>
    <hyperlink r:id="rId487" ref="A250"/>
    <hyperlink r:id="rId488" ref="C250"/>
    <hyperlink r:id="rId489" ref="A251"/>
    <hyperlink r:id="rId490" ref="C251"/>
    <hyperlink r:id="rId491" ref="A252"/>
    <hyperlink r:id="rId492" ref="C252"/>
    <hyperlink r:id="rId493" ref="A253"/>
    <hyperlink r:id="rId494" ref="C253"/>
    <hyperlink r:id="rId495" ref="A254"/>
    <hyperlink r:id="rId496" ref="C254"/>
    <hyperlink r:id="rId497" ref="A255"/>
    <hyperlink r:id="rId498" ref="C255"/>
    <hyperlink r:id="rId499" ref="A256"/>
    <hyperlink r:id="rId500" ref="C256"/>
    <hyperlink r:id="rId501" ref="A257"/>
    <hyperlink r:id="rId502" ref="C257"/>
    <hyperlink r:id="rId503" ref="A258"/>
    <hyperlink r:id="rId504" ref="C258"/>
    <hyperlink r:id="rId505" ref="A259"/>
    <hyperlink r:id="rId506" ref="C259"/>
    <hyperlink r:id="rId507" location=":~:text=Renowned%20for%20its%20mantra%2C%20%E2%80%9CThe%20Work.%20The,results.%20%2D%2072andSunny%20%E2%80%93%20Los%20Angeles%2C%20CA." ref="A260"/>
    <hyperlink r:id="rId508" ref="C260"/>
    <hyperlink r:id="rId509" ref="A261"/>
    <hyperlink r:id="rId510" ref="C261"/>
    <hyperlink r:id="rId511" ref="A262"/>
    <hyperlink r:id="rId512" ref="C262"/>
    <hyperlink r:id="rId513" ref="A263"/>
    <hyperlink r:id="rId514" ref="C263"/>
    <hyperlink r:id="rId515" ref="A264"/>
    <hyperlink r:id="rId516" ref="A265"/>
    <hyperlink r:id="rId517" ref="C265"/>
    <hyperlink r:id="rId518" ref="A266"/>
    <hyperlink r:id="rId519" ref="C266"/>
    <hyperlink r:id="rId520" ref="A267"/>
    <hyperlink r:id="rId521" ref="C267"/>
    <hyperlink r:id="rId522" ref="A268"/>
    <hyperlink r:id="rId523" ref="C268"/>
    <hyperlink r:id="rId524" ref="A269"/>
    <hyperlink r:id="rId525" ref="C269"/>
    <hyperlink r:id="rId526" ref="A270"/>
    <hyperlink r:id="rId527" ref="C270"/>
    <hyperlink r:id="rId528" ref="A271"/>
    <hyperlink r:id="rId529" ref="C271"/>
    <hyperlink r:id="rId530" ref="A272"/>
    <hyperlink r:id="rId531" ref="C272"/>
    <hyperlink r:id="rId532" ref="A273"/>
    <hyperlink r:id="rId533" ref="C273"/>
    <hyperlink r:id="rId534" ref="A274"/>
    <hyperlink r:id="rId535" ref="C274"/>
    <hyperlink r:id="rId536" location=":~:text=10.%20Flying%20Cat%20Marketing%20%2D%20Strong%20B2B,fit%20for%20software%20companies%20and%20international%20growth." ref="A275"/>
    <hyperlink r:id="rId537" ref="C275"/>
    <hyperlink r:id="rId538" ref="A276"/>
    <hyperlink r:id="rId539" ref="C276"/>
    <hyperlink r:id="rId540" ref="A277"/>
    <hyperlink r:id="rId541" ref="C277"/>
    <hyperlink r:id="rId542" ref="A278"/>
    <hyperlink r:id="rId543" ref="C278"/>
    <hyperlink r:id="rId544" ref="A279"/>
    <hyperlink r:id="rId545" ref="C279"/>
    <hyperlink r:id="rId546" ref="A280"/>
    <hyperlink r:id="rId547" ref="A281"/>
    <hyperlink r:id="rId548" ref="C281"/>
    <hyperlink r:id="rId549" ref="A282"/>
    <hyperlink r:id="rId550" ref="C282"/>
    <hyperlink r:id="rId551" ref="A283"/>
    <hyperlink r:id="rId552" ref="C283"/>
    <hyperlink r:id="rId553" ref="A284"/>
    <hyperlink r:id="rId554" ref="C284"/>
    <hyperlink r:id="rId555" ref="A285"/>
    <hyperlink r:id="rId556" ref="C285"/>
    <hyperlink r:id="rId557" ref="A286"/>
    <hyperlink r:id="rId558" ref="C286"/>
    <hyperlink r:id="rId559" location=":~:text=The%20agency%20offers%20proprietary%20Integrative%20AI%C2%AE%20methodology,local%20implementation%20in%20more%20than%2040%20markets." ref="A287"/>
    <hyperlink r:id="rId560" ref="A288"/>
    <hyperlink r:id="rId561" ref="C288"/>
    <hyperlink r:id="rId562" ref="A289"/>
    <hyperlink r:id="rId563" ref="C289"/>
    <hyperlink r:id="rId564" ref="A290"/>
    <hyperlink r:id="rId565" ref="C290"/>
    <hyperlink r:id="rId566" ref="A291"/>
    <hyperlink r:id="rId567" ref="C291"/>
    <hyperlink r:id="rId568" ref="A292"/>
    <hyperlink r:id="rId569" ref="C292"/>
    <hyperlink r:id="rId570" ref="A293"/>
    <hyperlink r:id="rId571" ref="C293"/>
    <hyperlink r:id="rId572" ref="A294"/>
    <hyperlink r:id="rId573" ref="C294"/>
    <hyperlink r:id="rId574" ref="A295"/>
    <hyperlink r:id="rId575" ref="C295"/>
    <hyperlink r:id="rId576" ref="A296"/>
    <hyperlink r:id="rId577" ref="C296"/>
    <hyperlink r:id="rId578" ref="A297"/>
    <hyperlink r:id="rId579" ref="C297"/>
    <hyperlink r:id="rId580" ref="A298"/>
    <hyperlink r:id="rId581" ref="A299"/>
    <hyperlink r:id="rId582" ref="C299"/>
    <hyperlink r:id="rId583" ref="A300"/>
    <hyperlink r:id="rId584" ref="C300"/>
    <hyperlink r:id="rId585" location=":~:text=NoGood%20is%20a%20growth%20marketing%20agency%20where,not%20as%20a%20bolt%2Don%20to%20traditional%20SEO." ref="A301"/>
    <hyperlink r:id="rId586" ref="C301"/>
    <hyperlink r:id="rId587" ref="A302"/>
    <hyperlink r:id="rId588" ref="C302"/>
    <hyperlink r:id="rId589" ref="A303"/>
    <hyperlink r:id="rId590" ref="C303"/>
    <hyperlink r:id="rId591" ref="A304"/>
    <hyperlink r:id="rId592" ref="C304"/>
    <hyperlink r:id="rId593" ref="A305"/>
    <hyperlink r:id="rId594" ref="C305"/>
    <hyperlink r:id="rId595" ref="A306"/>
    <hyperlink r:id="rId596" ref="C306"/>
    <hyperlink r:id="rId597" ref="A307"/>
    <hyperlink r:id="rId598" ref="C307"/>
    <hyperlink r:id="rId599" ref="A308"/>
    <hyperlink r:id="rId600" ref="C308"/>
    <hyperlink r:id="rId601" ref="A309"/>
    <hyperlink r:id="rId602" ref="C309"/>
    <hyperlink r:id="rId603" ref="A310"/>
    <hyperlink r:id="rId604" ref="C310"/>
    <hyperlink r:id="rId605" ref="A311"/>
    <hyperlink r:id="rId606" ref="C311"/>
    <hyperlink r:id="rId607" ref="A312"/>
    <hyperlink r:id="rId608" ref="C312"/>
    <hyperlink r:id="rId609" ref="A313"/>
    <hyperlink r:id="rId610" ref="C313"/>
    <hyperlink r:id="rId611" ref="A314"/>
    <hyperlink r:id="rId612" ref="A315"/>
    <hyperlink r:id="rId613" ref="A316"/>
    <hyperlink r:id="rId614" ref="C316"/>
    <hyperlink r:id="rId615" ref="A317"/>
    <hyperlink r:id="rId616" ref="C317"/>
    <hyperlink r:id="rId617" ref="A318"/>
    <hyperlink r:id="rId618" ref="A319"/>
    <hyperlink r:id="rId619" ref="C319"/>
    <hyperlink r:id="rId620" location=":~:text=Conductor%20is%20the%20enterprise%20tool%20behind%20the,else%20is%20doing.%20Lemonshadehere.%20%E2%80%A2%204mo%20ago." ref="A320"/>
    <hyperlink r:id="rId621" ref="C320"/>
    <hyperlink r:id="rId622" ref="A321"/>
    <hyperlink r:id="rId623" ref="C321"/>
    <hyperlink r:id="rId624" ref="A322"/>
    <hyperlink r:id="rId625" ref="C322"/>
    <hyperlink r:id="rId626" ref="A323"/>
    <hyperlink r:id="rId627" ref="C323"/>
    <hyperlink r:id="rId628" ref="A324"/>
    <hyperlink r:id="rId629" ref="C324"/>
    <hyperlink r:id="rId630" ref="A325"/>
    <hyperlink r:id="rId631" ref="C325"/>
    <hyperlink r:id="rId632" ref="A326"/>
    <hyperlink r:id="rId633" ref="C326"/>
    <hyperlink r:id="rId634" ref="A327"/>
    <hyperlink r:id="rId635" ref="C327"/>
    <hyperlink r:id="rId636" ref="A328"/>
    <hyperlink r:id="rId637" ref="C328"/>
    <hyperlink r:id="rId638" ref="A329"/>
    <hyperlink r:id="rId639" ref="C329"/>
    <hyperlink r:id="rId640" ref="A330"/>
    <hyperlink r:id="rId641" ref="C330"/>
    <hyperlink r:id="rId642" ref="A331"/>
    <hyperlink r:id="rId643" ref="C331"/>
    <hyperlink r:id="rId644" ref="A332"/>
    <hyperlink r:id="rId645" ref="C332"/>
    <hyperlink r:id="rId646" ref="A333"/>
    <hyperlink r:id="rId647" ref="C333"/>
    <hyperlink r:id="rId648" ref="A334"/>
    <hyperlink r:id="rId649" ref="C334"/>
    <hyperlink r:id="rId650" ref="A335"/>
    <hyperlink r:id="rId651" ref="C335"/>
    <hyperlink r:id="rId652" ref="A336"/>
    <hyperlink r:id="rId653" ref="C336"/>
    <hyperlink r:id="rId654" ref="A337"/>
    <hyperlink r:id="rId655" ref="C337"/>
    <hyperlink r:id="rId656" ref="A338"/>
    <hyperlink r:id="rId657" ref="C338"/>
    <hyperlink r:id="rId658" ref="A339"/>
    <hyperlink r:id="rId659" ref="C339"/>
    <hyperlink r:id="rId660" ref="A340"/>
    <hyperlink r:id="rId661" ref="C340"/>
    <hyperlink r:id="rId662" location=":~:text=View%2Dthrough%20conversions%20account%20for%2030%2D50%25%20of%20display,increased%20ROAS%20340%25%20using%20dynamic%20creative%20optimization." ref="A341"/>
    <hyperlink r:id="rId663" ref="C341"/>
    <hyperlink r:id="rId664" ref="A342"/>
    <hyperlink r:id="rId665" ref="C342"/>
    <hyperlink r:id="rId666" ref="A343"/>
    <hyperlink r:id="rId667" ref="C343"/>
    <hyperlink r:id="rId668" ref="A344"/>
    <hyperlink r:id="rId669" ref="C344"/>
    <hyperlink r:id="rId670" ref="A345"/>
    <hyperlink r:id="rId671" ref="A346"/>
    <hyperlink r:id="rId672" ref="C346"/>
    <hyperlink r:id="rId673" ref="A347"/>
    <hyperlink r:id="rId674" ref="C347"/>
    <hyperlink r:id="rId675" ref="A348"/>
    <hyperlink r:id="rId676" ref="C348"/>
    <hyperlink r:id="rId677" ref="A349"/>
    <hyperlink r:id="rId678" ref="C349"/>
    <hyperlink r:id="rId679" ref="A350"/>
    <hyperlink r:id="rId680" ref="C350"/>
    <hyperlink r:id="rId681" ref="A351"/>
    <hyperlink r:id="rId682" ref="C351"/>
    <hyperlink r:id="rId683" ref="A352"/>
    <hyperlink r:id="rId684" ref="C352"/>
    <hyperlink r:id="rId685" ref="A353"/>
    <hyperlink r:id="rId686" ref="C353"/>
    <hyperlink r:id="rId687" ref="A354"/>
    <hyperlink r:id="rId688" ref="C354"/>
    <hyperlink r:id="rId689" ref="A355"/>
    <hyperlink r:id="rId690" ref="C355"/>
    <hyperlink r:id="rId691" ref="A356"/>
    <hyperlink r:id="rId692" ref="C356"/>
    <hyperlink r:id="rId693" location=":~:text=Based%20in%20San%20Francisco%2C%20First,choose%20which%20sources%20to%20cite." ref="A357"/>
    <hyperlink r:id="rId694" ref="C357"/>
    <hyperlink r:id="rId695" ref="A358"/>
    <hyperlink r:id="rId696" ref="C358"/>
    <hyperlink r:id="rId697" ref="A359"/>
    <hyperlink r:id="rId698" ref="A360"/>
    <hyperlink r:id="rId699" ref="C360"/>
    <hyperlink r:id="rId700" ref="A361"/>
    <hyperlink r:id="rId701" ref="C361"/>
    <hyperlink r:id="rId702" ref="A362"/>
    <hyperlink r:id="rId703" ref="C362"/>
    <hyperlink r:id="rId704" ref="A363"/>
    <hyperlink r:id="rId705" ref="C363"/>
    <hyperlink r:id="rId706" ref="A364"/>
    <hyperlink r:id="rId707" ref="C364"/>
    <hyperlink r:id="rId708" ref="A365"/>
    <hyperlink r:id="rId709" ref="C365"/>
    <hyperlink r:id="rId710" ref="A366"/>
    <hyperlink r:id="rId711" ref="C366"/>
    <hyperlink r:id="rId712" ref="A367"/>
    <hyperlink r:id="rId713" ref="C367"/>
    <hyperlink r:id="rId714" ref="A368"/>
    <hyperlink r:id="rId715" ref="C368"/>
    <hyperlink r:id="rId716" ref="A369"/>
    <hyperlink r:id="rId717" ref="C369"/>
    <hyperlink r:id="rId718" ref="A370"/>
    <hyperlink r:id="rId719" ref="C370"/>
    <hyperlink r:id="rId720" location=":~:text=Brainlabs%20can%20be%20a%20strong,that%20experimentation%20extends%20beyond%20media." ref="A371"/>
    <hyperlink r:id="rId721" ref="C371"/>
    <hyperlink r:id="rId722" ref="A372"/>
    <hyperlink r:id="rId723" ref="C372"/>
    <hyperlink r:id="rId724" ref="A373"/>
    <hyperlink r:id="rId725" ref="C373"/>
    <hyperlink r:id="rId726" ref="A374"/>
    <hyperlink r:id="rId727" ref="C374"/>
    <hyperlink r:id="rId728" ref="A375"/>
    <hyperlink r:id="rId729" ref="C375"/>
    <hyperlink r:id="rId730" ref="A376"/>
    <hyperlink r:id="rId731" ref="C376"/>
    <hyperlink r:id="rId732" ref="A377"/>
    <hyperlink r:id="rId733" ref="C377"/>
    <hyperlink r:id="rId734" location=":~:text=Why%20Selecting%20the%20Right%20Creative%20Agency%20is,MasterRV%20Designers%3F%20Final%20Thoughts%3B%20FAQs.%20Contact%20Us" ref="A378"/>
    <hyperlink r:id="rId735" ref="C378"/>
    <hyperlink r:id="rId736" ref="A379"/>
    <hyperlink r:id="rId737" ref="C379"/>
    <hyperlink r:id="rId738" ref="A380"/>
    <hyperlink r:id="rId739" ref="A381"/>
    <hyperlink r:id="rId740" ref="C381"/>
    <hyperlink r:id="rId741" ref="A382"/>
    <hyperlink r:id="rId742" ref="C382"/>
    <hyperlink r:id="rId743" ref="A383"/>
    <hyperlink r:id="rId744" ref="C383"/>
    <hyperlink r:id="rId745" ref="A384"/>
    <hyperlink r:id="rId746" ref="C384"/>
    <hyperlink r:id="rId747" ref="A385"/>
    <hyperlink r:id="rId748" ref="C385"/>
    <hyperlink r:id="rId749" ref="A386"/>
    <hyperlink r:id="rId750" ref="C386"/>
    <hyperlink r:id="rId751" ref="A387"/>
    <hyperlink r:id="rId752" ref="C387"/>
    <hyperlink r:id="rId753" ref="A388"/>
    <hyperlink r:id="rId754" ref="C388"/>
    <hyperlink r:id="rId755" ref="A389"/>
    <hyperlink r:id="rId756" ref="C389"/>
    <hyperlink r:id="rId757" ref="A390"/>
    <hyperlink r:id="rId758" ref="C390"/>
    <hyperlink r:id="rId759" ref="A391"/>
    <hyperlink r:id="rId760" ref="C391"/>
    <hyperlink r:id="rId761" ref="A392"/>
    <hyperlink r:id="rId762" ref="C392"/>
    <hyperlink r:id="rId763" ref="A393"/>
    <hyperlink r:id="rId764" ref="C393"/>
    <hyperlink r:id="rId765" ref="A394"/>
    <hyperlink r:id="rId766" ref="C394"/>
    <hyperlink r:id="rId767" ref="A395"/>
    <hyperlink r:id="rId768" ref="C395"/>
    <hyperlink r:id="rId769" ref="A396"/>
    <hyperlink r:id="rId770" ref="C396"/>
    <hyperlink r:id="rId771" ref="A397"/>
    <hyperlink r:id="rId772" ref="C397"/>
    <hyperlink r:id="rId773" ref="A398"/>
    <hyperlink r:id="rId774" ref="C398"/>
    <hyperlink r:id="rId775" ref="A399"/>
    <hyperlink r:id="rId776" ref="C399"/>
    <hyperlink r:id="rId777" ref="A400"/>
    <hyperlink r:id="rId778" ref="C400"/>
    <hyperlink r:id="rId779" ref="A401"/>
    <hyperlink r:id="rId780" ref="C401"/>
    <hyperlink r:id="rId781" ref="A402"/>
    <hyperlink r:id="rId782" ref="C402"/>
    <hyperlink r:id="rId783" ref="A403"/>
    <hyperlink r:id="rId784" ref="C403"/>
    <hyperlink r:id="rId785" ref="A404"/>
    <hyperlink r:id="rId786" ref="C404"/>
    <hyperlink r:id="rId787" ref="A405"/>
    <hyperlink r:id="rId788" ref="C405"/>
    <hyperlink r:id="rId789" ref="A406"/>
    <hyperlink r:id="rId790" ref="C406"/>
    <hyperlink r:id="rId791" ref="A407"/>
    <hyperlink r:id="rId792" ref="C407"/>
    <hyperlink r:id="rId793" ref="A408"/>
    <hyperlink r:id="rId794" ref="C408"/>
    <hyperlink r:id="rId795" ref="A409"/>
    <hyperlink r:id="rId796" ref="C409"/>
    <hyperlink r:id="rId797" ref="A410"/>
    <hyperlink r:id="rId798" ref="C410"/>
    <hyperlink r:id="rId799" ref="A411"/>
    <hyperlink r:id="rId800" ref="C411"/>
    <hyperlink r:id="rId801" location=":~:text=Merkle%20B2B%20Merkle%20B2B%20specializes%20in%20enterprise%2Dgrade,complex%20buying%20committees%20across%20LinkedIn%20and%20Meta." ref="A412"/>
    <hyperlink r:id="rId802" ref="C412"/>
    <hyperlink r:id="rId803" ref="A413"/>
    <hyperlink r:id="rId804" ref="C413"/>
    <hyperlink r:id="rId805" ref="A414"/>
    <hyperlink r:id="rId806" ref="C414"/>
    <hyperlink r:id="rId807" ref="A415"/>
    <hyperlink r:id="rId808" ref="C415"/>
    <hyperlink r:id="rId809" ref="A416"/>
    <hyperlink r:id="rId810" ref="C416"/>
    <hyperlink r:id="rId811" location=":~:text=Enterprise%20plan%3A%20Starts%20at%20%E2%82%AC3%2C300%20per%20month%2C,standardize%20incoming%20data%20into%20one%20consistent%20format." ref="A417"/>
    <hyperlink r:id="rId812" ref="C417"/>
    <hyperlink r:id="rId813" ref="A418"/>
    <hyperlink r:id="rId814" ref="C418"/>
    <hyperlink r:id="rId815" ref="A419"/>
    <hyperlink r:id="rId816" ref="C419"/>
    <hyperlink r:id="rId817" ref="A420"/>
    <hyperlink r:id="rId818" ref="C420"/>
    <hyperlink r:id="rId819" ref="A421"/>
    <hyperlink r:id="rId820" ref="C421"/>
    <hyperlink r:id="rId821" ref="A422"/>
    <hyperlink r:id="rId822" ref="C422"/>
    <hyperlink r:id="rId823" ref="A423"/>
    <hyperlink r:id="rId824" ref="C423"/>
    <hyperlink r:id="rId825" ref="A424"/>
    <hyperlink r:id="rId826" ref="C424"/>
    <hyperlink r:id="rId827" location=":~:text=Keenfolks%20describes%20itself%20as%20%22the%20first%20AI%2Dnative,The%20Drum's%20Transformation%20Agency%20of%20the%20Year." ref="A425"/>
    <hyperlink r:id="rId828" location=":~:text=Key%20Features%20*%20Proprietary%20nova%20analytics%20platform,and%20eCommerce%20vertical%20specialization%20with%20ROAS%2Dbased%20accountability." ref="A426"/>
    <hyperlink r:id="rId829" ref="C426"/>
    <hyperlink r:id="rId830" ref="A427"/>
    <hyperlink r:id="rId831" ref="C427"/>
    <hyperlink r:id="rId832" ref="A428"/>
    <hyperlink r:id="rId833" ref="C428"/>
    <hyperlink r:id="rId834" ref="A429"/>
    <hyperlink r:id="rId835" ref="C429"/>
    <hyperlink r:id="rId836" ref="A430"/>
    <hyperlink r:id="rId837" ref="C430"/>
    <hyperlink r:id="rId838" ref="A431"/>
    <hyperlink r:id="rId839" ref="C431"/>
    <hyperlink r:id="rId840" ref="A432"/>
    <hyperlink r:id="rId841" ref="C432"/>
    <hyperlink r:id="rId842" ref="A433"/>
    <hyperlink r:id="rId843" ref="C433"/>
    <hyperlink r:id="rId844" ref="A434"/>
    <hyperlink r:id="rId845" ref="C434"/>
    <hyperlink r:id="rId846" ref="A435"/>
    <hyperlink r:id="rId847" ref="C435"/>
    <hyperlink r:id="rId848" ref="A436"/>
    <hyperlink r:id="rId849" ref="C436"/>
    <hyperlink r:id="rId850" ref="A437"/>
    <hyperlink r:id="rId851" ref="C437"/>
    <hyperlink r:id="rId852" ref="A438"/>
    <hyperlink r:id="rId853" ref="C438"/>
    <hyperlink r:id="rId854" ref="A439"/>
    <hyperlink r:id="rId855" ref="C439"/>
    <hyperlink r:id="rId856" ref="A440"/>
    <hyperlink r:id="rId857" ref="C440"/>
    <hyperlink r:id="rId858" location=":~:text=Best%20For%3A%20Mid%2Dmarket%20to%20enterprise%20companies%20focused,clients%20a%20concrete%20baseline%20for%20evaluating%20performance." ref="A441"/>
    <hyperlink r:id="rId859" ref="C441"/>
    <hyperlink r:id="rId860" ref="A442"/>
    <hyperlink r:id="rId861" ref="C442"/>
    <hyperlink r:id="rId862" location=":~:text=Core%20services%3A%20%2D%20Brand%20strategy%20%26%20positioning.,Ogilvy%2C%20with%20today's%20smartest%20data%20and%20technology." ref="A443"/>
    <hyperlink r:id="rId863" ref="C443"/>
    <hyperlink r:id="rId864" ref="A444"/>
    <hyperlink r:id="rId865" ref="C444"/>
    <hyperlink r:id="rId866" location=":~:text=Their%20capabilities%20include%20advanced%20analytics%2C%20marketing%20automation,Columbia%20(Maryland)%2C%20New%20York%2C%20London%2C%20Global%20offices." ref="A445"/>
    <hyperlink r:id="rId867" ref="C445"/>
    <hyperlink r:id="rId868" ref="A446"/>
    <hyperlink r:id="rId869" ref="C446"/>
    <hyperlink r:id="rId870" ref="A447"/>
    <hyperlink r:id="rId871" ref="C447"/>
    <hyperlink r:id="rId872" ref="A448"/>
    <hyperlink r:id="rId873" ref="C448"/>
    <hyperlink r:id="rId874" ref="A449"/>
    <hyperlink r:id="rId875" ref="C449"/>
    <hyperlink r:id="rId876" ref="A450"/>
    <hyperlink r:id="rId877" ref="C450"/>
    <hyperlink r:id="rId878" ref="A451"/>
    <hyperlink r:id="rId879" ref="C451"/>
    <hyperlink r:id="rId880" ref="A452"/>
    <hyperlink r:id="rId881" ref="C452"/>
    <hyperlink r:id="rId882" ref="A453"/>
    <hyperlink r:id="rId883" ref="C453"/>
    <hyperlink r:id="rId884" ref="A454"/>
    <hyperlink r:id="rId885" ref="C454"/>
    <hyperlink r:id="rId886" ref="A455"/>
    <hyperlink r:id="rId887" ref="C455"/>
    <hyperlink r:id="rId888" ref="A456"/>
    <hyperlink r:id="rId889" ref="C456"/>
    <hyperlink r:id="rId890" ref="A457"/>
    <hyperlink r:id="rId891" ref="C457"/>
    <hyperlink r:id="rId892" ref="A458"/>
    <hyperlink r:id="rId893" ref="C458"/>
    <hyperlink r:id="rId894" ref="A459"/>
    <hyperlink r:id="rId895" ref="C459"/>
    <hyperlink r:id="rId896" ref="A460"/>
    <hyperlink r:id="rId897" ref="C460"/>
    <hyperlink r:id="rId898" ref="A461"/>
    <hyperlink r:id="rId899" ref="C461"/>
    <hyperlink r:id="rId900" location=":~:text=1.,full%20customer%20journey%20in%20real" ref="A462"/>
    <hyperlink r:id="rId901" ref="C462"/>
    <hyperlink r:id="rId902" ref="A463"/>
    <hyperlink r:id="rId903" ref="C463"/>
    <hyperlink r:id="rId904" location=":~:text=Best%20overall%3A%20Cool%20Nerds%20Marketing.%20Best%20for,and%20Viral%20Marketing%3A%20Crispin%20Porter%20%2B%20Bogusky." ref="A464"/>
    <hyperlink r:id="rId905" ref="C464"/>
    <hyperlink r:id="rId906" location=":~:text=Check%3A%20Confirm%20the%20current%20scope,paired%20with%20real%20build%20muscle." ref="A465"/>
    <hyperlink r:id="rId907" ref="C465"/>
    <hyperlink r:id="rId908" ref="A466"/>
    <hyperlink r:id="rId909" ref="C466"/>
    <hyperlink r:id="rId910" ref="A467"/>
    <hyperlink r:id="rId911" ref="C467"/>
    <hyperlink r:id="rId912" ref="A468"/>
    <hyperlink r:id="rId913" ref="C468"/>
    <hyperlink r:id="rId914" ref="A469"/>
    <hyperlink r:id="rId915" ref="C469"/>
    <hyperlink r:id="rId916" ref="A470"/>
    <hyperlink r:id="rId917" ref="C470"/>
    <hyperlink r:id="rId918" ref="A471"/>
    <hyperlink r:id="rId919" ref="C471"/>
    <hyperlink r:id="rId920" ref="A472"/>
    <hyperlink r:id="rId921" ref="C472"/>
    <hyperlink r:id="rId922" location=":~:text=Senior%20operators%20run%20creation%2C%20capture%2C%20ABM%2C%20and,SaaS%20companies)%2C%20with%20no%20junior%20account%2Dmanager%20handoffs." ref="A473"/>
    <hyperlink r:id="rId923" ref="C473"/>
    <hyperlink r:id="rId924" ref="A474"/>
    <hyperlink r:id="rId925" ref="C474"/>
    <hyperlink r:id="rId926" ref="A475"/>
    <hyperlink r:id="rId927" ref="C475"/>
    <hyperlink r:id="rId928" ref="A476"/>
    <hyperlink r:id="rId929" ref="C476"/>
    <hyperlink r:id="rId930" ref="A477"/>
    <hyperlink r:id="rId931" ref="C477"/>
    <hyperlink r:id="rId932" ref="A478"/>
    <hyperlink r:id="rId933" ref="C478"/>
    <hyperlink r:id="rId934" ref="A479"/>
    <hyperlink r:id="rId935" ref="C479"/>
    <hyperlink r:id="rId936" ref="A480"/>
    <hyperlink r:id="rId937" ref="C480"/>
    <hyperlink r:id="rId938" ref="A481"/>
    <hyperlink r:id="rId939" ref="C481"/>
    <hyperlink r:id="rId940" ref="A482"/>
    <hyperlink r:id="rId941" ref="A483"/>
    <hyperlink r:id="rId942" ref="C483"/>
    <hyperlink r:id="rId943" ref="A484"/>
    <hyperlink r:id="rId944" ref="A485"/>
    <hyperlink r:id="rId945" ref="C485"/>
    <hyperlink r:id="rId946" ref="A486"/>
    <hyperlink r:id="rId947" ref="C486"/>
    <hyperlink r:id="rId948" ref="A487"/>
    <hyperlink r:id="rId949" ref="C487"/>
    <hyperlink r:id="rId950" ref="A488"/>
    <hyperlink r:id="rId951" ref="C488"/>
    <hyperlink r:id="rId952" ref="A489"/>
    <hyperlink r:id="rId953" ref="C489"/>
    <hyperlink r:id="rId954" ref="A490"/>
    <hyperlink r:id="rId955" ref="A491"/>
    <hyperlink r:id="rId956" ref="C491"/>
    <hyperlink r:id="rId957" ref="A492"/>
    <hyperlink r:id="rId958" ref="C492"/>
    <hyperlink r:id="rId959" location=":~:text=The%20B2B%20AI%20search%20specialist%20connecting%20AI,earliest%20dedicated%20AI%20Search%20and%20Visibility%20programs." ref="A493"/>
    <hyperlink r:id="rId960" ref="C493"/>
    <hyperlink r:id="rId961" ref="A494"/>
    <hyperlink r:id="rId962" ref="C494"/>
    <hyperlink r:id="rId963" ref="A495"/>
    <hyperlink r:id="rId964" ref="C495"/>
    <hyperlink r:id="rId965" ref="A496"/>
    <hyperlink r:id="rId966" ref="C496"/>
    <hyperlink r:id="rId967" ref="A497"/>
    <hyperlink r:id="rId968" ref="C497"/>
    <hyperlink r:id="rId969" ref="A498"/>
    <hyperlink r:id="rId970" ref="C498"/>
    <hyperlink r:id="rId971" ref="A499"/>
    <hyperlink r:id="rId972" ref="C499"/>
    <hyperlink r:id="rId973" ref="A500"/>
    <hyperlink r:id="rId974" ref="C500"/>
    <hyperlink r:id="rId975" ref="A501"/>
    <hyperlink r:id="rId976" ref="C501"/>
    <hyperlink r:id="rId977" ref="A502"/>
    <hyperlink r:id="rId978" ref="C502"/>
    <hyperlink r:id="rId979" ref="A503"/>
    <hyperlink r:id="rId980" ref="C503"/>
    <hyperlink r:id="rId981" ref="A504"/>
    <hyperlink r:id="rId982" ref="C504"/>
    <hyperlink r:id="rId983" ref="A505"/>
    <hyperlink r:id="rId984" ref="C505"/>
    <hyperlink r:id="rId985" location=":~:text=thesocialshepherd.com.%20Features.%20Paid%20Social%20(Meta%2C%20TikTok%2C%20Pinterest).,complex%20B2B%20enterprise%20lead%20gen%2C%20look%20elsewhere." ref="A506"/>
    <hyperlink r:id="rId986" ref="C506"/>
    <hyperlink r:id="rId987" location=":~:text=9%20%7C%20360i%20%7C%20New%20York%2C%20USA,Creative%20innovation%20%7C%20Advanced%20AI%20brand%20systems" ref="A507"/>
    <hyperlink r:id="rId988" ref="C507"/>
    <hyperlink r:id="rId989" ref="A508"/>
    <hyperlink r:id="rId990" ref="C508"/>
    <hyperlink r:id="rId991" ref="A509"/>
    <hyperlink r:id="rId992" ref="C509"/>
    <hyperlink r:id="rId993" location=":~:text=Industries%20Served%3A%20Retail%2C%20Financial%20Services%2C%20Healthcare%2C%20Travel,and%20personalization%20at%20scale.%20%2D%203.%20Jellyfish." ref="A510"/>
    <hyperlink r:id="rId994" ref="C510"/>
    <hyperlink r:id="rId995" ref="A511"/>
    <hyperlink r:id="rId996" ref="C511"/>
    <hyperlink r:id="rId997" location=":~:text=MullenLowe,Zulu%20Alpha" ref="A512"/>
    <hyperlink r:id="rId998" ref="C512"/>
    <hyperlink r:id="rId999" ref="A513"/>
    <hyperlink r:id="rId1000" ref="C513"/>
    <hyperlink r:id="rId1001" ref="A514"/>
    <hyperlink r:id="rId1002" ref="C514"/>
    <hyperlink r:id="rId1003" ref="A515"/>
    <hyperlink r:id="rId1004" ref="C515"/>
    <hyperlink r:id="rId1005" ref="A516"/>
    <hyperlink r:id="rId1006" ref="C516"/>
    <hyperlink r:id="rId1007" ref="A517"/>
    <hyperlink r:id="rId1008" ref="C517"/>
    <hyperlink r:id="rId1009" ref="A518"/>
    <hyperlink r:id="rId1010" ref="C518"/>
    <hyperlink r:id="rId1011" ref="A519"/>
    <hyperlink r:id="rId1012" ref="C519"/>
    <hyperlink r:id="rId1013" ref="A520"/>
    <hyperlink r:id="rId1014" ref="C520"/>
    <hyperlink r:id="rId1015" ref="A521"/>
    <hyperlink r:id="rId1016" ref="A522"/>
    <hyperlink r:id="rId1017" ref="C522"/>
    <hyperlink r:id="rId1018" ref="A523"/>
    <hyperlink r:id="rId1019" ref="C523"/>
    <hyperlink r:id="rId1020" ref="A524"/>
    <hyperlink r:id="rId1021" ref="C524"/>
    <hyperlink r:id="rId1022" ref="A525"/>
    <hyperlink r:id="rId1023" ref="C525"/>
    <hyperlink r:id="rId1024" ref="A526"/>
    <hyperlink r:id="rId1025" ref="C526"/>
    <hyperlink r:id="rId1026" ref="A527"/>
    <hyperlink r:id="rId1027" ref="C527"/>
    <hyperlink r:id="rId1028" location=":~:text=Digital%20Dot.%20Connecting%20the%20Dots%20to%20Your,driving%20organic%20traffic%20and%20generating%20quality%20leads." ref="A528"/>
    <hyperlink r:id="rId1029" ref="C528"/>
    <hyperlink r:id="rId1030" ref="A529"/>
    <hyperlink r:id="rId1031" ref="C529"/>
    <hyperlink r:id="rId1032" ref="A530"/>
    <hyperlink r:id="rId1033" ref="C530"/>
    <hyperlink r:id="rId1034" ref="A531"/>
    <hyperlink r:id="rId1035" ref="C531"/>
    <hyperlink r:id="rId1036" ref="A532"/>
    <hyperlink r:id="rId1037" ref="C532"/>
    <hyperlink r:id="rId1038" ref="A533"/>
    <hyperlink r:id="rId1039" ref="C533"/>
    <hyperlink r:id="rId1040" ref="A534"/>
    <hyperlink r:id="rId1041" ref="C534"/>
    <hyperlink r:id="rId1042" ref="A535"/>
    <hyperlink r:id="rId1043" ref="C535"/>
    <hyperlink r:id="rId1044" ref="A536"/>
    <hyperlink r:id="rId1045" ref="C536"/>
    <hyperlink r:id="rId1046" ref="A537"/>
    <hyperlink r:id="rId1047" ref="C537"/>
    <hyperlink r:id="rId1048" ref="A538"/>
    <hyperlink r:id="rId1049" ref="C538"/>
    <hyperlink r:id="rId1050" ref="A539"/>
    <hyperlink r:id="rId1051" ref="A540"/>
    <hyperlink r:id="rId1052" ref="C540"/>
    <hyperlink r:id="rId1053" ref="A541"/>
    <hyperlink r:id="rId1054" ref="C541"/>
    <hyperlink r:id="rId1055" ref="A542"/>
    <hyperlink r:id="rId1056" ref="C542"/>
    <hyperlink r:id="rId1057" ref="A543"/>
    <hyperlink r:id="rId1058" ref="C543"/>
    <hyperlink r:id="rId1059" ref="A544"/>
    <hyperlink r:id="rId1060" ref="C544"/>
    <hyperlink r:id="rId1061" ref="A545"/>
    <hyperlink r:id="rId1062" ref="C545"/>
    <hyperlink r:id="rId1063" ref="A546"/>
    <hyperlink r:id="rId1064" ref="C546"/>
    <hyperlink r:id="rId1065" ref="A547"/>
    <hyperlink r:id="rId1066" ref="C547"/>
    <hyperlink r:id="rId1067" ref="A548"/>
    <hyperlink r:id="rId1068" ref="C548"/>
    <hyperlink r:id="rId1069" ref="A549"/>
    <hyperlink r:id="rId1070" ref="C549"/>
    <hyperlink r:id="rId1071" ref="A550"/>
    <hyperlink r:id="rId1072" ref="C550"/>
    <hyperlink r:id="rId1073" ref="A551"/>
    <hyperlink r:id="rId1074" ref="C551"/>
    <hyperlink r:id="rId1075" ref="A552"/>
    <hyperlink r:id="rId1076" ref="C552"/>
    <hyperlink r:id="rId1077" ref="A553"/>
    <hyperlink r:id="rId1078" ref="C553"/>
    <hyperlink r:id="rId1079" ref="A554"/>
    <hyperlink r:id="rId1080" ref="C554"/>
    <hyperlink r:id="rId1081" ref="A555"/>
    <hyperlink r:id="rId1082" ref="C555"/>
    <hyperlink r:id="rId1083" ref="A556"/>
    <hyperlink r:id="rId1084" ref="C556"/>
    <hyperlink r:id="rId1085" ref="A557"/>
    <hyperlink r:id="rId1086" ref="A558"/>
    <hyperlink r:id="rId1087" ref="C558"/>
    <hyperlink r:id="rId1088" ref="A559"/>
    <hyperlink r:id="rId1089" ref="C559"/>
    <hyperlink r:id="rId1090" ref="A560"/>
    <hyperlink r:id="rId1091" ref="C560"/>
    <hyperlink r:id="rId1092" ref="A561"/>
    <hyperlink r:id="rId1093" ref="C561"/>
    <hyperlink r:id="rId1094" ref="A562"/>
    <hyperlink r:id="rId1095" ref="C562"/>
    <hyperlink r:id="rId1096" ref="A563"/>
    <hyperlink r:id="rId1097" ref="C563"/>
    <hyperlink r:id="rId1098" ref="A564"/>
    <hyperlink r:id="rId1099" ref="C564"/>
    <hyperlink r:id="rId1100" ref="A565"/>
    <hyperlink r:id="rId1101" ref="C565"/>
    <hyperlink r:id="rId1102" ref="A566"/>
    <hyperlink r:id="rId1103" ref="C566"/>
    <hyperlink r:id="rId1104" ref="A567"/>
    <hyperlink r:id="rId1105" ref="C567"/>
    <hyperlink r:id="rId1106" ref="A568"/>
    <hyperlink r:id="rId1107" ref="C568"/>
    <hyperlink r:id="rId1108" ref="A569"/>
    <hyperlink r:id="rId1109" ref="C569"/>
    <hyperlink r:id="rId1110" ref="A570"/>
    <hyperlink r:id="rId1111" ref="A571"/>
    <hyperlink r:id="rId1112" ref="A572"/>
    <hyperlink r:id="rId1113" ref="C572"/>
    <hyperlink r:id="rId1114" ref="A573"/>
    <hyperlink r:id="rId1115" ref="C573"/>
    <hyperlink r:id="rId1116" location=":~:text=Tech%20Maven%20Geospatial%20stands%20at%20the%20forefront,of%20spatial%20data%20processing%20and%20conversion%20services." ref="A574"/>
    <hyperlink r:id="rId1117" ref="C574"/>
    <hyperlink r:id="rId1118" ref="A575"/>
    <hyperlink r:id="rId1119" ref="C575"/>
    <hyperlink r:id="rId1120" ref="A576"/>
    <hyperlink r:id="rId1121" ref="C576"/>
    <hyperlink r:id="rId1122" location=":~:text=8.%20Monsoon%20Agency.%20This%20enterprise%20digital%20marketing,seo%20marketing%20company%20and%20strategic%20growth%20partner." ref="A577"/>
    <hyperlink r:id="rId1123" ref="A578"/>
    <hyperlink r:id="rId1124" ref="C578"/>
    <hyperlink r:id="rId1125" ref="A579"/>
    <hyperlink r:id="rId1126" ref="C579"/>
    <hyperlink r:id="rId1127" location=":~:text=Demandbase%20is%20a%20B2B%20advertising%20platform%20with,purchase%20interest%20rather%20than%20broad%20demographic%20segments." ref="A580"/>
    <hyperlink r:id="rId1128" ref="C580"/>
    <hyperlink r:id="rId1129" ref="A581"/>
    <hyperlink r:id="rId1130" ref="C581"/>
    <hyperlink r:id="rId1131" ref="A582"/>
    <hyperlink r:id="rId1132" ref="C582"/>
    <hyperlink r:id="rId1133" ref="A583"/>
    <hyperlink r:id="rId1134" ref="C583"/>
    <hyperlink r:id="rId1135" location=":~:text=Hey%20Digital%20is%20a%20B2B%20SaaS%20performance,funnel.%20How%20Hey%20Digital%20approaches%20paid%20social." ref="A584"/>
    <hyperlink r:id="rId1136" ref="C584"/>
    <hyperlink r:id="rId1137" ref="A585"/>
    <hyperlink r:id="rId1138" ref="C585"/>
    <hyperlink r:id="rId1139" location=":~:text=After%20careful%20search%20and%20analysis,York%2C%20NY%2010004%2C%20United%20States" ref="A586"/>
    <hyperlink r:id="rId1140" location=":~:text=Slalom%20is%20a%20modern%20consulting,clients%20as%20AI%20systems%20evolve." ref="A587"/>
    <hyperlink r:id="rId1141" ref="C587"/>
    <hyperlink r:id="rId1142" location=":~:text=InData%20Labs%20occupies%20a%20distinct%20position%20in,data%20environment%2C%20business%20model%2C%20and%20growth%20objectives." ref="A588"/>
    <hyperlink r:id="rId1143" ref="C588"/>
    <hyperlink r:id="rId1144" ref="A589"/>
    <hyperlink r:id="rId1145" ref="C589"/>
    <hyperlink r:id="rId1146" ref="A590"/>
    <hyperlink r:id="rId1147" ref="C590"/>
    <hyperlink r:id="rId1148" ref="A591"/>
    <hyperlink r:id="rId1149" ref="C591"/>
    <hyperlink r:id="rId1150" ref="A592"/>
    <hyperlink r:id="rId1151" ref="C592"/>
    <hyperlink r:id="rId1152" ref="A593"/>
    <hyperlink r:id="rId1153" ref="C593"/>
    <hyperlink r:id="rId1154" location=":~:text=Different%20platforms%20approach%20calibration%20differently,making%20the%20model's%20confidence%20visible." ref="A594"/>
    <hyperlink r:id="rId1155" ref="C594"/>
    <hyperlink r:id="rId1156" ref="A595"/>
    <hyperlink r:id="rId1157" ref="C595"/>
    <hyperlink r:id="rId1158" ref="A596"/>
    <hyperlink r:id="rId1159" ref="C596"/>
    <hyperlink r:id="rId1160" ref="A597"/>
    <hyperlink r:id="rId1161" ref="C597"/>
    <hyperlink r:id="rId1162" ref="A598"/>
    <hyperlink r:id="rId1163" ref="C598"/>
    <hyperlink r:id="rId1164" ref="A599"/>
    <hyperlink r:id="rId1165" ref="C599"/>
    <hyperlink r:id="rId1166" ref="A600"/>
    <hyperlink r:id="rId1167" ref="C600"/>
    <hyperlink r:id="rId1168" ref="A601"/>
    <hyperlink r:id="rId1169" ref="C601"/>
    <hyperlink r:id="rId1170" ref="A602"/>
    <hyperlink r:id="rId1171" ref="C602"/>
    <hyperlink r:id="rId1172" ref="A603"/>
    <hyperlink r:id="rId1173" ref="C603"/>
    <hyperlink r:id="rId1174" ref="A604"/>
    <hyperlink r:id="rId1175" ref="C604"/>
    <hyperlink r:id="rId1176" ref="A605"/>
    <hyperlink r:id="rId1177" ref="A606"/>
    <hyperlink r:id="rId1178" ref="A607"/>
    <hyperlink r:id="rId1179" ref="A608"/>
    <hyperlink r:id="rId1180" ref="C608"/>
    <hyperlink r:id="rId1181" ref="A609"/>
    <hyperlink r:id="rId1182" ref="C609"/>
    <hyperlink r:id="rId1183" ref="A610"/>
    <hyperlink r:id="rId1184" ref="C610"/>
    <hyperlink r:id="rId1185" ref="A611"/>
    <hyperlink r:id="rId1186" ref="C611"/>
    <hyperlink r:id="rId1187" ref="A612"/>
    <hyperlink r:id="rId1188" ref="C612"/>
    <hyperlink r:id="rId1189" ref="A613"/>
    <hyperlink r:id="rId1190" ref="C613"/>
    <hyperlink r:id="rId1191" ref="A614"/>
    <hyperlink r:id="rId1192" ref="C614"/>
    <hyperlink r:id="rId1193" ref="A615"/>
    <hyperlink r:id="rId1194" ref="C615"/>
    <hyperlink r:id="rId1195" ref="A616"/>
    <hyperlink r:id="rId1196" ref="C616"/>
    <hyperlink r:id="rId1197" ref="A617"/>
    <hyperlink r:id="rId1198" ref="C617"/>
    <hyperlink r:id="rId1199" ref="A618"/>
    <hyperlink r:id="rId1200" ref="C618"/>
    <hyperlink r:id="rId1201" ref="A619"/>
    <hyperlink r:id="rId1202" ref="C619"/>
    <hyperlink r:id="rId1203" ref="A620"/>
    <hyperlink r:id="rId1204" ref="C620"/>
    <hyperlink r:id="rId1205" ref="A621"/>
    <hyperlink r:id="rId1206" ref="C621"/>
    <hyperlink r:id="rId1207" ref="A622"/>
    <hyperlink r:id="rId1208" ref="C622"/>
    <hyperlink r:id="rId1209" ref="A623"/>
    <hyperlink r:id="rId1210" ref="C623"/>
    <hyperlink r:id="rId1211" ref="A624"/>
    <hyperlink r:id="rId1212" ref="C624"/>
    <hyperlink r:id="rId1213" ref="A625"/>
    <hyperlink r:id="rId1214" ref="C625"/>
    <hyperlink r:id="rId1215" ref="A626"/>
    <hyperlink r:id="rId1216" ref="C626"/>
    <hyperlink r:id="rId1217" ref="A627"/>
    <hyperlink r:id="rId1218" ref="C627"/>
    <hyperlink r:id="rId1219" ref="A628"/>
    <hyperlink r:id="rId1220" ref="C628"/>
    <hyperlink r:id="rId1221" ref="A629"/>
    <hyperlink r:id="rId1222" ref="C629"/>
    <hyperlink r:id="rId1223" ref="A630"/>
    <hyperlink r:id="rId1224" ref="C630"/>
    <hyperlink r:id="rId1225" ref="A631"/>
    <hyperlink r:id="rId1226" ref="C631"/>
    <hyperlink r:id="rId1227" ref="A632"/>
    <hyperlink r:id="rId1228" ref="C632"/>
    <hyperlink r:id="rId1229" ref="A633"/>
    <hyperlink r:id="rId1230" ref="C633"/>
    <hyperlink r:id="rId1231" ref="A634"/>
    <hyperlink r:id="rId1232" ref="C634"/>
    <hyperlink r:id="rId1233" ref="A635"/>
    <hyperlink r:id="rId1234" ref="C635"/>
    <hyperlink r:id="rId1235" ref="A636"/>
    <hyperlink r:id="rId1236" ref="C636"/>
    <hyperlink r:id="rId1237" ref="A637"/>
    <hyperlink r:id="rId1238" ref="C637"/>
    <hyperlink r:id="rId1239" ref="A638"/>
    <hyperlink r:id="rId1240" ref="C638"/>
    <hyperlink r:id="rId1241" ref="A639"/>
    <hyperlink r:id="rId1242" ref="C639"/>
    <hyperlink r:id="rId1243" ref="A640"/>
    <hyperlink r:id="rId1244" ref="C640"/>
    <hyperlink r:id="rId1245" ref="A641"/>
    <hyperlink r:id="rId1246" ref="C641"/>
    <hyperlink r:id="rId1247" ref="A642"/>
    <hyperlink r:id="rId1248" ref="C642"/>
    <hyperlink r:id="rId1249" ref="A643"/>
    <hyperlink r:id="rId1250" ref="C643"/>
    <hyperlink r:id="rId1251" ref="A644"/>
    <hyperlink r:id="rId1252" ref="C644"/>
    <hyperlink r:id="rId1253" location=":~:text=XLR8%20AI%20offers%20extensive%20LLM,content%20creation%2C%20and%20page%20optimization." ref="A645"/>
    <hyperlink r:id="rId1254" ref="C645"/>
    <hyperlink r:id="rId1255" ref="A646"/>
    <hyperlink r:id="rId1256" ref="C646"/>
    <hyperlink r:id="rId1257" ref="A647"/>
    <hyperlink r:id="rId1258" ref="C647"/>
    <hyperlink r:id="rId1259" ref="A648"/>
    <hyperlink r:id="rId1260" ref="C648"/>
    <hyperlink r:id="rId1261" location=":~:text=Be%20sure%20to%20evaluate%20which%20would%20be,Advertising%3A%20%2D%20Fyber%3A%20%2D%20SmartyAds%3A%20%2D%20Choozel%3A" ref="A649"/>
    <hyperlink r:id="rId1262" ref="C649"/>
    <hyperlink r:id="rId1263" ref="A650"/>
    <hyperlink r:id="rId1264" ref="C650"/>
    <hyperlink r:id="rId1265" ref="A651"/>
    <hyperlink r:id="rId1266" ref="C651"/>
    <hyperlink r:id="rId1267" ref="A652"/>
    <hyperlink r:id="rId1268" ref="C652"/>
    <hyperlink r:id="rId1269" ref="A653"/>
    <hyperlink r:id="rId1270" ref="C653"/>
    <hyperlink r:id="rId1271" location=":~:text=Industries%20Served%3A%20Consumer%20Goods%2C%20Automotive%2C%20Technology%2C%20Financial,and%20advanced%20attribution%20modelling.%20%2D%203.%20Essence." ref="A654"/>
    <hyperlink r:id="rId1272" ref="C654"/>
    <hyperlink r:id="rId1273" ref="A655"/>
    <hyperlink r:id="rId1274" ref="C655"/>
    <hyperlink r:id="rId1275" ref="A656"/>
    <hyperlink r:id="rId1276" location=":~:text=Performance%20Media%2C%20Ad%20Tech%20Consulting.%20B2B%2C%20Healthcare%2C,ROI%2Dfocused%20Programmatic%20Engineering%20%26%20Automation.%20%2D%20Merkle." ref="A657"/>
    <hyperlink r:id="rId1277" ref="A658"/>
    <hyperlink r:id="rId1278" ref="C658"/>
    <hyperlink r:id="rId1279" ref="A659"/>
    <hyperlink r:id="rId1280" ref="C659"/>
    <hyperlink r:id="rId1281" ref="A660"/>
    <hyperlink r:id="rId1282" ref="C660"/>
    <hyperlink r:id="rId1283" location=":~:text=The%20agency%20focuses%20on%20maximizing%20ROI%20through,marketing.%20Paid%20advertising.%20SEO%20services.%20Content%20strategy." ref="A661"/>
    <hyperlink r:id="rId1284" ref="C661"/>
    <hyperlink r:id="rId1285" location=":~:text=Personalized%20client%20support.%20%2D%203.%20WebFX.%20WebFX,management.%20Data%2Ddriven%20campaign%20execution.%20Strong%20analytics%20capabilities." ref="A662"/>
    <hyperlink r:id="rId1286" ref="C662"/>
    <hyperlink r:id="rId1287" ref="A663"/>
    <hyperlink r:id="rId1288" ref="C663"/>
    <hyperlink r:id="rId1289" ref="A664"/>
    <hyperlink r:id="rId1290" ref="C664"/>
    <hyperlink r:id="rId1291" ref="A665"/>
    <hyperlink r:id="rId1292" ref="C665"/>
    <hyperlink r:id="rId1293" ref="A666"/>
    <hyperlink r:id="rId1294" ref="C666"/>
    <hyperlink r:id="rId1295" ref="A667"/>
    <hyperlink r:id="rId1296" ref="C667"/>
    <hyperlink r:id="rId1297" ref="A668"/>
    <hyperlink r:id="rId1298" ref="C668"/>
    <hyperlink r:id="rId1299" ref="A669"/>
    <hyperlink r:id="rId1300" ref="C669"/>
    <hyperlink r:id="rId1301" ref="A670"/>
    <hyperlink r:id="rId1302" ref="C670"/>
    <hyperlink r:id="rId1303" ref="A671"/>
    <hyperlink r:id="rId1304" ref="C671"/>
    <hyperlink r:id="rId1305" ref="A672"/>
    <hyperlink r:id="rId1306" ref="C672"/>
    <hyperlink r:id="rId1307" ref="A673"/>
    <hyperlink r:id="rId1308" ref="C673"/>
    <hyperlink r:id="rId1309" ref="A674"/>
    <hyperlink r:id="rId1310" ref="C674"/>
    <hyperlink r:id="rId1311" location=":~:text=HQ%3A%20Cary%2C%20NC%20with%20global%20operations%3B%207%2C983,regulatory%20reporting%2C%20and%20proven%20analytics%20software.%207." ref="A675"/>
    <hyperlink r:id="rId1312" ref="C675"/>
    <hyperlink r:id="rId1313" ref="A676"/>
    <hyperlink r:id="rId1314" ref="C676"/>
    <hyperlink r:id="rId1315" ref="A677"/>
    <hyperlink r:id="rId1316" ref="A678"/>
    <hyperlink r:id="rId1317" ref="C678"/>
    <hyperlink r:id="rId1318" ref="A679"/>
    <hyperlink r:id="rId1319" ref="C679"/>
    <hyperlink r:id="rId1320" ref="A680"/>
    <hyperlink r:id="rId1321" ref="C680"/>
    <hyperlink r:id="rId1322" ref="A681"/>
    <hyperlink r:id="rId1323" ref="C681"/>
    <hyperlink r:id="rId1324" ref="A682"/>
    <hyperlink r:id="rId1325" ref="C682"/>
    <hyperlink r:id="rId1326" ref="A683"/>
    <hyperlink r:id="rId1327" ref="C683"/>
    <hyperlink r:id="rId1328" ref="A684"/>
    <hyperlink r:id="rId1329" ref="C684"/>
    <hyperlink r:id="rId1330" ref="A685"/>
    <hyperlink r:id="rId1331" ref="C685"/>
    <hyperlink r:id="rId1332" ref="A686"/>
    <hyperlink r:id="rId1333" ref="C686"/>
    <hyperlink r:id="rId1334" ref="A687"/>
    <hyperlink r:id="rId1335" ref="C687"/>
    <hyperlink r:id="rId1336" ref="A688"/>
    <hyperlink r:id="rId1337" ref="C688"/>
    <hyperlink r:id="rId1338" ref="A689"/>
    <hyperlink r:id="rId1339" ref="C689"/>
    <hyperlink r:id="rId1340" ref="A690"/>
    <hyperlink r:id="rId1341" ref="C690"/>
    <hyperlink r:id="rId1342" ref="A691"/>
    <hyperlink r:id="rId1343" ref="C691"/>
    <hyperlink r:id="rId1344" ref="A692"/>
    <hyperlink r:id="rId1345" ref="C692"/>
    <hyperlink r:id="rId1346" ref="A693"/>
    <hyperlink r:id="rId1347" ref="C693"/>
    <hyperlink r:id="rId1348" ref="A694"/>
    <hyperlink r:id="rId1349" ref="C694"/>
    <hyperlink r:id="rId1350" ref="A695"/>
    <hyperlink r:id="rId1351" ref="C695"/>
    <hyperlink r:id="rId1352" ref="A696"/>
    <hyperlink r:id="rId1353" ref="C696"/>
    <hyperlink r:id="rId1354" ref="A697"/>
    <hyperlink r:id="rId1355" ref="C697"/>
    <hyperlink r:id="rId1356" ref="A698"/>
    <hyperlink r:id="rId1357" ref="C698"/>
    <hyperlink r:id="rId1358" ref="A699"/>
    <hyperlink r:id="rId1359" ref="C699"/>
    <hyperlink r:id="rId1360" ref="A700"/>
    <hyperlink r:id="rId1361" ref="C700"/>
    <hyperlink r:id="rId1362" ref="A701"/>
    <hyperlink r:id="rId1363" ref="C701"/>
    <hyperlink r:id="rId1364" ref="A702"/>
    <hyperlink r:id="rId1365" ref="C702"/>
    <hyperlink r:id="rId1366" ref="A703"/>
    <hyperlink r:id="rId1367" ref="C703"/>
    <hyperlink r:id="rId1368" ref="A704"/>
    <hyperlink r:id="rId1369" ref="C704"/>
    <hyperlink r:id="rId1370" ref="A705"/>
    <hyperlink r:id="rId1371" ref="C705"/>
    <hyperlink r:id="rId1372" ref="A706"/>
    <hyperlink r:id="rId1373" ref="C706"/>
    <hyperlink r:id="rId1374" ref="A707"/>
    <hyperlink r:id="rId1375" ref="C707"/>
    <hyperlink r:id="rId1376" ref="A708"/>
    <hyperlink r:id="rId1377" ref="C708"/>
    <hyperlink r:id="rId1378" ref="A709"/>
    <hyperlink r:id="rId1379" ref="C709"/>
    <hyperlink r:id="rId1380" ref="A710"/>
    <hyperlink r:id="rId1381" ref="C710"/>
    <hyperlink r:id="rId1382" ref="A711"/>
    <hyperlink r:id="rId1383" ref="C711"/>
    <hyperlink r:id="rId1384" ref="A712"/>
    <hyperlink r:id="rId1385" ref="C712"/>
    <hyperlink r:id="rId1386" ref="A713"/>
    <hyperlink r:id="rId1387" ref="C713"/>
    <hyperlink r:id="rId1388" ref="A714"/>
    <hyperlink r:id="rId1389" ref="C714"/>
    <hyperlink r:id="rId1390" ref="A715"/>
    <hyperlink r:id="rId1391" ref="C715"/>
    <hyperlink r:id="rId1392" ref="A716"/>
    <hyperlink r:id="rId1393" ref="C716"/>
    <hyperlink r:id="rId1394" ref="A717"/>
    <hyperlink r:id="rId1395" ref="C717"/>
    <hyperlink r:id="rId1396" ref="A718"/>
    <hyperlink r:id="rId1397" ref="C718"/>
    <hyperlink r:id="rId1398" ref="A719"/>
    <hyperlink r:id="rId1399" ref="C719"/>
    <hyperlink r:id="rId1400" ref="A720"/>
    <hyperlink r:id="rId1401" ref="C720"/>
    <hyperlink r:id="rId1402" ref="A721"/>
    <hyperlink r:id="rId1403" ref="C721"/>
    <hyperlink r:id="rId1404" ref="A722"/>
    <hyperlink r:id="rId1405" ref="C722"/>
    <hyperlink r:id="rId1406" ref="A723"/>
    <hyperlink r:id="rId1407" ref="C723"/>
    <hyperlink r:id="rId1408" ref="A724"/>
    <hyperlink r:id="rId1409" ref="C724"/>
    <hyperlink r:id="rId1410" ref="A725"/>
    <hyperlink r:id="rId1411" ref="C725"/>
    <hyperlink r:id="rId1412" ref="A726"/>
    <hyperlink r:id="rId1413" ref="C726"/>
    <hyperlink r:id="rId1414" ref="A727"/>
    <hyperlink r:id="rId1415" ref="C727"/>
    <hyperlink r:id="rId1416" ref="A728"/>
    <hyperlink r:id="rId1417" ref="C728"/>
    <hyperlink r:id="rId1418" ref="A729"/>
    <hyperlink r:id="rId1419" ref="C729"/>
    <hyperlink r:id="rId1420" ref="A730"/>
    <hyperlink r:id="rId1421" ref="C730"/>
    <hyperlink r:id="rId1422" location=":~:text=Services%3A%20Appointment%20setting%20%C2%B7%20Account%2Dbased%20marketing%20%C2%B7,SaaS%20marketing%20%C2%B7%20SEO.%20%2D%20Refine%20Labs." ref="A731"/>
    <hyperlink r:id="rId1423" ref="C731"/>
    <hyperlink r:id="rId1424" ref="A732"/>
    <hyperlink r:id="rId1425" ref="C732"/>
    <hyperlink r:id="rId1426" ref="A733"/>
    <hyperlink r:id="rId1427" ref="C733"/>
    <hyperlink r:id="rId1428" ref="A734"/>
    <hyperlink r:id="rId1429" ref="C734"/>
    <hyperlink r:id="rId1430" ref="A735"/>
    <hyperlink r:id="rId1431" ref="C735"/>
    <hyperlink r:id="rId1432" ref="A736"/>
    <hyperlink r:id="rId1433" ref="C736"/>
    <hyperlink r:id="rId1434" ref="A737"/>
    <hyperlink r:id="rId1435" ref="C737"/>
    <hyperlink r:id="rId1436" ref="A738"/>
    <hyperlink r:id="rId1437" ref="C738"/>
    <hyperlink r:id="rId1438" ref="A739"/>
    <hyperlink r:id="rId1439" ref="A740"/>
    <hyperlink r:id="rId1440" ref="C740"/>
    <hyperlink r:id="rId1441" ref="A741"/>
    <hyperlink r:id="rId1442" ref="C741"/>
    <hyperlink r:id="rId1443" ref="A742"/>
    <hyperlink r:id="rId1444" ref="C742"/>
    <hyperlink r:id="rId1445" ref="A743"/>
    <hyperlink r:id="rId1446" ref="C743"/>
    <hyperlink r:id="rId1447" ref="A744"/>
    <hyperlink r:id="rId1448" ref="C744"/>
    <hyperlink r:id="rId1449" ref="A745"/>
    <hyperlink r:id="rId1450" ref="C745"/>
    <hyperlink r:id="rId1451" ref="A746"/>
    <hyperlink r:id="rId1452" ref="C746"/>
    <hyperlink r:id="rId1453" ref="A747"/>
    <hyperlink r:id="rId1454" ref="C747"/>
    <hyperlink r:id="rId1455" ref="A748"/>
    <hyperlink r:id="rId1456" ref="C748"/>
    <hyperlink r:id="rId1457" ref="A749"/>
    <hyperlink r:id="rId1458" ref="C749"/>
    <hyperlink r:id="rId1459" ref="A750"/>
    <hyperlink r:id="rId1460" ref="C750"/>
    <hyperlink r:id="rId1461" ref="A751"/>
    <hyperlink r:id="rId1462" ref="C751"/>
    <hyperlink r:id="rId1463" ref="A752"/>
    <hyperlink r:id="rId1464" ref="C752"/>
    <hyperlink r:id="rId1465" ref="A753"/>
    <hyperlink r:id="rId1466" ref="C753"/>
    <hyperlink r:id="rId1467" ref="A754"/>
    <hyperlink r:id="rId1468" ref="C754"/>
    <hyperlink r:id="rId1469" ref="A755"/>
    <hyperlink r:id="rId1470" ref="C755"/>
    <hyperlink r:id="rId1471" location=":~:text=Version2%20is%20an%20advertising%20agency%20specializing%20in,of%20reviewers%20highlighting%20their%20professionalism%20and%20commitment." ref="A756"/>
    <hyperlink r:id="rId1472" ref="C756"/>
    <hyperlink r:id="rId1473" ref="A757"/>
    <hyperlink r:id="rId1474" ref="C757"/>
    <hyperlink r:id="rId1475" ref="A758"/>
    <hyperlink r:id="rId1476" ref="C758"/>
    <hyperlink r:id="rId1477" location=":~:text=%2410%2C000%2B%20250%20%2D%20999.%20San%20Diego%2C%20CA.,execution%2C%20strong%20communication%2C%20and%20impressive%20project%20management." ref="A759"/>
    <hyperlink r:id="rId1478" ref="C759"/>
    <hyperlink r:id="rId1479" ref="A760"/>
    <hyperlink r:id="rId1480" ref="C760"/>
    <hyperlink r:id="rId1481" ref="A761"/>
    <hyperlink r:id="rId1482" ref="C761"/>
    <hyperlink r:id="rId1483" ref="A762"/>
    <hyperlink r:id="rId1484" ref="C762"/>
    <hyperlink r:id="rId1485" ref="A763"/>
    <hyperlink r:id="rId1486" ref="C763"/>
    <hyperlink r:id="rId1487" ref="A764"/>
    <hyperlink r:id="rId1488" ref="C764"/>
    <hyperlink r:id="rId1489" ref="A765"/>
    <hyperlink r:id="rId1490" ref="C765"/>
    <hyperlink r:id="rId1491" ref="A766"/>
    <hyperlink r:id="rId1492" ref="C766"/>
    <hyperlink r:id="rId1493" ref="A767"/>
    <hyperlink r:id="rId1494" ref="C767"/>
    <hyperlink r:id="rId1495" ref="A768"/>
    <hyperlink r:id="rId1496" ref="C768"/>
    <hyperlink r:id="rId1497" ref="A769"/>
    <hyperlink r:id="rId1498" ref="C769"/>
    <hyperlink r:id="rId1499" ref="A770"/>
    <hyperlink r:id="rId1500" ref="C770"/>
    <hyperlink r:id="rId1501" ref="A771"/>
    <hyperlink r:id="rId1502" ref="C771"/>
    <hyperlink r:id="rId1503" ref="A772"/>
    <hyperlink r:id="rId1504" ref="C772"/>
    <hyperlink r:id="rId1505" ref="A773"/>
    <hyperlink r:id="rId1506" ref="C773"/>
    <hyperlink r:id="rId1507" ref="A774"/>
    <hyperlink r:id="rId1508" ref="C774"/>
    <hyperlink r:id="rId1509" ref="A775"/>
    <hyperlink r:id="rId1510" ref="C775"/>
    <hyperlink r:id="rId1511" ref="A776"/>
    <hyperlink r:id="rId1512" ref="C776"/>
    <hyperlink r:id="rId1513" ref="A777"/>
    <hyperlink r:id="rId1514" ref="C777"/>
    <hyperlink r:id="rId1515" ref="A778"/>
    <hyperlink r:id="rId1516" ref="C778"/>
    <hyperlink r:id="rId1517" ref="A779"/>
    <hyperlink r:id="rId1518" ref="C779"/>
    <hyperlink r:id="rId1519" ref="A780"/>
    <hyperlink r:id="rId1520" ref="C780"/>
    <hyperlink r:id="rId1521" ref="A781"/>
    <hyperlink r:id="rId1522" ref="C781"/>
    <hyperlink r:id="rId1523" ref="A782"/>
    <hyperlink r:id="rId1524" ref="C782"/>
    <hyperlink r:id="rId1525" ref="A783"/>
    <hyperlink r:id="rId1526" ref="C783"/>
    <hyperlink r:id="rId1527" ref="A784"/>
    <hyperlink r:id="rId1528" ref="C784"/>
    <hyperlink r:id="rId1529" ref="A785"/>
    <hyperlink r:id="rId1530" ref="C785"/>
    <hyperlink r:id="rId1531" ref="A786"/>
    <hyperlink r:id="rId1532" ref="C786"/>
    <hyperlink r:id="rId1533" ref="A787"/>
    <hyperlink r:id="rId1534" ref="C787"/>
    <hyperlink r:id="rId1535" ref="A788"/>
    <hyperlink r:id="rId1536" ref="C788"/>
    <hyperlink r:id="rId1537" ref="A789"/>
    <hyperlink r:id="rId1538" ref="C789"/>
    <hyperlink r:id="rId1539" location=":~:text=New%2DYork%2Dbased%20NoGood%20launched%20a%20stand%2Dalone%20Answer%20Engine,AI%2Dsearch%20wins%20for%20fintech%20and%20health%2Dcare%20clients." ref="A790"/>
    <hyperlink r:id="rId1540" ref="C790"/>
    <hyperlink r:id="rId1541" ref="A791"/>
    <hyperlink r:id="rId1542" ref="C791"/>
    <hyperlink r:id="rId1543" ref="A792"/>
    <hyperlink r:id="rId1544" ref="C792"/>
    <hyperlink r:id="rId1545" ref="A793"/>
    <hyperlink r:id="rId1546" ref="C793"/>
    <hyperlink r:id="rId1547" ref="A794"/>
    <hyperlink r:id="rId1548" ref="C794"/>
    <hyperlink r:id="rId1549" ref="A795"/>
    <hyperlink r:id="rId1550" ref="C795"/>
    <hyperlink r:id="rId1551" ref="A796"/>
    <hyperlink r:id="rId1552" ref="C796"/>
    <hyperlink r:id="rId1553" ref="A797"/>
    <hyperlink r:id="rId1554" ref="A798"/>
    <hyperlink r:id="rId1555" ref="C798"/>
    <hyperlink r:id="rId1556" ref="A799"/>
    <hyperlink r:id="rId1557" ref="C799"/>
    <hyperlink r:id="rId1558" ref="A800"/>
    <hyperlink r:id="rId1559" ref="C800"/>
    <hyperlink r:id="rId1560" ref="A801"/>
    <hyperlink r:id="rId1561" ref="C801"/>
    <hyperlink r:id="rId1562" ref="A802"/>
    <hyperlink r:id="rId1563" ref="C802"/>
    <hyperlink r:id="rId1564" ref="A803"/>
    <hyperlink r:id="rId1565" ref="C803"/>
    <hyperlink r:id="rId1566" ref="A804"/>
    <hyperlink r:id="rId1567" ref="C804"/>
    <hyperlink r:id="rId1568" ref="A805"/>
    <hyperlink r:id="rId1569" ref="C805"/>
    <hyperlink r:id="rId1570" ref="A806"/>
    <hyperlink r:id="rId1571" ref="C806"/>
    <hyperlink r:id="rId1572" ref="A807"/>
    <hyperlink r:id="rId1573" ref="C807"/>
    <hyperlink r:id="rId1574" ref="A808"/>
    <hyperlink r:id="rId1575" ref="A809"/>
    <hyperlink r:id="rId1576" ref="A810"/>
    <hyperlink r:id="rId1577" ref="C810"/>
    <hyperlink r:id="rId1578" ref="A811"/>
    <hyperlink r:id="rId1579" ref="C811"/>
    <hyperlink r:id="rId1580" ref="A812"/>
    <hyperlink r:id="rId1581" ref="C812"/>
    <hyperlink r:id="rId1582" ref="A813"/>
    <hyperlink r:id="rId1583" ref="C813"/>
    <hyperlink r:id="rId1584" ref="A814"/>
    <hyperlink r:id="rId1585" ref="C814"/>
    <hyperlink r:id="rId1586" location=":~:text=With%20%244B%20in%20digital%20media%20under%20management,achieve%20perfect%20harmony.%20What%20makes%20Tinuiti%20special%3F" ref="A815"/>
    <hyperlink r:id="rId1587" ref="C815"/>
    <hyperlink r:id="rId1588" ref="A816"/>
    <hyperlink r:id="rId1589" ref="C816"/>
    <hyperlink r:id="rId1590" ref="A817"/>
    <hyperlink r:id="rId1591" ref="C817"/>
    <hyperlink r:id="rId1592" ref="A818"/>
    <hyperlink r:id="rId1593" ref="C818"/>
    <hyperlink r:id="rId1594" ref="A819"/>
    <hyperlink r:id="rId1595" ref="C819"/>
    <hyperlink r:id="rId1596" ref="A820"/>
    <hyperlink r:id="rId1597" ref="C820"/>
    <hyperlink r:id="rId1598" ref="A821"/>
    <hyperlink r:id="rId1599" ref="C821"/>
    <hyperlink r:id="rId1600" ref="A822"/>
    <hyperlink r:id="rId1601" ref="C822"/>
    <hyperlink r:id="rId1602" ref="A823"/>
    <hyperlink r:id="rId1603" ref="C823"/>
    <hyperlink r:id="rId1604" ref="A824"/>
    <hyperlink r:id="rId1605" ref="C824"/>
    <hyperlink r:id="rId1606" ref="A825"/>
    <hyperlink r:id="rId1607" ref="C825"/>
    <hyperlink r:id="rId1608" ref="A826"/>
    <hyperlink r:id="rId1609" ref="C826"/>
    <hyperlink r:id="rId1610" ref="A827"/>
    <hyperlink r:id="rId1611" ref="C827"/>
    <hyperlink r:id="rId1612" ref="A828"/>
    <hyperlink r:id="rId1613" ref="C828"/>
    <hyperlink r:id="rId1614" ref="A829"/>
    <hyperlink r:id="rId1615" ref="C829"/>
    <hyperlink r:id="rId1616" ref="A830"/>
    <hyperlink r:id="rId1617" ref="C830"/>
    <hyperlink r:id="rId1618" ref="A831"/>
    <hyperlink r:id="rId1619" ref="C831"/>
    <hyperlink r:id="rId1620" ref="A832"/>
    <hyperlink r:id="rId1621" ref="C832"/>
    <hyperlink r:id="rId1622" ref="A833"/>
    <hyperlink r:id="rId1623" ref="C833"/>
    <hyperlink r:id="rId1624" ref="A834"/>
    <hyperlink r:id="rId1625" ref="C834"/>
    <hyperlink r:id="rId1626" ref="A835"/>
    <hyperlink r:id="rId1627" ref="C835"/>
    <hyperlink r:id="rId1628" location=":~:text=Esri%20is%20a%20leading%20provider,insights%20from%20location%2Dbased%20data." ref="A836"/>
    <hyperlink r:id="rId1629" ref="C836"/>
    <hyperlink r:id="rId1630" ref="A837"/>
    <hyperlink r:id="rId1631" ref="A838"/>
    <hyperlink r:id="rId1632" ref="C838"/>
    <hyperlink r:id="rId1633" ref="A839"/>
    <hyperlink r:id="rId1634" ref="C839"/>
    <hyperlink r:id="rId1635" ref="A840"/>
    <hyperlink r:id="rId1636" ref="C840"/>
    <hyperlink r:id="rId1637" ref="A841"/>
    <hyperlink r:id="rId1638" ref="C841"/>
    <hyperlink r:id="rId1639" ref="A842"/>
    <hyperlink r:id="rId1640" ref="C842"/>
    <hyperlink r:id="rId1641" ref="A843"/>
    <hyperlink r:id="rId1642" ref="C843"/>
    <hyperlink r:id="rId1643" ref="A844"/>
    <hyperlink r:id="rId1644" ref="C844"/>
    <hyperlink r:id="rId1645" ref="A845"/>
    <hyperlink r:id="rId1646" ref="C845"/>
    <hyperlink r:id="rId1647" location=":~:text=The%20agency%20has%20officially%20partnered%20with%20some,work%20with%20big%20clients%20with%20massive%20budgets." ref="A846"/>
    <hyperlink r:id="rId1648" ref="A847"/>
    <hyperlink r:id="rId1649" ref="C847"/>
    <hyperlink r:id="rId1650" ref="A848"/>
    <hyperlink r:id="rId1651" ref="C848"/>
    <hyperlink r:id="rId1652" ref="A849"/>
    <hyperlink r:id="rId1653" ref="C849"/>
    <hyperlink r:id="rId1654" ref="A850"/>
    <hyperlink r:id="rId1655" ref="C850"/>
    <hyperlink r:id="rId1656" location=":~:text=First%20Page%20Sage%20is%20consistently%20ranked%20the,specifically%20for%20the%20complexity%20of%20B2B%20sales." ref="A851"/>
    <hyperlink r:id="rId1657" ref="C851"/>
    <hyperlink r:id="rId1658" ref="A852"/>
    <hyperlink r:id="rId1659" ref="C852"/>
    <hyperlink r:id="rId1660" ref="A853"/>
    <hyperlink r:id="rId1661" ref="C853"/>
    <hyperlink r:id="rId1662" ref="A854"/>
    <hyperlink r:id="rId1663" ref="C854"/>
    <hyperlink r:id="rId1664" location=":~:text=1.%20%2D%20Flying%20V%20Group.%20Flying%20V,numerous%20successful%20client%20campaigns%20and%20glowing%20testimonials." ref="A855"/>
    <hyperlink r:id="rId1665" ref="C855"/>
    <hyperlink r:id="rId1666" location=":~:text=NGA%20operates%20as%20both%20a,of%20the%20U.S.%20intelligence%20community." ref="A856"/>
    <hyperlink r:id="rId1667" ref="C856"/>
    <hyperlink r:id="rId1668" ref="A857"/>
    <hyperlink r:id="rId1669" ref="C857"/>
    <hyperlink r:id="rId1670" ref="A858"/>
    <hyperlink r:id="rId1671" ref="C858"/>
    <hyperlink r:id="rId1672" ref="A859"/>
    <hyperlink r:id="rId1673" ref="C859"/>
    <hyperlink r:id="rId1674" ref="A860"/>
    <hyperlink r:id="rId1675" ref="C860"/>
    <hyperlink r:id="rId1676" ref="A861"/>
    <hyperlink r:id="rId1677" ref="C861"/>
    <hyperlink r:id="rId1678" ref="A862"/>
    <hyperlink r:id="rId1679" ref="C862"/>
    <hyperlink r:id="rId1680" ref="A863"/>
    <hyperlink r:id="rId1681" ref="C863"/>
    <hyperlink r:id="rId1682" ref="A864"/>
    <hyperlink r:id="rId1683" ref="C864"/>
    <hyperlink r:id="rId1684" ref="A865"/>
    <hyperlink r:id="rId1685" ref="C865"/>
    <hyperlink r:id="rId1686" ref="A866"/>
    <hyperlink r:id="rId1687" ref="C866"/>
    <hyperlink r:id="rId1688" ref="A867"/>
    <hyperlink r:id="rId1689" ref="C867"/>
    <hyperlink r:id="rId1690" ref="A868"/>
    <hyperlink r:id="rId1691" ref="C868"/>
    <hyperlink r:id="rId1692" ref="A869"/>
    <hyperlink r:id="rId1693" ref="C869"/>
    <hyperlink r:id="rId1694" ref="A870"/>
    <hyperlink r:id="rId1695" ref="C870"/>
    <hyperlink r:id="rId1696" ref="A871"/>
    <hyperlink r:id="rId1697" ref="C871"/>
    <hyperlink r:id="rId1698" ref="A872"/>
    <hyperlink r:id="rId1699" ref="C872"/>
    <hyperlink r:id="rId1700" ref="A873"/>
    <hyperlink r:id="rId1701" ref="C873"/>
    <hyperlink r:id="rId1702" ref="A874"/>
    <hyperlink r:id="rId1703" ref="C874"/>
    <hyperlink r:id="rId1704" ref="A875"/>
    <hyperlink r:id="rId1705" ref="C875"/>
    <hyperlink r:id="rId1706" ref="A876"/>
    <hyperlink r:id="rId1707" ref="C876"/>
    <hyperlink r:id="rId1708" ref="A877"/>
    <hyperlink r:id="rId1709" ref="C877"/>
    <hyperlink r:id="rId1710" ref="A878"/>
    <hyperlink r:id="rId1711" ref="C878"/>
    <hyperlink r:id="rId1712" ref="A879"/>
    <hyperlink r:id="rId1713" ref="C879"/>
    <hyperlink r:id="rId1714" ref="A880"/>
    <hyperlink r:id="rId1715" ref="C880"/>
    <hyperlink r:id="rId1716" ref="A881"/>
    <hyperlink r:id="rId1717" ref="C881"/>
    <hyperlink r:id="rId1718" ref="A882"/>
    <hyperlink r:id="rId1719" ref="C882"/>
    <hyperlink r:id="rId1720" ref="A883"/>
    <hyperlink r:id="rId1721" ref="C883"/>
    <hyperlink r:id="rId1722" ref="A884"/>
    <hyperlink r:id="rId1723" ref="C884"/>
    <hyperlink r:id="rId1724" ref="A885"/>
    <hyperlink r:id="rId1725" ref="C885"/>
    <hyperlink r:id="rId1726" ref="A886"/>
    <hyperlink r:id="rId1727" ref="C886"/>
    <hyperlink r:id="rId1728" ref="A887"/>
    <hyperlink r:id="rId1729" ref="C887"/>
    <hyperlink r:id="rId1730" ref="A888"/>
    <hyperlink r:id="rId1731" ref="A889"/>
    <hyperlink r:id="rId1732" ref="C889"/>
    <hyperlink r:id="rId1733" ref="A890"/>
    <hyperlink r:id="rId1734" ref="C890"/>
    <hyperlink r:id="rId1735" ref="A891"/>
    <hyperlink r:id="rId1736" ref="C891"/>
    <hyperlink r:id="rId1737" location=":~:text=%2D%20Agency.%20Best%20For.%20Core%20Strength.%20%2D,conversion%20rate%20optimization.%20%2D%20Tinuiti.%20Enterprise%20ecommerce." ref="A892"/>
    <hyperlink r:id="rId1738" ref="C892"/>
    <hyperlink r:id="rId1739" ref="A893"/>
    <hyperlink r:id="rId1740" ref="C893"/>
    <hyperlink r:id="rId1741" ref="A894"/>
    <hyperlink r:id="rId1742" ref="C894"/>
    <hyperlink r:id="rId1743" ref="A895"/>
    <hyperlink r:id="rId1744" ref="C895"/>
    <hyperlink r:id="rId1745" ref="A896"/>
    <hyperlink r:id="rId1746" ref="C896"/>
    <hyperlink r:id="rId1747" ref="A897"/>
    <hyperlink r:id="rId1748" ref="C897"/>
    <hyperlink r:id="rId1749" ref="A898"/>
    <hyperlink r:id="rId1750" ref="C898"/>
    <hyperlink r:id="rId1751" ref="A899"/>
    <hyperlink r:id="rId1752" ref="C899"/>
    <hyperlink r:id="rId1753" ref="A900"/>
    <hyperlink r:id="rId1754" ref="C900"/>
    <hyperlink r:id="rId1755" ref="A901"/>
    <hyperlink r:id="rId1756" ref="C901"/>
    <hyperlink r:id="rId1757" ref="A902"/>
    <hyperlink r:id="rId1758" ref="C902"/>
    <hyperlink r:id="rId1759" ref="A903"/>
    <hyperlink r:id="rId1760" ref="C903"/>
    <hyperlink r:id="rId1761" ref="A904"/>
    <hyperlink r:id="rId1762" ref="C904"/>
    <hyperlink r:id="rId1763" ref="A905"/>
    <hyperlink r:id="rId1764" ref="C905"/>
    <hyperlink r:id="rId1765" ref="A906"/>
    <hyperlink r:id="rId1766" ref="C906"/>
    <hyperlink r:id="rId1767" location=":~:text=The%20best%20paid%20media%20agencies%20use%20technology%2C,audience%20quickly%20with%20targeted%20and%20testable%20campaigns." ref="A907"/>
    <hyperlink r:id="rId1768" ref="C907"/>
    <hyperlink r:id="rId1769" ref="A908"/>
    <hyperlink r:id="rId1770" ref="C908"/>
    <hyperlink r:id="rId1771" ref="A909"/>
    <hyperlink r:id="rId1772" ref="C909"/>
    <hyperlink r:id="rId1773" ref="A910"/>
    <hyperlink r:id="rId1774" ref="C910"/>
    <hyperlink r:id="rId1775" location=":~:text=Deloitte%20provides%20analytics%20consulting%20across%20areas%20like,forecasting%2C%20optimization%2C%20and%20operational%20performance%20use%20cases." ref="A911"/>
    <hyperlink r:id="rId1776" ref="C911"/>
    <hyperlink r:id="rId1777" ref="A912"/>
    <hyperlink r:id="rId1778" ref="C912"/>
    <hyperlink r:id="rId1779" ref="A913"/>
    <hyperlink r:id="rId1780" ref="A914"/>
    <hyperlink r:id="rId1781" ref="C914"/>
    <hyperlink r:id="rId1782" ref="A915"/>
    <hyperlink r:id="rId1783" ref="C915"/>
    <hyperlink r:id="rId1784" ref="A916"/>
    <hyperlink r:id="rId1785" ref="C916"/>
    <hyperlink r:id="rId1786" location=":~:text=Scale%20Rankings%20%2D%201.%20ScaleRankings.%20ScaleRankings.com%20isn't,is%20what%20separates%20it%20from%20everyone%20else." ref="A917"/>
    <hyperlink r:id="rId1787" ref="C917"/>
    <hyperlink r:id="rId1788" ref="A918"/>
    <hyperlink r:id="rId1789" ref="C918"/>
    <hyperlink r:id="rId1790" location=":~:text=Core%20Services%20%2D%20SEO%20services.%20%2D%20Paid,strategy.%20%2D%20Lead%20generation.%20%2D%20Website%20optimization." ref="A919"/>
    <hyperlink r:id="rId1791" ref="C919"/>
    <hyperlink r:id="rId1792" ref="A920"/>
    <hyperlink r:id="rId1793" ref="C920"/>
    <hyperlink r:id="rId1794" ref="A921"/>
    <hyperlink r:id="rId1795" ref="C921"/>
    <hyperlink r:id="rId1796" ref="A922"/>
    <hyperlink r:id="rId1797" ref="C922"/>
    <hyperlink r:id="rId1798" location=":~:text=With%20stricter%20privacy%20regulations%20and%20reduced%20third%2Dparty,Experience%20in%20your%20industry%20or%20growth%20stage." ref="A923"/>
    <hyperlink r:id="rId1799" ref="C923"/>
    <hyperlink r:id="rId1800" ref="A924"/>
    <hyperlink r:id="rId1801" ref="C924"/>
    <hyperlink r:id="rId1802" ref="A925"/>
    <hyperlink r:id="rId1803" ref="C925"/>
    <hyperlink r:id="rId1804" ref="A926"/>
    <hyperlink r:id="rId1805" ref="C926"/>
    <hyperlink r:id="rId1806" ref="A927"/>
    <hyperlink r:id="rId1807" ref="C927"/>
    <hyperlink r:id="rId1808" ref="A928"/>
    <hyperlink r:id="rId1809" ref="C928"/>
    <hyperlink r:id="rId1810" ref="A929"/>
    <hyperlink r:id="rId1811" ref="C929"/>
    <hyperlink r:id="rId1812" ref="A930"/>
    <hyperlink r:id="rId1813" ref="C930"/>
    <hyperlink r:id="rId1814" ref="A931"/>
    <hyperlink r:id="rId1815" ref="C931"/>
    <hyperlink r:id="rId1816" ref="A932"/>
    <hyperlink r:id="rId1817" ref="C932"/>
    <hyperlink r:id="rId1818" ref="A933"/>
    <hyperlink r:id="rId1819" ref="C933"/>
    <hyperlink r:id="rId1820" ref="A934"/>
    <hyperlink r:id="rId1821" ref="C934"/>
    <hyperlink r:id="rId1822" ref="A935"/>
    <hyperlink r:id="rId1823" ref="C935"/>
    <hyperlink r:id="rId1824" ref="A936"/>
    <hyperlink r:id="rId1825" ref="C936"/>
    <hyperlink r:id="rId1826" ref="A937"/>
    <hyperlink r:id="rId1827" ref="C937"/>
    <hyperlink r:id="rId1828" ref="A938"/>
    <hyperlink r:id="rId1829" ref="C938"/>
    <hyperlink r:id="rId1830" ref="A939"/>
    <hyperlink r:id="rId1831" ref="C939"/>
    <hyperlink r:id="rId1832" ref="A940"/>
    <hyperlink r:id="rId1833" ref="C940"/>
    <hyperlink r:id="rId1834" ref="A941"/>
    <hyperlink r:id="rId1835" ref="C941"/>
    <hyperlink r:id="rId1836" ref="A942"/>
    <hyperlink r:id="rId1837" ref="C942"/>
    <hyperlink r:id="rId1838" ref="A943"/>
    <hyperlink r:id="rId1839" ref="C943"/>
    <hyperlink r:id="rId1840" ref="A944"/>
    <hyperlink r:id="rId1841" ref="C944"/>
    <hyperlink r:id="rId1842" ref="A945"/>
    <hyperlink r:id="rId1843" ref="C945"/>
    <hyperlink r:id="rId1844" ref="A946"/>
    <hyperlink r:id="rId1845" ref="C946"/>
    <hyperlink r:id="rId1846" ref="A947"/>
    <hyperlink r:id="rId1847" ref="C947"/>
    <hyperlink r:id="rId1848" ref="A948"/>
    <hyperlink r:id="rId1849" ref="C948"/>
    <hyperlink r:id="rId1850" ref="A949"/>
    <hyperlink r:id="rId1851" ref="C949"/>
    <hyperlink r:id="rId1852" ref="A950"/>
    <hyperlink r:id="rId1853" ref="C950"/>
    <hyperlink r:id="rId1854" ref="A951"/>
    <hyperlink r:id="rId1855" ref="C951"/>
    <hyperlink r:id="rId1856" ref="A952"/>
    <hyperlink r:id="rId1857" ref="C952"/>
    <hyperlink r:id="rId1858" ref="A953"/>
    <hyperlink r:id="rId1859" ref="C953"/>
    <hyperlink r:id="rId1860" ref="A954"/>
    <hyperlink r:id="rId1861" ref="C954"/>
    <hyperlink r:id="rId1862" ref="A955"/>
    <hyperlink r:id="rId1863" ref="C955"/>
    <hyperlink r:id="rId1864" ref="A956"/>
    <hyperlink r:id="rId1865" ref="C956"/>
    <hyperlink r:id="rId1866" ref="A957"/>
    <hyperlink r:id="rId1867" ref="C957"/>
    <hyperlink r:id="rId1868" ref="A958"/>
    <hyperlink r:id="rId1869" ref="C958"/>
    <hyperlink r:id="rId1870" ref="A959"/>
    <hyperlink r:id="rId1871" ref="C959"/>
    <hyperlink r:id="rId1872" location=":~:text=Goodway%20Group%20%E2%80%93%20Enterprise%2Dlevel%20programmatic%20agency%20using,Boutique%20agency%20focused%20on%20precise%20geographic%20targeting." ref="A960"/>
    <hyperlink r:id="rId1873" ref="C960"/>
    <hyperlink r:id="rId1874" ref="A961"/>
    <hyperlink r:id="rId1875" ref="C961"/>
    <hyperlink r:id="rId1876" ref="A962"/>
    <hyperlink r:id="rId1877" ref="C962"/>
    <hyperlink r:id="rId1878" ref="A963"/>
    <hyperlink r:id="rId1879" ref="C963"/>
    <hyperlink r:id="rId1880" location=":~:text=Now%20Over%20to%20You.%20HUMAN%20CRAFTED.%20This,Now%2C%20let's%20discuss%20each%20agency%20in%20detail." ref="A964"/>
    <hyperlink r:id="rId1881" ref="C964"/>
    <hyperlink r:id="rId1882" ref="A965"/>
    <hyperlink r:id="rId1883" ref="C965"/>
    <hyperlink r:id="rId1884" ref="A966"/>
    <hyperlink r:id="rId1885" ref="C966"/>
    <hyperlink r:id="rId1886" ref="A967"/>
    <hyperlink r:id="rId1887" ref="A968"/>
    <hyperlink r:id="rId1888" ref="A969"/>
    <hyperlink r:id="rId1889" ref="A970"/>
    <hyperlink r:id="rId1890" ref="C970"/>
    <hyperlink r:id="rId1891" ref="A971"/>
    <hyperlink r:id="rId1892" ref="C971"/>
    <hyperlink r:id="rId1893" ref="A972"/>
    <hyperlink r:id="rId1894" ref="C972"/>
    <hyperlink r:id="rId1895" ref="A973"/>
    <hyperlink r:id="rId1896" ref="C973"/>
    <hyperlink r:id="rId1897" ref="A974"/>
    <hyperlink r:id="rId1898" ref="C974"/>
    <hyperlink r:id="rId1899" ref="A975"/>
    <hyperlink r:id="rId1900" ref="C975"/>
    <hyperlink r:id="rId1901" ref="A976"/>
    <hyperlink r:id="rId1902" ref="C976"/>
    <hyperlink r:id="rId1903" ref="A977"/>
    <hyperlink r:id="rId1904" ref="C977"/>
    <hyperlink r:id="rId1905" location=":~:text=AKQA%20at%20%232%20earns%20its%20position%20through,way%20that%20few%20agencies%20can%20credibly%20claim." ref="A978"/>
    <hyperlink r:id="rId1906" ref="C978"/>
    <hyperlink r:id="rId1907" ref="A979"/>
    <hyperlink r:id="rId1908" ref="C979"/>
    <hyperlink r:id="rId1909" ref="A980"/>
    <hyperlink r:id="rId1910" ref="C980"/>
    <hyperlink r:id="rId1911" ref="A981"/>
    <hyperlink r:id="rId1912" ref="C981"/>
    <hyperlink r:id="rId1913" ref="A982"/>
    <hyperlink r:id="rId1914" ref="C982"/>
    <hyperlink r:id="rId1915" ref="A983"/>
    <hyperlink r:id="rId1916" ref="C983"/>
    <hyperlink r:id="rId1917" ref="A984"/>
    <hyperlink r:id="rId1918" ref="C984"/>
    <hyperlink r:id="rId1919" ref="A985"/>
    <hyperlink r:id="rId1920" ref="C985"/>
    <hyperlink r:id="rId1921" ref="A986"/>
    <hyperlink r:id="rId1922" ref="C986"/>
    <hyperlink r:id="rId1923" ref="A987"/>
    <hyperlink r:id="rId1924" ref="C987"/>
    <hyperlink r:id="rId1925" location=":~:text=2%20%7C%20Position%20Digital%20%7C%20%2F%20%7C,B2B%20SaaS%20multi%2Dsurface%20AEO%20%26%20pipeline%20attribution" ref="A988"/>
    <hyperlink r:id="rId1926" ref="C988"/>
    <hyperlink r:id="rId1927" ref="A989"/>
    <hyperlink r:id="rId1928" ref="C989"/>
    <hyperlink r:id="rId1929" ref="A990"/>
    <hyperlink r:id="rId1930" ref="C990"/>
    <hyperlink r:id="rId1931" ref="A991"/>
    <hyperlink r:id="rId1932" ref="C991"/>
    <hyperlink r:id="rId1933" ref="A992"/>
    <hyperlink r:id="rId1934" ref="C992"/>
    <hyperlink r:id="rId1935" ref="A993"/>
    <hyperlink r:id="rId1936" ref="C993"/>
    <hyperlink r:id="rId1937" ref="A994"/>
    <hyperlink r:id="rId1938" ref="C994"/>
    <hyperlink r:id="rId1939" ref="A995"/>
    <hyperlink r:id="rId1940" ref="C995"/>
    <hyperlink r:id="rId1941" ref="A996"/>
    <hyperlink r:id="rId1942" ref="C996"/>
    <hyperlink r:id="rId1943" ref="A997"/>
    <hyperlink r:id="rId1944" ref="C997"/>
    <hyperlink r:id="rId1945" ref="A998"/>
    <hyperlink r:id="rId1946" ref="A999"/>
    <hyperlink r:id="rId1947" ref="C999"/>
    <hyperlink r:id="rId1948" ref="A1000"/>
    <hyperlink r:id="rId1949" ref="C1000"/>
    <hyperlink r:id="rId1950" ref="A1001"/>
    <hyperlink r:id="rId1951" ref="C1001"/>
    <hyperlink r:id="rId1952" ref="A1002"/>
    <hyperlink r:id="rId1953" ref="C1002"/>
    <hyperlink r:id="rId1954" ref="A1003"/>
    <hyperlink r:id="rId1955" ref="C1003"/>
    <hyperlink r:id="rId1956" ref="A1004"/>
    <hyperlink r:id="rId1957" ref="C1004"/>
    <hyperlink r:id="rId1958" ref="A1005"/>
    <hyperlink r:id="rId1959" ref="C1005"/>
    <hyperlink r:id="rId1960" ref="A1006"/>
    <hyperlink r:id="rId1961" ref="C1006"/>
    <hyperlink r:id="rId1962" ref="A1007"/>
    <hyperlink r:id="rId1963" ref="C1007"/>
    <hyperlink r:id="rId1964" ref="A1008"/>
    <hyperlink r:id="rId1965" ref="C1008"/>
    <hyperlink r:id="rId1966" ref="A1009"/>
    <hyperlink r:id="rId1967" ref="C1009"/>
    <hyperlink r:id="rId1968" ref="A1010"/>
    <hyperlink r:id="rId1969" ref="C1010"/>
    <hyperlink r:id="rId1970" ref="A1011"/>
    <hyperlink r:id="rId1971" ref="C1011"/>
    <hyperlink r:id="rId1972" ref="A1012"/>
    <hyperlink r:id="rId1973" ref="C1012"/>
    <hyperlink r:id="rId1974" ref="A1013"/>
    <hyperlink r:id="rId1975" ref="C1013"/>
    <hyperlink r:id="rId1976" ref="A1014"/>
    <hyperlink r:id="rId1977" ref="C1014"/>
    <hyperlink r:id="rId1978" ref="A1015"/>
    <hyperlink r:id="rId1979" ref="C1015"/>
    <hyperlink r:id="rId1980" ref="A1016"/>
    <hyperlink r:id="rId1981" ref="C1016"/>
    <hyperlink r:id="rId1982" ref="A1017"/>
    <hyperlink r:id="rId1983" ref="C1017"/>
    <hyperlink r:id="rId1984" ref="A1018"/>
    <hyperlink r:id="rId1985" ref="C1018"/>
    <hyperlink r:id="rId1986" ref="A1019"/>
    <hyperlink r:id="rId1987" ref="C1019"/>
    <hyperlink r:id="rId1988" ref="A1020"/>
    <hyperlink r:id="rId1989" ref="C1020"/>
    <hyperlink r:id="rId1990" ref="A1021"/>
    <hyperlink r:id="rId1991" ref="C1021"/>
    <hyperlink r:id="rId1992" ref="A1022"/>
    <hyperlink r:id="rId1993" ref="C1022"/>
    <hyperlink r:id="rId1994" ref="A1023"/>
    <hyperlink r:id="rId1995" ref="C1023"/>
    <hyperlink r:id="rId1996" ref="A1024"/>
    <hyperlink r:id="rId1997" ref="C1024"/>
    <hyperlink r:id="rId1998" ref="A1025"/>
    <hyperlink r:id="rId1999" ref="C1025"/>
    <hyperlink r:id="rId2000" ref="A1026"/>
    <hyperlink r:id="rId2001" ref="C1026"/>
    <hyperlink r:id="rId2002" ref="A1027"/>
    <hyperlink r:id="rId2003" ref="C1027"/>
    <hyperlink r:id="rId2004" ref="A1028"/>
    <hyperlink r:id="rId2005" ref="C1028"/>
    <hyperlink r:id="rId2006" ref="A1029"/>
    <hyperlink r:id="rId2007" ref="C1029"/>
    <hyperlink r:id="rId2008" ref="A1030"/>
    <hyperlink r:id="rId2009" ref="C1030"/>
    <hyperlink r:id="rId2010" ref="A1031"/>
    <hyperlink r:id="rId2011" ref="C1031"/>
    <hyperlink r:id="rId2012" ref="A1032"/>
    <hyperlink r:id="rId2013" ref="C1032"/>
    <hyperlink r:id="rId2014" ref="A1033"/>
    <hyperlink r:id="rId2015" ref="C1033"/>
    <hyperlink r:id="rId2016" ref="A1034"/>
    <hyperlink r:id="rId2017" ref="C1034"/>
    <hyperlink r:id="rId2018" ref="A1035"/>
    <hyperlink r:id="rId2019" ref="C1035"/>
    <hyperlink r:id="rId2020" ref="A1036"/>
    <hyperlink r:id="rId2021" ref="C1036"/>
    <hyperlink r:id="rId2022" ref="A1037"/>
    <hyperlink r:id="rId2023" ref="C1037"/>
    <hyperlink r:id="rId2024" ref="A1038"/>
    <hyperlink r:id="rId2025" ref="C1038"/>
    <hyperlink r:id="rId2026" ref="A1039"/>
    <hyperlink r:id="rId2027" ref="C1039"/>
    <hyperlink r:id="rId2028" ref="A1040"/>
    <hyperlink r:id="rId2029" ref="C1040"/>
    <hyperlink r:id="rId2030" ref="A1041"/>
    <hyperlink r:id="rId2031" ref="C1041"/>
    <hyperlink r:id="rId2032" ref="A1042"/>
    <hyperlink r:id="rId2033" ref="C1042"/>
    <hyperlink r:id="rId2034" ref="A1043"/>
    <hyperlink r:id="rId2035" ref="C1043"/>
    <hyperlink r:id="rId2036" ref="A1044"/>
    <hyperlink r:id="rId2037" ref="C1044"/>
    <hyperlink r:id="rId2038" ref="A1045"/>
    <hyperlink r:id="rId2039" ref="C1045"/>
    <hyperlink r:id="rId2040" ref="A1046"/>
    <hyperlink r:id="rId2041" ref="C1046"/>
    <hyperlink r:id="rId2042" ref="A1047"/>
    <hyperlink r:id="rId2043" ref="C1047"/>
    <hyperlink r:id="rId2044" ref="A1048"/>
    <hyperlink r:id="rId2045" ref="C1048"/>
    <hyperlink r:id="rId2046" ref="A1049"/>
    <hyperlink r:id="rId2047" ref="C1049"/>
    <hyperlink r:id="rId2048" ref="A1050"/>
    <hyperlink r:id="rId2049" ref="C1050"/>
    <hyperlink r:id="rId2050" ref="A1051"/>
    <hyperlink r:id="rId2051" ref="C1051"/>
    <hyperlink r:id="rId2052" ref="A1052"/>
    <hyperlink r:id="rId2053" ref="C1052"/>
    <hyperlink r:id="rId2054" ref="A1053"/>
    <hyperlink r:id="rId2055" ref="C1053"/>
    <hyperlink r:id="rId2056" ref="A1054"/>
    <hyperlink r:id="rId2057" ref="C1054"/>
    <hyperlink r:id="rId2058" ref="A1055"/>
    <hyperlink r:id="rId2059" ref="C1055"/>
    <hyperlink r:id="rId2060" ref="A1056"/>
    <hyperlink r:id="rId2061" ref="C1056"/>
    <hyperlink r:id="rId2062" ref="A1057"/>
    <hyperlink r:id="rId2063" ref="C1057"/>
    <hyperlink r:id="rId2064" ref="A1058"/>
    <hyperlink r:id="rId2065" ref="C1058"/>
    <hyperlink r:id="rId2066" ref="A1059"/>
    <hyperlink r:id="rId2067" ref="C1059"/>
    <hyperlink r:id="rId2068" ref="A1060"/>
    <hyperlink r:id="rId2069" ref="C1060"/>
    <hyperlink r:id="rId2070" ref="A1061"/>
    <hyperlink r:id="rId2071" ref="C1061"/>
    <hyperlink r:id="rId2072" ref="A1062"/>
    <hyperlink r:id="rId2073" ref="C1062"/>
    <hyperlink r:id="rId2074" ref="A1063"/>
    <hyperlink r:id="rId2075" ref="C1063"/>
    <hyperlink r:id="rId2076" ref="A1064"/>
    <hyperlink r:id="rId2077" ref="C1064"/>
    <hyperlink r:id="rId2078" ref="A1065"/>
    <hyperlink r:id="rId2079" ref="C1065"/>
    <hyperlink r:id="rId2080" ref="A1066"/>
    <hyperlink r:id="rId2081" ref="C1066"/>
    <hyperlink r:id="rId2082" ref="A1067"/>
    <hyperlink r:id="rId2083" ref="C1067"/>
    <hyperlink r:id="rId2084" ref="A1068"/>
    <hyperlink r:id="rId2085" ref="C1068"/>
    <hyperlink r:id="rId2086" ref="A1069"/>
    <hyperlink r:id="rId2087" ref="C1069"/>
    <hyperlink r:id="rId2088" ref="A1070"/>
    <hyperlink r:id="rId2089" ref="C1070"/>
    <hyperlink r:id="rId2090" ref="A1071"/>
    <hyperlink r:id="rId2091" ref="C1071"/>
    <hyperlink r:id="rId2092" ref="A1072"/>
    <hyperlink r:id="rId2093" ref="C1072"/>
    <hyperlink r:id="rId2094" ref="A1073"/>
    <hyperlink r:id="rId2095" ref="C1073"/>
    <hyperlink r:id="rId2096" ref="A1074"/>
    <hyperlink r:id="rId2097" ref="C1074"/>
    <hyperlink r:id="rId2098" ref="A1075"/>
    <hyperlink r:id="rId2099" ref="C1075"/>
    <hyperlink r:id="rId2100" ref="A1076"/>
    <hyperlink r:id="rId2101" ref="C1076"/>
    <hyperlink r:id="rId2102" ref="A1077"/>
    <hyperlink r:id="rId2103" ref="C1077"/>
    <hyperlink r:id="rId2104" location=":~:text=Instead%20of%20traditional%20agencies%20that%20bill%20per,marketing%20across%20all%20key%20channels%20and%20disciplines." ref="A1078"/>
    <hyperlink r:id="rId2105" ref="C1078"/>
    <hyperlink r:id="rId2106" ref="A1079"/>
    <hyperlink r:id="rId2107" ref="C1079"/>
    <hyperlink r:id="rId2108" ref="A1080"/>
    <hyperlink r:id="rId2109" ref="C1080"/>
    <hyperlink r:id="rId2110" ref="A1081"/>
    <hyperlink r:id="rId2111" ref="C1081"/>
    <hyperlink r:id="rId2112" ref="A1082"/>
    <hyperlink r:id="rId2113" ref="C1082"/>
    <hyperlink r:id="rId2114" ref="A1083"/>
    <hyperlink r:id="rId2115" ref="C1083"/>
    <hyperlink r:id="rId2116" ref="A1084"/>
    <hyperlink r:id="rId2117" ref="C1084"/>
    <hyperlink r:id="rId2118" ref="A1085"/>
    <hyperlink r:id="rId2119" ref="C1085"/>
    <hyperlink r:id="rId2120" ref="A1086"/>
    <hyperlink r:id="rId2121" ref="C1086"/>
    <hyperlink r:id="rId2122" ref="A1087"/>
    <hyperlink r:id="rId2123" ref="C1087"/>
    <hyperlink r:id="rId2124" ref="A1088"/>
    <hyperlink r:id="rId2125" ref="C1088"/>
    <hyperlink r:id="rId2126" ref="A1089"/>
    <hyperlink r:id="rId2127" ref="C1089"/>
    <hyperlink r:id="rId2128" ref="A1090"/>
    <hyperlink r:id="rId2129" ref="C1090"/>
    <hyperlink r:id="rId2130" ref="A1091"/>
    <hyperlink r:id="rId2131" ref="C1091"/>
    <hyperlink r:id="rId2132" ref="A1092"/>
    <hyperlink r:id="rId2133" ref="C1092"/>
    <hyperlink r:id="rId2134" ref="A1093"/>
    <hyperlink r:id="rId2135" ref="C1093"/>
    <hyperlink r:id="rId2136" ref="A1094"/>
    <hyperlink r:id="rId2137" ref="C1094"/>
    <hyperlink r:id="rId2138" ref="A1095"/>
    <hyperlink r:id="rId2139" ref="A1096"/>
    <hyperlink r:id="rId2140" ref="C1096"/>
    <hyperlink r:id="rId2141" ref="A1097"/>
    <hyperlink r:id="rId2142" ref="C1097"/>
    <hyperlink r:id="rId2143" ref="A1098"/>
    <hyperlink r:id="rId2144" ref="C1098"/>
    <hyperlink r:id="rId2145" ref="A1099"/>
    <hyperlink r:id="rId2146" ref="C1099"/>
    <hyperlink r:id="rId2147" ref="A1100"/>
    <hyperlink r:id="rId2148" ref="C1100"/>
    <hyperlink r:id="rId2149" location=":~:text=Right%20Side%20Up%20is%20a,house%2C%20not%20junior%20account%20managers." ref="A1101"/>
    <hyperlink r:id="rId2150" ref="C1101"/>
    <hyperlink r:id="rId2151" ref="A1102"/>
    <hyperlink r:id="rId2152" ref="C1102"/>
    <hyperlink r:id="rId2153" ref="A1103"/>
    <hyperlink r:id="rId2154" ref="C1103"/>
    <hyperlink r:id="rId2155" ref="A1104"/>
    <hyperlink r:id="rId2156" ref="C1104"/>
    <hyperlink r:id="rId2157" ref="A1105"/>
    <hyperlink r:id="rId2158" ref="C1105"/>
    <hyperlink r:id="rId2159" ref="A1106"/>
    <hyperlink r:id="rId2160" ref="C1106"/>
    <hyperlink r:id="rId2161" ref="A1107"/>
    <hyperlink r:id="rId2162" ref="C1107"/>
    <hyperlink r:id="rId2163" ref="A1108"/>
    <hyperlink r:id="rId2164" ref="C1108"/>
    <hyperlink r:id="rId2165" ref="A1109"/>
    <hyperlink r:id="rId2166" ref="C1109"/>
    <hyperlink r:id="rId2167" ref="A1110"/>
    <hyperlink r:id="rId2168" ref="C1110"/>
    <hyperlink r:id="rId2169" ref="A1111"/>
    <hyperlink r:id="rId2170" ref="C1111"/>
    <hyperlink r:id="rId2171" ref="A1112"/>
    <hyperlink r:id="rId2172" ref="C1112"/>
    <hyperlink r:id="rId2173" ref="A1113"/>
    <hyperlink r:id="rId2174" ref="C1113"/>
    <hyperlink r:id="rId2175" ref="A1114"/>
    <hyperlink r:id="rId2176" ref="C1114"/>
    <hyperlink r:id="rId2177" ref="A1115"/>
    <hyperlink r:id="rId2178" ref="C1115"/>
    <hyperlink r:id="rId2179" ref="A1116"/>
    <hyperlink r:id="rId2180" ref="C1116"/>
    <hyperlink r:id="rId2181" ref="A1117"/>
    <hyperlink r:id="rId2182" ref="C1117"/>
    <hyperlink r:id="rId2183" ref="A1118"/>
    <hyperlink r:id="rId2184" ref="C1118"/>
    <hyperlink r:id="rId2185" ref="A1119"/>
    <hyperlink r:id="rId2186" ref="C1119"/>
    <hyperlink r:id="rId2187" ref="A1120"/>
    <hyperlink r:id="rId2188" ref="C1120"/>
    <hyperlink r:id="rId2189" ref="A1121"/>
    <hyperlink r:id="rId2190" ref="C1121"/>
    <hyperlink r:id="rId2191" location=":~:text=They%20operate%20in%2015%2B%20languages,around%20content%20and%20authority%20signals." ref="A1122"/>
    <hyperlink r:id="rId2192" ref="C1122"/>
    <hyperlink r:id="rId2193" ref="A1123"/>
    <hyperlink r:id="rId2194" ref="C1123"/>
    <hyperlink r:id="rId2195" ref="A1124"/>
    <hyperlink r:id="rId2196" ref="C1124"/>
    <hyperlink r:id="rId2197" ref="A1125"/>
    <hyperlink r:id="rId2198" ref="C1125"/>
    <hyperlink r:id="rId2199" ref="A1126"/>
    <hyperlink r:id="rId2200" ref="C1126"/>
    <hyperlink r:id="rId2201" ref="A1127"/>
    <hyperlink r:id="rId2202" ref="C1127"/>
    <hyperlink r:id="rId2203" ref="A1128"/>
    <hyperlink r:id="rId2204" ref="C1128"/>
    <hyperlink r:id="rId2205" ref="A1129"/>
    <hyperlink r:id="rId2206" ref="A1130"/>
    <hyperlink r:id="rId2207" ref="C1130"/>
    <hyperlink r:id="rId2208" ref="A1131"/>
    <hyperlink r:id="rId2209" ref="C1131"/>
    <hyperlink r:id="rId2210" location=":~:text=Sociallyin%20is%20a%20creative%2Dled%20social%20media%20marketing,strong%20blend%20of%20creativity%20with%20data%2Ddriven%20strategy." ref="A1132"/>
    <hyperlink r:id="rId2211" ref="C1132"/>
    <hyperlink r:id="rId2212" ref="A1133"/>
    <hyperlink r:id="rId2213" ref="C1133"/>
    <hyperlink r:id="rId2214" ref="A1134"/>
    <hyperlink r:id="rId2215" ref="C1134"/>
    <hyperlink r:id="rId2216" ref="A1135"/>
    <hyperlink r:id="rId2217" ref="C1135"/>
    <hyperlink r:id="rId2218" ref="A1136"/>
    <hyperlink r:id="rId2219" ref="C1136"/>
    <hyperlink r:id="rId2220" ref="A1137"/>
    <hyperlink r:id="rId2221" ref="C1137"/>
    <hyperlink r:id="rId2222" ref="A1138"/>
    <hyperlink r:id="rId2223" ref="C1138"/>
    <hyperlink r:id="rId2224" ref="A1139"/>
    <hyperlink r:id="rId2225" ref="C1139"/>
    <hyperlink r:id="rId2226" ref="A1140"/>
    <hyperlink r:id="rId2227" ref="C1140"/>
    <hyperlink r:id="rId2228" ref="A1141"/>
    <hyperlink r:id="rId2229" ref="C1141"/>
    <hyperlink r:id="rId2230" ref="A1142"/>
    <hyperlink r:id="rId2231" ref="C1142"/>
    <hyperlink r:id="rId2232" ref="A1143"/>
    <hyperlink r:id="rId2233" ref="C1143"/>
    <hyperlink r:id="rId2234" location=":~:text=%238.-,HawkSEM,clients%20averaging%204.5x%20ROI." ref="A1144"/>
    <hyperlink r:id="rId2235" ref="C1144"/>
    <hyperlink r:id="rId2236" ref="A1145"/>
    <hyperlink r:id="rId2237" ref="C1145"/>
    <hyperlink r:id="rId2238" ref="A1146"/>
    <hyperlink r:id="rId2239" ref="C1146"/>
    <hyperlink r:id="rId2240" ref="A1147"/>
    <hyperlink r:id="rId2241" ref="C1147"/>
    <hyperlink r:id="rId2242" ref="A1148"/>
    <hyperlink r:id="rId2243" ref="C1148"/>
    <hyperlink r:id="rId2244" ref="A1149"/>
    <hyperlink r:id="rId2245" ref="C1149"/>
    <hyperlink r:id="rId2246" ref="A1150"/>
    <hyperlink r:id="rId2247" ref="C1150"/>
    <hyperlink r:id="rId2248" ref="A1151"/>
    <hyperlink r:id="rId2249" ref="C1151"/>
    <hyperlink r:id="rId2250" ref="A1152"/>
    <hyperlink r:id="rId2251" ref="C1152"/>
    <hyperlink r:id="rId2252" ref="A1153"/>
    <hyperlink r:id="rId2253" ref="C1153"/>
    <hyperlink r:id="rId2254" ref="A1154"/>
    <hyperlink r:id="rId2255" ref="C1154"/>
    <hyperlink r:id="rId2256" ref="A1155"/>
    <hyperlink r:id="rId2257" ref="C1155"/>
    <hyperlink r:id="rId2258" ref="A1156"/>
    <hyperlink r:id="rId2259" ref="C1156"/>
    <hyperlink r:id="rId2260" ref="A1157"/>
    <hyperlink r:id="rId2261" ref="C1157"/>
    <hyperlink r:id="rId2262" ref="A1158"/>
    <hyperlink r:id="rId2263" ref="C1158"/>
    <hyperlink r:id="rId2264" ref="A1159"/>
    <hyperlink r:id="rId2265" ref="C1159"/>
    <hyperlink r:id="rId2266" ref="A1160"/>
    <hyperlink r:id="rId2267" ref="C1160"/>
    <hyperlink r:id="rId2268" ref="A1161"/>
    <hyperlink r:id="rId2269" ref="C1161"/>
    <hyperlink r:id="rId2270" ref="A1162"/>
    <hyperlink r:id="rId2271" ref="C1162"/>
    <hyperlink r:id="rId2272" ref="A1163"/>
    <hyperlink r:id="rId2273" ref="C1163"/>
    <hyperlink r:id="rId2274" ref="A1164"/>
    <hyperlink r:id="rId2275" ref="C1164"/>
    <hyperlink r:id="rId2276" ref="A1165"/>
    <hyperlink r:id="rId2277" ref="C1165"/>
    <hyperlink r:id="rId2278" ref="A1166"/>
    <hyperlink r:id="rId2279" ref="C1166"/>
    <hyperlink r:id="rId2280" ref="A1167"/>
    <hyperlink r:id="rId2281" ref="C1167"/>
    <hyperlink r:id="rId2282" ref="A1168"/>
    <hyperlink r:id="rId2283" ref="C1168"/>
    <hyperlink r:id="rId2284" ref="A1169"/>
    <hyperlink r:id="rId2285" ref="C1169"/>
    <hyperlink r:id="rId2286" ref="A1170"/>
    <hyperlink r:id="rId2287" ref="C1170"/>
    <hyperlink r:id="rId2288" ref="A1171"/>
    <hyperlink r:id="rId2289" ref="C1171"/>
    <hyperlink r:id="rId2290" ref="A1172"/>
    <hyperlink r:id="rId2291" ref="C1172"/>
    <hyperlink r:id="rId2292" ref="A1173"/>
    <hyperlink r:id="rId2293" ref="C1173"/>
    <hyperlink r:id="rId2294" ref="A1174"/>
    <hyperlink r:id="rId2295" ref="C1174"/>
    <hyperlink r:id="rId2296" ref="A1175"/>
    <hyperlink r:id="rId2297" ref="C1175"/>
    <hyperlink r:id="rId2298" ref="A1176"/>
    <hyperlink r:id="rId2299" ref="C1176"/>
    <hyperlink r:id="rId2300" ref="A1177"/>
    <hyperlink r:id="rId2301" ref="C1177"/>
    <hyperlink r:id="rId2302" ref="A1178"/>
    <hyperlink r:id="rId2303" ref="C1178"/>
    <hyperlink r:id="rId2304" ref="A1179"/>
    <hyperlink r:id="rId2305" ref="C1179"/>
    <hyperlink r:id="rId2306" ref="A1180"/>
    <hyperlink r:id="rId2307" ref="C1180"/>
  </hyperlinks>
  <drawing r:id="rId230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All'!A2:A1000)),""youtube"")
  ),
  """"
)"),"https://www.youtube.com/watch?v=uAp_SqhuvFg")</f>
        <v>https://www.youtube.com/watch?v=uAp_SqhuvFg</v>
      </c>
      <c r="B2" s="11" t="str">
        <f>IFERROR(__xludf.DUMMYFUNCTION("""COMPUTED_VALUE"""),"Top GEO Experts to Follow in 2026")</f>
        <v>Top GEO Experts to Follow in 2026</v>
      </c>
      <c r="C2" s="10" t="str">
        <f>IFERROR(__xludf.DUMMYFUNCTION("""COMPUTED_VALUE"""),"youtube.com")</f>
        <v>youtube.com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c r="I2" s="11">
        <f>IFERROR(__xludf.DUMMYFUNCTION("""COMPUTED_VALUE"""),5.0)</f>
        <v>5</v>
      </c>
      <c r="J2" s="11">
        <f>IFERROR(__xludf.DUMMYFUNCTION("""COMPUTED_VALUE"""),0.0)</f>
        <v>0</v>
      </c>
      <c r="K2" s="11">
        <f>IFERROR(__xludf.DUMMYFUNCTION("""COMPUTED_VALUE"""),1.0)</f>
        <v>1</v>
      </c>
    </row>
    <row r="3" ht="15.75" customHeight="1">
      <c r="A3" s="10" t="str">
        <f>IFERROR(__xludf.DUMMYFUNCTION("""COMPUTED_VALUE"""),"https://www.youtube.com/watch?v=wDQs41e1F_Y&amp;t=144")</f>
        <v>https://www.youtube.com/watch?v=wDQs41e1F_Y&amp;t=144</v>
      </c>
      <c r="B3" s="11" t="str">
        <f>IFERROR(__xludf.DUMMYFUNCTION("""COMPUTED_VALUE"""),"GEO + SEO = Your Agency's Best Option")</f>
        <v>GEO + SEO = Your Agency's Best Option</v>
      </c>
      <c r="C3" s="10" t="str">
        <f>IFERROR(__xludf.DUMMYFUNCTION("""COMPUTED_VALUE"""),"youtube.com")</f>
        <v>youtube.com</v>
      </c>
      <c r="D3" s="11" t="str">
        <f>IFERROR(__xludf.DUMMYFUNCTION("""COMPUTED_VALUE"""),"HOW_TO_GUIDE")</f>
        <v>HOW_TO_GUIDE</v>
      </c>
      <c r="E3" s="11" t="str">
        <f>IFERROR(__xludf.DUMMYFUNCTION("""COMPUTED_VALUE"""),"UGC")</f>
        <v>UGC</v>
      </c>
      <c r="F3" s="11" t="str">
        <f>IFERROR(__xludf.DUMMYFUNCTION("""COMPUTED_VALUE"""),"How-To Guide")</f>
        <v>How-To Guide</v>
      </c>
      <c r="G3" s="11" t="b">
        <f>IFERROR(__xludf.DUMMYFUNCTION("""COMPUTED_VALUE"""),FALSE)</f>
        <v>0</v>
      </c>
      <c r="H3" s="11" t="str">
        <f>IFERROR(__xludf.DUMMYFUNCTION("""COMPUTED_VALUE"""),"Huge")</f>
        <v>Huge</v>
      </c>
      <c r="I3" s="11">
        <f>IFERROR(__xludf.DUMMYFUNCTION("""COMPUTED_VALUE"""),5.0)</f>
        <v>5</v>
      </c>
      <c r="J3" s="11">
        <f>IFERROR(__xludf.DUMMYFUNCTION("""COMPUTED_VALUE"""),0.0)</f>
        <v>0</v>
      </c>
      <c r="K3" s="11">
        <f>IFERROR(__xludf.DUMMYFUNCTION("""COMPUTED_VALUE"""),1.4)</f>
        <v>1.4</v>
      </c>
    </row>
    <row r="4" ht="15.75" customHeight="1">
      <c r="A4" s="10" t="str">
        <f>IFERROR(__xludf.DUMMYFUNCTION("""COMPUTED_VALUE"""),"https://www.youtube.com/watch?v=Zyd_x8Z9J7I&amp;t=92")</f>
        <v>https://www.youtube.com/watch?v=Zyd_x8Z9J7I&amp;t=92</v>
      </c>
      <c r="B4" s="11" t="str">
        <f>IFERROR(__xludf.DUMMYFUNCTION("""COMPUTED_VALUE"""),"Best Digital Performance Marketing Companies")</f>
        <v>Best Digital Performance Marketing Companies</v>
      </c>
      <c r="C4" s="10" t="str">
        <f>IFERROR(__xludf.DUMMYFUNCTION("""COMPUTED_VALUE"""),"youtube.com")</f>
        <v>youtube.com</v>
      </c>
      <c r="D4" s="11" t="str">
        <f>IFERROR(__xludf.DUMMYFUNCTION("""COMPUTED_VALUE"""),"LISTICLE")</f>
        <v>LISTICLE</v>
      </c>
      <c r="E4" s="11" t="str">
        <f>IFERROR(__xludf.DUMMYFUNCTION("""COMPUTED_VALUE"""),"UGC")</f>
        <v>UGC</v>
      </c>
      <c r="F4" s="11" t="str">
        <f>IFERROR(__xludf.DUMMYFUNCTION("""COMPUTED_VALUE"""),"Listicle")</f>
        <v>Listicle</v>
      </c>
      <c r="G4" s="11" t="b">
        <f>IFERROR(__xludf.DUMMYFUNCTION("""COMPUTED_VALUE"""),FALSE)</f>
        <v>0</v>
      </c>
      <c r="H4" s="11" t="str">
        <f>IFERROR(__xludf.DUMMYFUNCTION("""COMPUTED_VALUE"""),"Tinuiti, Wpromote, Single Grain, Right Side Up")</f>
        <v>Tinuiti, Wpromote, Single Grain, Right Side Up</v>
      </c>
      <c r="I4" s="11">
        <f>IFERROR(__xludf.DUMMYFUNCTION("""COMPUTED_VALUE"""),4.0)</f>
        <v>4</v>
      </c>
      <c r="J4" s="11">
        <f>IFERROR(__xludf.DUMMYFUNCTION("""COMPUTED_VALUE"""),0.0)</f>
        <v>0</v>
      </c>
      <c r="K4" s="11">
        <f>IFERROR(__xludf.DUMMYFUNCTION("""COMPUTED_VALUE"""),1.0)</f>
        <v>1</v>
      </c>
    </row>
    <row r="5" ht="15.75" customHeight="1">
      <c r="A5" s="10" t="str">
        <f>IFERROR(__xludf.DUMMYFUNCTION("""COMPUTED_VALUE"""),"https://growwithvysta.com/blog/best-youtube-ads-agencies-in-the-us-2026/")</f>
        <v>https://growwithvysta.com/blog/best-youtube-ads-agencies-in-the-us-2026/</v>
      </c>
      <c r="B5" s="11" t="str">
        <f>IFERROR(__xludf.DUMMYFUNCTION("""COMPUTED_VALUE"""),"Best YouTube Ads Agencies in the US (2026)")</f>
        <v>Best YouTube Ads Agencies in the US (2026)</v>
      </c>
      <c r="C5" s="10" t="str">
        <f>IFERROR(__xludf.DUMMYFUNCTION("""COMPUTED_VALUE"""),"growwithvysta.com")</f>
        <v>growwithvysta.com</v>
      </c>
      <c r="D5" s="11" t="str">
        <f>IFERROR(__xludf.DUMMYFUNCTION("""COMPUTED_VALUE"""),"LISTICLE")</f>
        <v>LISTICLE</v>
      </c>
      <c r="E5" s="11" t="str">
        <f>IFERROR(__xludf.DUMMYFUNCTION("""COMPUTED_VALUE"""),"CORPORATE")</f>
        <v>CORPORATE</v>
      </c>
      <c r="F5" s="11" t="str">
        <f>IFERROR(__xludf.DUMMYFUNCTION("""COMPUTED_VALUE"""),"Listicle")</f>
        <v>Listicle</v>
      </c>
      <c r="G5" s="11" t="b">
        <f>IFERROR(__xludf.DUMMYFUNCTION("""COMPUTED_VALUE"""),FALSE)</f>
        <v>0</v>
      </c>
      <c r="H5" s="11" t="str">
        <f>IFERROR(__xludf.DUMMYFUNCTION("""COMPUTED_VALUE"""),"Disruptive Advertising, KlientBoost, Tinuiti, Common Thread Collective")</f>
        <v>Disruptive Advertising, KlientBoost, Tinuiti, Common Thread Collective</v>
      </c>
      <c r="I5" s="11">
        <f>IFERROR(__xludf.DUMMYFUNCTION("""COMPUTED_VALUE"""),3.0)</f>
        <v>3</v>
      </c>
      <c r="J5" s="11">
        <f>IFERROR(__xludf.DUMMYFUNCTION("""COMPUTED_VALUE"""),0.0)</f>
        <v>0</v>
      </c>
      <c r="K5" s="11">
        <f>IFERROR(__xludf.DUMMYFUNCTION("""COMPUTED_VALUE"""),3.0)</f>
        <v>3</v>
      </c>
    </row>
    <row r="6" ht="15.75" customHeight="1">
      <c r="A6" s="10" t="str">
        <f>IFERROR(__xludf.DUMMYFUNCTION("""COMPUTED_VALUE"""),"https://www.youtube.com/watch?v=YFmHk-nNoNg&amp;t=46")</f>
        <v>https://www.youtube.com/watch?v=YFmHk-nNoNg&amp;t=46</v>
      </c>
      <c r="B6" s="11" t="str">
        <f>IFERROR(__xludf.DUMMYFUNCTION("""COMPUTED_VALUE"""),"Top 6 AI-Powered B2B SaaS Marketing Agencies in the US (2026 Real Ranking)")</f>
        <v>Top 6 AI-Powered B2B SaaS Marketing Agencies in the US (2026 Real Ranking)</v>
      </c>
      <c r="C6" s="10" t="str">
        <f>IFERROR(__xludf.DUMMYFUNCTION("""COMPUTED_VALUE"""),"youtube.com")</f>
        <v>youtube.com</v>
      </c>
      <c r="D6" s="11" t="str">
        <f>IFERROR(__xludf.DUMMYFUNCTION("""COMPUTED_VALUE"""),"LISTICLE")</f>
        <v>LISTICLE</v>
      </c>
      <c r="E6" s="11" t="str">
        <f>IFERROR(__xludf.DUMMYFUNCTION("""COMPUTED_VALUE"""),"UGC")</f>
        <v>UGC</v>
      </c>
      <c r="F6" s="11" t="str">
        <f>IFERROR(__xludf.DUMMYFUNCTION("""COMPUTED_VALUE"""),"Listicle")</f>
        <v>Listicle</v>
      </c>
      <c r="G6" s="11" t="b">
        <f>IFERROR(__xludf.DUMMYFUNCTION("""COMPUTED_VALUE"""),FALSE)</f>
        <v>0</v>
      </c>
      <c r="H6" s="11" t="str">
        <f>IFERROR(__xludf.DUMMYFUNCTION("""COMPUTED_VALUE"""),"Clutch, GrowthSpree, Refine Labs, NoGood, Single Grain, AdVenture Media")</f>
        <v>Clutch, GrowthSpree, Refine Labs, NoGood, Single Grain, AdVenture Media</v>
      </c>
      <c r="I6" s="11">
        <f>IFERROR(__xludf.DUMMYFUNCTION("""COMPUTED_VALUE"""),3.0)</f>
        <v>3</v>
      </c>
      <c r="J6" s="11">
        <f>IFERROR(__xludf.DUMMYFUNCTION("""COMPUTED_VALUE"""),0.0)</f>
        <v>0</v>
      </c>
      <c r="K6" s="11">
        <f>IFERROR(__xludf.DUMMYFUNCTION("""COMPUTED_VALUE"""),1.33)</f>
        <v>1.33</v>
      </c>
    </row>
    <row r="7" ht="15.75" customHeight="1">
      <c r="A7" s="10" t="str">
        <f>IFERROR(__xludf.DUMMYFUNCTION("""COMPUTED_VALUE"""),"https://www.youtube.com/watch?v=fdPFLXFJlwo&amp;t=30")</f>
        <v>https://www.youtube.com/watch?v=fdPFLXFJlwo&amp;t=30</v>
      </c>
      <c r="B7" s="11" t="str">
        <f>IFERROR(__xludf.DUMMYFUNCTION("""COMPUTED_VALUE"""),"6 Best Revenue Attribution Agencies for B2B SaaS in 2026")</f>
        <v>6 Best Revenue Attribution Agencies for B2B SaaS in 2026</v>
      </c>
      <c r="C7" s="10" t="str">
        <f>IFERROR(__xludf.DUMMYFUNCTION("""COMPUTED_VALUE"""),"youtube.com")</f>
        <v>youtube.com</v>
      </c>
      <c r="D7" s="11" t="str">
        <f>IFERROR(__xludf.DUMMYFUNCTION("""COMPUTED_VALUE"""),"LISTICLE")</f>
        <v>LISTICLE</v>
      </c>
      <c r="E7" s="11" t="str">
        <f>IFERROR(__xludf.DUMMYFUNCTION("""COMPUTED_VALUE"""),"UGC")</f>
        <v>UGC</v>
      </c>
      <c r="F7" s="11" t="str">
        <f>IFERROR(__xludf.DUMMYFUNCTION("""COMPUTED_VALUE"""),"Listicle")</f>
        <v>Listicle</v>
      </c>
      <c r="G7" s="11" t="b">
        <f>IFERROR(__xludf.DUMMYFUNCTION("""COMPUTED_VALUE"""),FALSE)</f>
        <v>0</v>
      </c>
      <c r="H7" s="11" t="str">
        <f>IFERROR(__xludf.DUMMYFUNCTION("""COMPUTED_VALUE"""),"Clutch, GrowthSpree, Refine Labs, NoGood, Single Grain, Disruptive Advertising, Wpromote")</f>
        <v>Clutch, GrowthSpree, Refine Labs, NoGood, Single Grain, Disruptive Advertising, Wpromote</v>
      </c>
      <c r="I7" s="11">
        <f>IFERROR(__xludf.DUMMYFUNCTION("""COMPUTED_VALUE"""),3.0)</f>
        <v>3</v>
      </c>
      <c r="J7" s="11">
        <f>IFERROR(__xludf.DUMMYFUNCTION("""COMPUTED_VALUE"""),0.0)</f>
        <v>0</v>
      </c>
      <c r="K7" s="11">
        <f>IFERROR(__xludf.DUMMYFUNCTION("""COMPUTED_VALUE"""),1.33)</f>
        <v>1.33</v>
      </c>
    </row>
    <row r="8" ht="15.75" customHeight="1">
      <c r="A8" s="10" t="str">
        <f>IFERROR(__xludf.DUMMYFUNCTION("""COMPUTED_VALUE"""),"https://www.youtube.com/watch?v=jA6Bn5bI298&amp;t=242")</f>
        <v>https://www.youtube.com/watch?v=jA6Bn5bI298&amp;t=242</v>
      </c>
      <c r="B8" s="11" t="str">
        <f>IFERROR(__xludf.DUMMYFUNCTION("""COMPUTED_VALUE"""),"Best Performance Marketing Agency? What Actually Matters")</f>
        <v>Best Performance Marketing Agency? What Actually Matters</v>
      </c>
      <c r="C8" s="10" t="str">
        <f>IFERROR(__xludf.DUMMYFUNCTION("""COMPUTED_VALUE"""),"youtube.com")</f>
        <v>youtube.com</v>
      </c>
      <c r="D8" s="11" t="str">
        <f>IFERROR(__xludf.DUMMYFUNCTION("""COMPUTED_VALUE"""),"COMPARISON")</f>
        <v>COMPARISON</v>
      </c>
      <c r="E8" s="11" t="str">
        <f>IFERROR(__xludf.DUMMYFUNCTION("""COMPUTED_VALUE"""),"UGC")</f>
        <v>UGC</v>
      </c>
      <c r="F8" s="11" t="str">
        <f>IFERROR(__xludf.DUMMYFUNCTION("""COMPUTED_VALUE"""),"Comparison")</f>
        <v>Comparison</v>
      </c>
      <c r="G8" s="11" t="b">
        <f>IFERROR(__xludf.DUMMYFUNCTION("""COMPUTED_VALUE"""),FALSE)</f>
        <v>0</v>
      </c>
      <c r="H8" s="11" t="str">
        <f>IFERROR(__xludf.DUMMYFUNCTION("""COMPUTED_VALUE"""),"Right Side Up")</f>
        <v>Right Side Up</v>
      </c>
      <c r="I8" s="11">
        <f>IFERROR(__xludf.DUMMYFUNCTION("""COMPUTED_VALUE"""),3.0)</f>
        <v>3</v>
      </c>
      <c r="J8" s="11">
        <f>IFERROR(__xludf.DUMMYFUNCTION("""COMPUTED_VALUE"""),0.0)</f>
        <v>0</v>
      </c>
      <c r="K8" s="11">
        <f>IFERROR(__xludf.DUMMYFUNCTION("""COMPUTED_VALUE"""),1.0)</f>
        <v>1</v>
      </c>
    </row>
    <row r="9" ht="15.75" customHeight="1">
      <c r="A9" s="10" t="str">
        <f>IFERROR(__xludf.DUMMYFUNCTION("""COMPUTED_VALUE"""),"https://www.youtube.com/watch?v=OR58Odpst7Q")</f>
        <v>https://www.youtube.com/watch?v=OR58Odpst7Q</v>
      </c>
      <c r="B9" s="11" t="str">
        <f>IFERROR(__xludf.DUMMYFUNCTION("""COMPUTED_VALUE"""),"Top 12 Digital Marketing Agencies to Hire in 2026")</f>
        <v>Top 12 Digital Marketing Agencies to Hire in 2026</v>
      </c>
      <c r="C9" s="10" t="str">
        <f>IFERROR(__xludf.DUMMYFUNCTION("""COMPUTED_VALUE"""),"youtube.com")</f>
        <v>youtube.com</v>
      </c>
      <c r="D9" s="11" t="str">
        <f>IFERROR(__xludf.DUMMYFUNCTION("""COMPUTED_VALUE"""),"LISTICLE")</f>
        <v>LISTICLE</v>
      </c>
      <c r="E9" s="11" t="str">
        <f>IFERROR(__xludf.DUMMYFUNCTION("""COMPUTED_VALUE"""),"UGC")</f>
        <v>UGC</v>
      </c>
      <c r="F9" s="11" t="str">
        <f>IFERROR(__xludf.DUMMYFUNCTION("""COMPUTED_VALUE"""),"Listicle")</f>
        <v>Listicle</v>
      </c>
      <c r="G9" s="11" t="b">
        <f>IFERROR(__xludf.DUMMYFUNCTION("""COMPUTED_VALUE"""),FALSE)</f>
        <v>0</v>
      </c>
      <c r="H9" s="11" t="str">
        <f>IFERROR(__xludf.DUMMYFUNCTION("""COMPUTED_VALUE"""),"Disruptive Advertising, Amsive, Sociallyin")</f>
        <v>Disruptive Advertising, Amsive, Sociallyin</v>
      </c>
      <c r="I9" s="11">
        <f>IFERROR(__xludf.DUMMYFUNCTION("""COMPUTED_VALUE"""),2.0)</f>
        <v>2</v>
      </c>
      <c r="J9" s="11">
        <f>IFERROR(__xludf.DUMMYFUNCTION("""COMPUTED_VALUE"""),0.0)</f>
        <v>0</v>
      </c>
      <c r="K9" s="11">
        <f>IFERROR(__xludf.DUMMYFUNCTION("""COMPUTED_VALUE"""),1.0)</f>
        <v>1</v>
      </c>
    </row>
    <row r="10" ht="15.75" customHeight="1">
      <c r="A10" s="10" t="str">
        <f>IFERROR(__xludf.DUMMYFUNCTION("""COMPUTED_VALUE"""),"https://www.youtube.com/watch?v=dtlZTULGX4A")</f>
        <v>https://www.youtube.com/watch?v=dtlZTULGX4A</v>
      </c>
      <c r="B10" s="11" t="str">
        <f>IFERROR(__xludf.DUMMYFUNCTION("""COMPUTED_VALUE"""),"GEO Keyword Research and Tracking AI Search Results For Your Main Keywords")</f>
        <v>GEO Keyword Research and Tracking AI Search Results For Your Main Keywords</v>
      </c>
      <c r="C10" s="10" t="str">
        <f>IFERROR(__xludf.DUMMYFUNCTION("""COMPUTED_VALUE"""),"youtube.com")</f>
        <v>youtube.com</v>
      </c>
      <c r="D10" s="11" t="str">
        <f>IFERROR(__xludf.DUMMYFUNCTION("""COMPUTED_VALUE"""),"HOW_TO_GUIDE")</f>
        <v>HOW_TO_GUIDE</v>
      </c>
      <c r="E10" s="11" t="str">
        <f>IFERROR(__xludf.DUMMYFUNCTION("""COMPUTED_VALUE"""),"UGC")</f>
        <v>UGC</v>
      </c>
      <c r="F10" s="11" t="str">
        <f>IFERROR(__xludf.DUMMYFUNCTION("""COMPUTED_VALUE"""),"How-To Guide")</f>
        <v>How-To Guide</v>
      </c>
      <c r="G10" s="11" t="b">
        <f>IFERROR(__xludf.DUMMYFUNCTION("""COMPUTED_VALUE"""),FALSE)</f>
        <v>0</v>
      </c>
      <c r="H10" s="11" t="str">
        <f>IFERROR(__xludf.DUMMYFUNCTION("""COMPUTED_VALUE"""),"Huge")</f>
        <v>Huge</v>
      </c>
      <c r="I10" s="11">
        <f>IFERROR(__xludf.DUMMYFUNCTION("""COMPUTED_VALUE"""),2.0)</f>
        <v>2</v>
      </c>
      <c r="J10" s="11">
        <f>IFERROR(__xludf.DUMMYFUNCTION("""COMPUTED_VALUE"""),0.0)</f>
        <v>0</v>
      </c>
      <c r="K10" s="11">
        <f>IFERROR(__xludf.DUMMYFUNCTION("""COMPUTED_VALUE"""),1.0)</f>
        <v>1</v>
      </c>
    </row>
    <row r="11" ht="15.75" customHeight="1">
      <c r="A11" s="10" t="str">
        <f>IFERROR(__xludf.DUMMYFUNCTION("""COMPUTED_VALUE"""),"https://www.youtube.com/shorts/-1J3sczOLNs")</f>
        <v>https://www.youtube.com/shorts/-1J3sczOLNs</v>
      </c>
      <c r="B11" s="11" t="str">
        <f>IFERROR(__xludf.DUMMYFUNCTION("""COMPUTED_VALUE"""),"5 Best Answer Engine Optimization (AEO) Agencies in 2026")</f>
        <v>5 Best Answer Engine Optimization (AEO) Agencies in 2026</v>
      </c>
      <c r="C11" s="10" t="str">
        <f>IFERROR(__xludf.DUMMYFUNCTION("""COMPUTED_VALUE"""),"youtube.com")</f>
        <v>youtube.com</v>
      </c>
      <c r="D11" s="11" t="str">
        <f>IFERROR(__xludf.DUMMYFUNCTION("""COMPUTED_VALUE"""),"LISTICLE")</f>
        <v>LISTICLE</v>
      </c>
      <c r="E11" s="11" t="str">
        <f>IFERROR(__xludf.DUMMYFUNCTION("""COMPUTED_VALUE"""),"UGC")</f>
        <v>UGC</v>
      </c>
      <c r="F11" s="11" t="str">
        <f>IFERROR(__xludf.DUMMYFUNCTION("""COMPUTED_VALUE"""),"Listicle")</f>
        <v>Listicle</v>
      </c>
      <c r="G11" s="11" t="b">
        <f>IFERROR(__xludf.DUMMYFUNCTION("""COMPUTED_VALUE"""),FALSE)</f>
        <v>0</v>
      </c>
      <c r="H11" s="11" t="str">
        <f>IFERROR(__xludf.DUMMYFUNCTION("""COMPUTED_VALUE"""),"Single Grain, First Page Sage, Siege Media")</f>
        <v>Single Grain, First Page Sage, Siege Media</v>
      </c>
      <c r="I11" s="11">
        <f>IFERROR(__xludf.DUMMYFUNCTION("""COMPUTED_VALUE"""),1.0)</f>
        <v>1</v>
      </c>
      <c r="J11" s="11">
        <f>IFERROR(__xludf.DUMMYFUNCTION("""COMPUTED_VALUE"""),0.0)</f>
        <v>0</v>
      </c>
      <c r="K11" s="11">
        <f>IFERROR(__xludf.DUMMYFUNCTION("""COMPUTED_VALUE"""),1.0)</f>
        <v>1</v>
      </c>
    </row>
    <row r="12" ht="15.75" customHeight="1">
      <c r="A12" s="10" t="str">
        <f>IFERROR(__xludf.DUMMYFUNCTION("""COMPUTED_VALUE"""),"https://www.youtube.com/watch?v=3KVWXIXXyJo")</f>
        <v>https://www.youtube.com/watch?v=3KVWXIXXyJo</v>
      </c>
      <c r="B12" s="11" t="str">
        <f>IFERROR(__xludf.DUMMYFUNCTION("""COMPUTED_VALUE"""),"What Are the Best Generative Engine Optimization (GEO) Agencies in Moreno Valley?")</f>
        <v>What Are the Best Generative Engine Optimization (GEO) Agencies in Moreno Valley?</v>
      </c>
      <c r="C12" s="10" t="str">
        <f>IFERROR(__xludf.DUMMYFUNCTION("""COMPUTED_VALUE"""),"youtube.com")</f>
        <v>youtube.com</v>
      </c>
      <c r="D12" s="11" t="str">
        <f>IFERROR(__xludf.DUMMYFUNCTION("""COMPUTED_VALUE"""),"LISTICLE")</f>
        <v>LISTICLE</v>
      </c>
      <c r="E12" s="11" t="str">
        <f>IFERROR(__xludf.DUMMYFUNCTION("""COMPUTED_VALUE"""),"UGC")</f>
        <v>UGC</v>
      </c>
      <c r="F12" s="11" t="str">
        <f>IFERROR(__xludf.DUMMYFUNCTION("""COMPUTED_VALUE"""),"Listicle")</f>
        <v>Listicle</v>
      </c>
      <c r="G12" s="11" t="b">
        <f>IFERROR(__xludf.DUMMYFUNCTION("""COMPUTED_VALUE"""),FALSE)</f>
        <v>0</v>
      </c>
      <c r="H12" s="11"/>
      <c r="I12" s="11">
        <f>IFERROR(__xludf.DUMMYFUNCTION("""COMPUTED_VALUE"""),1.0)</f>
        <v>1</v>
      </c>
      <c r="J12" s="11">
        <f>IFERROR(__xludf.DUMMYFUNCTION("""COMPUTED_VALUE"""),0.0)</f>
        <v>0</v>
      </c>
      <c r="K12" s="11">
        <f>IFERROR(__xludf.DUMMYFUNCTION("""COMPUTED_VALUE"""),1.0)</f>
        <v>1</v>
      </c>
    </row>
    <row r="13" ht="15.75" customHeight="1">
      <c r="A13" s="10" t="str">
        <f>IFERROR(__xludf.DUMMYFUNCTION("""COMPUTED_VALUE"""),"https://www.youtube.com/watch?v=AF_p3QnDcNE&amp;t=358")</f>
        <v>https://www.youtube.com/watch?v=AF_p3QnDcNE&amp;t=358</v>
      </c>
      <c r="B13" s="11" t="str">
        <f>IFERROR(__xludf.DUMMYFUNCTION("""COMPUTED_VALUE"""),"5 AI Search Signals Winning Rankings in 2026")</f>
        <v>5 AI Search Signals Winning Rankings in 2026</v>
      </c>
      <c r="C13" s="10" t="str">
        <f>IFERROR(__xludf.DUMMYFUNCTION("""COMPUTED_VALUE"""),"youtube.com")</f>
        <v>youtube.com</v>
      </c>
      <c r="D13" s="11" t="str">
        <f>IFERROR(__xludf.DUMMYFUNCTION("""COMPUTED_VALUE"""),"LISTICLE")</f>
        <v>LISTICLE</v>
      </c>
      <c r="E13" s="11" t="str">
        <f>IFERROR(__xludf.DUMMYFUNCTION("""COMPUTED_VALUE"""),"UGC")</f>
        <v>UGC</v>
      </c>
      <c r="F13" s="11" t="str">
        <f>IFERROR(__xludf.DUMMYFUNCTION("""COMPUTED_VALUE"""),"Listicle")</f>
        <v>Listicle</v>
      </c>
      <c r="G13" s="11" t="b">
        <f>IFERROR(__xludf.DUMMYFUNCTION("""COMPUTED_VALUE"""),FALSE)</f>
        <v>0</v>
      </c>
      <c r="H13" s="11"/>
      <c r="I13" s="11">
        <f>IFERROR(__xludf.DUMMYFUNCTION("""COMPUTED_VALUE"""),1.0)</f>
        <v>1</v>
      </c>
      <c r="J13" s="11">
        <f>IFERROR(__xludf.DUMMYFUNCTION("""COMPUTED_VALUE"""),0.0)</f>
        <v>0</v>
      </c>
      <c r="K13" s="11">
        <f>IFERROR(__xludf.DUMMYFUNCTION("""COMPUTED_VALUE"""),1.0)</f>
        <v>1</v>
      </c>
    </row>
    <row r="14" ht="15.75" customHeight="1">
      <c r="A14" s="10" t="str">
        <f>IFERROR(__xludf.DUMMYFUNCTION("""COMPUTED_VALUE"""),"https://www.youtube.com/watch?v=DKfcaxbRHcQ&amp;t=331")</f>
        <v>https://www.youtube.com/watch?v=DKfcaxbRHcQ&amp;t=331</v>
      </c>
      <c r="B14" s="11" t="str">
        <f>IFERROR(__xludf.DUMMYFUNCTION("""COMPUTED_VALUE"""),"Cometly Review: The Best Marketing Attribution Platform for B2B")</f>
        <v>Cometly Review: The Best Marketing Attribution Platform for B2B</v>
      </c>
      <c r="C14" s="10" t="str">
        <f>IFERROR(__xludf.DUMMYFUNCTION("""COMPUTED_VALUE"""),"youtube.com")</f>
        <v>youtube.com</v>
      </c>
      <c r="D14" s="11" t="str">
        <f>IFERROR(__xludf.DUMMYFUNCTION("""COMPUTED_VALUE"""),"OTHER")</f>
        <v>OTHER</v>
      </c>
      <c r="E14" s="11" t="str">
        <f>IFERROR(__xludf.DUMMYFUNCTION("""COMPUTED_VALUE"""),"UGC")</f>
        <v>UGC</v>
      </c>
      <c r="F14" s="11" t="str">
        <f>IFERROR(__xludf.DUMMYFUNCTION("""COMPUTED_VALUE"""),"Other")</f>
        <v>Other</v>
      </c>
      <c r="G14" s="11" t="b">
        <f>IFERROR(__xludf.DUMMYFUNCTION("""COMPUTED_VALUE"""),FALSE)</f>
        <v>0</v>
      </c>
      <c r="H14" s="11" t="str">
        <f>IFERROR(__xludf.DUMMYFUNCTION("""COMPUTED_VALUE"""),"Cometly")</f>
        <v>Cometly</v>
      </c>
      <c r="I14" s="11">
        <f>IFERROR(__xludf.DUMMYFUNCTION("""COMPUTED_VALUE"""),1.0)</f>
        <v>1</v>
      </c>
      <c r="J14" s="11">
        <f>IFERROR(__xludf.DUMMYFUNCTION("""COMPUTED_VALUE"""),0.0)</f>
        <v>0</v>
      </c>
      <c r="K14" s="11">
        <f>IFERROR(__xludf.DUMMYFUNCTION("""COMPUTED_VALUE"""),1.0)</f>
        <v>1</v>
      </c>
    </row>
    <row r="15" ht="15.75" customHeight="1">
      <c r="A15" s="10" t="str">
        <f>IFERROR(__xludf.DUMMYFUNCTION("""COMPUTED_VALUE"""),"https://www.youtube.com/watch?v=GBZzmnhPh4U&amp;t=5")</f>
        <v>https://www.youtube.com/watch?v=GBZzmnhPh4U&amp;t=5</v>
      </c>
      <c r="B15" s="11" t="str">
        <f>IFERROR(__xludf.DUMMYFUNCTION("""COMPUTED_VALUE"""),"What Are The 10 Best Artificial Intelligence (AI) Consulting Firms?")</f>
        <v>What Are The 10 Best Artificial Intelligence (AI) Consulting Firms?</v>
      </c>
      <c r="C15" s="10" t="str">
        <f>IFERROR(__xludf.DUMMYFUNCTION("""COMPUTED_VALUE"""),"youtube.com")</f>
        <v>youtube.com</v>
      </c>
      <c r="D15" s="11" t="str">
        <f>IFERROR(__xludf.DUMMYFUNCTION("""COMPUTED_VALUE"""),"LISTICLE")</f>
        <v>LISTICLE</v>
      </c>
      <c r="E15" s="11" t="str">
        <f>IFERROR(__xludf.DUMMYFUNCTION("""COMPUTED_VALUE"""),"UGC")</f>
        <v>UGC</v>
      </c>
      <c r="F15" s="11" t="str">
        <f>IFERROR(__xludf.DUMMYFUNCTION("""COMPUTED_VALUE"""),"Listicle")</f>
        <v>Listicle</v>
      </c>
      <c r="G15" s="11" t="b">
        <f>IFERROR(__xludf.DUMMYFUNCTION("""COMPUTED_VALUE"""),FALSE)</f>
        <v>0</v>
      </c>
      <c r="H15" s="11" t="str">
        <f>IFERROR(__xludf.DUMMYFUNCTION("""COMPUTED_VALUE"""),"PwC, QuantumBlack, McKinsey, BCG, IBM")</f>
        <v>PwC, QuantumBlack, McKinsey, BCG, IBM</v>
      </c>
      <c r="I15" s="11">
        <f>IFERROR(__xludf.DUMMYFUNCTION("""COMPUTED_VALUE"""),1.0)</f>
        <v>1</v>
      </c>
      <c r="J15" s="11">
        <f>IFERROR(__xludf.DUMMYFUNCTION("""COMPUTED_VALUE"""),0.0)</f>
        <v>0</v>
      </c>
      <c r="K15" s="11">
        <f>IFERROR(__xludf.DUMMYFUNCTION("""COMPUTED_VALUE"""),2.0)</f>
        <v>2</v>
      </c>
    </row>
    <row r="16" ht="15.75" customHeight="1">
      <c r="A16" s="10" t="str">
        <f>IFERROR(__xludf.DUMMYFUNCTION("""COMPUTED_VALUE"""),"https://www.youtube.com/watch?v=IjasEPvA-K4")</f>
        <v>https://www.youtube.com/watch?v=IjasEPvA-K4</v>
      </c>
      <c r="B16" s="11" t="str">
        <f>IFERROR(__xludf.DUMMYFUNCTION("""COMPUTED_VALUE"""),"Top 10 AI-Native B2B Marketing Agencies for 2026 | Unbiased list")</f>
        <v>Top 10 AI-Native B2B Marketing Agencies for 2026 | Unbiased list</v>
      </c>
      <c r="C16" s="10" t="str">
        <f>IFERROR(__xludf.DUMMYFUNCTION("""COMPUTED_VALUE"""),"youtube.com")</f>
        <v>youtube.com</v>
      </c>
      <c r="D16" s="11" t="str">
        <f>IFERROR(__xludf.DUMMYFUNCTION("""COMPUTED_VALUE"""),"LISTICLE")</f>
        <v>LISTICLE</v>
      </c>
      <c r="E16" s="11" t="str">
        <f>IFERROR(__xludf.DUMMYFUNCTION("""COMPUTED_VALUE"""),"UGC")</f>
        <v>UGC</v>
      </c>
      <c r="F16" s="11" t="str">
        <f>IFERROR(__xludf.DUMMYFUNCTION("""COMPUTED_VALUE"""),"Listicle")</f>
        <v>Listicle</v>
      </c>
      <c r="G16" s="11" t="b">
        <f>IFERROR(__xludf.DUMMYFUNCTION("""COMPUTED_VALUE"""),FALSE)</f>
        <v>0</v>
      </c>
      <c r="H16" s="11" t="str">
        <f>IFERROR(__xludf.DUMMYFUNCTION("""COMPUTED_VALUE"""),"Single Grain, Directive, NoGood, Omniscient Digital, Measured, Major Tom, GrowthSpree")</f>
        <v>Single Grain, Directive, NoGood, Omniscient Digital, Measured, Major Tom, GrowthSpree</v>
      </c>
      <c r="I16" s="11">
        <f>IFERROR(__xludf.DUMMYFUNCTION("""COMPUTED_VALUE"""),1.0)</f>
        <v>1</v>
      </c>
      <c r="J16" s="11">
        <f>IFERROR(__xludf.DUMMYFUNCTION("""COMPUTED_VALUE"""),0.0)</f>
        <v>0</v>
      </c>
      <c r="K16" s="11">
        <f>IFERROR(__xludf.DUMMYFUNCTION("""COMPUTED_VALUE"""),1.0)</f>
        <v>1</v>
      </c>
    </row>
    <row r="17" ht="15.75" customHeight="1">
      <c r="A17" s="10" t="str">
        <f>IFERROR(__xludf.DUMMYFUNCTION("""COMPUTED_VALUE"""),"https://www.youtube.com/watch?v=LPvRUxJ5J1E")</f>
        <v>https://www.youtube.com/watch?v=LPvRUxJ5J1E</v>
      </c>
      <c r="B17" s="11" t="str">
        <f>IFERROR(__xludf.DUMMYFUNCTION("""COMPUTED_VALUE"""),"Incrementality Testing and Marketing ROI with Aleksandra Semenenko - Data Coffee")</f>
        <v>Incrementality Testing and Marketing ROI with Aleksandra Semenenko - Data Coffee</v>
      </c>
      <c r="C17" s="10" t="str">
        <f>IFERROR(__xludf.DUMMYFUNCTION("""COMPUTED_VALUE"""),"youtube.com")</f>
        <v>youtube.com</v>
      </c>
      <c r="D17" s="11" t="str">
        <f>IFERROR(__xludf.DUMMYFUNCTION("""COMPUTED_VALUE"""),"ARTICLE")</f>
        <v>ARTICLE</v>
      </c>
      <c r="E17" s="11" t="str">
        <f>IFERROR(__xludf.DUMMYFUNCTION("""COMPUTED_VALUE"""),"UGC")</f>
        <v>UGC</v>
      </c>
      <c r="F17" s="11" t="str">
        <f>IFERROR(__xludf.DUMMYFUNCTION("""COMPUTED_VALUE"""),"Article")</f>
        <v>Article</v>
      </c>
      <c r="G17" s="11" t="b">
        <f>IFERROR(__xludf.DUMMYFUNCTION("""COMPUTED_VALUE"""),FALSE)</f>
        <v>0</v>
      </c>
      <c r="H17" s="11" t="str">
        <f>IFERROR(__xludf.DUMMYFUNCTION("""COMPUTED_VALUE"""),"Huge")</f>
        <v>Huge</v>
      </c>
      <c r="I17" s="11">
        <f>IFERROR(__xludf.DUMMYFUNCTION("""COMPUTED_VALUE"""),1.0)</f>
        <v>1</v>
      </c>
      <c r="J17" s="11">
        <f>IFERROR(__xludf.DUMMYFUNCTION("""COMPUTED_VALUE"""),0.0)</f>
        <v>0</v>
      </c>
      <c r="K17" s="11">
        <f>IFERROR(__xludf.DUMMYFUNCTION("""COMPUTED_VALUE"""),1.0)</f>
        <v>1</v>
      </c>
    </row>
    <row r="18" ht="15.75" customHeight="1">
      <c r="A18" s="10" t="str">
        <f>IFERROR(__xludf.DUMMYFUNCTION("""COMPUTED_VALUE"""),"https://www.youtube.com/watch?v=NXkXQbQ9-kk&amp;vl=en&amp;t=332")</f>
        <v>https://www.youtube.com/watch?v=NXkXQbQ9-kk&amp;vl=en&amp;t=332</v>
      </c>
      <c r="B18" s="11" t="str">
        <f>IFERROR(__xludf.DUMMYFUNCTION("""COMPUTED_VALUE"""),"Best AI Tools for Generative Engine Optimization (GEO)")</f>
        <v>Best AI Tools for Generative Engine Optimization (GEO)</v>
      </c>
      <c r="C18" s="10" t="str">
        <f>IFERROR(__xludf.DUMMYFUNCTION("""COMPUTED_VALUE"""),"youtube.com")</f>
        <v>youtube.com</v>
      </c>
      <c r="D18" s="11" t="str">
        <f>IFERROR(__xludf.DUMMYFUNCTION("""COMPUTED_VALUE"""),"LISTICLE")</f>
        <v>LISTICLE</v>
      </c>
      <c r="E18" s="11" t="str">
        <f>IFERROR(__xludf.DUMMYFUNCTION("""COMPUTED_VALUE"""),"UGC")</f>
        <v>UGC</v>
      </c>
      <c r="F18" s="11" t="str">
        <f>IFERROR(__xludf.DUMMYFUNCTION("""COMPUTED_VALUE"""),"Listicle")</f>
        <v>Listicle</v>
      </c>
      <c r="G18" s="11" t="b">
        <f>IFERROR(__xludf.DUMMYFUNCTION("""COMPUTED_VALUE"""),FALSE)</f>
        <v>0</v>
      </c>
      <c r="H18" s="11"/>
      <c r="I18" s="11">
        <f>IFERROR(__xludf.DUMMYFUNCTION("""COMPUTED_VALUE"""),1.0)</f>
        <v>1</v>
      </c>
      <c r="J18" s="11">
        <f>IFERROR(__xludf.DUMMYFUNCTION("""COMPUTED_VALUE"""),0.0)</f>
        <v>0</v>
      </c>
      <c r="K18" s="11">
        <f>IFERROR(__xludf.DUMMYFUNCTION("""COMPUTED_VALUE"""),1.0)</f>
        <v>1</v>
      </c>
    </row>
    <row r="19" ht="15.75" customHeight="1">
      <c r="A19" s="10" t="str">
        <f>IFERROR(__xludf.DUMMYFUNCTION("""COMPUTED_VALUE"""),"https://www.youtube.com/watch?v=OvrST0uq8uk")</f>
        <v>https://www.youtube.com/watch?v=OvrST0uq8uk</v>
      </c>
      <c r="B19" s="11" t="str">
        <f>IFERROR(__xludf.DUMMYFUNCTION("""COMPUTED_VALUE"""),"How Mejuri Used Incrementality Testing to Unlock a 13% Lift in New Customer Revenue | Haus")</f>
        <v>How Mejuri Used Incrementality Testing to Unlock a 13% Lift in New Customer Revenue | Haus</v>
      </c>
      <c r="C19" s="10" t="str">
        <f>IFERROR(__xludf.DUMMYFUNCTION("""COMPUTED_VALUE"""),"youtube.com")</f>
        <v>youtube.com</v>
      </c>
      <c r="D19" s="11" t="str">
        <f>IFERROR(__xludf.DUMMYFUNCTION("""COMPUTED_VALUE"""),"ARTICLE")</f>
        <v>ARTICLE</v>
      </c>
      <c r="E19" s="11" t="str">
        <f>IFERROR(__xludf.DUMMYFUNCTION("""COMPUTED_VALUE"""),"UGC")</f>
        <v>UGC</v>
      </c>
      <c r="F19" s="11" t="str">
        <f>IFERROR(__xludf.DUMMYFUNCTION("""COMPUTED_VALUE"""),"Article")</f>
        <v>Article</v>
      </c>
      <c r="G19" s="11" t="b">
        <f>IFERROR(__xludf.DUMMYFUNCTION("""COMPUTED_VALUE"""),FALSE)</f>
        <v>0</v>
      </c>
      <c r="H19" s="11" t="str">
        <f>IFERROR(__xludf.DUMMYFUNCTION("""COMPUTED_VALUE"""),"Measured, Haus")</f>
        <v>Measured, Haus</v>
      </c>
      <c r="I19" s="11">
        <f>IFERROR(__xludf.DUMMYFUNCTION("""COMPUTED_VALUE"""),1.0)</f>
        <v>1</v>
      </c>
      <c r="J19" s="11">
        <f>IFERROR(__xludf.DUMMYFUNCTION("""COMPUTED_VALUE"""),0.0)</f>
        <v>0</v>
      </c>
      <c r="K19" s="11">
        <f>IFERROR(__xludf.DUMMYFUNCTION("""COMPUTED_VALUE"""),1.0)</f>
        <v>1</v>
      </c>
    </row>
    <row r="20" ht="15.75" customHeight="1">
      <c r="A20" s="10" t="str">
        <f>IFERROR(__xludf.DUMMYFUNCTION("""COMPUTED_VALUE"""),"https://www.youtube.com/watch?v=VQQ_1ODhyvo&amp;vl=en")</f>
        <v>https://www.youtube.com/watch?v=VQQ_1ODhyvo&amp;vl=en</v>
      </c>
      <c r="B20" s="11" t="str">
        <f>IFERROR(__xludf.DUMMYFUNCTION("""COMPUTED_VALUE"""),"HubSpot AEO vs Profound vs Rankability: What's Best for Agencies?")</f>
        <v>HubSpot AEO vs Profound vs Rankability: What's Best for Agencies?</v>
      </c>
      <c r="C20" s="10" t="str">
        <f>IFERROR(__xludf.DUMMYFUNCTION("""COMPUTED_VALUE"""),"youtube.com")</f>
        <v>youtube.com</v>
      </c>
      <c r="D20" s="11" t="str">
        <f>IFERROR(__xludf.DUMMYFUNCTION("""COMPUTED_VALUE"""),"COMPARISON")</f>
        <v>COMPARISON</v>
      </c>
      <c r="E20" s="11" t="str">
        <f>IFERROR(__xludf.DUMMYFUNCTION("""COMPUTED_VALUE"""),"UGC")</f>
        <v>UGC</v>
      </c>
      <c r="F20" s="11" t="str">
        <f>IFERROR(__xludf.DUMMYFUNCTION("""COMPUTED_VALUE"""),"Comparison")</f>
        <v>Comparison</v>
      </c>
      <c r="G20" s="11" t="b">
        <f>IFERROR(__xludf.DUMMYFUNCTION("""COMPUTED_VALUE"""),FALSE)</f>
        <v>0</v>
      </c>
      <c r="H20" s="11" t="str">
        <f>IFERROR(__xludf.DUMMYFUNCTION("""COMPUTED_VALUE"""),"Huge")</f>
        <v>Huge</v>
      </c>
      <c r="I20" s="11">
        <f>IFERROR(__xludf.DUMMYFUNCTION("""COMPUTED_VALUE"""),1.0)</f>
        <v>1</v>
      </c>
      <c r="J20" s="11">
        <f>IFERROR(__xludf.DUMMYFUNCTION("""COMPUTED_VALUE"""),0.0)</f>
        <v>0</v>
      </c>
      <c r="K20" s="11">
        <f>IFERROR(__xludf.DUMMYFUNCTION("""COMPUTED_VALUE"""),1.0)</f>
        <v>1</v>
      </c>
    </row>
    <row r="21" ht="15.75" customHeight="1">
      <c r="A21" s="10" t="str">
        <f>IFERROR(__xludf.DUMMYFUNCTION("""COMPUTED_VALUE"""),"https://www.youtube.com/watch?v=XhMbeN7cH34&amp;t=707")</f>
        <v>https://www.youtube.com/watch?v=XhMbeN7cH34&amp;t=707</v>
      </c>
      <c r="B21" s="11" t="str">
        <f>IFERROR(__xludf.DUMMYFUNCTION("""COMPUTED_VALUE"""),"Incrementality Testing: How to Actually Measure Marketing Effectiveness (2026)")</f>
        <v>Incrementality Testing: How to Actually Measure Marketing Effectiveness (2026)</v>
      </c>
      <c r="C21" s="10" t="str">
        <f>IFERROR(__xludf.DUMMYFUNCTION("""COMPUTED_VALUE"""),"youtube.com")</f>
        <v>youtube.com</v>
      </c>
      <c r="D21" s="11" t="str">
        <f>IFERROR(__xludf.DUMMYFUNCTION("""COMPUTED_VALUE"""),"ARTICLE")</f>
        <v>ARTICLE</v>
      </c>
      <c r="E21" s="11" t="str">
        <f>IFERROR(__xludf.DUMMYFUNCTION("""COMPUTED_VALUE"""),"UGC")</f>
        <v>UGC</v>
      </c>
      <c r="F21" s="11" t="str">
        <f>IFERROR(__xludf.DUMMYFUNCTION("""COMPUTED_VALUE"""),"Article")</f>
        <v>Article</v>
      </c>
      <c r="G21" s="11" t="b">
        <f>IFERROR(__xludf.DUMMYFUNCTION("""COMPUTED_VALUE"""),FALSE)</f>
        <v>0</v>
      </c>
      <c r="H21" s="11" t="str">
        <f>IFERROR(__xludf.DUMMYFUNCTION("""COMPUTED_VALUE"""),"Recast")</f>
        <v>Recast</v>
      </c>
      <c r="I21" s="11">
        <f>IFERROR(__xludf.DUMMYFUNCTION("""COMPUTED_VALUE"""),1.0)</f>
        <v>1</v>
      </c>
      <c r="J21" s="11">
        <f>IFERROR(__xludf.DUMMYFUNCTION("""COMPUTED_VALUE"""),0.0)</f>
        <v>0</v>
      </c>
      <c r="K21" s="11">
        <f>IFERROR(__xludf.DUMMYFUNCTION("""COMPUTED_VALUE"""),1.0)</f>
        <v>1</v>
      </c>
    </row>
    <row r="22" ht="15.75" customHeight="1">
      <c r="A22" s="10" t="str">
        <f>IFERROR(__xludf.DUMMYFUNCTION("""COMPUTED_VALUE"""),"https://www.youtube.com/watch?v=XuM7q15_u04")</f>
        <v>https://www.youtube.com/watch?v=XuM7q15_u04</v>
      </c>
      <c r="B22" s="11" t="str">
        <f>IFERROR(__xludf.DUMMYFUNCTION("""COMPUTED_VALUE"""),"How Incrementality Cuts Waste + What and Where to Test in Ecommerce")</f>
        <v>How Incrementality Cuts Waste + What and Where to Test in Ecommerce</v>
      </c>
      <c r="C22" s="10" t="str">
        <f>IFERROR(__xludf.DUMMYFUNCTION("""COMPUTED_VALUE"""),"youtube.com")</f>
        <v>youtube.com</v>
      </c>
      <c r="D22" s="11" t="str">
        <f>IFERROR(__xludf.DUMMYFUNCTION("""COMPUTED_VALUE"""),"ARTICLE")</f>
        <v>ARTICLE</v>
      </c>
      <c r="E22" s="11" t="str">
        <f>IFERROR(__xludf.DUMMYFUNCTION("""COMPUTED_VALUE"""),"UGC")</f>
        <v>UGC</v>
      </c>
      <c r="F22" s="11" t="str">
        <f>IFERROR(__xludf.DUMMYFUNCTION("""COMPUTED_VALUE"""),"Article")</f>
        <v>Article</v>
      </c>
      <c r="G22" s="11" t="b">
        <f>IFERROR(__xludf.DUMMYFUNCTION("""COMPUTED_VALUE"""),FALSE)</f>
        <v>0</v>
      </c>
      <c r="H22" s="11" t="str">
        <f>IFERROR(__xludf.DUMMYFUNCTION("""COMPUTED_VALUE"""),"Northbeam, Measured, Huge")</f>
        <v>Northbeam, Measured, Huge</v>
      </c>
      <c r="I22" s="11">
        <f>IFERROR(__xludf.DUMMYFUNCTION("""COMPUTED_VALUE"""),1.0)</f>
        <v>1</v>
      </c>
      <c r="J22" s="11">
        <f>IFERROR(__xludf.DUMMYFUNCTION("""COMPUTED_VALUE"""),0.0)</f>
        <v>0</v>
      </c>
      <c r="K22" s="11">
        <f>IFERROR(__xludf.DUMMYFUNCTION("""COMPUTED_VALUE"""),1.0)</f>
        <v>1</v>
      </c>
    </row>
    <row r="23" ht="15.75" customHeight="1">
      <c r="A23" s="10" t="str">
        <f>IFERROR(__xludf.DUMMYFUNCTION("""COMPUTED_VALUE"""),"https://www.youtube.com/watch?v=YVG_HfB0Dpw&amp;t=604")</f>
        <v>https://www.youtube.com/watch?v=YVG_HfB0Dpw&amp;t=604</v>
      </c>
      <c r="B23" s="11" t="str">
        <f>IFERROR(__xludf.DUMMYFUNCTION("""COMPUTED_VALUE"""),"3 Best AI Marketing Agencies To Start in 2025")</f>
        <v>3 Best AI Marketing Agencies To Start in 2025</v>
      </c>
      <c r="C23" s="10" t="str">
        <f>IFERROR(__xludf.DUMMYFUNCTION("""COMPUTED_VALUE"""),"youtube.com")</f>
        <v>youtube.com</v>
      </c>
      <c r="D23" s="11" t="str">
        <f>IFERROR(__xludf.DUMMYFUNCTION("""COMPUTED_VALUE"""),"ARTICLE")</f>
        <v>ARTICLE</v>
      </c>
      <c r="E23" s="11" t="str">
        <f>IFERROR(__xludf.DUMMYFUNCTION("""COMPUTED_VALUE"""),"UGC")</f>
        <v>UGC</v>
      </c>
      <c r="F23" s="11" t="str">
        <f>IFERROR(__xludf.DUMMYFUNCTION("""COMPUTED_VALUE"""),"Article")</f>
        <v>Article</v>
      </c>
      <c r="G23" s="11" t="b">
        <f>IFERROR(__xludf.DUMMYFUNCTION("""COMPUTED_VALUE"""),FALSE)</f>
        <v>0</v>
      </c>
      <c r="H23" s="11"/>
      <c r="I23" s="11">
        <f>IFERROR(__xludf.DUMMYFUNCTION("""COMPUTED_VALUE"""),1.0)</f>
        <v>1</v>
      </c>
      <c r="J23" s="11">
        <f>IFERROR(__xludf.DUMMYFUNCTION("""COMPUTED_VALUE"""),0.0)</f>
        <v>0</v>
      </c>
      <c r="K23" s="11">
        <f>IFERROR(__xludf.DUMMYFUNCTION("""COMPUTED_VALUE"""),1.0)</f>
        <v>1</v>
      </c>
    </row>
    <row r="24" ht="15.75" customHeight="1">
      <c r="A24" s="10" t="str">
        <f>IFERROR(__xludf.DUMMYFUNCTION("""COMPUTED_VALUE"""),"https://www.youtube.com/watch?v=a_Q3LpltO8I&amp;t=2")</f>
        <v>https://www.youtube.com/watch?v=a_Q3LpltO8I&amp;t=2</v>
      </c>
      <c r="B24" s="11" t="str">
        <f>IFERROR(__xludf.DUMMYFUNCTION("""COMPUTED_VALUE"""),"Top Marketing Attribution Software")</f>
        <v>Top Marketing Attribution Software</v>
      </c>
      <c r="C24" s="10" t="str">
        <f>IFERROR(__xludf.DUMMYFUNCTION("""COMPUTED_VALUE"""),"youtube.com")</f>
        <v>youtube.com</v>
      </c>
      <c r="D24" s="11" t="str">
        <f>IFERROR(__xludf.DUMMYFUNCTION("""COMPUTED_VALUE"""),"ARTICLE")</f>
        <v>ARTICLE</v>
      </c>
      <c r="E24" s="11" t="str">
        <f>IFERROR(__xludf.DUMMYFUNCTION("""COMPUTED_VALUE"""),"UGC")</f>
        <v>UGC</v>
      </c>
      <c r="F24" s="11" t="str">
        <f>IFERROR(__xludf.DUMMYFUNCTION("""COMPUTED_VALUE"""),"Article")</f>
        <v>Article</v>
      </c>
      <c r="G24" s="11" t="b">
        <f>IFERROR(__xludf.DUMMYFUNCTION("""COMPUTED_VALUE"""),FALSE)</f>
        <v>0</v>
      </c>
      <c r="H24" s="11" t="str">
        <f>IFERROR(__xludf.DUMMYFUNCTION("""COMPUTED_VALUE"""),"Cometly")</f>
        <v>Cometly</v>
      </c>
      <c r="I24" s="11">
        <f>IFERROR(__xludf.DUMMYFUNCTION("""COMPUTED_VALUE"""),1.0)</f>
        <v>1</v>
      </c>
      <c r="J24" s="11">
        <f>IFERROR(__xludf.DUMMYFUNCTION("""COMPUTED_VALUE"""),0.0)</f>
        <v>0</v>
      </c>
      <c r="K24" s="11">
        <f>IFERROR(__xludf.DUMMYFUNCTION("""COMPUTED_VALUE"""),1.0)</f>
        <v>1</v>
      </c>
    </row>
    <row r="25" ht="15.75" customHeight="1">
      <c r="A25" s="10" t="str">
        <f>IFERROR(__xludf.DUMMYFUNCTION("""COMPUTED_VALUE"""),"https://www.youtube.com/watch?v=yIAxLp4yY3E")</f>
        <v>https://www.youtube.com/watch?v=yIAxLp4yY3E</v>
      </c>
      <c r="B25" s="11" t="str">
        <f>IFERROR(__xludf.DUMMYFUNCTION("""COMPUTED_VALUE"""),"7 Best B2B SaaS Marketing Agencies Under $5,000/Month in 2026")</f>
        <v>7 Best B2B SaaS Marketing Agencies Under $5,000/Month in 2026</v>
      </c>
      <c r="C25" s="10" t="str">
        <f>IFERROR(__xludf.DUMMYFUNCTION("""COMPUTED_VALUE"""),"youtube.com")</f>
        <v>youtube.com</v>
      </c>
      <c r="D25" s="11" t="str">
        <f>IFERROR(__xludf.DUMMYFUNCTION("""COMPUTED_VALUE"""),"LISTICLE")</f>
        <v>LISTICLE</v>
      </c>
      <c r="E25" s="11" t="str">
        <f>IFERROR(__xludf.DUMMYFUNCTION("""COMPUTED_VALUE"""),"UGC")</f>
        <v>UGC</v>
      </c>
      <c r="F25" s="11" t="str">
        <f>IFERROR(__xludf.DUMMYFUNCTION("""COMPUTED_VALUE"""),"Listicle")</f>
        <v>Listicle</v>
      </c>
      <c r="G25" s="11" t="b">
        <f>IFERROR(__xludf.DUMMYFUNCTION("""COMPUTED_VALUE"""),FALSE)</f>
        <v>0</v>
      </c>
      <c r="H25" s="11" t="str">
        <f>IFERROR(__xludf.DUMMYFUNCTION("""COMPUTED_VALUE"""),"GrowthSpree, AdVenture Media, Searchbloom, Clutch")</f>
        <v>GrowthSpree, AdVenture Media, Searchbloom, Clutch</v>
      </c>
      <c r="I25" s="11">
        <f>IFERROR(__xludf.DUMMYFUNCTION("""COMPUTED_VALUE"""),1.0)</f>
        <v>1</v>
      </c>
      <c r="J25" s="11">
        <f>IFERROR(__xludf.DUMMYFUNCTION("""COMPUTED_VALUE"""),0.0)</f>
        <v>0</v>
      </c>
      <c r="K25" s="11">
        <f>IFERROR(__xludf.DUMMYFUNCTION("""COMPUTED_VALUE"""),1.0)</f>
        <v>1</v>
      </c>
    </row>
    <row r="26" ht="15.75" customHeight="1">
      <c r="A26" s="10" t="str">
        <f>IFERROR(__xludf.DUMMYFUNCTION("""COMPUTED_VALUE"""),"https://www.youtube.com/watch?v=ytsrFDab4QQ")</f>
        <v>https://www.youtube.com/watch?v=ytsrFDab4QQ</v>
      </c>
      <c r="B26" s="11" t="str">
        <f>IFERROR(__xludf.DUMMYFUNCTION("""COMPUTED_VALUE"""),"E123: The Meta Incrementality Report: Lessons from 640 Haus Experiments")</f>
        <v>E123: The Meta Incrementality Report: Lessons from 640 Haus Experiments</v>
      </c>
      <c r="C26" s="10" t="str">
        <f>IFERROR(__xludf.DUMMYFUNCTION("""COMPUTED_VALUE"""),"youtube.com")</f>
        <v>youtube.com</v>
      </c>
      <c r="D26" s="11" t="str">
        <f>IFERROR(__xludf.DUMMYFUNCTION("""COMPUTED_VALUE"""),"ARTICLE")</f>
        <v>ARTICLE</v>
      </c>
      <c r="E26" s="11" t="str">
        <f>IFERROR(__xludf.DUMMYFUNCTION("""COMPUTED_VALUE"""),"UGC")</f>
        <v>UGC</v>
      </c>
      <c r="F26" s="11" t="str">
        <f>IFERROR(__xludf.DUMMYFUNCTION("""COMPUTED_VALUE"""),"Article")</f>
        <v>Article</v>
      </c>
      <c r="G26" s="11" t="b">
        <f>IFERROR(__xludf.DUMMYFUNCTION("""COMPUTED_VALUE"""),FALSE)</f>
        <v>0</v>
      </c>
      <c r="H26" s="11" t="str">
        <f>IFERROR(__xludf.DUMMYFUNCTION("""COMPUTED_VALUE"""),"Haus, Northbeam, Measured, Huge")</f>
        <v>Haus, Northbeam, Measured, Huge</v>
      </c>
      <c r="I26" s="11">
        <f>IFERROR(__xludf.DUMMYFUNCTION("""COMPUTED_VALUE"""),1.0)</f>
        <v>1</v>
      </c>
      <c r="J26" s="11">
        <f>IFERROR(__xludf.DUMMYFUNCTION("""COMPUTED_VALUE"""),0.0)</f>
        <v>0</v>
      </c>
      <c r="K26" s="11">
        <f>IFERROR(__xludf.DUMMYFUNCTION("""COMPUTED_VALUE"""),1.0)</f>
        <v>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s>
  <drawing r:id="rId5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1" t="str">
        <f>IFERROR(__xludf.DUMMYFUNCTION("IFERROR(
  FILTER(
    'PEEC - URLs - All'!A2:K1000,
    REGEXMATCH(LOWER(TO_TEXT('PEEC - URLs - All'!A2:A1000)),""incubeta.com"")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All'!A2:A1000)),""sortlist"")
  ),
  """"
)"),"https://www.sortlist.com/s/paid-media/united-states-us")</f>
        <v>https://www.sortlist.com/s/paid-media/united-states-us</v>
      </c>
      <c r="B2" s="11" t="str">
        <f>IFERROR(__xludf.DUMMYFUNCTION("""COMPUTED_VALUE"""),"The 10 Best Paid Media Agencies in the United States - 2026 Reviews")</f>
        <v>The 10 Best Paid Media Agencies in the United States - 2026 Reviews</v>
      </c>
      <c r="C2" s="10" t="str">
        <f>IFERROR(__xludf.DUMMYFUNCTION("""COMPUTED_VALUE"""),"sortlist.com")</f>
        <v>sortlist.com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IFERROR(__xludf.DUMMYFUNCTION("""COMPUTED_VALUE"""),"NinjaPromo, Triple Whale, Northbeam, HockeyStack, Clutch")</f>
        <v>NinjaPromo, Triple Whale, Northbeam, HockeyStack, Clutch</v>
      </c>
      <c r="I2" s="11">
        <f>IFERROR(__xludf.DUMMYFUNCTION("""COMPUTED_VALUE"""),44.0)</f>
        <v>44</v>
      </c>
      <c r="J2" s="11">
        <f>IFERROR(__xludf.DUMMYFUNCTION("""COMPUTED_VALUE"""),0.04)</f>
        <v>0.04</v>
      </c>
      <c r="K2" s="11">
        <f>IFERROR(__xludf.DUMMYFUNCTION("""COMPUTED_VALUE"""),0.0)</f>
        <v>0</v>
      </c>
    </row>
    <row r="3" ht="15.75" customHeight="1">
      <c r="A3" s="10" t="str">
        <f>IFERROR(__xludf.DUMMYFUNCTION("""COMPUTED_VALUE"""),"https://www.sortlist.com/s/display-advertising/united-states-us")</f>
        <v>https://www.sortlist.com/s/display-advertising/united-states-us</v>
      </c>
      <c r="B3" s="11" t="str">
        <f>IFERROR(__xludf.DUMMYFUNCTION("""COMPUTED_VALUE"""),"The 10 Best Display Advertising Agencies in the United States - 2026 Reviews")</f>
        <v>The 10 Best Display Advertising Agencies in the United States - 2026 Reviews</v>
      </c>
      <c r="C3" s="10" t="str">
        <f>IFERROR(__xludf.DUMMYFUNCTION("""COMPUTED_VALUE"""),"sortlist.com")</f>
        <v>sortlist.com</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IFERROR(__xludf.DUMMYFUNCTION("""COMPUTED_VALUE"""),"Triple Whale, Northbeam, HockeyStack, NinjaPromo, Clutch, IBM")</f>
        <v>Triple Whale, Northbeam, HockeyStack, NinjaPromo, Clutch, IBM</v>
      </c>
      <c r="I3" s="11">
        <f>IFERROR(__xludf.DUMMYFUNCTION("""COMPUTED_VALUE"""),27.0)</f>
        <v>27</v>
      </c>
      <c r="J3" s="11">
        <f>IFERROR(__xludf.DUMMYFUNCTION("""COMPUTED_VALUE"""),0.03)</f>
        <v>0.03</v>
      </c>
      <c r="K3" s="11">
        <f>IFERROR(__xludf.DUMMYFUNCTION("""COMPUTED_VALUE"""),0.0)</f>
        <v>0</v>
      </c>
    </row>
    <row r="4" ht="15.75" customHeight="1">
      <c r="A4" s="10" t="str">
        <f>IFERROR(__xludf.DUMMYFUNCTION("""COMPUTED_VALUE"""),"https://www.sortlist.com/s/performance-marketing/united-states-us")</f>
        <v>https://www.sortlist.com/s/performance-marketing/united-states-us</v>
      </c>
      <c r="B4" s="11" t="str">
        <f>IFERROR(__xludf.DUMMYFUNCTION("""COMPUTED_VALUE"""),"The 10 Best Performance Marketing Agencies in the United States - 2026 Reviews")</f>
        <v>The 10 Best Performance Marketing Agencies in the United States - 2026 Reviews</v>
      </c>
      <c r="C4" s="10" t="str">
        <f>IFERROR(__xludf.DUMMYFUNCTION("""COMPUTED_VALUE"""),"sortlist.com")</f>
        <v>sortlist.com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IFERROR(__xludf.DUMMYFUNCTION("""COMPUTED_VALUE"""),"Clutch, IBM")</f>
        <v>Clutch, IBM</v>
      </c>
      <c r="I4" s="11">
        <f>IFERROR(__xludf.DUMMYFUNCTION("""COMPUTED_VALUE"""),23.0)</f>
        <v>23</v>
      </c>
      <c r="J4" s="11">
        <f>IFERROR(__xludf.DUMMYFUNCTION("""COMPUTED_VALUE"""),0.02)</f>
        <v>0.02</v>
      </c>
      <c r="K4" s="11">
        <f>IFERROR(__xludf.DUMMYFUNCTION("""COMPUTED_VALUE"""),0.04)</f>
        <v>0.04</v>
      </c>
    </row>
    <row r="5" ht="15.75" customHeight="1">
      <c r="A5" s="10" t="str">
        <f>IFERROR(__xludf.DUMMYFUNCTION("""COMPUTED_VALUE"""),"https://www.sortlist.com/s/marketing-analytics/united-states-us")</f>
        <v>https://www.sortlist.com/s/marketing-analytics/united-states-us</v>
      </c>
      <c r="B5" s="11" t="str">
        <f>IFERROR(__xludf.DUMMYFUNCTION("""COMPUTED_VALUE"""),"The 10 Best Marketing Analytics Companies in the United States - 2026 Reviews")</f>
        <v>The 10 Best Marketing Analytics Companies in the United States - 2026 Reviews</v>
      </c>
      <c r="C5" s="10" t="str">
        <f>IFERROR(__xludf.DUMMYFUNCTION("""COMPUTED_VALUE"""),"sortlist.com")</f>
        <v>sortlist.com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IFERROR(__xludf.DUMMYFUNCTION("""COMPUTED_VALUE"""),"NinjaPromo, IBM, Clutch")</f>
        <v>NinjaPromo, IBM, Clutch</v>
      </c>
      <c r="I5" s="11">
        <f>IFERROR(__xludf.DUMMYFUNCTION("""COMPUTED_VALUE"""),15.0)</f>
        <v>15</v>
      </c>
      <c r="J5" s="11">
        <f>IFERROR(__xludf.DUMMYFUNCTION("""COMPUTED_VALUE"""),0.01)</f>
        <v>0.01</v>
      </c>
      <c r="K5" s="11">
        <f>IFERROR(__xludf.DUMMYFUNCTION("""COMPUTED_VALUE"""),0.07)</f>
        <v>0.07</v>
      </c>
    </row>
    <row r="6" ht="15.75" customHeight="1">
      <c r="A6" s="10" t="str">
        <f>IFERROR(__xludf.DUMMYFUNCTION("""COMPUTED_VALUE"""),"https://www.sortlist.com/attribution-marketing")</f>
        <v>https://www.sortlist.com/attribution-marketing</v>
      </c>
      <c r="B6" s="11" t="str">
        <f>IFERROR(__xludf.DUMMYFUNCTION("""COMPUTED_VALUE"""),"The 100 Best Attribution Marketing Agencies - 2026 Reviews")</f>
        <v>The 100 Best Attribution Marketing Agencies - 2026 Reviews</v>
      </c>
      <c r="C6" s="10" t="str">
        <f>IFERROR(__xludf.DUMMYFUNCTION("""COMPUTED_VALUE"""),"sortlist.com")</f>
        <v>sortlist.com</v>
      </c>
      <c r="D6" s="11" t="str">
        <f>IFERROR(__xludf.DUMMYFUNCTION("""COMPUTED_VALUE"""),"PROFILE")</f>
        <v>PROFILE</v>
      </c>
      <c r="E6" s="11" t="str">
        <f>IFERROR(__xludf.DUMMYFUNCTION("""COMPUTED_VALUE"""),"CORPORATE")</f>
        <v>CORPORATE</v>
      </c>
      <c r="F6" s="11" t="str">
        <f>IFERROR(__xludf.DUMMYFUNCTION("""COMPUTED_VALUE"""),"Profile")</f>
        <v>Profile</v>
      </c>
      <c r="G6" s="11" t="b">
        <f>IFERROR(__xludf.DUMMYFUNCTION("""COMPUTED_VALUE"""),FALSE)</f>
        <v>0</v>
      </c>
      <c r="H6" s="11" t="str">
        <f>IFERROR(__xludf.DUMMYFUNCTION("""COMPUTED_VALUE"""),"Triple Whale, Northbeam, HockeyStack, WPP")</f>
        <v>Triple Whale, Northbeam, HockeyStack, WPP</v>
      </c>
      <c r="I6" s="11">
        <f>IFERROR(__xludf.DUMMYFUNCTION("""COMPUTED_VALUE"""),10.0)</f>
        <v>10</v>
      </c>
      <c r="J6" s="11">
        <f>IFERROR(__xludf.DUMMYFUNCTION("""COMPUTED_VALUE"""),0.01)</f>
        <v>0.01</v>
      </c>
      <c r="K6" s="11">
        <f>IFERROR(__xludf.DUMMYFUNCTION("""COMPUTED_VALUE"""),0.0)</f>
        <v>0</v>
      </c>
    </row>
    <row r="7" ht="15.75" customHeight="1">
      <c r="A7" s="10" t="str">
        <f>IFERROR(__xludf.DUMMYFUNCTION("""COMPUTED_VALUE"""),"https://www.sortlist.com/s/ai-marketing/united-states-us")</f>
        <v>https://www.sortlist.com/s/ai-marketing/united-states-us</v>
      </c>
      <c r="B7" s="11" t="str">
        <f>IFERROR(__xludf.DUMMYFUNCTION("""COMPUTED_VALUE"""),"The 10 Best AI Marketing Companies in the United States - 2026 Reviews")</f>
        <v>The 10 Best AI Marketing Companies in the United States - 2026 Reviews</v>
      </c>
      <c r="C7" s="10" t="str">
        <f>IFERROR(__xludf.DUMMYFUNCTION("""COMPUTED_VALUE"""),"sortlist.com")</f>
        <v>sortlist.com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IFERROR(__xludf.DUMMYFUNCTION("""COMPUTED_VALUE"""),"Clutch")</f>
        <v>Clutch</v>
      </c>
      <c r="I7" s="11">
        <f>IFERROR(__xludf.DUMMYFUNCTION("""COMPUTED_VALUE"""),9.0)</f>
        <v>9</v>
      </c>
      <c r="J7" s="11">
        <f>IFERROR(__xludf.DUMMYFUNCTION("""COMPUTED_VALUE"""),0.01)</f>
        <v>0.01</v>
      </c>
      <c r="K7" s="11">
        <f>IFERROR(__xludf.DUMMYFUNCTION("""COMPUTED_VALUE"""),0.22)</f>
        <v>0.22</v>
      </c>
    </row>
    <row r="8" ht="15.75" customHeight="1">
      <c r="A8" s="10" t="str">
        <f>IFERROR(__xludf.DUMMYFUNCTION("""COMPUTED_VALUE"""),"https://www.sortlist.com/s/international-marketing/united-states-us")</f>
        <v>https://www.sortlist.com/s/international-marketing/united-states-us</v>
      </c>
      <c r="B8" s="11" t="str">
        <f>IFERROR(__xludf.DUMMYFUNCTION("""COMPUTED_VALUE"""),"The 10 Best International Marketing Agencies in the United States - 2026 Reviews")</f>
        <v>The 10 Best International Marketing Agencies in the United States - 2026 Reviews</v>
      </c>
      <c r="C8" s="10" t="str">
        <f>IFERROR(__xludf.DUMMYFUNCTION("""COMPUTED_VALUE"""),"sortlist.com")</f>
        <v>sortlist.com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IFERROR(__xludf.DUMMYFUNCTION("""COMPUTED_VALUE"""),"NinjaPromo, IBM, Clutch")</f>
        <v>NinjaPromo, IBM, Clutch</v>
      </c>
      <c r="I8" s="11">
        <f>IFERROR(__xludf.DUMMYFUNCTION("""COMPUTED_VALUE"""),8.0)</f>
        <v>8</v>
      </c>
      <c r="J8" s="11">
        <f>IFERROR(__xludf.DUMMYFUNCTION("""COMPUTED_VALUE"""),0.01)</f>
        <v>0.01</v>
      </c>
      <c r="K8" s="11">
        <f>IFERROR(__xludf.DUMMYFUNCTION("""COMPUTED_VALUE"""),0.0)</f>
        <v>0</v>
      </c>
    </row>
    <row r="9" ht="15.75" customHeight="1">
      <c r="A9" s="10" t="str">
        <f>IFERROR(__xludf.DUMMYFUNCTION("""COMPUTED_VALUE"""),"https://www.sortlist.com/s/programmatic-advertising/united-states-us")</f>
        <v>https://www.sortlist.com/s/programmatic-advertising/united-states-us</v>
      </c>
      <c r="B9" s="11" t="str">
        <f>IFERROR(__xludf.DUMMYFUNCTION("""COMPUTED_VALUE"""),"The 10 Best Programmatic Advertising Companies in the United States - 2026 Reviews")</f>
        <v>The 10 Best Programmatic Advertising Companies in the United States - 2026 Reviews</v>
      </c>
      <c r="C9" s="10" t="str">
        <f>IFERROR(__xludf.DUMMYFUNCTION("""COMPUTED_VALUE"""),"sortlist.com")</f>
        <v>sortlist.com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IFERROR(__xludf.DUMMYFUNCTION("""COMPUTED_VALUE"""),"Clutch, IBM")</f>
        <v>Clutch, IBM</v>
      </c>
      <c r="I9" s="11">
        <f>IFERROR(__xludf.DUMMYFUNCTION("""COMPUTED_VALUE"""),7.0)</f>
        <v>7</v>
      </c>
      <c r="J9" s="11">
        <f>IFERROR(__xludf.DUMMYFUNCTION("""COMPUTED_VALUE"""),0.01)</f>
        <v>0.01</v>
      </c>
      <c r="K9" s="11">
        <f>IFERROR(__xludf.DUMMYFUNCTION("""COMPUTED_VALUE"""),0.0)</f>
        <v>0</v>
      </c>
    </row>
    <row r="10" ht="15.75" customHeight="1">
      <c r="A10" s="10" t="str">
        <f>IFERROR(__xludf.DUMMYFUNCTION("""COMPUTED_VALUE"""),"https://www.sortlist.com/digital-marketing/united-states-us")</f>
        <v>https://www.sortlist.com/digital-marketing/united-states-us</v>
      </c>
      <c r="B10" s="11" t="str">
        <f>IFERROR(__xludf.DUMMYFUNCTION("""COMPUTED_VALUE"""),"The 10 Best Digital Marketing Agencies in USA - 2026 Reviews")</f>
        <v>The 10 Best Digital Marketing Agencies in USA - 2026 Reviews</v>
      </c>
      <c r="C10" s="10" t="str">
        <f>IFERROR(__xludf.DUMMYFUNCTION("""COMPUTED_VALUE"""),"sortlist.com")</f>
        <v>sortlist.com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IFERROR(__xludf.DUMMYFUNCTION("""COMPUTED_VALUE"""),"NinjaPromo, IBM, Clutch")</f>
        <v>NinjaPromo, IBM, Clutch</v>
      </c>
      <c r="I10" s="11">
        <f>IFERROR(__xludf.DUMMYFUNCTION("""COMPUTED_VALUE"""),5.0)</f>
        <v>5</v>
      </c>
      <c r="J10" s="11">
        <f>IFERROR(__xludf.DUMMYFUNCTION("""COMPUTED_VALUE"""),0.0)</f>
        <v>0</v>
      </c>
      <c r="K10" s="11">
        <f>IFERROR(__xludf.DUMMYFUNCTION("""COMPUTED_VALUE"""),0.0)</f>
        <v>0</v>
      </c>
    </row>
    <row r="11" ht="15.75" customHeight="1">
      <c r="A11" s="10" t="str">
        <f>IFERROR(__xludf.DUMMYFUNCTION("""COMPUTED_VALUE"""),"https://www.sortlist.com/advertising/united-states-us")</f>
        <v>https://www.sortlist.com/advertising/united-states-us</v>
      </c>
      <c r="B11" s="11" t="str">
        <f>IFERROR(__xludf.DUMMYFUNCTION("""COMPUTED_VALUE"""),"The 10 Best Advertising Agencies in the United States - 2026 Reviews")</f>
        <v>The 10 Best Advertising Agencies in the United States - 2026 Reviews</v>
      </c>
      <c r="C11" s="10" t="str">
        <f>IFERROR(__xludf.DUMMYFUNCTION("""COMPUTED_VALUE"""),"sortlist.com")</f>
        <v>sortlist.com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IFERROR(__xludf.DUMMYFUNCTION("""COMPUTED_VALUE"""),"NinjaPromo, Publicis Groupe, Clutch")</f>
        <v>NinjaPromo, Publicis Groupe, Clutch</v>
      </c>
      <c r="I11" s="11">
        <f>IFERROR(__xludf.DUMMYFUNCTION("""COMPUTED_VALUE"""),4.0)</f>
        <v>4</v>
      </c>
      <c r="J11" s="11">
        <f>IFERROR(__xludf.DUMMYFUNCTION("""COMPUTED_VALUE"""),0.0)</f>
        <v>0</v>
      </c>
      <c r="K11" s="11">
        <f>IFERROR(__xludf.DUMMYFUNCTION("""COMPUTED_VALUE"""),0.25)</f>
        <v>0.25</v>
      </c>
    </row>
    <row r="12" ht="15.75" customHeight="1">
      <c r="A12" s="10" t="str">
        <f>IFERROR(__xludf.DUMMYFUNCTION("""COMPUTED_VALUE"""),"https://www.sortlist.com/display-advertising")</f>
        <v>https://www.sortlist.com/display-advertising</v>
      </c>
      <c r="B12" s="11" t="str">
        <f>IFERROR(__xludf.DUMMYFUNCTION("""COMPUTED_VALUE"""),"The 100 Best Display Advertising Agencies - 2026 Reviews")</f>
        <v>The 100 Best Display Advertising Agencies - 2026 Reviews</v>
      </c>
      <c r="C12" s="10" t="str">
        <f>IFERROR(__xludf.DUMMYFUNCTION("""COMPUTED_VALUE"""),"sortlist.com")</f>
        <v>sortlist.com</v>
      </c>
      <c r="D12" s="11" t="str">
        <f>IFERROR(__xludf.DUMMYFUNCTION("""COMPUTED_VALUE"""),"LISTICLE")</f>
        <v>LISTICLE</v>
      </c>
      <c r="E12" s="11" t="str">
        <f>IFERROR(__xludf.DUMMYFUNCTION("""COMPUTED_VALUE"""),"CORPORATE")</f>
        <v>CORPORATE</v>
      </c>
      <c r="F12" s="11" t="str">
        <f>IFERROR(__xludf.DUMMYFUNCTION("""COMPUTED_VALUE"""),"Listicle")</f>
        <v>Listicle</v>
      </c>
      <c r="G12" s="11" t="b">
        <f>IFERROR(__xludf.DUMMYFUNCTION("""COMPUTED_VALUE"""),FALSE)</f>
        <v>0</v>
      </c>
      <c r="H12" s="11"/>
      <c r="I12" s="11">
        <f>IFERROR(__xludf.DUMMYFUNCTION("""COMPUTED_VALUE"""),3.0)</f>
        <v>3</v>
      </c>
      <c r="J12" s="11">
        <f>IFERROR(__xludf.DUMMYFUNCTION("""COMPUTED_VALUE"""),0.0)</f>
        <v>0</v>
      </c>
      <c r="K12" s="11">
        <f>IFERROR(__xludf.DUMMYFUNCTION("""COMPUTED_VALUE"""),0.0)</f>
        <v>0</v>
      </c>
    </row>
    <row r="13" ht="15.75" customHeight="1">
      <c r="A13" s="10" t="str">
        <f>IFERROR(__xludf.DUMMYFUNCTION("""COMPUTED_VALUE"""),"https://www.sortlist.com/marketing-analytics")</f>
        <v>https://www.sortlist.com/marketing-analytics</v>
      </c>
      <c r="B13" s="11" t="str">
        <f>IFERROR(__xludf.DUMMYFUNCTION("""COMPUTED_VALUE"""),"The 100 Best Marketing Analytics Companies - 2026 Reviews")</f>
        <v>The 100 Best Marketing Analytics Companies - 2026 Reviews</v>
      </c>
      <c r="C13" s="10"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IFERROR(__xludf.DUMMYFUNCTION("""COMPUTED_VALUE"""),"NinjaPromo")</f>
        <v>NinjaPromo</v>
      </c>
      <c r="I13" s="11">
        <f>IFERROR(__xludf.DUMMYFUNCTION("""COMPUTED_VALUE"""),3.0)</f>
        <v>3</v>
      </c>
      <c r="J13" s="11">
        <f>IFERROR(__xludf.DUMMYFUNCTION("""COMPUTED_VALUE"""),0.0)</f>
        <v>0</v>
      </c>
      <c r="K13" s="11">
        <f>IFERROR(__xludf.DUMMYFUNCTION("""COMPUTED_VALUE"""),0.0)</f>
        <v>0</v>
      </c>
    </row>
    <row r="14" ht="15.75" customHeight="1">
      <c r="A14" s="10" t="str">
        <f>IFERROR(__xludf.DUMMYFUNCTION("""COMPUTED_VALUE"""),"https://www.sortlist.com/s/data-driven-marketing/united-states-us")</f>
        <v>https://www.sortlist.com/s/data-driven-marketing/united-states-us</v>
      </c>
      <c r="B14" s="11" t="str">
        <f>IFERROR(__xludf.DUMMYFUNCTION("""COMPUTED_VALUE"""),"The 10 Best Data Driven Marketing Agencies in the United States - 2026 Reviews")</f>
        <v>The 10 Best Data Driven Marketing Agencies in the United States - 2026 Reviews</v>
      </c>
      <c r="C14" s="10" t="str">
        <f>IFERROR(__xludf.DUMMYFUNCTION("""COMPUTED_VALUE"""),"sortlist.com")</f>
        <v>sortlist.com</v>
      </c>
      <c r="D14" s="11" t="str">
        <f>IFERROR(__xludf.DUMMYFUNCTION("""COMPUTED_VALUE"""),"PROFILE")</f>
        <v>PROFILE</v>
      </c>
      <c r="E14" s="11" t="str">
        <f>IFERROR(__xludf.DUMMYFUNCTION("""COMPUTED_VALUE"""),"CORPORATE")</f>
        <v>CORPORATE</v>
      </c>
      <c r="F14" s="11" t="str">
        <f>IFERROR(__xludf.DUMMYFUNCTION("""COMPUTED_VALUE"""),"Profile")</f>
        <v>Profile</v>
      </c>
      <c r="G14" s="11" t="b">
        <f>IFERROR(__xludf.DUMMYFUNCTION("""COMPUTED_VALUE"""),FALSE)</f>
        <v>0</v>
      </c>
      <c r="H14" s="11" t="str">
        <f>IFERROR(__xludf.DUMMYFUNCTION("""COMPUTED_VALUE"""),"NinjaPromo, IBM, Clutch, Measured")</f>
        <v>NinjaPromo, IBM, Clutch, Measured</v>
      </c>
      <c r="I14" s="11">
        <f>IFERROR(__xludf.DUMMYFUNCTION("""COMPUTED_VALUE"""),3.0)</f>
        <v>3</v>
      </c>
      <c r="J14" s="11">
        <f>IFERROR(__xludf.DUMMYFUNCTION("""COMPUTED_VALUE"""),0.0)</f>
        <v>0</v>
      </c>
      <c r="K14" s="11">
        <f>IFERROR(__xludf.DUMMYFUNCTION("""COMPUTED_VALUE"""),0.0)</f>
        <v>0</v>
      </c>
    </row>
    <row r="15" ht="15.75" customHeight="1">
      <c r="A15" s="10" t="str">
        <f>IFERROR(__xludf.DUMMYFUNCTION("""COMPUTED_VALUE"""),"https://www.sortlist.com/s/creative/united-states-us")</f>
        <v>https://www.sortlist.com/s/creative/united-states-us</v>
      </c>
      <c r="B15" s="11" t="str">
        <f>IFERROR(__xludf.DUMMYFUNCTION("""COMPUTED_VALUE"""),"The 10 Best Creative Agencies in the United States - 2026 Reviews")</f>
        <v>The 10 Best Creative Agencies in the United States - 2026 Reviews</v>
      </c>
      <c r="C15" s="10" t="str">
        <f>IFERROR(__xludf.DUMMYFUNCTION("""COMPUTED_VALUE"""),"sortlist.com")</f>
        <v>sortlist.com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IFERROR(__xludf.DUMMYFUNCTION("""COMPUTED_VALUE"""),"NinjaPromo, Momentum")</f>
        <v>NinjaPromo, Momentum</v>
      </c>
      <c r="I15" s="11">
        <f>IFERROR(__xludf.DUMMYFUNCTION("""COMPUTED_VALUE"""),2.0)</f>
        <v>2</v>
      </c>
      <c r="J15" s="11">
        <f>IFERROR(__xludf.DUMMYFUNCTION("""COMPUTED_VALUE"""),0.0)</f>
        <v>0</v>
      </c>
      <c r="K15" s="11">
        <f>IFERROR(__xludf.DUMMYFUNCTION("""COMPUTED_VALUE"""),0.0)</f>
        <v>0</v>
      </c>
    </row>
    <row r="16" ht="15.75" customHeight="1">
      <c r="A16" s="10" t="str">
        <f>IFERROR(__xludf.DUMMYFUNCTION("""COMPUTED_VALUE"""),"https://www.sortlist.com/digital-marketing/doha-qa")</f>
        <v>https://www.sortlist.com/digital-marketing/doha-qa</v>
      </c>
      <c r="B16" s="11" t="str">
        <f>IFERROR(__xludf.DUMMYFUNCTION("""COMPUTED_VALUE"""),"The 10 Best Digital Marketing Agencies in Doha - 2026 Reviews")</f>
        <v>The 10 Best Digital Marketing Agencies in Doha - 2026 Reviews</v>
      </c>
      <c r="C16" s="10" t="str">
        <f>IFERROR(__xludf.DUMMYFUNCTION("""COMPUTED_VALUE"""),"sortlist.com")</f>
        <v>sortlist.com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IFERROR(__xludf.DUMMYFUNCTION("""COMPUTED_VALUE"""),"Clutch, Directive")</f>
        <v>Clutch, Directive</v>
      </c>
      <c r="I16" s="11">
        <f>IFERROR(__xludf.DUMMYFUNCTION("""COMPUTED_VALUE"""),1.0)</f>
        <v>1</v>
      </c>
      <c r="J16" s="11">
        <f>IFERROR(__xludf.DUMMYFUNCTION("""COMPUTED_VALUE"""),0.0)</f>
        <v>0</v>
      </c>
      <c r="K16" s="11">
        <f>IFERROR(__xludf.DUMMYFUNCTION("""COMPUTED_VALUE"""),0.0)</f>
        <v>0</v>
      </c>
    </row>
    <row r="17" ht="15.75" customHeight="1">
      <c r="A17" s="10" t="str">
        <f>IFERROR(__xludf.DUMMYFUNCTION("""COMPUTED_VALUE"""),"https://www.sortlist.com/paid-media#:~:text=Instead%20of%20traditional%20agencies%20that%20bill%20per,marketing%20across%20all%20key%20channels%20and%20disciplines.")</f>
        <v>https://www.sortlist.com/paid-media#:~:text=Instead%20of%20traditional%20agencies%20that%20bill%20per,marketing%20across%20all%20key%20channels%20and%20disciplines.</v>
      </c>
      <c r="B17" s="11" t="str">
        <f>IFERROR(__xludf.DUMMYFUNCTION("""COMPUTED_VALUE"""),"The 100 Best Paid Media Agencies - 2026 Reviews")</f>
        <v>The 100 Best Paid Media Agencies - 2026 Reviews</v>
      </c>
      <c r="C17" s="10" t="str">
        <f>IFERROR(__xludf.DUMMYFUNCTION("""COMPUTED_VALUE"""),"sortlist.com")</f>
        <v>sortlist.com</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IFERROR(__xludf.DUMMYFUNCTION("""COMPUTED_VALUE"""),"NinjaPromo, Triple Whale, Northbeam, HockeyStack")</f>
        <v>NinjaPromo, Triple Whale, Northbeam, HockeyStack</v>
      </c>
      <c r="I17" s="11">
        <f>IFERROR(__xludf.DUMMYFUNCTION("""COMPUTED_VALUE"""),1.0)</f>
        <v>1</v>
      </c>
      <c r="J17" s="11">
        <f>IFERROR(__xludf.DUMMYFUNCTION("""COMPUTED_VALUE"""),0.0)</f>
        <v>0</v>
      </c>
      <c r="K17" s="11">
        <f>IFERROR(__xludf.DUMMYFUNCTION("""COMPUTED_VALUE"""),2.0)</f>
        <v>2</v>
      </c>
    </row>
    <row r="18" ht="15.75" customHeight="1">
      <c r="A18" s="10" t="str">
        <f>IFERROR(__xludf.DUMMYFUNCTION("""COMPUTED_VALUE"""),"https://www.sortlist.com/performance-marketing")</f>
        <v>https://www.sortlist.com/performance-marketing</v>
      </c>
      <c r="B18" s="11" t="str">
        <f>IFERROR(__xludf.DUMMYFUNCTION("""COMPUTED_VALUE"""),"The 100 Best Performance Marketing Agencies - 2026 Reviews")</f>
        <v>The 100 Best Performance Marketing Agencies - 2026 Reviews</v>
      </c>
      <c r="C18" s="10" t="str">
        <f>IFERROR(__xludf.DUMMYFUNCTION("""COMPUTED_VALUE"""),"sortlist.com")</f>
        <v>sortlist.com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IFERROR(__xludf.DUMMYFUNCTION("""COMPUTED_VALUE"""),"Triple Whale, Northbeam, HockeyStack, Measured")</f>
        <v>Triple Whale, Northbeam, HockeyStack, Measured</v>
      </c>
      <c r="I18" s="11">
        <f>IFERROR(__xludf.DUMMYFUNCTION("""COMPUTED_VALUE"""),1.0)</f>
        <v>1</v>
      </c>
      <c r="J18" s="11">
        <f>IFERROR(__xludf.DUMMYFUNCTION("""COMPUTED_VALUE"""),0.0)</f>
        <v>0</v>
      </c>
      <c r="K18" s="11">
        <f>IFERROR(__xludf.DUMMYFUNCTION("""COMPUTED_VALUE"""),0.0)</f>
        <v>0</v>
      </c>
    </row>
    <row r="19" ht="15.75" customHeight="1">
      <c r="A19" s="10" t="str">
        <f>IFERROR(__xludf.DUMMYFUNCTION("""COMPUTED_VALUE"""),"https://www.sortlist.com/s/artificial-intelligence/united-states-us")</f>
        <v>https://www.sortlist.com/s/artificial-intelligence/united-states-us</v>
      </c>
      <c r="B19" s="11" t="str">
        <f>IFERROR(__xludf.DUMMYFUNCTION("""COMPUTED_VALUE"""),"The 10 Best Artificial Intelligence Agencies in the United States - 2026 Reviews")</f>
        <v>The 10 Best Artificial Intelligence Agencies in the United States - 2026 Reviews</v>
      </c>
      <c r="C19" s="10" t="str">
        <f>IFERROR(__xludf.DUMMYFUNCTION("""COMPUTED_VALUE"""),"sortlist.com")</f>
        <v>sortlist.com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IFERROR(__xludf.DUMMYFUNCTION("""COMPUTED_VALUE"""),"Clutch")</f>
        <v>Clutch</v>
      </c>
      <c r="I19" s="11">
        <f>IFERROR(__xludf.DUMMYFUNCTION("""COMPUTED_VALUE"""),1.0)</f>
        <v>1</v>
      </c>
      <c r="J19" s="11">
        <f>IFERROR(__xludf.DUMMYFUNCTION("""COMPUTED_VALUE"""),0.0)</f>
        <v>0</v>
      </c>
      <c r="K19" s="11">
        <f>IFERROR(__xludf.DUMMYFUNCTION("""COMPUTED_VALUE"""),0.0)</f>
        <v>0</v>
      </c>
    </row>
    <row r="20" ht="15.75" customHeight="1">
      <c r="A20" s="10" t="str">
        <f>IFERROR(__xludf.DUMMYFUNCTION("""COMPUTED_VALUE"""),"https://www.sortlist.com/s/display-advertising/los-angeles-ca-us")</f>
        <v>https://www.sortlist.com/s/display-advertising/los-angeles-ca-us</v>
      </c>
      <c r="B20" s="11" t="str">
        <f>IFERROR(__xludf.DUMMYFUNCTION("""COMPUTED_VALUE"""),"The 10 Best Display Advertising Agencies in Los Angeles, CA - 2026 Reviews")</f>
        <v>The 10 Best Display Advertising Agencies in Los Angeles, CA - 2026 Reviews</v>
      </c>
      <c r="C20" s="10" t="str">
        <f>IFERROR(__xludf.DUMMYFUNCTION("""COMPUTED_VALUE"""),"sortlist.com")</f>
        <v>sortlist.com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IFERROR(__xludf.DUMMYFUNCTION("""COMPUTED_VALUE"""),"NinjaPromo, IBM, Clutch, Clay")</f>
        <v>NinjaPromo, IBM, Clutch, Clay</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IFERROR(__xludf.DUMMYFUNCTION("""COMPUTED_VALUE"""),"https://www.sortlist.com/s/display-advertising/nashville-tn-us")</f>
        <v>https://www.sortlist.com/s/display-advertising/nashville-tn-us</v>
      </c>
      <c r="B21" s="11" t="str">
        <f>IFERROR(__xludf.DUMMYFUNCTION("""COMPUTED_VALUE"""),"The 10 Best Display Advertising Agencies in Nashville - 2026 Reviews")</f>
        <v>The 10 Best Display Advertising Agencies in Nashville - 2026 Reviews</v>
      </c>
      <c r="C21" s="10" t="str">
        <f>IFERROR(__xludf.DUMMYFUNCTION("""COMPUTED_VALUE"""),"sortlist.com")</f>
        <v>sortlist.com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IFERROR(__xludf.DUMMYFUNCTION("""COMPUTED_VALUE"""),"NinjaPromo, IBM, Clutch, Clay, Nielsen")</f>
        <v>NinjaPromo, IBM, Clutch, Clay, Nielsen</v>
      </c>
      <c r="I21" s="11">
        <f>IFERROR(__xludf.DUMMYFUNCTION("""COMPUTED_VALUE"""),1.0)</f>
        <v>1</v>
      </c>
      <c r="J21" s="11">
        <f>IFERROR(__xludf.DUMMYFUNCTION("""COMPUTED_VALUE"""),0.0)</f>
        <v>0</v>
      </c>
      <c r="K21" s="11">
        <f>IFERROR(__xludf.DUMMYFUNCTION("""COMPUTED_VALUE"""),0.0)</f>
        <v>0</v>
      </c>
    </row>
    <row r="22" ht="15.75" customHeight="1">
      <c r="A22" s="10" t="str">
        <f>IFERROR(__xludf.DUMMYFUNCTION("""COMPUTED_VALUE"""),"https://www.sortlist.com/s/performance-marketing/atlanta-ga-us")</f>
        <v>https://www.sortlist.com/s/performance-marketing/atlanta-ga-us</v>
      </c>
      <c r="B22" s="11" t="str">
        <f>IFERROR(__xludf.DUMMYFUNCTION("""COMPUTED_VALUE"""),"The 10 Best Performance Marketing Agencies in Atlanta, GA - 2026 Reviews")</f>
        <v>The 10 Best Performance Marketing Agencies in Atlanta, GA - 2026 Reviews</v>
      </c>
      <c r="C22" s="10" t="str">
        <f>IFERROR(__xludf.DUMMYFUNCTION("""COMPUTED_VALUE"""),"sortlist.com")</f>
        <v>sortlist.com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IFERROR(__xludf.DUMMYFUNCTION("""COMPUTED_VALUE"""),"IBM, Clutch, Clay, Anomaly")</f>
        <v>IBM, Clutch, Clay, Anomaly</v>
      </c>
      <c r="I22" s="11">
        <f>IFERROR(__xludf.DUMMYFUNCTION("""COMPUTED_VALUE"""),1.0)</f>
        <v>1</v>
      </c>
      <c r="J22" s="11">
        <f>IFERROR(__xludf.DUMMYFUNCTION("""COMPUTED_VALUE"""),0.0)</f>
        <v>0</v>
      </c>
      <c r="K22" s="11">
        <f>IFERROR(__xludf.DUMMYFUNCTION("""COMPUTED_VALUE"""),0.0)</f>
        <v>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location=":~:text=Instead%20of%20traditional%20agencies%20that%20bill%20per,marketing%20across%20all%20key%20channels%20and%20disciplines."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s>
  <drawing r:id="rId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All'!A2:A1000)),""clutch.co"")
  ),
  """"
)"),"https://clutch.co/us/agencies")</f>
        <v>https://clutch.co/us/agencies</v>
      </c>
      <c r="B2" s="11" t="str">
        <f>IFERROR(__xludf.DUMMYFUNCTION("""COMPUTED_VALUE"""),"Top Advertising Agencies in the United States - Jul 2026 Rankings \| Clutch.co")</f>
        <v>Top Advertising Agencies in the United States - Jul 2026 Rankings \| Clutch.co</v>
      </c>
      <c r="C2" s="10" t="str">
        <f>IFERROR(__xludf.DUMMYFUNCTION("""COMPUTED_VALUE"""),"clutch.co")</f>
        <v>clutch.co</v>
      </c>
      <c r="D2" s="11" t="str">
        <f>IFERROR(__xludf.DUMMYFUNCTION("""COMPUTED_VALUE"""),"CATEGORY_PAGE")</f>
        <v>CATEGORY_PAGE</v>
      </c>
      <c r="E2" s="11" t="str">
        <f>IFERROR(__xludf.DUMMYFUNCTION("""COMPUTED_VALUE"""),"COMPETITOR")</f>
        <v>COMPETITOR</v>
      </c>
      <c r="F2" s="11" t="str">
        <f>IFERROR(__xludf.DUMMYFUNCTION("""COMPUTED_VALUE"""),"Category Page")</f>
        <v>Category Page</v>
      </c>
      <c r="G2" s="11" t="b">
        <f>IFERROR(__xludf.DUMMYFUNCTION("""COMPUTED_VALUE"""),FALSE)</f>
        <v>0</v>
      </c>
      <c r="H2" s="11" t="str">
        <f>IFERROR(__xludf.DUMMYFUNCTION("""COMPUTED_VALUE"""),"Clutch, SmartSites, WebFX, Ignite Visibility, Momentum, NinjaPromo, KlientBoost, AdVenture Media, Sociallyin, Funnel Boost Media")</f>
        <v>Clutch, SmartSites, WebFX, Ignite Visibility, Momentum, NinjaPromo, KlientBoost, AdVenture Media, Sociallyin, Funnel Boost Media</v>
      </c>
      <c r="I2" s="11">
        <f>IFERROR(__xludf.DUMMYFUNCTION("""COMPUTED_VALUE"""),87.0)</f>
        <v>87</v>
      </c>
      <c r="J2" s="11">
        <f>IFERROR(__xludf.DUMMYFUNCTION("""COMPUTED_VALUE"""),0.09)</f>
        <v>0.09</v>
      </c>
      <c r="K2" s="11">
        <f>IFERROR(__xludf.DUMMYFUNCTION("""COMPUTED_VALUE"""),0.26)</f>
        <v>0.26</v>
      </c>
    </row>
    <row r="3" ht="15.75" customHeight="1">
      <c r="A3" s="10" t="str">
        <f>IFERROR(__xludf.DUMMYFUNCTION("""COMPUTED_VALUE"""),"https://clutch.co/us/agencies/digital-marketing")</f>
        <v>https://clutch.co/us/agencies/digital-marketing</v>
      </c>
      <c r="B3" s="11" t="str">
        <f>IFERROR(__xludf.DUMMYFUNCTION("""COMPUTED_VALUE"""),"Top Digital Marketing Agencies in the United States - Jul 2026 Rankings \| Clutch.co")</f>
        <v>Top Digital Marketing Agencies in the United States - Jul 2026 Rankings \| Clutch.co</v>
      </c>
      <c r="C3" s="10" t="str">
        <f>IFERROR(__xludf.DUMMYFUNCTION("""COMPUTED_VALUE"""),"clutch.co")</f>
        <v>clutch.co</v>
      </c>
      <c r="D3" s="11" t="str">
        <f>IFERROR(__xludf.DUMMYFUNCTION("""COMPUTED_VALUE"""),"CATEGORY_PAGE")</f>
        <v>CATEGORY_PAGE</v>
      </c>
      <c r="E3" s="11" t="str">
        <f>IFERROR(__xludf.DUMMYFUNCTION("""COMPUTED_VALUE"""),"COMPETITOR")</f>
        <v>COMPETITOR</v>
      </c>
      <c r="F3" s="11" t="str">
        <f>IFERROR(__xludf.DUMMYFUNCTION("""COMPUTED_VALUE"""),"Category Page")</f>
        <v>Category Page</v>
      </c>
      <c r="G3" s="11" t="b">
        <f>IFERROR(__xludf.DUMMYFUNCTION("""COMPUTED_VALUE"""),FALSE)</f>
        <v>0</v>
      </c>
      <c r="H3"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3" s="11">
        <f>IFERROR(__xludf.DUMMYFUNCTION("""COMPUTED_VALUE"""),86.0)</f>
        <v>86</v>
      </c>
      <c r="J3" s="11">
        <f>IFERROR(__xludf.DUMMYFUNCTION("""COMPUTED_VALUE"""),0.08)</f>
        <v>0.08</v>
      </c>
      <c r="K3" s="11">
        <f>IFERROR(__xludf.DUMMYFUNCTION("""COMPUTED_VALUE"""),0.78)</f>
        <v>0.78</v>
      </c>
    </row>
    <row r="4" ht="15.75" customHeight="1">
      <c r="A4" s="10" t="str">
        <f>IFERROR(__xludf.DUMMYFUNCTION("""COMPUTED_VALUE"""),"https://clutch.co/us/agencies/creative")</f>
        <v>https://clutch.co/us/agencies/creative</v>
      </c>
      <c r="B4" s="11" t="str">
        <f>IFERROR(__xludf.DUMMYFUNCTION("""COMPUTED_VALUE"""),"Top Creative Agencies in the United States - Jul 2026 Rankings | Clutch.co")</f>
        <v>Top Creative Agencies in the United States - Jul 2026 Rankings | Clutch.co</v>
      </c>
      <c r="C4" s="10" t="str">
        <f>IFERROR(__xludf.DUMMYFUNCTION("""COMPUTED_VALUE"""),"clutch.co")</f>
        <v>clutch.co</v>
      </c>
      <c r="D4" s="11" t="str">
        <f>IFERROR(__xludf.DUMMYFUNCTION("""COMPUTED_VALUE"""),"CATEGORY_PAGE")</f>
        <v>CATEGORY_PAGE</v>
      </c>
      <c r="E4" s="11" t="str">
        <f>IFERROR(__xludf.DUMMYFUNCTION("""COMPUTED_VALUE"""),"COMPETITOR")</f>
        <v>COMPETITOR</v>
      </c>
      <c r="F4" s="11" t="str">
        <f>IFERROR(__xludf.DUMMYFUNCTION("""COMPUTED_VALUE"""),"Category Page")</f>
        <v>Category Page</v>
      </c>
      <c r="G4" s="11" t="b">
        <f>IFERROR(__xludf.DUMMYFUNCTION("""COMPUTED_VALUE"""),FALSE)</f>
        <v>0</v>
      </c>
      <c r="H4" s="11" t="str">
        <f>IFERROR(__xludf.DUMMYFUNCTION("""COMPUTED_VALUE"""),"Clutch, Clay, Huge")</f>
        <v>Clutch, Clay, Huge</v>
      </c>
      <c r="I4" s="11">
        <f>IFERROR(__xludf.DUMMYFUNCTION("""COMPUTED_VALUE"""),39.0)</f>
        <v>39</v>
      </c>
      <c r="J4" s="11">
        <f>IFERROR(__xludf.DUMMYFUNCTION("""COMPUTED_VALUE"""),0.04)</f>
        <v>0.04</v>
      </c>
      <c r="K4" s="11">
        <f>IFERROR(__xludf.DUMMYFUNCTION("""COMPUTED_VALUE"""),0.54)</f>
        <v>0.54</v>
      </c>
    </row>
    <row r="5" ht="15.75" customHeight="1">
      <c r="A5" s="10" t="str">
        <f>IFERROR(__xludf.DUMMYFUNCTION("""COMPUTED_VALUE"""),"https://clutch.co/us/agencies/ppc/display#:~:text=The%20agency%20consistently%20received%20high%20ratings%20for,2%20of%202%20reviews%20are%205%20stars.")</f>
        <v>https://clutch.co/us/agencies/ppc/display#:~:text=The%20agency%20consistently%20received%20high%20ratings%20for,2%20of%202%20reviews%20are%205%20stars.</v>
      </c>
      <c r="B5" s="11" t="str">
        <f>IFERROR(__xludf.DUMMYFUNCTION("""COMPUTED_VALUE"""),"Top Display Advertising Agencies in the United States - Jul 2026 Rankings \| Clutch.co")</f>
        <v>Top Display Advertising Agencies in the United States - Jul 2026 Rankings \| Clutch.co</v>
      </c>
      <c r="C5" s="10" t="str">
        <f>IFERROR(__xludf.DUMMYFUNCTION("""COMPUTED_VALUE"""),"clutch.co")</f>
        <v>clutch.co</v>
      </c>
      <c r="D5" s="11" t="str">
        <f>IFERROR(__xludf.DUMMYFUNCTION("""COMPUTED_VALUE"""),"OTHER")</f>
        <v>OTHER</v>
      </c>
      <c r="E5" s="11" t="str">
        <f>IFERROR(__xludf.DUMMYFUNCTION("""COMPUTED_VALUE"""),"COMPETITOR")</f>
        <v>COMPETITOR</v>
      </c>
      <c r="F5" s="11" t="str">
        <f>IFERROR(__xludf.DUMMYFUNCTION("""COMPUTED_VALUE"""),"Other")</f>
        <v>Other</v>
      </c>
      <c r="G5" s="11" t="b">
        <f>IFERROR(__xludf.DUMMYFUNCTION("""COMPUTED_VALUE"""),FALSE)</f>
        <v>0</v>
      </c>
      <c r="H5" s="11" t="str">
        <f>IFERROR(__xludf.DUMMYFUNCTION("""COMPUTED_VALUE"""),"Clutch, Elit-Web, AdVenture Media, Storm Brain")</f>
        <v>Clutch, Elit-Web, AdVenture Media, Storm Brain</v>
      </c>
      <c r="I5" s="11">
        <f>IFERROR(__xludf.DUMMYFUNCTION("""COMPUTED_VALUE"""),33.0)</f>
        <v>33</v>
      </c>
      <c r="J5" s="11">
        <f>IFERROR(__xludf.DUMMYFUNCTION("""COMPUTED_VALUE"""),0.03)</f>
        <v>0.03</v>
      </c>
      <c r="K5" s="11">
        <f>IFERROR(__xludf.DUMMYFUNCTION("""COMPUTED_VALUE"""),0.94)</f>
        <v>0.94</v>
      </c>
    </row>
    <row r="6" ht="15.75" customHeight="1">
      <c r="A6" s="10" t="str">
        <f>IFERROR(__xludf.DUMMYFUNCTION("""COMPUTED_VALUE"""),"https://clutch.co/us/agencies/ppc")</f>
        <v>https://clutch.co/us/agencies/ppc</v>
      </c>
      <c r="B6" s="11" t="str">
        <f>IFERROR(__xludf.DUMMYFUNCTION("""COMPUTED_VALUE"""),"Top PPC Companies in the United States - Jul 2026 Rankings | Clutch.co")</f>
        <v>Top PPC Companies in the United States - Jul 2026 Rankings | Clutch.co</v>
      </c>
      <c r="C6" s="10" t="str">
        <f>IFERROR(__xludf.DUMMYFUNCTION("""COMPUTED_VALUE"""),"clutch.co")</f>
        <v>clutch.co</v>
      </c>
      <c r="D6" s="11" t="str">
        <f>IFERROR(__xludf.DUMMYFUNCTION("""COMPUTED_VALUE"""),"CATEGORY_PAGE")</f>
        <v>CATEGORY_PAGE</v>
      </c>
      <c r="E6" s="11" t="str">
        <f>IFERROR(__xludf.DUMMYFUNCTION("""COMPUTED_VALUE"""),"COMPETITOR")</f>
        <v>COMPETITOR</v>
      </c>
      <c r="F6" s="11" t="str">
        <f>IFERROR(__xludf.DUMMYFUNCTION("""COMPUTED_VALUE"""),"Category Page")</f>
        <v>Category Page</v>
      </c>
      <c r="G6" s="11" t="b">
        <f>IFERROR(__xludf.DUMMYFUNCTION("""COMPUTED_VALUE"""),FALSE)</f>
        <v>0</v>
      </c>
      <c r="H6" s="11" t="str">
        <f>IFERROR(__xludf.DUMMYFUNCTION("""COMPUTED_VALUE"""),"Clutch, KlientBoost, Disruptive Advertising, AdVenture Media, HawkSEM, SmartSites, Intero Digital, Elit-Web, Searchbloom, Acadia, Ignite Visibility, Storm Brain, Funnel Boost Media")</f>
        <v>Clutch, KlientBoost, Disruptive Advertising, AdVenture Media, HawkSEM, SmartSites, Intero Digital, Elit-Web, Searchbloom, Acadia, Ignite Visibility, Storm Brain, Funnel Boost Media</v>
      </c>
      <c r="I6" s="11">
        <f>IFERROR(__xludf.DUMMYFUNCTION("""COMPUTED_VALUE"""),31.0)</f>
        <v>31</v>
      </c>
      <c r="J6" s="11">
        <f>IFERROR(__xludf.DUMMYFUNCTION("""COMPUTED_VALUE"""),0.03)</f>
        <v>0.03</v>
      </c>
      <c r="K6" s="11">
        <f>IFERROR(__xludf.DUMMYFUNCTION("""COMPUTED_VALUE"""),1.03)</f>
        <v>1.03</v>
      </c>
    </row>
    <row r="7" ht="15.75" customHeight="1">
      <c r="A7" s="10" t="str">
        <f>IFERROR(__xludf.DUMMYFUNCTION("""COMPUTED_VALUE"""),"https://clutch.co/us/agencies/social-media-marketing")</f>
        <v>https://clutch.co/us/agencies/social-media-marketing</v>
      </c>
      <c r="B7" s="11" t="str">
        <f>IFERROR(__xludf.DUMMYFUNCTION("""COMPUTED_VALUE"""),"Top Social Media Marketing Companies in the United States - Jul 2026 Rankings \| Clutch.co")</f>
        <v>Top Social Media Marketing Companies in the United States - Jul 2026 Rankings \| Clutch.co</v>
      </c>
      <c r="C7" s="10" t="str">
        <f>IFERROR(__xludf.DUMMYFUNCTION("""COMPUTED_VALUE"""),"clutch.co")</f>
        <v>clutch.co</v>
      </c>
      <c r="D7" s="11" t="str">
        <f>IFERROR(__xludf.DUMMYFUNCTION("""COMPUTED_VALUE"""),"CATEGORY_PAGE")</f>
        <v>CATEGORY_PAGE</v>
      </c>
      <c r="E7" s="11" t="str">
        <f>IFERROR(__xludf.DUMMYFUNCTION("""COMPUTED_VALUE"""),"COMPETITOR")</f>
        <v>COMPETITOR</v>
      </c>
      <c r="F7" s="11" t="str">
        <f>IFERROR(__xludf.DUMMYFUNCTION("""COMPUTED_VALUE"""),"Category Page")</f>
        <v>Category Page</v>
      </c>
      <c r="G7" s="11" t="b">
        <f>IFERROR(__xludf.DUMMYFUNCTION("""COMPUTED_VALUE"""),FALSE)</f>
        <v>0</v>
      </c>
      <c r="H7" s="11" t="str">
        <f>IFERROR(__xludf.DUMMYFUNCTION("""COMPUTED_VALUE"""),"Clutch, Sociallyin, LYFE Marketing, SmartSites, Ignite Visibility, Elit-Web, KlientBoost, Disruptive Advertising, AdVenture Media, HawkSEM")</f>
        <v>Clutch, Sociallyin, LYFE Marketing, SmartSites, Ignite Visibility, Elit-Web, KlientBoost, Disruptive Advertising, AdVenture Media, HawkSEM</v>
      </c>
      <c r="I7" s="11">
        <f>IFERROR(__xludf.DUMMYFUNCTION("""COMPUTED_VALUE"""),29.0)</f>
        <v>29</v>
      </c>
      <c r="J7" s="11">
        <f>IFERROR(__xludf.DUMMYFUNCTION("""COMPUTED_VALUE"""),0.03)</f>
        <v>0.03</v>
      </c>
      <c r="K7" s="11">
        <f>IFERROR(__xludf.DUMMYFUNCTION("""COMPUTED_VALUE"""),0.93)</f>
        <v>0.93</v>
      </c>
    </row>
    <row r="8" ht="15.75" customHeight="1">
      <c r="A8" s="10" t="str">
        <f>IFERROR(__xludf.DUMMYFUNCTION("""COMPUTED_VALUE"""),"https://clutch.co/us/agencies/ppc/advertising-industry")</f>
        <v>https://clutch.co/us/agencies/ppc/advertising-industry</v>
      </c>
      <c r="B8" s="11" t="str">
        <f>IFERROR(__xludf.DUMMYFUNCTION("""COMPUTED_VALUE"""),"Top PPC Agencies for Ad Agencies in the United States - Jul 2026 Rankings \| Clutch.co")</f>
        <v>Top PPC Agencies for Ad Agencies in the United States - Jul 2026 Rankings \| Clutch.co</v>
      </c>
      <c r="C8" s="10" t="str">
        <f>IFERROR(__xludf.DUMMYFUNCTION("""COMPUTED_VALUE"""),"clutch.co")</f>
        <v>clutch.co</v>
      </c>
      <c r="D8" s="11" t="str">
        <f>IFERROR(__xludf.DUMMYFUNCTION("""COMPUTED_VALUE"""),"CATEGORY_PAGE")</f>
        <v>CATEGORY_PAGE</v>
      </c>
      <c r="E8" s="11" t="str">
        <f>IFERROR(__xludf.DUMMYFUNCTION("""COMPUTED_VALUE"""),"COMPETITOR")</f>
        <v>COMPETITOR</v>
      </c>
      <c r="F8" s="11" t="str">
        <f>IFERROR(__xludf.DUMMYFUNCTION("""COMPUTED_VALUE"""),"Category Page")</f>
        <v>Category Page</v>
      </c>
      <c r="G8" s="11" t="b">
        <f>IFERROR(__xludf.DUMMYFUNCTION("""COMPUTED_VALUE"""),FALSE)</f>
        <v>0</v>
      </c>
      <c r="H8" s="11" t="str">
        <f>IFERROR(__xludf.DUMMYFUNCTION("""COMPUTED_VALUE"""),"Clutch, AdVenture Media, Disruptive Advertising, KlientBoost, LYFE Marketing")</f>
        <v>Clutch, AdVenture Media, Disruptive Advertising, KlientBoost, LYFE Marketing</v>
      </c>
      <c r="I8" s="11">
        <f>IFERROR(__xludf.DUMMYFUNCTION("""COMPUTED_VALUE"""),28.0)</f>
        <v>28</v>
      </c>
      <c r="J8" s="11">
        <f>IFERROR(__xludf.DUMMYFUNCTION("""COMPUTED_VALUE"""),0.03)</f>
        <v>0.03</v>
      </c>
      <c r="K8" s="11">
        <f>IFERROR(__xludf.DUMMYFUNCTION("""COMPUTED_VALUE"""),0.21)</f>
        <v>0.21</v>
      </c>
    </row>
    <row r="9" ht="15.75" customHeight="1">
      <c r="A9" s="10" t="str">
        <f>IFERROR(__xludf.DUMMYFUNCTION("""COMPUTED_VALUE"""),"https://clutch.co/agencies")</f>
        <v>https://clutch.co/agencies</v>
      </c>
      <c r="B9" s="11" t="str">
        <f>IFERROR(__xludf.DUMMYFUNCTION("""COMPUTED_VALUE"""),"Top Advertising Agencies &amp;amp; Marketing Companies - Jul 2026 Rankings | Clutch.co")</f>
        <v>Top Advertising Agencies &amp;amp; Marketing Companies - Jul 2026 Rankings | Clutch.co</v>
      </c>
      <c r="C9" s="10" t="str">
        <f>IFERROR(__xludf.DUMMYFUNCTION("""COMPUTED_VALUE"""),"clutch.co")</f>
        <v>clutch.co</v>
      </c>
      <c r="D9" s="11" t="str">
        <f>IFERROR(__xludf.DUMMYFUNCTION("""COMPUTED_VALUE"""),"CATEGORY_PAGE")</f>
        <v>CATEGORY_PAGE</v>
      </c>
      <c r="E9" s="11" t="str">
        <f>IFERROR(__xludf.DUMMYFUNCTION("""COMPUTED_VALUE"""),"COMPETITOR")</f>
        <v>COMPETITOR</v>
      </c>
      <c r="F9" s="11" t="str">
        <f>IFERROR(__xludf.DUMMYFUNCTION("""COMPUTED_VALUE"""),"Category Page")</f>
        <v>Category Page</v>
      </c>
      <c r="G9" s="11" t="b">
        <f>IFERROR(__xludf.DUMMYFUNCTION("""COMPUTED_VALUE"""),FALSE)</f>
        <v>0</v>
      </c>
      <c r="H9" s="11" t="str">
        <f>IFERROR(__xludf.DUMMYFUNCTION("""COMPUTED_VALUE"""),"Clutch, Power Digital, Ignite Visibility, SmartSites, LYFE Marketing, NinjaPromo, WebFX, KlientBoost, AdVenture Media, Sociallyin, Funnel Boost Media, The SEO Works")</f>
        <v>Clutch, Power Digital, Ignite Visibility, SmartSites, LYFE Marketing, NinjaPromo, WebFX, KlientBoost, AdVenture Media, Sociallyin, Funnel Boost Media, The SEO Works</v>
      </c>
      <c r="I9" s="11">
        <f>IFERROR(__xludf.DUMMYFUNCTION("""COMPUTED_VALUE"""),26.0)</f>
        <v>26</v>
      </c>
      <c r="J9" s="11">
        <f>IFERROR(__xludf.DUMMYFUNCTION("""COMPUTED_VALUE"""),0.03)</f>
        <v>0.03</v>
      </c>
      <c r="K9" s="11">
        <f>IFERROR(__xludf.DUMMYFUNCTION("""COMPUTED_VALUE"""),0.12)</f>
        <v>0.12</v>
      </c>
    </row>
    <row r="10" ht="15.75" customHeight="1">
      <c r="A10" s="10" t="str">
        <f>IFERROR(__xludf.DUMMYFUNCTION("""COMPUTED_VALUE"""),"https://clutch.co/agencies/ppc/display")</f>
        <v>https://clutch.co/agencies/ppc/display</v>
      </c>
      <c r="B10" s="11" t="str">
        <f>IFERROR(__xludf.DUMMYFUNCTION("""COMPUTED_VALUE"""),"Top Display Advertising Agencies - Jul 2026 Rankings | Clutch.co")</f>
        <v>Top Display Advertising Agencies - Jul 2026 Rankings | Clutch.co</v>
      </c>
      <c r="C10" s="10" t="str">
        <f>IFERROR(__xludf.DUMMYFUNCTION("""COMPUTED_VALUE"""),"clutch.co")</f>
        <v>clutch.co</v>
      </c>
      <c r="D10" s="11" t="str">
        <f>IFERROR(__xludf.DUMMYFUNCTION("""COMPUTED_VALUE"""),"CATEGORY_PAGE")</f>
        <v>CATEGORY_PAGE</v>
      </c>
      <c r="E10" s="11" t="str">
        <f>IFERROR(__xludf.DUMMYFUNCTION("""COMPUTED_VALUE"""),"COMPETITOR")</f>
        <v>COMPETITOR</v>
      </c>
      <c r="F10" s="11" t="str">
        <f>IFERROR(__xludf.DUMMYFUNCTION("""COMPUTED_VALUE"""),"Category Page")</f>
        <v>Category Page</v>
      </c>
      <c r="G10" s="11" t="b">
        <f>IFERROR(__xludf.DUMMYFUNCTION("""COMPUTED_VALUE"""),FALSE)</f>
        <v>0</v>
      </c>
      <c r="H10" s="11" t="str">
        <f>IFERROR(__xludf.DUMMYFUNCTION("""COMPUTED_VALUE"""),"Clutch, Elit-Web, AdVenture Media, NinjaPromo, Storm Brain, The SEO Works")</f>
        <v>Clutch, Elit-Web, AdVenture Media, NinjaPromo, Storm Brain, The SEO Works</v>
      </c>
      <c r="I10" s="11">
        <f>IFERROR(__xludf.DUMMYFUNCTION("""COMPUTED_VALUE"""),25.0)</f>
        <v>25</v>
      </c>
      <c r="J10" s="11">
        <f>IFERROR(__xludf.DUMMYFUNCTION("""COMPUTED_VALUE"""),0.02)</f>
        <v>0.02</v>
      </c>
      <c r="K10" s="11">
        <f>IFERROR(__xludf.DUMMYFUNCTION("""COMPUTED_VALUE"""),0.4)</f>
        <v>0.4</v>
      </c>
    </row>
    <row r="11" ht="15.75" customHeight="1">
      <c r="A11" s="10" t="str">
        <f>IFERROR(__xludf.DUMMYFUNCTION("""COMPUTED_VALUE"""),"https://clutch.co/agencies/performance-marketing")</f>
        <v>https://clutch.co/agencies/performance-marketing</v>
      </c>
      <c r="B11" s="11" t="str">
        <f>IFERROR(__xludf.DUMMYFUNCTION("""COMPUTED_VALUE"""),"Top Performance Marketing Agencies - Jul 2026 Rankings | Clutch.co")</f>
        <v>Top Performance Marketing Agencies - Jul 2026 Rankings | Clutch.co</v>
      </c>
      <c r="C11" s="10" t="str">
        <f>IFERROR(__xludf.DUMMYFUNCTION("""COMPUTED_VALUE"""),"clutch.co")</f>
        <v>clutch.co</v>
      </c>
      <c r="D11" s="11" t="str">
        <f>IFERROR(__xludf.DUMMYFUNCTION("""COMPUTED_VALUE"""),"CATEGORY_PAGE")</f>
        <v>CATEGORY_PAGE</v>
      </c>
      <c r="E11" s="11" t="str">
        <f>IFERROR(__xludf.DUMMYFUNCTION("""COMPUTED_VALUE"""),"COMPETITOR")</f>
        <v>COMPETITOR</v>
      </c>
      <c r="F11" s="11" t="str">
        <f>IFERROR(__xludf.DUMMYFUNCTION("""COMPUTED_VALUE"""),"Category Page")</f>
        <v>Category Page</v>
      </c>
      <c r="G11" s="11" t="b">
        <f>IFERROR(__xludf.DUMMYFUNCTION("""COMPUTED_VALUE"""),FALSE)</f>
        <v>0</v>
      </c>
      <c r="H11" s="11" t="str">
        <f>IFERROR(__xludf.DUMMYFUNCTION("""COMPUTED_VALUE"""),"Clutch, Disruptive Advertising, Accelerated Digital Media, Momentum, Web Tonic")</f>
        <v>Clutch, Disruptive Advertising, Accelerated Digital Media, Momentum, Web Tonic</v>
      </c>
      <c r="I11" s="11">
        <f>IFERROR(__xludf.DUMMYFUNCTION("""COMPUTED_VALUE"""),24.0)</f>
        <v>24</v>
      </c>
      <c r="J11" s="11">
        <f>IFERROR(__xludf.DUMMYFUNCTION("""COMPUTED_VALUE"""),0.02)</f>
        <v>0.02</v>
      </c>
      <c r="K11" s="11">
        <f>IFERROR(__xludf.DUMMYFUNCTION("""COMPUTED_VALUE"""),1.54)</f>
        <v>1.54</v>
      </c>
    </row>
    <row r="12" ht="15.75" customHeight="1">
      <c r="A12" s="10" t="str">
        <f>IFERROR(__xludf.DUMMYFUNCTION("""COMPUTED_VALUE"""),"https://clutch.co/us/seo-firms/generative-engine-optimization")</f>
        <v>https://clutch.co/us/seo-firms/generative-engine-optimization</v>
      </c>
      <c r="B12" s="11" t="str">
        <f>IFERROR(__xludf.DUMMYFUNCTION("""COMPUTED_VALUE"""),"Top Generative Engine Optimization (GEO) Agencies in the United States - Jul 2026 Rankings | Clutch.co")</f>
        <v>Top Generative Engine Optimization (GEO) Agencies in the United States - Jul 2026 Rankings | Clutch.co</v>
      </c>
      <c r="C12" s="10" t="str">
        <f>IFERROR(__xludf.DUMMYFUNCTION("""COMPUTED_VALUE"""),"clutch.co")</f>
        <v>clutch.co</v>
      </c>
      <c r="D12" s="11" t="str">
        <f>IFERROR(__xludf.DUMMYFUNCTION("""COMPUTED_VALUE"""),"CATEGORY_PAGE")</f>
        <v>CATEGORY_PAGE</v>
      </c>
      <c r="E12" s="11" t="str">
        <f>IFERROR(__xludf.DUMMYFUNCTION("""COMPUTED_VALUE"""),"COMPETITOR")</f>
        <v>COMPETITOR</v>
      </c>
      <c r="F12" s="11" t="str">
        <f>IFERROR(__xludf.DUMMYFUNCTION("""COMPUTED_VALUE"""),"Category Page")</f>
        <v>Category Page</v>
      </c>
      <c r="G12" s="11" t="b">
        <f>IFERROR(__xludf.DUMMYFUNCTION("""COMPUTED_VALUE"""),FALSE)</f>
        <v>0</v>
      </c>
      <c r="H12" s="11" t="str">
        <f>IFERROR(__xludf.DUMMYFUNCTION("""COMPUTED_VALUE"""),"Clutch, Funnel Boost Media, WebFX, Intero Digital, Ignite Visibility, Elit-Web, Victorious, HawkSEM, Siege Media, Thrive Internet Marketing Agency, RevenueZen, Go Fish Digital, Silverback Strategies")</f>
        <v>Clutch, Funnel Boost Media, WebFX, Intero Digital, Ignite Visibility, Elit-Web, Victorious, HawkSEM, Siege Media, Thrive Internet Marketing Agency, RevenueZen, Go Fish Digital, Silverback Strategies</v>
      </c>
      <c r="I12" s="11">
        <f>IFERROR(__xludf.DUMMYFUNCTION("""COMPUTED_VALUE"""),22.0)</f>
        <v>22</v>
      </c>
      <c r="J12" s="11">
        <f>IFERROR(__xludf.DUMMYFUNCTION("""COMPUTED_VALUE"""),0.02)</f>
        <v>0.02</v>
      </c>
      <c r="K12" s="11">
        <f>IFERROR(__xludf.DUMMYFUNCTION("""COMPUTED_VALUE"""),2.09)</f>
        <v>2.09</v>
      </c>
    </row>
    <row r="13" ht="15.75" customHeight="1">
      <c r="A13" s="10" t="str">
        <f>IFERROR(__xludf.DUMMYFUNCTION("""COMPUTED_VALUE"""),"https://clutch.co/us/consulting/ai/strategy")</f>
        <v>https://clutch.co/us/consulting/ai/strategy</v>
      </c>
      <c r="B13" s="11" t="str">
        <f>IFERROR(__xludf.DUMMYFUNCTION("""COMPUTED_VALUE"""),"Top AI Strategy Companies in the United States - Jul 2026 Rankings \| Clutch.co")</f>
        <v>Top AI Strategy Companies in the United States - Jul 2026 Rankings \| Clutch.co</v>
      </c>
      <c r="C13" s="10" t="str">
        <f>IFERROR(__xludf.DUMMYFUNCTION("""COMPUTED_VALUE"""),"clutch.co")</f>
        <v>clutch.co</v>
      </c>
      <c r="D13" s="11" t="str">
        <f>IFERROR(__xludf.DUMMYFUNCTION("""COMPUTED_VALUE"""),"CATEGORY_PAGE")</f>
        <v>CATEGORY_PAGE</v>
      </c>
      <c r="E13" s="11" t="str">
        <f>IFERROR(__xludf.DUMMYFUNCTION("""COMPUTED_VALUE"""),"COMPETITOR")</f>
        <v>COMPETITOR</v>
      </c>
      <c r="F13" s="11" t="str">
        <f>IFERROR(__xludf.DUMMYFUNCTION("""COMPUTED_VALUE"""),"Category Page")</f>
        <v>Category Page</v>
      </c>
      <c r="G13" s="11" t="b">
        <f>IFERROR(__xludf.DUMMYFUNCTION("""COMPUTED_VALUE"""),FALSE)</f>
        <v>0</v>
      </c>
      <c r="H13" s="11" t="str">
        <f>IFERROR(__xludf.DUMMYFUNCTION("""COMPUTED_VALUE"""),"Clutch, Go Fish Digital")</f>
        <v>Clutch, Go Fish Digital</v>
      </c>
      <c r="I13" s="11">
        <f>IFERROR(__xludf.DUMMYFUNCTION("""COMPUTED_VALUE"""),19.0)</f>
        <v>19</v>
      </c>
      <c r="J13" s="11">
        <f>IFERROR(__xludf.DUMMYFUNCTION("""COMPUTED_VALUE"""),0.02)</f>
        <v>0.02</v>
      </c>
      <c r="K13" s="11">
        <f>IFERROR(__xludf.DUMMYFUNCTION("""COMPUTED_VALUE"""),0.26)</f>
        <v>0.26</v>
      </c>
    </row>
    <row r="14" ht="15.75" customHeight="1">
      <c r="A14" s="10" t="str">
        <f>IFERROR(__xludf.DUMMYFUNCTION("""COMPUTED_VALUE"""),"https://clutch.co/agencies/social-media-marketing")</f>
        <v>https://clutch.co/agencies/social-media-marketing</v>
      </c>
      <c r="B14" s="11" t="str">
        <f>IFERROR(__xludf.DUMMYFUNCTION("""COMPUTED_VALUE"""),"Top Social Media Marketing Agencies - Jul 2026 Rankings | Clutch.co")</f>
        <v>Top Social Media Marketing Agencies - Jul 2026 Rankings | Clutch.co</v>
      </c>
      <c r="C14" s="10" t="str">
        <f>IFERROR(__xludf.DUMMYFUNCTION("""COMPUTED_VALUE"""),"clutch.co")</f>
        <v>clutch.co</v>
      </c>
      <c r="D14" s="11" t="str">
        <f>IFERROR(__xludf.DUMMYFUNCTION("""COMPUTED_VALUE"""),"CATEGORY_PAGE")</f>
        <v>CATEGORY_PAGE</v>
      </c>
      <c r="E14" s="11" t="str">
        <f>IFERROR(__xludf.DUMMYFUNCTION("""COMPUTED_VALUE"""),"COMPETITOR")</f>
        <v>COMPETITOR</v>
      </c>
      <c r="F14" s="11" t="str">
        <f>IFERROR(__xludf.DUMMYFUNCTION("""COMPUTED_VALUE"""),"Category Page")</f>
        <v>Category Page</v>
      </c>
      <c r="G14" s="11" t="b">
        <f>IFERROR(__xludf.DUMMYFUNCTION("""COMPUTED_VALUE"""),FALSE)</f>
        <v>0</v>
      </c>
      <c r="H14" s="11" t="str">
        <f>IFERROR(__xludf.DUMMYFUNCTION("""COMPUTED_VALUE"""),"Clutch, Sociallyin, LYFE Marketing, KlientBoost, Viral Nation, SmartSites, Huge, Ignite Visibility")</f>
        <v>Clutch, Sociallyin, LYFE Marketing, KlientBoost, Viral Nation, SmartSites, Huge, Ignite Visibility</v>
      </c>
      <c r="I14" s="11">
        <f>IFERROR(__xludf.DUMMYFUNCTION("""COMPUTED_VALUE"""),18.0)</f>
        <v>18</v>
      </c>
      <c r="J14" s="11">
        <f>IFERROR(__xludf.DUMMYFUNCTION("""COMPUTED_VALUE"""),0.02)</f>
        <v>0.02</v>
      </c>
      <c r="K14" s="11">
        <f>IFERROR(__xludf.DUMMYFUNCTION("""COMPUTED_VALUE"""),0.22)</f>
        <v>0.22</v>
      </c>
    </row>
    <row r="15" ht="15.75" customHeight="1">
      <c r="A15" s="10" t="str">
        <f>IFERROR(__xludf.DUMMYFUNCTION("""COMPUTED_VALUE"""),"https://clutch.co/agencies/creative")</f>
        <v>https://clutch.co/agencies/creative</v>
      </c>
      <c r="B15" s="11" t="str">
        <f>IFERROR(__xludf.DUMMYFUNCTION("""COMPUTED_VALUE"""),"Top Creative Agencies - Jul 2026 Rankings | Clutch.co")</f>
        <v>Top Creative Agencies - Jul 2026 Rankings | Clutch.co</v>
      </c>
      <c r="C15" s="10" t="str">
        <f>IFERROR(__xludf.DUMMYFUNCTION("""COMPUTED_VALUE"""),"clutch.co")</f>
        <v>clutch.co</v>
      </c>
      <c r="D15" s="11" t="str">
        <f>IFERROR(__xludf.DUMMYFUNCTION("""COMPUTED_VALUE"""),"CATEGORY_PAGE")</f>
        <v>CATEGORY_PAGE</v>
      </c>
      <c r="E15" s="11" t="str">
        <f>IFERROR(__xludf.DUMMYFUNCTION("""COMPUTED_VALUE"""),"COMPETITOR")</f>
        <v>COMPETITOR</v>
      </c>
      <c r="F15" s="11" t="str">
        <f>IFERROR(__xludf.DUMMYFUNCTION("""COMPUTED_VALUE"""),"Category Page")</f>
        <v>Category Page</v>
      </c>
      <c r="G15" s="11" t="b">
        <f>IFERROR(__xludf.DUMMYFUNCTION("""COMPUTED_VALUE"""),FALSE)</f>
        <v>0</v>
      </c>
      <c r="H15" s="11" t="str">
        <f>IFERROR(__xludf.DUMMYFUNCTION("""COMPUTED_VALUE"""),"Clutch, Clay, Momentum")</f>
        <v>Clutch, Clay, Momentum</v>
      </c>
      <c r="I15" s="11">
        <f>IFERROR(__xludf.DUMMYFUNCTION("""COMPUTED_VALUE"""),17.0)</f>
        <v>17</v>
      </c>
      <c r="J15" s="11">
        <f>IFERROR(__xludf.DUMMYFUNCTION("""COMPUTED_VALUE"""),0.02)</f>
        <v>0.02</v>
      </c>
      <c r="K15" s="11">
        <f>IFERROR(__xludf.DUMMYFUNCTION("""COMPUTED_VALUE"""),0.12)</f>
        <v>0.12</v>
      </c>
    </row>
    <row r="16" ht="15.75" customHeight="1">
      <c r="A16" s="10" t="str">
        <f>IFERROR(__xludf.DUMMYFUNCTION("""COMPUTED_VALUE"""),"https://clutch.co/us/agencies/media-buying")</f>
        <v>https://clutch.co/us/agencies/media-buying</v>
      </c>
      <c r="B16" s="11" t="str">
        <f>IFERROR(__xludf.DUMMYFUNCTION("""COMPUTED_VALUE"""),"Top Media Buying Agencies in the United States - Jul 2026 Rankings \| Clutch.co")</f>
        <v>Top Media Buying Agencies in the United States - Jul 2026 Rankings \| Clutch.co</v>
      </c>
      <c r="C16" s="10" t="str">
        <f>IFERROR(__xludf.DUMMYFUNCTION("""COMPUTED_VALUE"""),"clutch.co")</f>
        <v>clutch.co</v>
      </c>
      <c r="D16" s="11" t="str">
        <f>IFERROR(__xludf.DUMMYFUNCTION("""COMPUTED_VALUE"""),"CATEGORY_PAGE")</f>
        <v>CATEGORY_PAGE</v>
      </c>
      <c r="E16" s="11" t="str">
        <f>IFERROR(__xludf.DUMMYFUNCTION("""COMPUTED_VALUE"""),"COMPETITOR")</f>
        <v>COMPETITOR</v>
      </c>
      <c r="F16" s="11" t="str">
        <f>IFERROR(__xludf.DUMMYFUNCTION("""COMPUTED_VALUE"""),"Category Page")</f>
        <v>Category Page</v>
      </c>
      <c r="G16" s="11" t="b">
        <f>IFERROR(__xludf.DUMMYFUNCTION("""COMPUTED_VALUE"""),FALSE)</f>
        <v>0</v>
      </c>
      <c r="H16" s="11" t="str">
        <f>IFERROR(__xludf.DUMMYFUNCTION("""COMPUTED_VALUE"""),"Clutch, Accelerated Digital Media")</f>
        <v>Clutch, Accelerated Digital Media</v>
      </c>
      <c r="I16" s="11">
        <f>IFERROR(__xludf.DUMMYFUNCTION("""COMPUTED_VALUE"""),16.0)</f>
        <v>16</v>
      </c>
      <c r="J16" s="11">
        <f>IFERROR(__xludf.DUMMYFUNCTION("""COMPUTED_VALUE"""),0.02)</f>
        <v>0.02</v>
      </c>
      <c r="K16" s="11">
        <f>IFERROR(__xludf.DUMMYFUNCTION("""COMPUTED_VALUE"""),0.19)</f>
        <v>0.19</v>
      </c>
    </row>
    <row r="17" ht="15.75" customHeight="1">
      <c r="A17" s="10" t="str">
        <f>IFERROR(__xludf.DUMMYFUNCTION("""COMPUTED_VALUE"""),"https://clutch.co/us/consulting/ai")</f>
        <v>https://clutch.co/us/consulting/ai</v>
      </c>
      <c r="B17" s="11" t="str">
        <f>IFERROR(__xludf.DUMMYFUNCTION("""COMPUTED_VALUE"""),"Top AI Consultants in the United States - Jul 2026 Rankings \| Clutch.co")</f>
        <v>Top AI Consultants in the United States - Jul 2026 Rankings \| Clutch.co</v>
      </c>
      <c r="C17" s="10" t="str">
        <f>IFERROR(__xludf.DUMMYFUNCTION("""COMPUTED_VALUE"""),"clutch.co")</f>
        <v>clutch.co</v>
      </c>
      <c r="D17" s="11" t="str">
        <f>IFERROR(__xludf.DUMMYFUNCTION("""COMPUTED_VALUE"""),"CATEGORY_PAGE")</f>
        <v>CATEGORY_PAGE</v>
      </c>
      <c r="E17" s="11" t="str">
        <f>IFERROR(__xludf.DUMMYFUNCTION("""COMPUTED_VALUE"""),"COMPETITOR")</f>
        <v>COMPETITOR</v>
      </c>
      <c r="F17" s="11" t="str">
        <f>IFERROR(__xludf.DUMMYFUNCTION("""COMPUTED_VALUE"""),"Category Page")</f>
        <v>Category Page</v>
      </c>
      <c r="G17" s="11" t="b">
        <f>IFERROR(__xludf.DUMMYFUNCTION("""COMPUTED_VALUE"""),FALSE)</f>
        <v>0</v>
      </c>
      <c r="H17" s="11" t="str">
        <f>IFERROR(__xludf.DUMMYFUNCTION("""COMPUTED_VALUE"""),"Clutch, Momentum")</f>
        <v>Clutch, Momentum</v>
      </c>
      <c r="I17" s="11">
        <f>IFERROR(__xludf.DUMMYFUNCTION("""COMPUTED_VALUE"""),15.0)</f>
        <v>15</v>
      </c>
      <c r="J17" s="11">
        <f>IFERROR(__xludf.DUMMYFUNCTION("""COMPUTED_VALUE"""),0.01)</f>
        <v>0.01</v>
      </c>
      <c r="K17" s="11">
        <f>IFERROR(__xludf.DUMMYFUNCTION("""COMPUTED_VALUE"""),0.47)</f>
        <v>0.47</v>
      </c>
    </row>
    <row r="18" ht="15.75" customHeight="1">
      <c r="A18" s="10" t="str">
        <f>IFERROR(__xludf.DUMMYFUNCTION("""COMPUTED_VALUE"""),"https://clutch.co/agencies/digital-marketing")</f>
        <v>https://clutch.co/agencies/digital-marketing</v>
      </c>
      <c r="B18" s="11" t="str">
        <f>IFERROR(__xludf.DUMMYFUNCTION("""COMPUTED_VALUE"""),"Best Digital Marketing Agencies - Jul 2026 Rankings | Clutch.co")</f>
        <v>Best Digital Marketing Agencies - Jul 2026 Rankings | Clutch.co</v>
      </c>
      <c r="C18" s="10" t="str">
        <f>IFERROR(__xludf.DUMMYFUNCTION("""COMPUTED_VALUE"""),"clutch.co")</f>
        <v>clutch.co</v>
      </c>
      <c r="D18" s="11" t="str">
        <f>IFERROR(__xludf.DUMMYFUNCTION("""COMPUTED_VALUE"""),"CATEGORY_PAGE")</f>
        <v>CATEGORY_PAGE</v>
      </c>
      <c r="E18" s="11" t="str">
        <f>IFERROR(__xludf.DUMMYFUNCTION("""COMPUTED_VALUE"""),"COMPETITOR")</f>
        <v>COMPETITOR</v>
      </c>
      <c r="F18" s="11" t="str">
        <f>IFERROR(__xludf.DUMMYFUNCTION("""COMPUTED_VALUE"""),"Category Page")</f>
        <v>Category Page</v>
      </c>
      <c r="G18" s="11" t="b">
        <f>IFERROR(__xludf.DUMMYFUNCTION("""COMPUTED_VALUE"""),FALSE)</f>
        <v>0</v>
      </c>
      <c r="H18" s="11" t="str">
        <f>IFERROR(__xludf.DUMMYFUNCTION("""COMPUTED_VALUE"""),"Clutch, Ignite Visibility, Disruptive Advertising, Silverback Strategies, SmartSites, Power Digital, WebFX, Funnel Boost Media, Accelerated Digital Media, Thrive Internet Marketing Agency, Intero Digital, NinjaPromo, Elit-Web")</f>
        <v>Clutch, Ignite Visibility, Disruptive Advertising, Silverback Strategies, SmartSites, Power Digital, WebFX, Funnel Boost Media, Accelerated Digital Media, Thrive Internet Marketing Agency, Intero Digital, NinjaPromo, Elit-Web</v>
      </c>
      <c r="I18" s="11">
        <f>IFERROR(__xludf.DUMMYFUNCTION("""COMPUTED_VALUE"""),14.0)</f>
        <v>14</v>
      </c>
      <c r="J18" s="11">
        <f>IFERROR(__xludf.DUMMYFUNCTION("""COMPUTED_VALUE"""),0.01)</f>
        <v>0.01</v>
      </c>
      <c r="K18" s="11">
        <f>IFERROR(__xludf.DUMMYFUNCTION("""COMPUTED_VALUE"""),0.21)</f>
        <v>0.21</v>
      </c>
    </row>
    <row r="19" ht="15.75" customHeight="1">
      <c r="A19" s="10" t="str">
        <f>IFERROR(__xludf.DUMMYFUNCTION("""COMPUTED_VALUE"""),"https://clutch.co/us/agencies/ppc/google-adwords")</f>
        <v>https://clutch.co/us/agencies/ppc/google-adwords</v>
      </c>
      <c r="B19" s="11" t="str">
        <f>IFERROR(__xludf.DUMMYFUNCTION("""COMPUTED_VALUE"""),"Top Adwords PPC Agencies in the United States - Jul 2026 Rankings \| Clutch.co")</f>
        <v>Top Adwords PPC Agencies in the United States - Jul 2026 Rankings \| Clutch.co</v>
      </c>
      <c r="C19" s="10" t="str">
        <f>IFERROR(__xludf.DUMMYFUNCTION("""COMPUTED_VALUE"""),"clutch.co")</f>
        <v>clutch.co</v>
      </c>
      <c r="D19" s="11" t="str">
        <f>IFERROR(__xludf.DUMMYFUNCTION("""COMPUTED_VALUE"""),"CATEGORY_PAGE")</f>
        <v>CATEGORY_PAGE</v>
      </c>
      <c r="E19" s="11" t="str">
        <f>IFERROR(__xludf.DUMMYFUNCTION("""COMPUTED_VALUE"""),"COMPETITOR")</f>
        <v>COMPETITOR</v>
      </c>
      <c r="F19" s="11" t="str">
        <f>IFERROR(__xludf.DUMMYFUNCTION("""COMPUTED_VALUE"""),"Category Page")</f>
        <v>Category Page</v>
      </c>
      <c r="G19" s="11" t="b">
        <f>IFERROR(__xludf.DUMMYFUNCTION("""COMPUTED_VALUE"""),FALSE)</f>
        <v>0</v>
      </c>
      <c r="H19" s="11" t="str">
        <f>IFERROR(__xludf.DUMMYFUNCTION("""COMPUTED_VALUE"""),"Clutch, KlientBoost, Disruptive Advertising, AdVenture Media, HawkSEM, SmartSites, Intero Digital, Elit-Web, Accelerated Digital Media, Ignite Visibility, Searchbloom")</f>
        <v>Clutch, KlientBoost, Disruptive Advertising, AdVenture Media, HawkSEM, SmartSites, Intero Digital, Elit-Web, Accelerated Digital Media, Ignite Visibility, Searchbloom</v>
      </c>
      <c r="I19" s="11">
        <f>IFERROR(__xludf.DUMMYFUNCTION("""COMPUTED_VALUE"""),14.0)</f>
        <v>14</v>
      </c>
      <c r="J19" s="11">
        <f>IFERROR(__xludf.DUMMYFUNCTION("""COMPUTED_VALUE"""),0.01)</f>
        <v>0.01</v>
      </c>
      <c r="K19" s="11">
        <f>IFERROR(__xludf.DUMMYFUNCTION("""COMPUTED_VALUE"""),1.5)</f>
        <v>1.5</v>
      </c>
    </row>
    <row r="20" ht="15.75" customHeight="1">
      <c r="A20" s="10" t="str">
        <f>IFERROR(__xludf.DUMMYFUNCTION("""COMPUTED_VALUE"""),"https://clutch.co/agencies/ppc/google-adwords")</f>
        <v>https://clutch.co/agencies/ppc/google-adwords</v>
      </c>
      <c r="B20" s="11" t="str">
        <f>IFERROR(__xludf.DUMMYFUNCTION("""COMPUTED_VALUE"""),"Top Google Ads PPC Agencies - Jul 2026 Rankings \| Clutch.co")</f>
        <v>Top Google Ads PPC Agencies - Jul 2026 Rankings \| Clutch.co</v>
      </c>
      <c r="C20" s="10" t="str">
        <f>IFERROR(__xludf.DUMMYFUNCTION("""COMPUTED_VALUE"""),"clutch.co")</f>
        <v>clutch.co</v>
      </c>
      <c r="D20" s="11" t="str">
        <f>IFERROR(__xludf.DUMMYFUNCTION("""COMPUTED_VALUE"""),"CATEGORY_PAGE")</f>
        <v>CATEGORY_PAGE</v>
      </c>
      <c r="E20" s="11" t="str">
        <f>IFERROR(__xludf.DUMMYFUNCTION("""COMPUTED_VALUE"""),"COMPETITOR")</f>
        <v>COMPETITOR</v>
      </c>
      <c r="F20" s="11" t="str">
        <f>IFERROR(__xludf.DUMMYFUNCTION("""COMPUTED_VALUE"""),"Category Page")</f>
        <v>Category Page</v>
      </c>
      <c r="G20" s="11" t="b">
        <f>IFERROR(__xludf.DUMMYFUNCTION("""COMPUTED_VALUE"""),FALSE)</f>
        <v>0</v>
      </c>
      <c r="H20" s="11" t="str">
        <f>IFERROR(__xludf.DUMMYFUNCTION("""COMPUTED_VALUE"""),"Clutch, KlientBoost, SmartSites, HawkSEM, Silverback Strategies, Disruptive Advertising, AdVenture Media, Accelerated Digital Media, Intero Digital, Elit-Web, Ignite Visibility, Searchbloom")</f>
        <v>Clutch, KlientBoost, SmartSites, HawkSEM, Silverback Strategies, Disruptive Advertising, AdVenture Media, Accelerated Digital Media, Intero Digital, Elit-Web, Ignite Visibility, Searchbloom</v>
      </c>
      <c r="I20" s="11">
        <f>IFERROR(__xludf.DUMMYFUNCTION("""COMPUTED_VALUE"""),13.0)</f>
        <v>13</v>
      </c>
      <c r="J20" s="11">
        <f>IFERROR(__xludf.DUMMYFUNCTION("""COMPUTED_VALUE"""),0.01)</f>
        <v>0.01</v>
      </c>
      <c r="K20" s="11">
        <f>IFERROR(__xludf.DUMMYFUNCTION("""COMPUTED_VALUE"""),0.23)</f>
        <v>0.23</v>
      </c>
    </row>
    <row r="21" ht="15.75" customHeight="1">
      <c r="A21" s="10" t="str">
        <f>IFERROR(__xludf.DUMMYFUNCTION("""COMPUTED_VALUE"""),"https://clutch.co/us/agencies/ppc/display?page=2")</f>
        <v>https://clutch.co/us/agencies/ppc/display?page=2</v>
      </c>
      <c r="B21" s="11" t="str">
        <f>IFERROR(__xludf.DUMMYFUNCTION("""COMPUTED_VALUE"""),"Page 2 - Top Display Advertising Agencies in the United States - Jul 2026 Rankings | Clutch.co")</f>
        <v>Page 2 - Top Display Advertising Agencies in the United States - Jul 2026 Rankings | Clutch.co</v>
      </c>
      <c r="C21" s="10" t="str">
        <f>IFERROR(__xludf.DUMMYFUNCTION("""COMPUTED_VALUE"""),"clutch.co")</f>
        <v>clutch.co</v>
      </c>
      <c r="D21" s="11" t="str">
        <f>IFERROR(__xludf.DUMMYFUNCTION("""COMPUTED_VALUE"""),"CATEGORY_PAGE")</f>
        <v>CATEGORY_PAGE</v>
      </c>
      <c r="E21" s="11" t="str">
        <f>IFERROR(__xludf.DUMMYFUNCTION("""COMPUTED_VALUE"""),"COMPETITOR")</f>
        <v>COMPETITOR</v>
      </c>
      <c r="F21" s="11" t="str">
        <f>IFERROR(__xludf.DUMMYFUNCTION("""COMPUTED_VALUE"""),"Category Page")</f>
        <v>Category Page</v>
      </c>
      <c r="G21" s="11" t="b">
        <f>IFERROR(__xludf.DUMMYFUNCTION("""COMPUTED_VALUE"""),FALSE)</f>
        <v>0</v>
      </c>
      <c r="H21" s="11" t="str">
        <f>IFERROR(__xludf.DUMMYFUNCTION("""COMPUTED_VALUE"""),"Clutch, Go Fish Digital, NoGood, Tinuiti, Elit-Web, AdVenture Media, Storm Brain")</f>
        <v>Clutch, Go Fish Digital, NoGood, Tinuiti, Elit-Web, AdVenture Media, Storm Brain</v>
      </c>
      <c r="I21" s="11">
        <f>IFERROR(__xludf.DUMMYFUNCTION("""COMPUTED_VALUE"""),13.0)</f>
        <v>13</v>
      </c>
      <c r="J21" s="11">
        <f>IFERROR(__xludf.DUMMYFUNCTION("""COMPUTED_VALUE"""),0.01)</f>
        <v>0.01</v>
      </c>
      <c r="K21" s="11">
        <f>IFERROR(__xludf.DUMMYFUNCTION("""COMPUTED_VALUE"""),0.0)</f>
        <v>0</v>
      </c>
    </row>
    <row r="22" ht="15.75" customHeight="1">
      <c r="A22" s="10" t="str">
        <f>IFERROR(__xludf.DUMMYFUNCTION("""COMPUTED_VALUE"""),"https://clutch.co/us/agencies/ppc/display?page=8")</f>
        <v>https://clutch.co/us/agencies/ppc/display?page=8</v>
      </c>
      <c r="B22" s="11" t="str">
        <f>IFERROR(__xludf.DUMMYFUNCTION("""COMPUTED_VALUE"""),"Page 8 - Top Display Advertising Agencies in the United States - Jul 2026 Rankings | Clutch.co")</f>
        <v>Page 8 - Top Display Advertising Agencies in the United States - Jul 2026 Rankings | Clutch.co</v>
      </c>
      <c r="C22" s="10" t="str">
        <f>IFERROR(__xludf.DUMMYFUNCTION("""COMPUTED_VALUE"""),"clutch.co")</f>
        <v>clutch.co</v>
      </c>
      <c r="D22" s="11" t="str">
        <f>IFERROR(__xludf.DUMMYFUNCTION("""COMPUTED_VALUE"""),"CATEGORY_PAGE")</f>
        <v>CATEGORY_PAGE</v>
      </c>
      <c r="E22" s="11" t="str">
        <f>IFERROR(__xludf.DUMMYFUNCTION("""COMPUTED_VALUE"""),"COMPETITOR")</f>
        <v>COMPETITOR</v>
      </c>
      <c r="F22" s="11" t="str">
        <f>IFERROR(__xludf.DUMMYFUNCTION("""COMPUTED_VALUE"""),"Category Page")</f>
        <v>Category Page</v>
      </c>
      <c r="G22" s="11" t="b">
        <f>IFERROR(__xludf.DUMMYFUNCTION("""COMPUTED_VALUE"""),FALSE)</f>
        <v>0</v>
      </c>
      <c r="H22" s="11" t="str">
        <f>IFERROR(__xludf.DUMMYFUNCTION("""COMPUTED_VALUE"""),"Clutch, Elit-Web, AdVenture Media, Go Fish Digital, Storm Brain, NoGood, Tinuiti")</f>
        <v>Clutch, Elit-Web, AdVenture Media, Go Fish Digital, Storm Brain, NoGood, Tinuiti</v>
      </c>
      <c r="I22" s="11">
        <f>IFERROR(__xludf.DUMMYFUNCTION("""COMPUTED_VALUE"""),13.0)</f>
        <v>13</v>
      </c>
      <c r="J22" s="11">
        <f>IFERROR(__xludf.DUMMYFUNCTION("""COMPUTED_VALUE"""),0.01)</f>
        <v>0.01</v>
      </c>
      <c r="K22" s="11">
        <f>IFERROR(__xludf.DUMMYFUNCTION("""COMPUTED_VALUE"""),1.0)</f>
        <v>1</v>
      </c>
    </row>
    <row r="23" ht="15.75" customHeight="1">
      <c r="A23" s="10" t="str">
        <f>IFERROR(__xludf.DUMMYFUNCTION("""COMPUTED_VALUE"""),"https://clutch.co/us/agencies/programmatic#:~:text=List%20of%20the%20Top%20United%20States%20Programmatic,108%20reviews.%20%2D%20Onya.%205.0%2030%20reviews.")</f>
        <v>https://clutch.co/us/agencies/programmatic#:~:text=List%20of%20the%20Top%20United%20States%20Programmatic,108%20reviews.%20%2D%20Onya.%205.0%2030%20reviews.</v>
      </c>
      <c r="B23" s="11" t="str">
        <f>IFERROR(__xludf.DUMMYFUNCTION("""COMPUTED_VALUE"""),"Top Programmatic Advertising Agencies in the United States - Jul 2026 Rankings \| Clutch.co")</f>
        <v>Top Programmatic Advertising Agencies in the United States - Jul 2026 Rankings \| Clutch.co</v>
      </c>
      <c r="C23" s="10" t="str">
        <f>IFERROR(__xludf.DUMMYFUNCTION("""COMPUTED_VALUE"""),"clutch.co")</f>
        <v>clutch.co</v>
      </c>
      <c r="D23" s="11" t="str">
        <f>IFERROR(__xludf.DUMMYFUNCTION("""COMPUTED_VALUE"""),"OTHER")</f>
        <v>OTHER</v>
      </c>
      <c r="E23" s="11" t="str">
        <f>IFERROR(__xludf.DUMMYFUNCTION("""COMPUTED_VALUE"""),"COMPETITOR")</f>
        <v>COMPETITOR</v>
      </c>
      <c r="F23" s="11" t="str">
        <f>IFERROR(__xludf.DUMMYFUNCTION("""COMPUTED_VALUE"""),"Other")</f>
        <v>Other</v>
      </c>
      <c r="G23" s="11" t="b">
        <f>IFERROR(__xludf.DUMMYFUNCTION("""COMPUTED_VALUE"""),FALSE)</f>
        <v>0</v>
      </c>
      <c r="H23" s="11" t="str">
        <f>IFERROR(__xludf.DUMMYFUNCTION("""COMPUTED_VALUE"""),"Clutch, SmartSites, Funnel Boost Media, LYFE Marketing, AdVenture Media, Accelerated Digital Media, Storm Brain, Huge")</f>
        <v>Clutch, SmartSites, Funnel Boost Media, LYFE Marketing, AdVenture Media, Accelerated Digital Media, Storm Brain, Huge</v>
      </c>
      <c r="I23" s="11">
        <f>IFERROR(__xludf.DUMMYFUNCTION("""COMPUTED_VALUE"""),12.0)</f>
        <v>12</v>
      </c>
      <c r="J23" s="11">
        <f>IFERROR(__xludf.DUMMYFUNCTION("""COMPUTED_VALUE"""),0.01)</f>
        <v>0.01</v>
      </c>
      <c r="K23" s="11">
        <f>IFERROR(__xludf.DUMMYFUNCTION("""COMPUTED_VALUE"""),1.5)</f>
        <v>1.5</v>
      </c>
    </row>
    <row r="24" ht="15.75" customHeight="1">
      <c r="A24" s="10" t="str">
        <f>IFERROR(__xludf.DUMMYFUNCTION("""COMPUTED_VALUE"""),"https://clutch.co/consulting/ai/strategy")</f>
        <v>https://clutch.co/consulting/ai/strategy</v>
      </c>
      <c r="B24" s="11" t="str">
        <f>IFERROR(__xludf.DUMMYFUNCTION("""COMPUTED_VALUE"""),"Top AI Strategy Companies - Jul 2026 Rankings \| Clutch.co")</f>
        <v>Top AI Strategy Companies - Jul 2026 Rankings \| Clutch.co</v>
      </c>
      <c r="C24" s="10" t="str">
        <f>IFERROR(__xludf.DUMMYFUNCTION("""COMPUTED_VALUE"""),"clutch.co")</f>
        <v>clutch.co</v>
      </c>
      <c r="D24" s="11" t="str">
        <f>IFERROR(__xludf.DUMMYFUNCTION("""COMPUTED_VALUE"""),"CATEGORY_PAGE")</f>
        <v>CATEGORY_PAGE</v>
      </c>
      <c r="E24" s="11" t="str">
        <f>IFERROR(__xludf.DUMMYFUNCTION("""COMPUTED_VALUE"""),"COMPETITOR")</f>
        <v>COMPETITOR</v>
      </c>
      <c r="F24" s="11" t="str">
        <f>IFERROR(__xludf.DUMMYFUNCTION("""COMPUTED_VALUE"""),"Category Page")</f>
        <v>Category Page</v>
      </c>
      <c r="G24" s="11" t="b">
        <f>IFERROR(__xludf.DUMMYFUNCTION("""COMPUTED_VALUE"""),FALSE)</f>
        <v>0</v>
      </c>
      <c r="H24" s="11" t="str">
        <f>IFERROR(__xludf.DUMMYFUNCTION("""COMPUTED_VALUE"""),"Clutch")</f>
        <v>Clutch</v>
      </c>
      <c r="I24" s="11">
        <f>IFERROR(__xludf.DUMMYFUNCTION("""COMPUTED_VALUE"""),9.0)</f>
        <v>9</v>
      </c>
      <c r="J24" s="11">
        <f>IFERROR(__xludf.DUMMYFUNCTION("""COMPUTED_VALUE"""),0.01)</f>
        <v>0.01</v>
      </c>
      <c r="K24" s="11">
        <f>IFERROR(__xludf.DUMMYFUNCTION("""COMPUTED_VALUE"""),0.11)</f>
        <v>0.11</v>
      </c>
    </row>
    <row r="25" ht="15.75" customHeight="1">
      <c r="A25" s="10" t="str">
        <f>IFERROR(__xludf.DUMMYFUNCTION("""COMPUTED_VALUE"""),"https://clutch.co/seo-firms/generative-engine-optimization")</f>
        <v>https://clutch.co/seo-firms/generative-engine-optimization</v>
      </c>
      <c r="B25" s="11" t="str">
        <f>IFERROR(__xludf.DUMMYFUNCTION("""COMPUTED_VALUE"""),"Top Generative Engine Optimization (GEO) Companies - Jul 2026 Rankings | Clutch.co")</f>
        <v>Top Generative Engine Optimization (GEO) Companies - Jul 2026 Rankings | Clutch.co</v>
      </c>
      <c r="C25" s="10" t="str">
        <f>IFERROR(__xludf.DUMMYFUNCTION("""COMPUTED_VALUE"""),"clutch.co")</f>
        <v>clutch.co</v>
      </c>
      <c r="D25" s="11" t="str">
        <f>IFERROR(__xludf.DUMMYFUNCTION("""COMPUTED_VALUE"""),"CATEGORY_PAGE")</f>
        <v>CATEGORY_PAGE</v>
      </c>
      <c r="E25" s="11" t="str">
        <f>IFERROR(__xludf.DUMMYFUNCTION("""COMPUTED_VALUE"""),"COMPETITOR")</f>
        <v>COMPETITOR</v>
      </c>
      <c r="F25" s="11" t="str">
        <f>IFERROR(__xludf.DUMMYFUNCTION("""COMPUTED_VALUE"""),"Category Page")</f>
        <v>Category Page</v>
      </c>
      <c r="G25" s="11" t="b">
        <f>IFERROR(__xludf.DUMMYFUNCTION("""COMPUTED_VALUE"""),FALSE)</f>
        <v>0</v>
      </c>
      <c r="H25" s="11" t="str">
        <f>IFERROR(__xludf.DUMMYFUNCTION("""COMPUTED_VALUE"""),"Clutch, Victorious, Funnel Boost Media, NinjaPromo, WebFX, Intero Digital, Ignite Visibility, Elit-Web, HawkSEM, Siege Media, Huge, The SEO Works, Thrive Internet Marketing Agency")</f>
        <v>Clutch, Victorious, Funnel Boost Media, NinjaPromo, WebFX, Intero Digital, Ignite Visibility, Elit-Web, HawkSEM, Siege Media, Huge, The SEO Works, Thrive Internet Marketing Agency</v>
      </c>
      <c r="I25" s="11">
        <f>IFERROR(__xludf.DUMMYFUNCTION("""COMPUTED_VALUE"""),9.0)</f>
        <v>9</v>
      </c>
      <c r="J25" s="11">
        <f>IFERROR(__xludf.DUMMYFUNCTION("""COMPUTED_VALUE"""),0.01)</f>
        <v>0.01</v>
      </c>
      <c r="K25" s="11">
        <f>IFERROR(__xludf.DUMMYFUNCTION("""COMPUTED_VALUE"""),0.11)</f>
        <v>0.11</v>
      </c>
    </row>
    <row r="26" ht="15.75" customHeight="1">
      <c r="A26" s="10" t="str">
        <f>IFERROR(__xludf.DUMMYFUNCTION("""COMPUTED_VALUE"""),"https://clutch.co/agencies/ppc/display%3Fpage%3D0")</f>
        <v>https://clutch.co/agencies/ppc/display%3Fpage%3D0</v>
      </c>
      <c r="B26" s="11" t="str">
        <f>IFERROR(__xludf.DUMMYFUNCTION("""COMPUTED_VALUE"""),"Top Display Advertising Agencies - Jul 2026 Rankings | Clutch.co")</f>
        <v>Top Display Advertising Agencies - Jul 2026 Rankings | Clutch.co</v>
      </c>
      <c r="C26" s="10" t="str">
        <f>IFERROR(__xludf.DUMMYFUNCTION("""COMPUTED_VALUE"""),"clutch.co")</f>
        <v>clutch.co</v>
      </c>
      <c r="D26" s="11" t="str">
        <f>IFERROR(__xludf.DUMMYFUNCTION("""COMPUTED_VALUE"""),"PROFILE")</f>
        <v>PROFILE</v>
      </c>
      <c r="E26" s="11" t="str">
        <f>IFERROR(__xludf.DUMMYFUNCTION("""COMPUTED_VALUE"""),"COMPETITOR")</f>
        <v>COMPETITOR</v>
      </c>
      <c r="F26" s="11" t="str">
        <f>IFERROR(__xludf.DUMMYFUNCTION("""COMPUTED_VALUE"""),"Profile")</f>
        <v>Profile</v>
      </c>
      <c r="G26" s="11" t="b">
        <f>IFERROR(__xludf.DUMMYFUNCTION("""COMPUTED_VALUE"""),FALSE)</f>
        <v>0</v>
      </c>
      <c r="H26" s="11" t="str">
        <f>IFERROR(__xludf.DUMMYFUNCTION("""COMPUTED_VALUE"""),"Clutch, Elit-Web, AdVenture Media, NinjaPromo, Storm Brain, Huge, The SEO Works")</f>
        <v>Clutch, Elit-Web, AdVenture Media, NinjaPromo, Storm Brain, Huge, The SEO Works</v>
      </c>
      <c r="I26" s="11">
        <f>IFERROR(__xludf.DUMMYFUNCTION("""COMPUTED_VALUE"""),8.0)</f>
        <v>8</v>
      </c>
      <c r="J26" s="11">
        <f>IFERROR(__xludf.DUMMYFUNCTION("""COMPUTED_VALUE"""),0.01)</f>
        <v>0.01</v>
      </c>
      <c r="K26" s="11">
        <f>IFERROR(__xludf.DUMMYFUNCTION("""COMPUTED_VALUE"""),0.0)</f>
        <v>0</v>
      </c>
    </row>
    <row r="27" ht="15.75" customHeight="1">
      <c r="A27" s="10" t="str">
        <f>IFERROR(__xludf.DUMMYFUNCTION("""COMPUTED_VALUE"""),"https://clutch.co/us/agencies/digital-marketing/enterprise")</f>
        <v>https://clutch.co/us/agencies/digital-marketing/enterprise</v>
      </c>
      <c r="B27" s="11" t="str">
        <f>IFERROR(__xludf.DUMMYFUNCTION("""COMPUTED_VALUE"""),"Top Digital Marketing Agencies for Enterprise in the United States - Jul 2026 Rankings | Clutch.co")</f>
        <v>Top Digital Marketing Agencies for Enterprise in the United States - Jul 2026 Rankings | Clutch.co</v>
      </c>
      <c r="C27" s="10" t="str">
        <f>IFERROR(__xludf.DUMMYFUNCTION("""COMPUTED_VALUE"""),"clutch.co")</f>
        <v>clutch.co</v>
      </c>
      <c r="D27" s="11" t="str">
        <f>IFERROR(__xludf.DUMMYFUNCTION("""COMPUTED_VALUE"""),"CATEGORY_PAGE")</f>
        <v>CATEGORY_PAGE</v>
      </c>
      <c r="E27" s="11" t="str">
        <f>IFERROR(__xludf.DUMMYFUNCTION("""COMPUTED_VALUE"""),"COMPETITOR")</f>
        <v>COMPETITOR</v>
      </c>
      <c r="F27" s="11" t="str">
        <f>IFERROR(__xludf.DUMMYFUNCTION("""COMPUTED_VALUE"""),"Category Page")</f>
        <v>Category Page</v>
      </c>
      <c r="G27" s="11" t="b">
        <f>IFERROR(__xludf.DUMMYFUNCTION("""COMPUTED_VALUE"""),FALSE)</f>
        <v>0</v>
      </c>
      <c r="H27" s="11" t="str">
        <f>IFERROR(__xludf.DUMMYFUNCTION("""COMPUTED_VALUE"""),"Clutch, Thrive Internet Marketing Agency, Intero Digital, Disruptive Advertising, Ignite Visibility, Elit-Web, NinjaPromo, HawkSEM, WebFX, KlientBoost, Victorious, Siege Media, Searchbloom, Marcel Digital, Brighter Click, Storm Brain, Power Digital")</f>
        <v>Clutch, Thrive Internet Marketing Agency, Intero Digital, Disruptive Advertising, Ignite Visibility, Elit-Web, NinjaPromo, HawkSEM, WebFX, KlientBoost, Victorious, Siege Media, Searchbloom, Marcel Digital, Brighter Click, Storm Brain, Power Digital</v>
      </c>
      <c r="I27" s="11">
        <f>IFERROR(__xludf.DUMMYFUNCTION("""COMPUTED_VALUE"""),8.0)</f>
        <v>8</v>
      </c>
      <c r="J27" s="11">
        <f>IFERROR(__xludf.DUMMYFUNCTION("""COMPUTED_VALUE"""),0.01)</f>
        <v>0.01</v>
      </c>
      <c r="K27" s="11">
        <f>IFERROR(__xludf.DUMMYFUNCTION("""COMPUTED_VALUE"""),0.13)</f>
        <v>0.13</v>
      </c>
    </row>
    <row r="28" ht="15.75" customHeight="1">
      <c r="A28" s="10" t="str">
        <f>IFERROR(__xludf.DUMMYFUNCTION("""COMPUTED_VALUE"""),"https://clutch.co/us/seo-firms/generative-engine-optimization%3Fpage%3D2")</f>
        <v>https://clutch.co/us/seo-firms/generative-engine-optimization%3Fpage%3D2</v>
      </c>
      <c r="B28" s="11" t="str">
        <f>IFERROR(__xludf.DUMMYFUNCTION("""COMPUTED_VALUE"""),"Top Generative Engine Optimization (GEO) Agencies in the United States - Jul 2026 Rankings | Clutch.co")</f>
        <v>Top Generative Engine Optimization (GEO) Agencies in the United States - Jul 2026 Rankings | Clutch.co</v>
      </c>
      <c r="C28" s="10" t="str">
        <f>IFERROR(__xludf.DUMMYFUNCTION("""COMPUTED_VALUE"""),"clutch.co")</f>
        <v>clutch.co</v>
      </c>
      <c r="D28" s="11" t="str">
        <f>IFERROR(__xludf.DUMMYFUNCTION("""COMPUTED_VALUE"""),"CATEGORY_PAGE")</f>
        <v>CATEGORY_PAGE</v>
      </c>
      <c r="E28" s="11" t="str">
        <f>IFERROR(__xludf.DUMMYFUNCTION("""COMPUTED_VALUE"""),"COMPETITOR")</f>
        <v>COMPETITOR</v>
      </c>
      <c r="F28" s="11" t="str">
        <f>IFERROR(__xludf.DUMMYFUNCTION("""COMPUTED_VALUE"""),"Category Page")</f>
        <v>Category Page</v>
      </c>
      <c r="G28" s="11" t="b">
        <f>IFERROR(__xludf.DUMMYFUNCTION("""COMPUTED_VALUE"""),FALSE)</f>
        <v>0</v>
      </c>
      <c r="H28" s="11" t="str">
        <f>IFERROR(__xludf.DUMMYFUNCTION("""COMPUTED_VALUE"""),"Clutch, Funnel Boost Media, WebFX, Intero Digital, Ignite Visibility, Elit-Web, Victorious, HawkSEM, Siege Media, Thrive Internet Marketing Agency")</f>
        <v>Clutch, Funnel Boost Media, WebFX, Intero Digital, Ignite Visibility, Elit-Web, Victorious, HawkSEM, Siege Media, Thrive Internet Marketing Agency</v>
      </c>
      <c r="I28" s="11">
        <f>IFERROR(__xludf.DUMMYFUNCTION("""COMPUTED_VALUE"""),7.0)</f>
        <v>7</v>
      </c>
      <c r="J28" s="11">
        <f>IFERROR(__xludf.DUMMYFUNCTION("""COMPUTED_VALUE"""),0.01)</f>
        <v>0.01</v>
      </c>
      <c r="K28" s="11">
        <f>IFERROR(__xludf.DUMMYFUNCTION("""COMPUTED_VALUE"""),0.0)</f>
        <v>0</v>
      </c>
    </row>
    <row r="29" ht="15.75" customHeight="1">
      <c r="A29" s="10" t="str">
        <f>IFERROR(__xludf.DUMMYFUNCTION("""COMPUTED_VALUE"""),"https://clutch.co/us/seo-firms/generative-engine-optimization%3Fpage%3D4")</f>
        <v>https://clutch.co/us/seo-firms/generative-engine-optimization%3Fpage%3D4</v>
      </c>
      <c r="B29" s="11" t="str">
        <f>IFERROR(__xludf.DUMMYFUNCTION("""COMPUTED_VALUE"""),"Top Generative Engine Optimization (GEO) Agencies in the United States - Jul 2026 Rankings | Clutch.co")</f>
        <v>Top Generative Engine Optimization (GEO) Agencies in the United States - Jul 2026 Rankings | Clutch.co</v>
      </c>
      <c r="C29" s="10" t="str">
        <f>IFERROR(__xludf.DUMMYFUNCTION("""COMPUTED_VALUE"""),"clutch.co")</f>
        <v>clutch.co</v>
      </c>
      <c r="D29" s="11" t="str">
        <f>IFERROR(__xludf.DUMMYFUNCTION("""COMPUTED_VALUE"""),"CATEGORY_PAGE")</f>
        <v>CATEGORY_PAGE</v>
      </c>
      <c r="E29" s="11" t="str">
        <f>IFERROR(__xludf.DUMMYFUNCTION("""COMPUTED_VALUE"""),"COMPETITOR")</f>
        <v>COMPETITOR</v>
      </c>
      <c r="F29" s="11" t="str">
        <f>IFERROR(__xludf.DUMMYFUNCTION("""COMPUTED_VALUE"""),"Category Page")</f>
        <v>Category Page</v>
      </c>
      <c r="G29" s="11" t="b">
        <f>IFERROR(__xludf.DUMMYFUNCTION("""COMPUTED_VALUE"""),FALSE)</f>
        <v>0</v>
      </c>
      <c r="H29" s="11" t="str">
        <f>IFERROR(__xludf.DUMMYFUNCTION("""COMPUTED_VALUE"""),"Clutch, Funnel Boost Media, WebFX, Intero Digital, Ignite Visibility, Elit-Web, Victorious, HawkSEM, Thrive Internet Marketing Agency")</f>
        <v>Clutch, Funnel Boost Media, WebFX, Intero Digital, Ignite Visibility, Elit-Web, Victorious, HawkSEM, Thrive Internet Marketing Agency</v>
      </c>
      <c r="I29" s="11">
        <f>IFERROR(__xludf.DUMMYFUNCTION("""COMPUTED_VALUE"""),7.0)</f>
        <v>7</v>
      </c>
      <c r="J29" s="11">
        <f>IFERROR(__xludf.DUMMYFUNCTION("""COMPUTED_VALUE"""),0.01)</f>
        <v>0.01</v>
      </c>
      <c r="K29" s="11">
        <f>IFERROR(__xludf.DUMMYFUNCTION("""COMPUTED_VALUE"""),0.43)</f>
        <v>0.43</v>
      </c>
    </row>
    <row r="30" ht="15.75" customHeight="1">
      <c r="A30" s="10" t="str">
        <f>IFERROR(__xludf.DUMMYFUNCTION("""COMPUTED_VALUE"""),"https://clutch.co/us/agencies/ppc/display%3Fpage%3D2")</f>
        <v>https://clutch.co/us/agencies/ppc/display%3Fpage%3D2</v>
      </c>
      <c r="B30" s="11" t="str">
        <f>IFERROR(__xludf.DUMMYFUNCTION("""COMPUTED_VALUE"""),"Top Display Advertising Agencies in the United States - Jul 2026 Rankings \| Clutch.co")</f>
        <v>Top Display Advertising Agencies in the United States - Jul 2026 Rankings \| Clutch.co</v>
      </c>
      <c r="C30" s="10" t="str">
        <f>IFERROR(__xludf.DUMMYFUNCTION("""COMPUTED_VALUE"""),"clutch.co")</f>
        <v>clutch.co</v>
      </c>
      <c r="D30" s="11" t="str">
        <f>IFERROR(__xludf.DUMMYFUNCTION("""COMPUTED_VALUE"""),"CATEGORY_PAGE")</f>
        <v>CATEGORY_PAGE</v>
      </c>
      <c r="E30" s="11" t="str">
        <f>IFERROR(__xludf.DUMMYFUNCTION("""COMPUTED_VALUE"""),"COMPETITOR")</f>
        <v>COMPETITOR</v>
      </c>
      <c r="F30" s="11" t="str">
        <f>IFERROR(__xludf.DUMMYFUNCTION("""COMPUTED_VALUE"""),"Category Page")</f>
        <v>Category Page</v>
      </c>
      <c r="G30" s="11" t="b">
        <f>IFERROR(__xludf.DUMMYFUNCTION("""COMPUTED_VALUE"""),FALSE)</f>
        <v>0</v>
      </c>
      <c r="H30" s="11" t="str">
        <f>IFERROR(__xludf.DUMMYFUNCTION("""COMPUTED_VALUE"""),"Clutch, Elit-Web, AdVenture Media, Storm Brain, Huge")</f>
        <v>Clutch, Elit-Web, AdVenture Media, Storm Brain, Huge</v>
      </c>
      <c r="I30" s="11">
        <f>IFERROR(__xludf.DUMMYFUNCTION("""COMPUTED_VALUE"""),6.0)</f>
        <v>6</v>
      </c>
      <c r="J30" s="11">
        <f>IFERROR(__xludf.DUMMYFUNCTION("""COMPUTED_VALUE"""),0.01)</f>
        <v>0.01</v>
      </c>
      <c r="K30" s="11">
        <f>IFERROR(__xludf.DUMMYFUNCTION("""COMPUTED_VALUE"""),0.0)</f>
        <v>0</v>
      </c>
    </row>
    <row r="31" ht="15.75" customHeight="1">
      <c r="A31" s="10" t="str">
        <f>IFERROR(__xludf.DUMMYFUNCTION("""COMPUTED_VALUE"""),"https://clutch.co/it-services/analytics/marketing")</f>
        <v>https://clutch.co/it-services/analytics/marketing</v>
      </c>
      <c r="B31" s="11" t="str">
        <f>IFERROR(__xludf.DUMMYFUNCTION("""COMPUTED_VALUE"""),"Top Big Data Marketing Companies - Jul 2026 Rankings \| Clutch.co")</f>
        <v>Top Big Data Marketing Companies - Jul 2026 Rankings \| Clutch.co</v>
      </c>
      <c r="C31" s="10" t="str">
        <f>IFERROR(__xludf.DUMMYFUNCTION("""COMPUTED_VALUE"""),"clutch.co")</f>
        <v>clutch.co</v>
      </c>
      <c r="D31" s="11" t="str">
        <f>IFERROR(__xludf.DUMMYFUNCTION("""COMPUTED_VALUE"""),"CATEGORY_PAGE")</f>
        <v>CATEGORY_PAGE</v>
      </c>
      <c r="E31" s="11" t="str">
        <f>IFERROR(__xludf.DUMMYFUNCTION("""COMPUTED_VALUE"""),"COMPETITOR")</f>
        <v>COMPETITOR</v>
      </c>
      <c r="F31" s="11" t="str">
        <f>IFERROR(__xludf.DUMMYFUNCTION("""COMPUTED_VALUE"""),"Category Page")</f>
        <v>Category Page</v>
      </c>
      <c r="G31" s="11" t="b">
        <f>IFERROR(__xludf.DUMMYFUNCTION("""COMPUTED_VALUE"""),FALSE)</f>
        <v>0</v>
      </c>
      <c r="H31" s="11" t="str">
        <f>IFERROR(__xludf.DUMMYFUNCTION("""COMPUTED_VALUE"""),"Clutch, Huge")</f>
        <v>Clutch, Huge</v>
      </c>
      <c r="I31" s="11">
        <f>IFERROR(__xludf.DUMMYFUNCTION("""COMPUTED_VALUE"""),5.0)</f>
        <v>5</v>
      </c>
      <c r="J31" s="11">
        <f>IFERROR(__xludf.DUMMYFUNCTION("""COMPUTED_VALUE"""),0.0)</f>
        <v>0</v>
      </c>
      <c r="K31" s="11">
        <f>IFERROR(__xludf.DUMMYFUNCTION("""COMPUTED_VALUE"""),0.2)</f>
        <v>0.2</v>
      </c>
    </row>
    <row r="32" ht="15.75" customHeight="1">
      <c r="A32" s="10" t="str">
        <f>IFERROR(__xludf.DUMMYFUNCTION("""COMPUTED_VALUE"""),"https://clutch.co/us/agencies/market-research")</f>
        <v>https://clutch.co/us/agencies/market-research</v>
      </c>
      <c r="B32" s="11" t="str">
        <f>IFERROR(__xludf.DUMMYFUNCTION("""COMPUTED_VALUE"""),"Top Market Research Agencies in the United States - Jul 2026 Rankings \| Clutch.co")</f>
        <v>Top Market Research Agencies in the United States - Jul 2026 Rankings \| Clutch.co</v>
      </c>
      <c r="C32" s="10" t="str">
        <f>IFERROR(__xludf.DUMMYFUNCTION("""COMPUTED_VALUE"""),"clutch.co")</f>
        <v>clutch.co</v>
      </c>
      <c r="D32" s="11" t="str">
        <f>IFERROR(__xludf.DUMMYFUNCTION("""COMPUTED_VALUE"""),"CATEGORY_PAGE")</f>
        <v>CATEGORY_PAGE</v>
      </c>
      <c r="E32" s="11" t="str">
        <f>IFERROR(__xludf.DUMMYFUNCTION("""COMPUTED_VALUE"""),"COMPETITOR")</f>
        <v>COMPETITOR</v>
      </c>
      <c r="F32" s="11" t="str">
        <f>IFERROR(__xludf.DUMMYFUNCTION("""COMPUTED_VALUE"""),"Category Page")</f>
        <v>Category Page</v>
      </c>
      <c r="G32" s="11" t="b">
        <f>IFERROR(__xludf.DUMMYFUNCTION("""COMPUTED_VALUE"""),FALSE)</f>
        <v>0</v>
      </c>
      <c r="H32" s="11" t="str">
        <f>IFERROR(__xludf.DUMMYFUNCTION("""COMPUTED_VALUE"""),"Clutch, Acadia, Brighter Click, Momentum, Haus")</f>
        <v>Clutch, Acadia, Brighter Click, Momentum, Haus</v>
      </c>
      <c r="I32" s="11">
        <f>IFERROR(__xludf.DUMMYFUNCTION("""COMPUTED_VALUE"""),5.0)</f>
        <v>5</v>
      </c>
      <c r="J32" s="11">
        <f>IFERROR(__xludf.DUMMYFUNCTION("""COMPUTED_VALUE"""),0.0)</f>
        <v>0</v>
      </c>
      <c r="K32" s="11">
        <f>IFERROR(__xludf.DUMMYFUNCTION("""COMPUTED_VALUE"""),0.0)</f>
        <v>0</v>
      </c>
    </row>
    <row r="33" ht="15.75" customHeight="1">
      <c r="A33" s="10" t="str">
        <f>IFERROR(__xludf.DUMMYFUNCTION("""COMPUTED_VALUE"""),"https://clutch.co/us/agencies/ppc/display?page=5")</f>
        <v>https://clutch.co/us/agencies/ppc/display?page=5</v>
      </c>
      <c r="B33" s="11" t="str">
        <f>IFERROR(__xludf.DUMMYFUNCTION("""COMPUTED_VALUE"""),"Page 5 - Top Display Advertising Agencies in the United States - Jul 2026 Rankings | Clutch.co")</f>
        <v>Page 5 - Top Display Advertising Agencies in the United States - Jul 2026 Rankings | Clutch.co</v>
      </c>
      <c r="C33" s="10" t="str">
        <f>IFERROR(__xludf.DUMMYFUNCTION("""COMPUTED_VALUE"""),"clutch.co")</f>
        <v>clutch.co</v>
      </c>
      <c r="D33" s="11" t="str">
        <f>IFERROR(__xludf.DUMMYFUNCTION("""COMPUTED_VALUE"""),"CATEGORY_PAGE")</f>
        <v>CATEGORY_PAGE</v>
      </c>
      <c r="E33" s="11" t="str">
        <f>IFERROR(__xludf.DUMMYFUNCTION("""COMPUTED_VALUE"""),"COMPETITOR")</f>
        <v>COMPETITOR</v>
      </c>
      <c r="F33" s="11" t="str">
        <f>IFERROR(__xludf.DUMMYFUNCTION("""COMPUTED_VALUE"""),"Category Page")</f>
        <v>Category Page</v>
      </c>
      <c r="G33" s="11" t="b">
        <f>IFERROR(__xludf.DUMMYFUNCTION("""COMPUTED_VALUE"""),FALSE)</f>
        <v>0</v>
      </c>
      <c r="H33" s="11" t="str">
        <f>IFERROR(__xludf.DUMMYFUNCTION("""COMPUTED_VALUE"""),"Clutch, Elit-Web, AdVenture Media, Go Fish Digital, Storm Brain, NoGood, Tinuiti")</f>
        <v>Clutch, Elit-Web, AdVenture Media, Go Fish Digital, Storm Brain, NoGood, Tinuiti</v>
      </c>
      <c r="I33" s="11">
        <f>IFERROR(__xludf.DUMMYFUNCTION("""COMPUTED_VALUE"""),5.0)</f>
        <v>5</v>
      </c>
      <c r="J33" s="11">
        <f>IFERROR(__xludf.DUMMYFUNCTION("""COMPUTED_VALUE"""),0.0)</f>
        <v>0</v>
      </c>
      <c r="K33" s="11">
        <f>IFERROR(__xludf.DUMMYFUNCTION("""COMPUTED_VALUE"""),0.4)</f>
        <v>0.4</v>
      </c>
    </row>
    <row r="34" ht="15.75" customHeight="1">
      <c r="A34" s="10" t="str">
        <f>IFERROR(__xludf.DUMMYFUNCTION("""COMPUTED_VALUE"""),"https://clutch.co/us/agencies?page=1")</f>
        <v>https://clutch.co/us/agencies?page=1</v>
      </c>
      <c r="B34" s="11" t="str">
        <f>IFERROR(__xludf.DUMMYFUNCTION("""COMPUTED_VALUE"""),"Page 2 - Top Advertising Agencies in the United States - Jul 2026 Rankings \| Clutch.co")</f>
        <v>Page 2 - Top Advertising Agencies in the United States - Jul 2026 Rankings \| Clutch.co</v>
      </c>
      <c r="C34" s="10" t="str">
        <f>IFERROR(__xludf.DUMMYFUNCTION("""COMPUTED_VALUE"""),"clutch.co")</f>
        <v>clutch.co</v>
      </c>
      <c r="D34" s="11" t="str">
        <f>IFERROR(__xludf.DUMMYFUNCTION("""COMPUTED_VALUE"""),"CATEGORY_PAGE")</f>
        <v>CATEGORY_PAGE</v>
      </c>
      <c r="E34" s="11" t="str">
        <f>IFERROR(__xludf.DUMMYFUNCTION("""COMPUTED_VALUE"""),"COMPETITOR")</f>
        <v>COMPETITOR</v>
      </c>
      <c r="F34" s="11" t="str">
        <f>IFERROR(__xludf.DUMMYFUNCTION("""COMPUTED_VALUE"""),"Category Page")</f>
        <v>Category Page</v>
      </c>
      <c r="G34" s="11" t="b">
        <f>IFERROR(__xludf.DUMMYFUNCTION("""COMPUTED_VALUE"""),FALSE)</f>
        <v>0</v>
      </c>
      <c r="H34" s="11" t="str">
        <f>IFERROR(__xludf.DUMMYFUNCTION("""COMPUTED_VALUE"""),"Clutch, SmartSites, WebFX, Ignite Visibility, Storm Brain, NinjaPromo, Huge")</f>
        <v>Clutch, SmartSites, WebFX, Ignite Visibility, Storm Brain, NinjaPromo, Huge</v>
      </c>
      <c r="I34" s="11">
        <f>IFERROR(__xludf.DUMMYFUNCTION("""COMPUTED_VALUE"""),5.0)</f>
        <v>5</v>
      </c>
      <c r="J34" s="11">
        <f>IFERROR(__xludf.DUMMYFUNCTION("""COMPUTED_VALUE"""),0.0)</f>
        <v>0</v>
      </c>
      <c r="K34" s="11">
        <f>IFERROR(__xludf.DUMMYFUNCTION("""COMPUTED_VALUE"""),0.0)</f>
        <v>0</v>
      </c>
    </row>
    <row r="35" ht="15.75" customHeight="1">
      <c r="A35" s="10" t="str">
        <f>IFERROR(__xludf.DUMMYFUNCTION("""COMPUTED_VALUE"""),"https://clutch.co/us/consulting/ai/maturation")</f>
        <v>https://clutch.co/us/consulting/ai/maturation</v>
      </c>
      <c r="B35" s="11" t="str">
        <f>IFERROR(__xludf.DUMMYFUNCTION("""COMPUTED_VALUE"""),"Top AI Maturation Services in the United States - Jul 2026 Rankings \| Clutch.co")</f>
        <v>Top AI Maturation Services in the United States - Jul 2026 Rankings \| Clutch.co</v>
      </c>
      <c r="C35" s="10" t="str">
        <f>IFERROR(__xludf.DUMMYFUNCTION("""COMPUTED_VALUE"""),"clutch.co")</f>
        <v>clutch.co</v>
      </c>
      <c r="D35" s="11" t="str">
        <f>IFERROR(__xludf.DUMMYFUNCTION("""COMPUTED_VALUE"""),"PROFILE")</f>
        <v>PROFILE</v>
      </c>
      <c r="E35" s="11" t="str">
        <f>IFERROR(__xludf.DUMMYFUNCTION("""COMPUTED_VALUE"""),"COMPETITOR")</f>
        <v>COMPETITOR</v>
      </c>
      <c r="F35" s="11" t="str">
        <f>IFERROR(__xludf.DUMMYFUNCTION("""COMPUTED_VALUE"""),"Profile")</f>
        <v>Profile</v>
      </c>
      <c r="G35" s="11" t="b">
        <f>IFERROR(__xludf.DUMMYFUNCTION("""COMPUTED_VALUE"""),FALSE)</f>
        <v>0</v>
      </c>
      <c r="H35" s="11" t="str">
        <f>IFERROR(__xludf.DUMMYFUNCTION("""COMPUTED_VALUE"""),"Clutch, Go Fish Digital")</f>
        <v>Clutch, Go Fish Digital</v>
      </c>
      <c r="I35" s="11">
        <f>IFERROR(__xludf.DUMMYFUNCTION("""COMPUTED_VALUE"""),5.0)</f>
        <v>5</v>
      </c>
      <c r="J35" s="11">
        <f>IFERROR(__xludf.DUMMYFUNCTION("""COMPUTED_VALUE"""),0.0)</f>
        <v>0</v>
      </c>
      <c r="K35" s="11">
        <f>IFERROR(__xludf.DUMMYFUNCTION("""COMPUTED_VALUE"""),1.6)</f>
        <v>1.6</v>
      </c>
    </row>
    <row r="36" ht="15.75" customHeight="1">
      <c r="A36" s="10" t="str">
        <f>IFERROR(__xludf.DUMMYFUNCTION("""COMPUTED_VALUE"""),"https://clutch.co/us/consulting/ai/maturation%3Fpage%3D2")</f>
        <v>https://clutch.co/us/consulting/ai/maturation%3Fpage%3D2</v>
      </c>
      <c r="B36" s="11" t="str">
        <f>IFERROR(__xludf.DUMMYFUNCTION("""COMPUTED_VALUE"""),"Top AI Maturation Services in the United States - Jul 2026 Rankings \| Clutch.co")</f>
        <v>Top AI Maturation Services in the United States - Jul 2026 Rankings \| Clutch.co</v>
      </c>
      <c r="C36" s="10" t="str">
        <f>IFERROR(__xludf.DUMMYFUNCTION("""COMPUTED_VALUE"""),"clutch.co")</f>
        <v>clutch.co</v>
      </c>
      <c r="D36" s="11" t="str">
        <f>IFERROR(__xludf.DUMMYFUNCTION("""COMPUTED_VALUE"""),"CATEGORY_PAGE")</f>
        <v>CATEGORY_PAGE</v>
      </c>
      <c r="E36" s="11" t="str">
        <f>IFERROR(__xludf.DUMMYFUNCTION("""COMPUTED_VALUE"""),"COMPETITOR")</f>
        <v>COMPETITOR</v>
      </c>
      <c r="F36" s="11" t="str">
        <f>IFERROR(__xludf.DUMMYFUNCTION("""COMPUTED_VALUE"""),"Category Page")</f>
        <v>Category Page</v>
      </c>
      <c r="G36" s="11" t="b">
        <f>IFERROR(__xludf.DUMMYFUNCTION("""COMPUTED_VALUE"""),FALSE)</f>
        <v>0</v>
      </c>
      <c r="H36" s="11" t="str">
        <f>IFERROR(__xludf.DUMMYFUNCTION("""COMPUTED_VALUE"""),"Clutch, Momentum")</f>
        <v>Clutch, Momentum</v>
      </c>
      <c r="I36" s="11">
        <f>IFERROR(__xludf.DUMMYFUNCTION("""COMPUTED_VALUE"""),5.0)</f>
        <v>5</v>
      </c>
      <c r="J36" s="11">
        <f>IFERROR(__xludf.DUMMYFUNCTION("""COMPUTED_VALUE"""),0.0)</f>
        <v>0</v>
      </c>
      <c r="K36" s="11">
        <f>IFERROR(__xludf.DUMMYFUNCTION("""COMPUTED_VALUE"""),0.0)</f>
        <v>0</v>
      </c>
    </row>
    <row r="37" ht="15.75" customHeight="1">
      <c r="A37" s="10" t="str">
        <f>IFERROR(__xludf.DUMMYFUNCTION("""COMPUTED_VALUE"""),"https://clutch.co/us/agencies/social-media-marketing/facebook")</f>
        <v>https://clutch.co/us/agencies/social-media-marketing/facebook</v>
      </c>
      <c r="B37" s="11" t="str">
        <f>IFERROR(__xludf.DUMMYFUNCTION("""COMPUTED_VALUE"""),"Top Facebook Advertising Agencies in the United States - Jul 2026 Rankings \| Clutch.co")</f>
        <v>Top Facebook Advertising Agencies in the United States - Jul 2026 Rankings \| Clutch.co</v>
      </c>
      <c r="C37" s="10" t="str">
        <f>IFERROR(__xludf.DUMMYFUNCTION("""COMPUTED_VALUE"""),"clutch.co")</f>
        <v>clutch.co</v>
      </c>
      <c r="D37" s="11" t="str">
        <f>IFERROR(__xludf.DUMMYFUNCTION("""COMPUTED_VALUE"""),"CATEGORY_PAGE")</f>
        <v>CATEGORY_PAGE</v>
      </c>
      <c r="E37" s="11" t="str">
        <f>IFERROR(__xludf.DUMMYFUNCTION("""COMPUTED_VALUE"""),"COMPETITOR")</f>
        <v>COMPETITOR</v>
      </c>
      <c r="F37" s="11" t="str">
        <f>IFERROR(__xludf.DUMMYFUNCTION("""COMPUTED_VALUE"""),"Category Page")</f>
        <v>Category Page</v>
      </c>
      <c r="G37" s="11" t="b">
        <f>IFERROR(__xludf.DUMMYFUNCTION("""COMPUTED_VALUE"""),FALSE)</f>
        <v>0</v>
      </c>
      <c r="H37" s="11" t="str">
        <f>IFERROR(__xludf.DUMMYFUNCTION("""COMPUTED_VALUE"""),"Clutch, LYFE Marketing, SmartSites, Elit-Web, KlientBoost, AdVenture Media, Silverback Strategies, Sociallyin, Disruptive Advertising, HawkSEM, Brighter Click, Accelerated Digital Media, Acadia")</f>
        <v>Clutch, LYFE Marketing, SmartSites, Elit-Web, KlientBoost, AdVenture Media, Silverback Strategies, Sociallyin, Disruptive Advertising, HawkSEM, Brighter Click, Accelerated Digital Media, Acadia</v>
      </c>
      <c r="I37" s="11">
        <f>IFERROR(__xludf.DUMMYFUNCTION("""COMPUTED_VALUE"""),4.0)</f>
        <v>4</v>
      </c>
      <c r="J37" s="11">
        <f>IFERROR(__xludf.DUMMYFUNCTION("""COMPUTED_VALUE"""),0.0)</f>
        <v>0</v>
      </c>
      <c r="K37" s="11">
        <f>IFERROR(__xludf.DUMMYFUNCTION("""COMPUTED_VALUE"""),0.0)</f>
        <v>0</v>
      </c>
    </row>
    <row r="38" ht="15.75" customHeight="1">
      <c r="A38" s="10" t="str">
        <f>IFERROR(__xludf.DUMMYFUNCTION("""COMPUTED_VALUE"""),"https://clutch.co/us/consulting/ai/strategy%3Fpage%3D3")</f>
        <v>https://clutch.co/us/consulting/ai/strategy%3Fpage%3D3</v>
      </c>
      <c r="B38" s="11" t="str">
        <f>IFERROR(__xludf.DUMMYFUNCTION("""COMPUTED_VALUE"""),"Top AI Strategy Companies in the United States - Jul 2026 Rankings | Clutch.co")</f>
        <v>Top AI Strategy Companies in the United States - Jul 2026 Rankings | Clutch.co</v>
      </c>
      <c r="C38" s="10" t="str">
        <f>IFERROR(__xludf.DUMMYFUNCTION("""COMPUTED_VALUE"""),"clutch.co")</f>
        <v>clutch.co</v>
      </c>
      <c r="D38" s="11" t="str">
        <f>IFERROR(__xludf.DUMMYFUNCTION("""COMPUTED_VALUE"""),"PROFILE")</f>
        <v>PROFILE</v>
      </c>
      <c r="E38" s="11" t="str">
        <f>IFERROR(__xludf.DUMMYFUNCTION("""COMPUTED_VALUE"""),"COMPETITOR")</f>
        <v>COMPETITOR</v>
      </c>
      <c r="F38" s="11" t="str">
        <f>IFERROR(__xludf.DUMMYFUNCTION("""COMPUTED_VALUE"""),"Profile")</f>
        <v>Profile</v>
      </c>
      <c r="G38" s="11" t="b">
        <f>IFERROR(__xludf.DUMMYFUNCTION("""COMPUTED_VALUE"""),FALSE)</f>
        <v>0</v>
      </c>
      <c r="H38" s="11" t="str">
        <f>IFERROR(__xludf.DUMMYFUNCTION("""COMPUTED_VALUE"""),"Clutch")</f>
        <v>Clutch</v>
      </c>
      <c r="I38" s="11">
        <f>IFERROR(__xludf.DUMMYFUNCTION("""COMPUTED_VALUE"""),4.0)</f>
        <v>4</v>
      </c>
      <c r="J38" s="11">
        <f>IFERROR(__xludf.DUMMYFUNCTION("""COMPUTED_VALUE"""),0.0)</f>
        <v>0</v>
      </c>
      <c r="K38" s="11">
        <f>IFERROR(__xludf.DUMMYFUNCTION("""COMPUTED_VALUE"""),0.0)</f>
        <v>0</v>
      </c>
    </row>
    <row r="39" ht="15.75" customHeight="1">
      <c r="A39" s="10" t="str">
        <f>IFERROR(__xludf.DUMMYFUNCTION("""COMPUTED_VALUE"""),"https://clutch.co/agencies/ppc/display/indiana")</f>
        <v>https://clutch.co/agencies/ppc/display/indiana</v>
      </c>
      <c r="B39" s="11" t="str">
        <f>IFERROR(__xludf.DUMMYFUNCTION("""COMPUTED_VALUE"""),"Top Display Advertising Agencies in the United States - Jul 2026 Rankings \| Clutch.co")</f>
        <v>Top Display Advertising Agencies in the United States - Jul 2026 Rankings \| Clutch.co</v>
      </c>
      <c r="C39" s="10" t="str">
        <f>IFERROR(__xludf.DUMMYFUNCTION("""COMPUTED_VALUE"""),"clutch.co")</f>
        <v>clutch.co</v>
      </c>
      <c r="D39" s="11" t="str">
        <f>IFERROR(__xludf.DUMMYFUNCTION("""COMPUTED_VALUE"""),"CATEGORY_PAGE")</f>
        <v>CATEGORY_PAGE</v>
      </c>
      <c r="E39" s="11" t="str">
        <f>IFERROR(__xludf.DUMMYFUNCTION("""COMPUTED_VALUE"""),"COMPETITOR")</f>
        <v>COMPETITOR</v>
      </c>
      <c r="F39" s="11" t="str">
        <f>IFERROR(__xludf.DUMMYFUNCTION("""COMPUTED_VALUE"""),"Category Page")</f>
        <v>Category Page</v>
      </c>
      <c r="G39" s="11" t="b">
        <f>IFERROR(__xludf.DUMMYFUNCTION("""COMPUTED_VALUE"""),FALSE)</f>
        <v>0</v>
      </c>
      <c r="H39" s="11" t="str">
        <f>IFERROR(__xludf.DUMMYFUNCTION("""COMPUTED_VALUE"""),"Clutch, Elit-Web, AdVenture Media, Storm Brain, Huge")</f>
        <v>Clutch, Elit-Web, AdVenture Media, Storm Brain, Huge</v>
      </c>
      <c r="I39" s="11">
        <f>IFERROR(__xludf.DUMMYFUNCTION("""COMPUTED_VALUE"""),3.0)</f>
        <v>3</v>
      </c>
      <c r="J39" s="11">
        <f>IFERROR(__xludf.DUMMYFUNCTION("""COMPUTED_VALUE"""),0.0)</f>
        <v>0</v>
      </c>
      <c r="K39" s="11">
        <f>IFERROR(__xludf.DUMMYFUNCTION("""COMPUTED_VALUE"""),0.0)</f>
        <v>0</v>
      </c>
    </row>
    <row r="40" ht="15.75" customHeight="1">
      <c r="A40" s="10" t="str">
        <f>IFERROR(__xludf.DUMMYFUNCTION("""COMPUTED_VALUE"""),"https://clutch.co/agencies/ppc?geona_id=47171&amp;page=1")</f>
        <v>https://clutch.co/agencies/ppc?geona_id=47171&amp;page=1</v>
      </c>
      <c r="B40" s="11" t="str">
        <f>IFERROR(__xludf.DUMMYFUNCTION("""COMPUTED_VALUE"""),"Page 2 - Top PPC Agencies - Jul 2026 Rankings \| Clutch.co")</f>
        <v>Page 2 - Top PPC Agencies - Jul 2026 Rankings \| Clutch.co</v>
      </c>
      <c r="C40" s="10" t="str">
        <f>IFERROR(__xludf.DUMMYFUNCTION("""COMPUTED_VALUE"""),"clutch.co")</f>
        <v>clutch.co</v>
      </c>
      <c r="D40" s="11" t="str">
        <f>IFERROR(__xludf.DUMMYFUNCTION("""COMPUTED_VALUE"""),"CATEGORY_PAGE")</f>
        <v>CATEGORY_PAGE</v>
      </c>
      <c r="E40" s="11" t="str">
        <f>IFERROR(__xludf.DUMMYFUNCTION("""COMPUTED_VALUE"""),"COMPETITOR")</f>
        <v>COMPETITOR</v>
      </c>
      <c r="F40" s="11" t="str">
        <f>IFERROR(__xludf.DUMMYFUNCTION("""COMPUTED_VALUE"""),"Category Page")</f>
        <v>Category Page</v>
      </c>
      <c r="G40" s="11" t="b">
        <f>IFERROR(__xludf.DUMMYFUNCTION("""COMPUTED_VALUE"""),FALSE)</f>
        <v>0</v>
      </c>
      <c r="H40" s="11" t="str">
        <f>IFERROR(__xludf.DUMMYFUNCTION("""COMPUTED_VALUE"""),"Clutch, Disruptive Advertising, AdVenture Media, KlientBoost, Single Grain, SmartSites, HawkSEM, NinjaPromo, Intero Digital, Elit-Web")</f>
        <v>Clutch, Disruptive Advertising, AdVenture Media, KlientBoost, Single Grain, SmartSites, HawkSEM, NinjaPromo, Intero Digital, Elit-Web</v>
      </c>
      <c r="I40" s="11">
        <f>IFERROR(__xludf.DUMMYFUNCTION("""COMPUTED_VALUE"""),3.0)</f>
        <v>3</v>
      </c>
      <c r="J40" s="11">
        <f>IFERROR(__xludf.DUMMYFUNCTION("""COMPUTED_VALUE"""),0.0)</f>
        <v>0</v>
      </c>
      <c r="K40" s="11">
        <f>IFERROR(__xludf.DUMMYFUNCTION("""COMPUTED_VALUE"""),0.67)</f>
        <v>0.67</v>
      </c>
    </row>
    <row r="41" ht="15.75" customHeight="1">
      <c r="A41" s="10" t="str">
        <f>IFERROR(__xludf.DUMMYFUNCTION("""COMPUTED_VALUE"""),"https://clutch.co/us/agencies/branding/corporate")</f>
        <v>https://clutch.co/us/agencies/branding/corporate</v>
      </c>
      <c r="B41" s="11" t="str">
        <f>IFERROR(__xludf.DUMMYFUNCTION("""COMPUTED_VALUE"""),"Top Corporate Branding Agencies in the United States - Jul 2026 Rankings \| Clutch.co")</f>
        <v>Top Corporate Branding Agencies in the United States - Jul 2026 Rankings \| Clutch.co</v>
      </c>
      <c r="C41" s="10" t="str">
        <f>IFERROR(__xludf.DUMMYFUNCTION("""COMPUTED_VALUE"""),"clutch.co")</f>
        <v>clutch.co</v>
      </c>
      <c r="D41" s="11" t="str">
        <f>IFERROR(__xludf.DUMMYFUNCTION("""COMPUTED_VALUE"""),"CATEGORY_PAGE")</f>
        <v>CATEGORY_PAGE</v>
      </c>
      <c r="E41" s="11" t="str">
        <f>IFERROR(__xludf.DUMMYFUNCTION("""COMPUTED_VALUE"""),"COMPETITOR")</f>
        <v>COMPETITOR</v>
      </c>
      <c r="F41" s="11" t="str">
        <f>IFERROR(__xludf.DUMMYFUNCTION("""COMPUTED_VALUE"""),"Category Page")</f>
        <v>Category Page</v>
      </c>
      <c r="G41" s="11" t="b">
        <f>IFERROR(__xludf.DUMMYFUNCTION("""COMPUTED_VALUE"""),FALSE)</f>
        <v>0</v>
      </c>
      <c r="H41" s="11" t="str">
        <f>IFERROR(__xludf.DUMMYFUNCTION("""COMPUTED_VALUE"""),"Clutch, Momentum, Clay")</f>
        <v>Clutch, Momentum, Clay</v>
      </c>
      <c r="I41" s="11">
        <f>IFERROR(__xludf.DUMMYFUNCTION("""COMPUTED_VALUE"""),3.0)</f>
        <v>3</v>
      </c>
      <c r="J41" s="11">
        <f>IFERROR(__xludf.DUMMYFUNCTION("""COMPUTED_VALUE"""),0.0)</f>
        <v>0</v>
      </c>
      <c r="K41" s="11">
        <f>IFERROR(__xludf.DUMMYFUNCTION("""COMPUTED_VALUE"""),0.0)</f>
        <v>0</v>
      </c>
    </row>
    <row r="42" ht="15.75" customHeight="1">
      <c r="A42" s="10" t="str">
        <f>IFERROR(__xludf.DUMMYFUNCTION("""COMPUTED_VALUE"""),"https://clutch.co/us/agencies/ppc/display?page=6")</f>
        <v>https://clutch.co/us/agencies/ppc/display?page=6</v>
      </c>
      <c r="B42" s="11" t="str">
        <f>IFERROR(__xludf.DUMMYFUNCTION("""COMPUTED_VALUE"""),"Page 6 - Top Display Advertising Agencies in the United States - Jul 2026 Rankings | Clutch.co")</f>
        <v>Page 6 - Top Display Advertising Agencies in the United States - Jul 2026 Rankings | Clutch.co</v>
      </c>
      <c r="C42" s="10" t="str">
        <f>IFERROR(__xludf.DUMMYFUNCTION("""COMPUTED_VALUE"""),"clutch.co")</f>
        <v>clutch.co</v>
      </c>
      <c r="D42" s="11" t="str">
        <f>IFERROR(__xludf.DUMMYFUNCTION("""COMPUTED_VALUE"""),"CATEGORY_PAGE")</f>
        <v>CATEGORY_PAGE</v>
      </c>
      <c r="E42" s="11" t="str">
        <f>IFERROR(__xludf.DUMMYFUNCTION("""COMPUTED_VALUE"""),"COMPETITOR")</f>
        <v>COMPETITOR</v>
      </c>
      <c r="F42" s="11" t="str">
        <f>IFERROR(__xludf.DUMMYFUNCTION("""COMPUTED_VALUE"""),"Category Page")</f>
        <v>Category Page</v>
      </c>
      <c r="G42" s="11" t="b">
        <f>IFERROR(__xludf.DUMMYFUNCTION("""COMPUTED_VALUE"""),FALSE)</f>
        <v>0</v>
      </c>
      <c r="H42" s="11" t="str">
        <f>IFERROR(__xludf.DUMMYFUNCTION("""COMPUTED_VALUE"""),"Clutch, Elit-Web, AdVenture Media, Go Fish Digital, Storm Brain, NoGood, Tinuiti")</f>
        <v>Clutch, Elit-Web, AdVenture Media, Go Fish Digital, Storm Brain, NoGood, Tinuiti</v>
      </c>
      <c r="I42" s="11">
        <f>IFERROR(__xludf.DUMMYFUNCTION("""COMPUTED_VALUE"""),3.0)</f>
        <v>3</v>
      </c>
      <c r="J42" s="11">
        <f>IFERROR(__xludf.DUMMYFUNCTION("""COMPUTED_VALUE"""),0.0)</f>
        <v>0</v>
      </c>
      <c r="K42" s="11">
        <f>IFERROR(__xludf.DUMMYFUNCTION("""COMPUTED_VALUE"""),0.0)</f>
        <v>0</v>
      </c>
    </row>
    <row r="43" ht="15.75" customHeight="1">
      <c r="A43" s="10" t="str">
        <f>IFERROR(__xludf.DUMMYFUNCTION("""COMPUTED_VALUE"""),"https://clutch.co/agencies/performance-marketing%3Fpage%3D0")</f>
        <v>https://clutch.co/agencies/performance-marketing%3Fpage%3D0</v>
      </c>
      <c r="B43" s="11" t="str">
        <f>IFERROR(__xludf.DUMMYFUNCTION("""COMPUTED_VALUE"""),"Top Performance Marketing Agencies - Jul 2026 Rankings \| Clutch.co")</f>
        <v>Top Performance Marketing Agencies - Jul 2026 Rankings \| Clutch.co</v>
      </c>
      <c r="C43" s="10" t="str">
        <f>IFERROR(__xludf.DUMMYFUNCTION("""COMPUTED_VALUE"""),"clutch.co")</f>
        <v>clutch.co</v>
      </c>
      <c r="D43" s="11" t="str">
        <f>IFERROR(__xludf.DUMMYFUNCTION("""COMPUTED_VALUE"""),"LISTICLE")</f>
        <v>LISTICLE</v>
      </c>
      <c r="E43" s="11" t="str">
        <f>IFERROR(__xludf.DUMMYFUNCTION("""COMPUTED_VALUE"""),"COMPETITOR")</f>
        <v>COMPETITOR</v>
      </c>
      <c r="F43" s="11" t="str">
        <f>IFERROR(__xludf.DUMMYFUNCTION("""COMPUTED_VALUE"""),"Listicle")</f>
        <v>Listicle</v>
      </c>
      <c r="G43" s="11" t="b">
        <f>IFERROR(__xludf.DUMMYFUNCTION("""COMPUTED_VALUE"""),FALSE)</f>
        <v>0</v>
      </c>
      <c r="H43" s="11" t="str">
        <f>IFERROR(__xludf.DUMMYFUNCTION("""COMPUTED_VALUE"""),"Clutch, Disruptive Advertising, Accelerated Digital Media, Momentum")</f>
        <v>Clutch, Disruptive Advertising, Accelerated Digital Media, Momentum</v>
      </c>
      <c r="I43" s="11">
        <f>IFERROR(__xludf.DUMMYFUNCTION("""COMPUTED_VALUE"""),2.0)</f>
        <v>2</v>
      </c>
      <c r="J43" s="11">
        <f>IFERROR(__xludf.DUMMYFUNCTION("""COMPUTED_VALUE"""),0.0)</f>
        <v>0</v>
      </c>
      <c r="K43" s="11">
        <f>IFERROR(__xludf.DUMMYFUNCTION("""COMPUTED_VALUE"""),0.0)</f>
        <v>0</v>
      </c>
    </row>
    <row r="44" ht="15.75" customHeight="1">
      <c r="A44" s="10" t="str">
        <f>IFERROR(__xludf.DUMMYFUNCTION("""COMPUTED_VALUE"""),"https://clutch.co/agencies/sem?geona_id=25338&amp;page=1")</f>
        <v>https://clutch.co/agencies/sem?geona_id=25338&amp;page=1</v>
      </c>
      <c r="B44" s="11" t="str">
        <f>IFERROR(__xludf.DUMMYFUNCTION("""COMPUTED_VALUE"""),"Page 2 - Best Search Engine Marketing Agencies - Jul 2026 Rankings \| Clutch.co")</f>
        <v>Page 2 - Best Search Engine Marketing Agencies - Jul 2026 Rankings \| Clutch.co</v>
      </c>
      <c r="C44" s="10" t="str">
        <f>IFERROR(__xludf.DUMMYFUNCTION("""COMPUTED_VALUE"""),"clutch.co")</f>
        <v>clutch.co</v>
      </c>
      <c r="D44" s="11" t="str">
        <f>IFERROR(__xludf.DUMMYFUNCTION("""COMPUTED_VALUE"""),"CATEGORY_PAGE")</f>
        <v>CATEGORY_PAGE</v>
      </c>
      <c r="E44" s="11" t="str">
        <f>IFERROR(__xludf.DUMMYFUNCTION("""COMPUTED_VALUE"""),"COMPETITOR")</f>
        <v>COMPETITOR</v>
      </c>
      <c r="F44" s="11" t="str">
        <f>IFERROR(__xludf.DUMMYFUNCTION("""COMPUTED_VALUE"""),"Category Page")</f>
        <v>Category Page</v>
      </c>
      <c r="G44" s="11" t="b">
        <f>IFERROR(__xludf.DUMMYFUNCTION("""COMPUTED_VALUE"""),FALSE)</f>
        <v>0</v>
      </c>
      <c r="H44" s="11" t="str">
        <f>IFERROR(__xludf.DUMMYFUNCTION("""COMPUTED_VALUE"""),"Clutch, Searchbloom, SmartSites, KlientBoost, Silverback Strategies, HawkSEM, NinjaPromo, Intero Digital, Ignite Visibility, DEPT, Elit-Web, Funnel Boost Media")</f>
        <v>Clutch, Searchbloom, SmartSites, KlientBoost, Silverback Strategies, HawkSEM, NinjaPromo, Intero Digital, Ignite Visibility, DEPT, Elit-Web, Funnel Boost Media</v>
      </c>
      <c r="I44" s="11">
        <f>IFERROR(__xludf.DUMMYFUNCTION("""COMPUTED_VALUE"""),2.0)</f>
        <v>2</v>
      </c>
      <c r="J44" s="11">
        <f>IFERROR(__xludf.DUMMYFUNCTION("""COMPUTED_VALUE"""),0.0)</f>
        <v>0</v>
      </c>
      <c r="K44" s="11">
        <f>IFERROR(__xludf.DUMMYFUNCTION("""COMPUTED_VALUE"""),0.0)</f>
        <v>0</v>
      </c>
    </row>
    <row r="45" ht="15.75" customHeight="1">
      <c r="A45" s="10" t="str">
        <f>IFERROR(__xludf.DUMMYFUNCTION("""COMPUTED_VALUE"""),"https://clutch.co/press-releases/Best-of-Clutch-winners-2025")</f>
        <v>https://clutch.co/press-releases/Best-of-Clutch-winners-2025</v>
      </c>
      <c r="B45" s="11" t="str">
        <f>IFERROR(__xludf.DUMMYFUNCTION("""COMPUTED_VALUE"""),"Clutch Announces 2025 Best of Clutch Award Winners \| Clutch.co")</f>
        <v>Clutch Announces 2025 Best of Clutch Award Winners \| Clutch.co</v>
      </c>
      <c r="C45" s="10" t="str">
        <f>IFERROR(__xludf.DUMMYFUNCTION("""COMPUTED_VALUE"""),"clutch.co")</f>
        <v>clutch.co</v>
      </c>
      <c r="D45" s="11" t="str">
        <f>IFERROR(__xludf.DUMMYFUNCTION("""COMPUTED_VALUE"""),"LISTICLE")</f>
        <v>LISTICLE</v>
      </c>
      <c r="E45" s="11" t="str">
        <f>IFERROR(__xludf.DUMMYFUNCTION("""COMPUTED_VALUE"""),"COMPETITOR")</f>
        <v>COMPETITOR</v>
      </c>
      <c r="F45" s="11" t="str">
        <f>IFERROR(__xludf.DUMMYFUNCTION("""COMPUTED_VALUE"""),"Listicle")</f>
        <v>Listicle</v>
      </c>
      <c r="G45" s="11" t="b">
        <f>IFERROR(__xludf.DUMMYFUNCTION("""COMPUTED_VALUE"""),FALSE)</f>
        <v>0</v>
      </c>
      <c r="H45" s="11" t="str">
        <f>IFERROR(__xludf.DUMMYFUNCTION("""COMPUTED_VALUE"""),"Clutch, Ignite Visibility, Victorious")</f>
        <v>Clutch, Ignite Visibility, Victorious</v>
      </c>
      <c r="I45" s="11">
        <f>IFERROR(__xludf.DUMMYFUNCTION("""COMPUTED_VALUE"""),2.0)</f>
        <v>2</v>
      </c>
      <c r="J45" s="11">
        <f>IFERROR(__xludf.DUMMYFUNCTION("""COMPUTED_VALUE"""),0.0)</f>
        <v>0</v>
      </c>
      <c r="K45" s="11">
        <f>IFERROR(__xludf.DUMMYFUNCTION("""COMPUTED_VALUE"""),0.0)</f>
        <v>0</v>
      </c>
    </row>
    <row r="46" ht="15.75" customHeight="1">
      <c r="A46" s="10" t="str">
        <f>IFERROR(__xludf.DUMMYFUNCTION("""COMPUTED_VALUE"""),"https://clutch.co/us/agencies/digital")</f>
        <v>https://clutch.co/us/agencies/digital</v>
      </c>
      <c r="B46" s="11" t="str">
        <f>IFERROR(__xludf.DUMMYFUNCTION("""COMPUTED_VALUE"""),"Top Full-Service Digital Agencies in the United States - Jul 2026 Rankings | Clutch.co")</f>
        <v>Top Full-Service Digital Agencies in the United States - Jul 2026 Rankings | Clutch.co</v>
      </c>
      <c r="C46" s="10" t="str">
        <f>IFERROR(__xludf.DUMMYFUNCTION("""COMPUTED_VALUE"""),"clutch.co")</f>
        <v>clutch.co</v>
      </c>
      <c r="D46" s="11" t="str">
        <f>IFERROR(__xludf.DUMMYFUNCTION("""COMPUTED_VALUE"""),"CATEGORY_PAGE")</f>
        <v>CATEGORY_PAGE</v>
      </c>
      <c r="E46" s="11" t="str">
        <f>IFERROR(__xludf.DUMMYFUNCTION("""COMPUTED_VALUE"""),"COMPETITOR")</f>
        <v>COMPETITOR</v>
      </c>
      <c r="F46" s="11" t="str">
        <f>IFERROR(__xludf.DUMMYFUNCTION("""COMPUTED_VALUE"""),"Category Page")</f>
        <v>Category Page</v>
      </c>
      <c r="G46" s="11" t="b">
        <f>IFERROR(__xludf.DUMMYFUNCTION("""COMPUTED_VALUE"""),FALSE)</f>
        <v>0</v>
      </c>
      <c r="H46" s="11" t="str">
        <f>IFERROR(__xludf.DUMMYFUNCTION("""COMPUTED_VALUE"""),"Clutch, Ignite Visibility, Storm Brain, Funnel Boost Media, Momentum")</f>
        <v>Clutch, Ignite Visibility, Storm Brain, Funnel Boost Media, Momentum</v>
      </c>
      <c r="I46" s="11">
        <f>IFERROR(__xludf.DUMMYFUNCTION("""COMPUTED_VALUE"""),2.0)</f>
        <v>2</v>
      </c>
      <c r="J46" s="11">
        <f>IFERROR(__xludf.DUMMYFUNCTION("""COMPUTED_VALUE"""),0.0)</f>
        <v>0</v>
      </c>
      <c r="K46" s="11">
        <f>IFERROR(__xludf.DUMMYFUNCTION("""COMPUTED_VALUE"""),0.0)</f>
        <v>0</v>
      </c>
    </row>
    <row r="47" ht="15.75" customHeight="1">
      <c r="A47" s="10" t="str">
        <f>IFERROR(__xludf.DUMMYFUNCTION("""COMPUTED_VALUE"""),"https://clutch.co/us/agencies/digital-marketing%3Fpage%3D2")</f>
        <v>https://clutch.co/us/agencies/digital-marketing%3Fpage%3D2</v>
      </c>
      <c r="B47" s="11" t="str">
        <f>IFERROR(__xludf.DUMMYFUNCTION("""COMPUTED_VALUE"""),"Top Digital Marketing Agencies in the United States - Jul 2026 Rankings \| Clutch.co")</f>
        <v>Top Digital Marketing Agencies in the United States - Jul 2026 Rankings \| Clutch.co</v>
      </c>
      <c r="C47" s="10" t="str">
        <f>IFERROR(__xludf.DUMMYFUNCTION("""COMPUTED_VALUE"""),"clutch.co")</f>
        <v>clutch.co</v>
      </c>
      <c r="D47" s="11" t="str">
        <f>IFERROR(__xludf.DUMMYFUNCTION("""COMPUTED_VALUE"""),"CATEGORY_PAGE")</f>
        <v>CATEGORY_PAGE</v>
      </c>
      <c r="E47" s="11" t="str">
        <f>IFERROR(__xludf.DUMMYFUNCTION("""COMPUTED_VALUE"""),"COMPETITOR")</f>
        <v>COMPETITOR</v>
      </c>
      <c r="F47" s="11" t="str">
        <f>IFERROR(__xludf.DUMMYFUNCTION("""COMPUTED_VALUE"""),"Category Page")</f>
        <v>Category Page</v>
      </c>
      <c r="G47" s="11" t="b">
        <f>IFERROR(__xludf.DUMMYFUNCTION("""COMPUTED_VALUE"""),FALSE)</f>
        <v>0</v>
      </c>
      <c r="H47"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47" s="11">
        <f>IFERROR(__xludf.DUMMYFUNCTION("""COMPUTED_VALUE"""),2.0)</f>
        <v>2</v>
      </c>
      <c r="J47" s="11">
        <f>IFERROR(__xludf.DUMMYFUNCTION("""COMPUTED_VALUE"""),0.0)</f>
        <v>0</v>
      </c>
      <c r="K47" s="11">
        <f>IFERROR(__xludf.DUMMYFUNCTION("""COMPUTED_VALUE"""),0.0)</f>
        <v>0</v>
      </c>
    </row>
    <row r="48" ht="15.75" customHeight="1">
      <c r="A48" s="10" t="str">
        <f>IFERROR(__xludf.DUMMYFUNCTION("""COMPUTED_VALUE"""),"https://clutch.co/us/agencies/ecommerce-marketing")</f>
        <v>https://clutch.co/us/agencies/ecommerce-marketing</v>
      </c>
      <c r="B48" s="11" t="str">
        <f>IFERROR(__xludf.DUMMYFUNCTION("""COMPUTED_VALUE"""),"Top E-Commerce Marketing Agencies in the United States - Jul 2026 Rankings \| Clutch.co")</f>
        <v>Top E-Commerce Marketing Agencies in the United States - Jul 2026 Rankings \| Clutch.co</v>
      </c>
      <c r="C48" s="10" t="str">
        <f>IFERROR(__xludf.DUMMYFUNCTION("""COMPUTED_VALUE"""),"clutch.co")</f>
        <v>clutch.co</v>
      </c>
      <c r="D48" s="11" t="str">
        <f>IFERROR(__xludf.DUMMYFUNCTION("""COMPUTED_VALUE"""),"CATEGORY_PAGE")</f>
        <v>CATEGORY_PAGE</v>
      </c>
      <c r="E48" s="11" t="str">
        <f>IFERROR(__xludf.DUMMYFUNCTION("""COMPUTED_VALUE"""),"COMPETITOR")</f>
        <v>COMPETITOR</v>
      </c>
      <c r="F48" s="11" t="str">
        <f>IFERROR(__xludf.DUMMYFUNCTION("""COMPUTED_VALUE"""),"Category Page")</f>
        <v>Category Page</v>
      </c>
      <c r="G48" s="11" t="b">
        <f>IFERROR(__xludf.DUMMYFUNCTION("""COMPUTED_VALUE"""),FALSE)</f>
        <v>0</v>
      </c>
      <c r="H48" s="11" t="str">
        <f>IFERROR(__xludf.DUMMYFUNCTION("""COMPUTED_VALUE"""),"Clutch, Disruptive Advertising, Acadia, AdVenture Media, Accelerated Digital Media, Brighter Click, Huge, Momentum")</f>
        <v>Clutch, Disruptive Advertising, Acadia, AdVenture Media, Accelerated Digital Media, Brighter Click, Huge, Momentum</v>
      </c>
      <c r="I48" s="11">
        <f>IFERROR(__xludf.DUMMYFUNCTION("""COMPUTED_VALUE"""),2.0)</f>
        <v>2</v>
      </c>
      <c r="J48" s="11">
        <f>IFERROR(__xludf.DUMMYFUNCTION("""COMPUTED_VALUE"""),0.0)</f>
        <v>0</v>
      </c>
      <c r="K48" s="11">
        <f>IFERROR(__xludf.DUMMYFUNCTION("""COMPUTED_VALUE"""),0.0)</f>
        <v>0</v>
      </c>
    </row>
    <row r="49" ht="15.75" customHeight="1">
      <c r="A49" s="10" t="str">
        <f>IFERROR(__xludf.DUMMYFUNCTION("""COMPUTED_VALUE"""),"https://clutch.co/us/agencies/ppc%3Fpage%3D2")</f>
        <v>https://clutch.co/us/agencies/ppc%3Fpage%3D2</v>
      </c>
      <c r="B49" s="11" t="str">
        <f>IFERROR(__xludf.DUMMYFUNCTION("""COMPUTED_VALUE"""),"Top PPC Companies in the United States - Jul 2026 Rankings \| Clutch.co")</f>
        <v>Top PPC Companies in the United States - Jul 2026 Rankings \| Clutch.co</v>
      </c>
      <c r="C49" s="10" t="str">
        <f>IFERROR(__xludf.DUMMYFUNCTION("""COMPUTED_VALUE"""),"clutch.co")</f>
        <v>clutch.co</v>
      </c>
      <c r="D49" s="11" t="str">
        <f>IFERROR(__xludf.DUMMYFUNCTION("""COMPUTED_VALUE"""),"CATEGORY_PAGE")</f>
        <v>CATEGORY_PAGE</v>
      </c>
      <c r="E49" s="11" t="str">
        <f>IFERROR(__xludf.DUMMYFUNCTION("""COMPUTED_VALUE"""),"COMPETITOR")</f>
        <v>COMPETITOR</v>
      </c>
      <c r="F49" s="11" t="str">
        <f>IFERROR(__xludf.DUMMYFUNCTION("""COMPUTED_VALUE"""),"Category Page")</f>
        <v>Category Page</v>
      </c>
      <c r="G49" s="11" t="b">
        <f>IFERROR(__xludf.DUMMYFUNCTION("""COMPUTED_VALUE"""),FALSE)</f>
        <v>0</v>
      </c>
      <c r="H49" s="11" t="str">
        <f>IFERROR(__xludf.DUMMYFUNCTION("""COMPUTED_VALUE"""),"Clutch, KlientBoost, Disruptive Advertising, AdVenture Media, HawkSEM, SmartSites, Intero Digital, Elit-Web")</f>
        <v>Clutch, KlientBoost, Disruptive Advertising, AdVenture Media, HawkSEM, SmartSites, Intero Digital, Elit-Web</v>
      </c>
      <c r="I49" s="11">
        <f>IFERROR(__xludf.DUMMYFUNCTION("""COMPUTED_VALUE"""),2.0)</f>
        <v>2</v>
      </c>
      <c r="J49" s="11">
        <f>IFERROR(__xludf.DUMMYFUNCTION("""COMPUTED_VALUE"""),0.0)</f>
        <v>0</v>
      </c>
      <c r="K49" s="11">
        <f>IFERROR(__xludf.DUMMYFUNCTION("""COMPUTED_VALUE"""),0.0)</f>
        <v>0</v>
      </c>
    </row>
    <row r="50" ht="15.75" customHeight="1">
      <c r="A50" s="10" t="str">
        <f>IFERROR(__xludf.DUMMYFUNCTION("""COMPUTED_VALUE"""),"https://clutch.co/us/agencies/ppc/display%3Fpage%3D5")</f>
        <v>https://clutch.co/us/agencies/ppc/display%3Fpage%3D5</v>
      </c>
      <c r="B50" s="11" t="str">
        <f>IFERROR(__xludf.DUMMYFUNCTION("""COMPUTED_VALUE"""),"Top Display Advertising Agencies in the United States - Jul 2026 Rankings \| Clutch.co")</f>
        <v>Top Display Advertising Agencies in the United States - Jul 2026 Rankings \| Clutch.co</v>
      </c>
      <c r="C50" s="10" t="str">
        <f>IFERROR(__xludf.DUMMYFUNCTION("""COMPUTED_VALUE"""),"clutch.co")</f>
        <v>clutch.co</v>
      </c>
      <c r="D50" s="11" t="str">
        <f>IFERROR(__xludf.DUMMYFUNCTION("""COMPUTED_VALUE"""),"PRODUCT_PAGE")</f>
        <v>PRODUCT_PAGE</v>
      </c>
      <c r="E50" s="11" t="str">
        <f>IFERROR(__xludf.DUMMYFUNCTION("""COMPUTED_VALUE"""),"COMPETITOR")</f>
        <v>COMPETITOR</v>
      </c>
      <c r="F50" s="11" t="str">
        <f>IFERROR(__xludf.DUMMYFUNCTION("""COMPUTED_VALUE"""),"Product Page")</f>
        <v>Product Page</v>
      </c>
      <c r="G50" s="11" t="b">
        <f>IFERROR(__xludf.DUMMYFUNCTION("""COMPUTED_VALUE"""),FALSE)</f>
        <v>0</v>
      </c>
      <c r="H50" s="11" t="str">
        <f>IFERROR(__xludf.DUMMYFUNCTION("""COMPUTED_VALUE"""),"Clutch, Elit-Web, AdVenture Media, Storm Brain")</f>
        <v>Clutch, Elit-Web, AdVenture Media, Storm Brain</v>
      </c>
      <c r="I50" s="11">
        <f>IFERROR(__xludf.DUMMYFUNCTION("""COMPUTED_VALUE"""),2.0)</f>
        <v>2</v>
      </c>
      <c r="J50" s="11">
        <f>IFERROR(__xludf.DUMMYFUNCTION("""COMPUTED_VALUE"""),0.0)</f>
        <v>0</v>
      </c>
      <c r="K50" s="11">
        <f>IFERROR(__xludf.DUMMYFUNCTION("""COMPUTED_VALUE"""),0.0)</f>
        <v>0</v>
      </c>
    </row>
    <row r="51" ht="15.75" customHeight="1">
      <c r="A51" s="10" t="str">
        <f>IFERROR(__xludf.DUMMYFUNCTION("""COMPUTED_VALUE"""),"https://clutch.co/agencies/conversion-optimization/research")</f>
        <v>https://clutch.co/agencies/conversion-optimization/research</v>
      </c>
      <c r="B51" s="11" t="str">
        <f>IFERROR(__xludf.DUMMYFUNCTION("""COMPUTED_VALUE"""),"Top User &amp; Conversion Research Companies - Jul 2026 Rankings \| Clutch.co")</f>
        <v>Top User &amp; Conversion Research Companies - Jul 2026 Rankings \| Clutch.co</v>
      </c>
      <c r="C51" s="10" t="str">
        <f>IFERROR(__xludf.DUMMYFUNCTION("""COMPUTED_VALUE"""),"clutch.co")</f>
        <v>clutch.co</v>
      </c>
      <c r="D51" s="11" t="str">
        <f>IFERROR(__xludf.DUMMYFUNCTION("""COMPUTED_VALUE"""),"CATEGORY_PAGE")</f>
        <v>CATEGORY_PAGE</v>
      </c>
      <c r="E51" s="11" t="str">
        <f>IFERROR(__xludf.DUMMYFUNCTION("""COMPUTED_VALUE"""),"COMPETITOR")</f>
        <v>COMPETITOR</v>
      </c>
      <c r="F51" s="11" t="str">
        <f>IFERROR(__xludf.DUMMYFUNCTION("""COMPUTED_VALUE"""),"Category Page")</f>
        <v>Category Page</v>
      </c>
      <c r="G51" s="11" t="b">
        <f>IFERROR(__xludf.DUMMYFUNCTION("""COMPUTED_VALUE"""),FALSE)</f>
        <v>0</v>
      </c>
      <c r="H51" s="11" t="str">
        <f>IFERROR(__xludf.DUMMYFUNCTION("""COMPUTED_VALUE"""),"Clutch, Searchbloom, AdVenture Media, Huge")</f>
        <v>Clutch, Searchbloom, AdVenture Media, Huge</v>
      </c>
      <c r="I51" s="11">
        <f>IFERROR(__xludf.DUMMYFUNCTION("""COMPUTED_VALUE"""),1.0)</f>
        <v>1</v>
      </c>
      <c r="J51" s="11">
        <f>IFERROR(__xludf.DUMMYFUNCTION("""COMPUTED_VALUE"""),0.0)</f>
        <v>0</v>
      </c>
      <c r="K51" s="11">
        <f>IFERROR(__xludf.DUMMYFUNCTION("""COMPUTED_VALUE"""),0.0)</f>
        <v>0</v>
      </c>
    </row>
    <row r="52" ht="15.75" customHeight="1">
      <c r="A52" s="10" t="str">
        <f>IFERROR(__xludf.DUMMYFUNCTION("""COMPUTED_VALUE"""),"https://clutch.co/agencies/media-buying")</f>
        <v>https://clutch.co/agencies/media-buying</v>
      </c>
      <c r="B52" s="11" t="str">
        <f>IFERROR(__xludf.DUMMYFUNCTION("""COMPUTED_VALUE"""),"Top Media Buying &amp;amp; Planning Agencies - Jul 2026 Rankings | Clutch.co")</f>
        <v>Top Media Buying &amp;amp; Planning Agencies - Jul 2026 Rankings | Clutch.co</v>
      </c>
      <c r="C52" s="10" t="str">
        <f>IFERROR(__xludf.DUMMYFUNCTION("""COMPUTED_VALUE"""),"clutch.co")</f>
        <v>clutch.co</v>
      </c>
      <c r="D52" s="11" t="str">
        <f>IFERROR(__xludf.DUMMYFUNCTION("""COMPUTED_VALUE"""),"CATEGORY_PAGE")</f>
        <v>CATEGORY_PAGE</v>
      </c>
      <c r="E52" s="11" t="str">
        <f>IFERROR(__xludf.DUMMYFUNCTION("""COMPUTED_VALUE"""),"COMPETITOR")</f>
        <v>COMPETITOR</v>
      </c>
      <c r="F52" s="11" t="str">
        <f>IFERROR(__xludf.DUMMYFUNCTION("""COMPUTED_VALUE"""),"Category Page")</f>
        <v>Category Page</v>
      </c>
      <c r="G52" s="11" t="b">
        <f>IFERROR(__xludf.DUMMYFUNCTION("""COMPUTED_VALUE"""),FALSE)</f>
        <v>0</v>
      </c>
      <c r="H52" s="11" t="str">
        <f>IFERROR(__xludf.DUMMYFUNCTION("""COMPUTED_VALUE"""),"Clutch, Momentum, Accelerated Digital Media")</f>
        <v>Clutch, Momentum, Accelerated Digital Media</v>
      </c>
      <c r="I52" s="11">
        <f>IFERROR(__xludf.DUMMYFUNCTION("""COMPUTED_VALUE"""),1.0)</f>
        <v>1</v>
      </c>
      <c r="J52" s="11">
        <f>IFERROR(__xludf.DUMMYFUNCTION("""COMPUTED_VALUE"""),0.0)</f>
        <v>0</v>
      </c>
      <c r="K52" s="11">
        <f>IFERROR(__xludf.DUMMYFUNCTION("""COMPUTED_VALUE"""),0.0)</f>
        <v>0</v>
      </c>
    </row>
    <row r="53" ht="15.75" customHeight="1">
      <c r="A53" s="10" t="str">
        <f>IFERROR(__xludf.DUMMYFUNCTION("""COMPUTED_VALUE"""),"https://clutch.co/agencies/media-buying?page=0")</f>
        <v>https://clutch.co/agencies/media-buying?page=0</v>
      </c>
      <c r="B53" s="11" t="str">
        <f>IFERROR(__xludf.DUMMYFUNCTION("""COMPUTED_VALUE"""),"Top Media Buying &amp; Planning Agencies - Jul 2026 Rankings \| Clutch.co")</f>
        <v>Top Media Buying &amp; Planning Agencies - Jul 2026 Rankings \| Clutch.co</v>
      </c>
      <c r="C53" s="10" t="str">
        <f>IFERROR(__xludf.DUMMYFUNCTION("""COMPUTED_VALUE"""),"clutch.co")</f>
        <v>clutch.co</v>
      </c>
      <c r="D53" s="11" t="str">
        <f>IFERROR(__xludf.DUMMYFUNCTION("""COMPUTED_VALUE"""),"PROFILE")</f>
        <v>PROFILE</v>
      </c>
      <c r="E53" s="11" t="str">
        <f>IFERROR(__xludf.DUMMYFUNCTION("""COMPUTED_VALUE"""),"COMPETITOR")</f>
        <v>COMPETITOR</v>
      </c>
      <c r="F53" s="11" t="str">
        <f>IFERROR(__xludf.DUMMYFUNCTION("""COMPUTED_VALUE"""),"Profile")</f>
        <v>Profile</v>
      </c>
      <c r="G53" s="11" t="b">
        <f>IFERROR(__xludf.DUMMYFUNCTION("""COMPUTED_VALUE"""),FALSE)</f>
        <v>0</v>
      </c>
      <c r="H53" s="11" t="str">
        <f>IFERROR(__xludf.DUMMYFUNCTION("""COMPUTED_VALUE"""),"Clutch, Accelerated Digital Media, Major Tom, NP Digital, Tinuiti")</f>
        <v>Clutch, Accelerated Digital Media, Major Tom, NP Digital, Tinuiti</v>
      </c>
      <c r="I53" s="11">
        <f>IFERROR(__xludf.DUMMYFUNCTION("""COMPUTED_VALUE"""),1.0)</f>
        <v>1</v>
      </c>
      <c r="J53" s="11">
        <f>IFERROR(__xludf.DUMMYFUNCTION("""COMPUTED_VALUE"""),0.0)</f>
        <v>0</v>
      </c>
      <c r="K53" s="11">
        <f>IFERROR(__xludf.DUMMYFUNCTION("""COMPUTED_VALUE"""),0.0)</f>
        <v>0</v>
      </c>
    </row>
    <row r="54" ht="15.75" customHeight="1">
      <c r="A54" s="10" t="str">
        <f>IFERROR(__xludf.DUMMYFUNCTION("""COMPUTED_VALUE"""),"https://clutch.co/agencies/ppc")</f>
        <v>https://clutch.co/agencies/ppc</v>
      </c>
      <c r="B54" s="11" t="str">
        <f>IFERROR(__xludf.DUMMYFUNCTION("""COMPUTED_VALUE"""),"Top PPC Agencies - Jul 2026 Rankings | Clutch.co")</f>
        <v>Top PPC Agencies - Jul 2026 Rankings | Clutch.co</v>
      </c>
      <c r="C54" s="10" t="str">
        <f>IFERROR(__xludf.DUMMYFUNCTION("""COMPUTED_VALUE"""),"clutch.co")</f>
        <v>clutch.co</v>
      </c>
      <c r="D54" s="11" t="str">
        <f>IFERROR(__xludf.DUMMYFUNCTION("""COMPUTED_VALUE"""),"CATEGORY_PAGE")</f>
        <v>CATEGORY_PAGE</v>
      </c>
      <c r="E54" s="11" t="str">
        <f>IFERROR(__xludf.DUMMYFUNCTION("""COMPUTED_VALUE"""),"COMPETITOR")</f>
        <v>COMPETITOR</v>
      </c>
      <c r="F54" s="11" t="str">
        <f>IFERROR(__xludf.DUMMYFUNCTION("""COMPUTED_VALUE"""),"Category Page")</f>
        <v>Category Page</v>
      </c>
      <c r="G54" s="11" t="b">
        <f>IFERROR(__xludf.DUMMYFUNCTION("""COMPUTED_VALUE"""),FALSE)</f>
        <v>0</v>
      </c>
      <c r="H54" s="11" t="str">
        <f>IFERROR(__xludf.DUMMYFUNCTION("""COMPUTED_VALUE"""),"Clutch, Disruptive Advertising, AdVenture Media, KlientBoost, Single Grain, SmartSites, HawkSEM, Intero Digital, Elit-Web, NinjaPromo")</f>
        <v>Clutch, Disruptive Advertising, AdVenture Media, KlientBoost, Single Grain, SmartSites, HawkSEM, Intero Digital, Elit-Web, NinjaPromo</v>
      </c>
      <c r="I54" s="11">
        <f>IFERROR(__xludf.DUMMYFUNCTION("""COMPUTED_VALUE"""),1.0)</f>
        <v>1</v>
      </c>
      <c r="J54" s="11">
        <f>IFERROR(__xludf.DUMMYFUNCTION("""COMPUTED_VALUE"""),0.0)</f>
        <v>0</v>
      </c>
      <c r="K54" s="11">
        <f>IFERROR(__xludf.DUMMYFUNCTION("""COMPUTED_VALUE"""),0.0)</f>
        <v>0</v>
      </c>
    </row>
    <row r="55" ht="15.75" customHeight="1">
      <c r="A55" s="10" t="str">
        <f>IFERROR(__xludf.DUMMYFUNCTION("""COMPUTED_VALUE"""),"https://clutch.co/agencies/ppc/ecommerce-industry")</f>
        <v>https://clutch.co/agencies/ppc/ecommerce-industry</v>
      </c>
      <c r="B55" s="11" t="str">
        <f>IFERROR(__xludf.DUMMYFUNCTION("""COMPUTED_VALUE"""),"Top E-Commerce PPC Companies - Jul 2026 Rankings \| Clutch.co")</f>
        <v>Top E-Commerce PPC Companies - Jul 2026 Rankings \| Clutch.co</v>
      </c>
      <c r="C55" s="10" t="str">
        <f>IFERROR(__xludf.DUMMYFUNCTION("""COMPUTED_VALUE"""),"clutch.co")</f>
        <v>clutch.co</v>
      </c>
      <c r="D55" s="11" t="str">
        <f>IFERROR(__xludf.DUMMYFUNCTION("""COMPUTED_VALUE"""),"CATEGORY_PAGE")</f>
        <v>CATEGORY_PAGE</v>
      </c>
      <c r="E55" s="11" t="str">
        <f>IFERROR(__xludf.DUMMYFUNCTION("""COMPUTED_VALUE"""),"COMPETITOR")</f>
        <v>COMPETITOR</v>
      </c>
      <c r="F55" s="11" t="str">
        <f>IFERROR(__xludf.DUMMYFUNCTION("""COMPUTED_VALUE"""),"Category Page")</f>
        <v>Category Page</v>
      </c>
      <c r="G55" s="11" t="b">
        <f>IFERROR(__xludf.DUMMYFUNCTION("""COMPUTED_VALUE"""),FALSE)</f>
        <v>0</v>
      </c>
      <c r="H55" s="11" t="str">
        <f>IFERROR(__xludf.DUMMYFUNCTION("""COMPUTED_VALUE"""),"Clutch, Disruptive Advertising, KlientBoost, NinjaPromo, AdVenture Media, Elit-Web, HawkSEM, SmartSites, Intero Digital, Storm Brain")</f>
        <v>Clutch, Disruptive Advertising, KlientBoost, NinjaPromo, AdVenture Media, Elit-Web, HawkSEM, SmartSites, Intero Digital, Storm Brain</v>
      </c>
      <c r="I55" s="11">
        <f>IFERROR(__xludf.DUMMYFUNCTION("""COMPUTED_VALUE"""),1.0)</f>
        <v>1</v>
      </c>
      <c r="J55" s="11">
        <f>IFERROR(__xludf.DUMMYFUNCTION("""COMPUTED_VALUE"""),0.0)</f>
        <v>0</v>
      </c>
      <c r="K55" s="11">
        <f>IFERROR(__xludf.DUMMYFUNCTION("""COMPUTED_VALUE"""),0.0)</f>
        <v>0</v>
      </c>
    </row>
    <row r="56" ht="15.75" customHeight="1">
      <c r="A56" s="10" t="str">
        <f>IFERROR(__xludf.DUMMYFUNCTION("""COMPUTED_VALUE"""),"https://clutch.co/agencies/programmatic#:~:text=Version2%20is%20an%20advertising%20agency%20specializing%20in,of%20reviewers%20highlighting%20their%20professionalism%20and%20commitment.")</f>
        <v>https://clutch.co/agencies/programmatic#:~:text=Version2%20is%20an%20advertising%20agency%20specializing%20in,of%20reviewers%20highlighting%20their%20professionalism%20and%20commitment.</v>
      </c>
      <c r="B56" s="11" t="str">
        <f>IFERROR(__xludf.DUMMYFUNCTION("""COMPUTED_VALUE"""),"Top Programmatic Advertising Companies - Jul 2026 Rankings | Clutch.co")</f>
        <v>Top Programmatic Advertising Companies - Jul 2026 Rankings | Clutch.co</v>
      </c>
      <c r="C56" s="10" t="str">
        <f>IFERROR(__xludf.DUMMYFUNCTION("""COMPUTED_VALUE"""),"clutch.co")</f>
        <v>clutch.co</v>
      </c>
      <c r="D56" s="11" t="str">
        <f>IFERROR(__xludf.DUMMYFUNCTION("""COMPUTED_VALUE"""),"LISTICLE")</f>
        <v>LISTICLE</v>
      </c>
      <c r="E56" s="11" t="str">
        <f>IFERROR(__xludf.DUMMYFUNCTION("""COMPUTED_VALUE"""),"COMPETITOR")</f>
        <v>COMPETITOR</v>
      </c>
      <c r="F56" s="11" t="str">
        <f>IFERROR(__xludf.DUMMYFUNCTION("""COMPUTED_VALUE"""),"Listicle")</f>
        <v>Listicle</v>
      </c>
      <c r="G56" s="11" t="b">
        <f>IFERROR(__xludf.DUMMYFUNCTION("""COMPUTED_VALUE"""),FALSE)</f>
        <v>0</v>
      </c>
      <c r="H56" s="11" t="str">
        <f>IFERROR(__xludf.DUMMYFUNCTION("""COMPUTED_VALUE"""),"Clutch, NinjaPromo, SmartSites, Funnel Boost Media, LYFE Marketing, AdVenture Media, The SEO Works, Accelerated Digital Media, Storm Brain")</f>
        <v>Clutch, NinjaPromo, SmartSites, Funnel Boost Media, LYFE Marketing, AdVenture Media, The SEO Works, Accelerated Digital Media, Storm Brain</v>
      </c>
      <c r="I56" s="11">
        <f>IFERROR(__xludf.DUMMYFUNCTION("""COMPUTED_VALUE"""),1.0)</f>
        <v>1</v>
      </c>
      <c r="J56" s="11">
        <f>IFERROR(__xludf.DUMMYFUNCTION("""COMPUTED_VALUE"""),0.0)</f>
        <v>0</v>
      </c>
      <c r="K56" s="11">
        <f>IFERROR(__xludf.DUMMYFUNCTION("""COMPUTED_VALUE"""),2.0)</f>
        <v>2</v>
      </c>
    </row>
    <row r="57" ht="15.75" customHeight="1">
      <c r="A57" s="10" t="str">
        <f>IFERROR(__xludf.DUMMYFUNCTION("""COMPUTED_VALUE"""),"https://clutch.co/profile/mutesix")</f>
        <v>https://clutch.co/profile/mutesix</v>
      </c>
      <c r="B57" s="11" t="str">
        <f>IFERROR(__xludf.DUMMYFUNCTION("""COMPUTED_VALUE"""),"MuteSix Reviews (10), Pricing, Services &amp; Verified Ratings")</f>
        <v>MuteSix Reviews (10), Pricing, Services &amp; Verified Ratings</v>
      </c>
      <c r="C57" s="10" t="str">
        <f>IFERROR(__xludf.DUMMYFUNCTION("""COMPUTED_VALUE"""),"clutch.co")</f>
        <v>clutch.co</v>
      </c>
      <c r="D57" s="11" t="str">
        <f>IFERROR(__xludf.DUMMYFUNCTION("""COMPUTED_VALUE"""),"PROFILE")</f>
        <v>PROFILE</v>
      </c>
      <c r="E57" s="11" t="str">
        <f>IFERROR(__xludf.DUMMYFUNCTION("""COMPUTED_VALUE"""),"COMPETITOR")</f>
        <v>COMPETITOR</v>
      </c>
      <c r="F57" s="11" t="str">
        <f>IFERROR(__xludf.DUMMYFUNCTION("""COMPUTED_VALUE"""),"Profile")</f>
        <v>Profile</v>
      </c>
      <c r="G57" s="11" t="b">
        <f>IFERROR(__xludf.DUMMYFUNCTION("""COMPUTED_VALUE"""),FALSE)</f>
        <v>0</v>
      </c>
      <c r="H57" s="11" t="str">
        <f>IFERROR(__xludf.DUMMYFUNCTION("""COMPUTED_VALUE"""),"Clutch, MuteSix")</f>
        <v>Clutch, MuteSix</v>
      </c>
      <c r="I57" s="11">
        <f>IFERROR(__xludf.DUMMYFUNCTION("""COMPUTED_VALUE"""),1.0)</f>
        <v>1</v>
      </c>
      <c r="J57" s="11">
        <f>IFERROR(__xludf.DUMMYFUNCTION("""COMPUTED_VALUE"""),0.0)</f>
        <v>0</v>
      </c>
      <c r="K57" s="11">
        <f>IFERROR(__xludf.DUMMYFUNCTION("""COMPUTED_VALUE"""),1.0)</f>
        <v>1</v>
      </c>
    </row>
    <row r="58" ht="15.75" customHeight="1">
      <c r="A58" s="10" t="str">
        <f>IFERROR(__xludf.DUMMYFUNCTION("""COMPUTED_VALUE"""),"https://clutch.co/us/agencies/branding")</f>
        <v>https://clutch.co/us/agencies/branding</v>
      </c>
      <c r="B58" s="11" t="str">
        <f>IFERROR(__xludf.DUMMYFUNCTION("""COMPUTED_VALUE"""),"Top Branding Agencies in the United States - Jul 2026 Rankings | Clutch.co")</f>
        <v>Top Branding Agencies in the United States - Jul 2026 Rankings | Clutch.co</v>
      </c>
      <c r="C58" s="10" t="str">
        <f>IFERROR(__xludf.DUMMYFUNCTION("""COMPUTED_VALUE"""),"clutch.co")</f>
        <v>clutch.co</v>
      </c>
      <c r="D58" s="11" t="str">
        <f>IFERROR(__xludf.DUMMYFUNCTION("""COMPUTED_VALUE"""),"CATEGORY_PAGE")</f>
        <v>CATEGORY_PAGE</v>
      </c>
      <c r="E58" s="11" t="str">
        <f>IFERROR(__xludf.DUMMYFUNCTION("""COMPUTED_VALUE"""),"COMPETITOR")</f>
        <v>COMPETITOR</v>
      </c>
      <c r="F58" s="11" t="str">
        <f>IFERROR(__xludf.DUMMYFUNCTION("""COMPUTED_VALUE"""),"Category Page")</f>
        <v>Category Page</v>
      </c>
      <c r="G58" s="11" t="b">
        <f>IFERROR(__xludf.DUMMYFUNCTION("""COMPUTED_VALUE"""),FALSE)</f>
        <v>0</v>
      </c>
      <c r="H58" s="11" t="str">
        <f>IFERROR(__xludf.DUMMYFUNCTION("""COMPUTED_VALUE"""),"Clutch, Clay, Huge")</f>
        <v>Clutch, Clay, Huge</v>
      </c>
      <c r="I58" s="11">
        <f>IFERROR(__xludf.DUMMYFUNCTION("""COMPUTED_VALUE"""),1.0)</f>
        <v>1</v>
      </c>
      <c r="J58" s="11">
        <f>IFERROR(__xludf.DUMMYFUNCTION("""COMPUTED_VALUE"""),0.0)</f>
        <v>0</v>
      </c>
      <c r="K58" s="11">
        <f>IFERROR(__xludf.DUMMYFUNCTION("""COMPUTED_VALUE"""),0.0)</f>
        <v>0</v>
      </c>
    </row>
    <row r="59" ht="15.75" customHeight="1">
      <c r="A59" s="10" t="str">
        <f>IFERROR(__xludf.DUMMYFUNCTION("""COMPUTED_VALUE"""),"https://clutch.co/us/agencies/business-services-industry?page=1")</f>
        <v>https://clutch.co/us/agencies/business-services-industry?page=1</v>
      </c>
      <c r="B59" s="11" t="str">
        <f>IFERROR(__xludf.DUMMYFUNCTION("""COMPUTED_VALUE"""),"Page 2 - Top Advertising Agencies for B2B in the United States - Jul 2026 Rankings \| Clutch.co")</f>
        <v>Page 2 - Top Advertising Agencies for B2B in the United States - Jul 2026 Rankings \| Clutch.co</v>
      </c>
      <c r="C59" s="10" t="str">
        <f>IFERROR(__xludf.DUMMYFUNCTION("""COMPUTED_VALUE"""),"clutch.co")</f>
        <v>clutch.co</v>
      </c>
      <c r="D59" s="11" t="str">
        <f>IFERROR(__xludf.DUMMYFUNCTION("""COMPUTED_VALUE"""),"CATEGORY_PAGE")</f>
        <v>CATEGORY_PAGE</v>
      </c>
      <c r="E59" s="11" t="str">
        <f>IFERROR(__xludf.DUMMYFUNCTION("""COMPUTED_VALUE"""),"COMPETITOR")</f>
        <v>COMPETITOR</v>
      </c>
      <c r="F59" s="11" t="str">
        <f>IFERROR(__xludf.DUMMYFUNCTION("""COMPUTED_VALUE"""),"Category Page")</f>
        <v>Category Page</v>
      </c>
      <c r="G59" s="11" t="b">
        <f>IFERROR(__xludf.DUMMYFUNCTION("""COMPUTED_VALUE"""),FALSE)</f>
        <v>0</v>
      </c>
      <c r="H59" s="11" t="str">
        <f>IFERROR(__xludf.DUMMYFUNCTION("""COMPUTED_VALUE"""),"Clutch, NinjaPromo, Power Digital, Huge, Directive")</f>
        <v>Clutch, NinjaPromo, Power Digital, Huge, Directive</v>
      </c>
      <c r="I59" s="11">
        <f>IFERROR(__xludf.DUMMYFUNCTION("""COMPUTED_VALUE"""),1.0)</f>
        <v>1</v>
      </c>
      <c r="J59" s="11">
        <f>IFERROR(__xludf.DUMMYFUNCTION("""COMPUTED_VALUE"""),0.0)</f>
        <v>0</v>
      </c>
      <c r="K59" s="11">
        <f>IFERROR(__xludf.DUMMYFUNCTION("""COMPUTED_VALUE"""),0.0)</f>
        <v>0</v>
      </c>
    </row>
    <row r="60" ht="15.75" customHeight="1">
      <c r="A60" s="10" t="str">
        <f>IFERROR(__xludf.DUMMYFUNCTION("""COMPUTED_VALUE"""),"https://clutch.co/us/agencies/digital-marketing/small-business#:~:text=%2410%2C000%2B%20250%20%2D%20999.%20San%20Diego%2C%20CA.,execution%2C%20strong%20communication%2C%20and%20impressive%20project%20management.")</f>
        <v>https://clutch.co/us/agencies/digital-marketing/small-business#:~:text=%2410%2C000%2B%20250%20%2D%20999.%20San%20Diego%2C%20CA.,execution%2C%20strong%20communication%2C%20and%20impressive%20project%20management.</v>
      </c>
      <c r="B60" s="11" t="str">
        <f>IFERROR(__xludf.DUMMYFUNCTION("""COMPUTED_VALUE"""),"Top Digital Marketing Agencies for Small Business in the United States - Jul 2026 Rankings \| Clutch.co")</f>
        <v>Top Digital Marketing Agencies for Small Business in the United States - Jul 2026 Rankings \| Clutch.co</v>
      </c>
      <c r="C60" s="10" t="str">
        <f>IFERROR(__xludf.DUMMYFUNCTION("""COMPUTED_VALUE"""),"clutch.co")</f>
        <v>clutch.co</v>
      </c>
      <c r="D60" s="11" t="str">
        <f>IFERROR(__xludf.DUMMYFUNCTION("""COMPUTED_VALUE"""),"OTHER")</f>
        <v>OTHER</v>
      </c>
      <c r="E60" s="11" t="str">
        <f>IFERROR(__xludf.DUMMYFUNCTION("""COMPUTED_VALUE"""),"COMPETITOR")</f>
        <v>COMPETITOR</v>
      </c>
      <c r="F60" s="11" t="str">
        <f>IFERROR(__xludf.DUMMYFUNCTION("""COMPUTED_VALUE"""),"Other")</f>
        <v>Other</v>
      </c>
      <c r="G60" s="11" t="b">
        <f>IFERROR(__xludf.DUMMYFUNCTION("""COMPUTED_VALUE"""),FALSE)</f>
        <v>0</v>
      </c>
      <c r="H60" s="11" t="str">
        <f>IFERROR(__xludf.DUMMYFUNCTION("""COMPUTED_VALUE"""),"Clutch, Thrive Internet Marketing Agency, Intero Digital, Disruptive Advertising, Ignite Visibility, Elit-Web, NinjaPromo, SmartSites, HawkSEM, Acadia")</f>
        <v>Clutch, Thrive Internet Marketing Agency, Intero Digital, Disruptive Advertising, Ignite Visibility, Elit-Web, NinjaPromo, SmartSites, HawkSEM, Acadia</v>
      </c>
      <c r="I60" s="11">
        <f>IFERROR(__xludf.DUMMYFUNCTION("""COMPUTED_VALUE"""),1.0)</f>
        <v>1</v>
      </c>
      <c r="J60" s="11">
        <f>IFERROR(__xludf.DUMMYFUNCTION("""COMPUTED_VALUE"""),0.0)</f>
        <v>0</v>
      </c>
      <c r="K60" s="11">
        <f>IFERROR(__xludf.DUMMYFUNCTION("""COMPUTED_VALUE"""),1.0)</f>
        <v>1</v>
      </c>
    </row>
    <row r="61" ht="15.75" customHeight="1">
      <c r="A61" s="10" t="str">
        <f>IFERROR(__xludf.DUMMYFUNCTION("""COMPUTED_VALUE"""),"https://clutch.co/us/agencies/market-research/shopper-marketing")</f>
        <v>https://clutch.co/us/agencies/market-research/shopper-marketing</v>
      </c>
      <c r="B61" s="11" t="str">
        <f>IFERROR(__xludf.DUMMYFUNCTION("""COMPUTED_VALUE"""),"Top Shopper Marketing Agencies in the United States - Jul 2026 Rankings \| Clutch.co")</f>
        <v>Top Shopper Marketing Agencies in the United States - Jul 2026 Rankings \| Clutch.co</v>
      </c>
      <c r="C61" s="10" t="str">
        <f>IFERROR(__xludf.DUMMYFUNCTION("""COMPUTED_VALUE"""),"clutch.co")</f>
        <v>clutch.co</v>
      </c>
      <c r="D61" s="11" t="str">
        <f>IFERROR(__xludf.DUMMYFUNCTION("""COMPUTED_VALUE"""),"CATEGORY_PAGE")</f>
        <v>CATEGORY_PAGE</v>
      </c>
      <c r="E61" s="11" t="str">
        <f>IFERROR(__xludf.DUMMYFUNCTION("""COMPUTED_VALUE"""),"COMPETITOR")</f>
        <v>COMPETITOR</v>
      </c>
      <c r="F61" s="11" t="str">
        <f>IFERROR(__xludf.DUMMYFUNCTION("""COMPUTED_VALUE"""),"Category Page")</f>
        <v>Category Page</v>
      </c>
      <c r="G61" s="11" t="b">
        <f>IFERROR(__xludf.DUMMYFUNCTION("""COMPUTED_VALUE"""),FALSE)</f>
        <v>0</v>
      </c>
      <c r="H61" s="11" t="str">
        <f>IFERROR(__xludf.DUMMYFUNCTION("""COMPUTED_VALUE"""),"Clutch, Epsilon, VML, Circana")</f>
        <v>Clutch, Epsilon, VML, Circana</v>
      </c>
      <c r="I61" s="11">
        <f>IFERROR(__xludf.DUMMYFUNCTION("""COMPUTED_VALUE"""),1.0)</f>
        <v>1</v>
      </c>
      <c r="J61" s="11">
        <f>IFERROR(__xludf.DUMMYFUNCTION("""COMPUTED_VALUE"""),0.0)</f>
        <v>0</v>
      </c>
      <c r="K61" s="11">
        <f>IFERROR(__xludf.DUMMYFUNCTION("""COMPUTED_VALUE"""),0.0)</f>
        <v>0</v>
      </c>
    </row>
    <row r="62" ht="15.75" customHeight="1">
      <c r="A62" s="10" t="str">
        <f>IFERROR(__xludf.DUMMYFUNCTION("""COMPUTED_VALUE"""),"https://clutch.co/us/agencies/ppc/display%3Fpage%3D6")</f>
        <v>https://clutch.co/us/agencies/ppc/display%3Fpage%3D6</v>
      </c>
      <c r="B62" s="11" t="str">
        <f>IFERROR(__xludf.DUMMYFUNCTION("""COMPUTED_VALUE"""),"Top Display Advertising Agencies in the United States - Jul 2026 Rankings | Clutch.co")</f>
        <v>Top Display Advertising Agencies in the United States - Jul 2026 Rankings | Clutch.co</v>
      </c>
      <c r="C62" s="10" t="str">
        <f>IFERROR(__xludf.DUMMYFUNCTION("""COMPUTED_VALUE"""),"clutch.co")</f>
        <v>clutch.co</v>
      </c>
      <c r="D62" s="11" t="str">
        <f>IFERROR(__xludf.DUMMYFUNCTION("""COMPUTED_VALUE"""),"PRODUCT_PAGE")</f>
        <v>PRODUCT_PAGE</v>
      </c>
      <c r="E62" s="11" t="str">
        <f>IFERROR(__xludf.DUMMYFUNCTION("""COMPUTED_VALUE"""),"COMPETITOR")</f>
        <v>COMPETITOR</v>
      </c>
      <c r="F62" s="11" t="str">
        <f>IFERROR(__xludf.DUMMYFUNCTION("""COMPUTED_VALUE"""),"Product Page")</f>
        <v>Product Page</v>
      </c>
      <c r="G62" s="11" t="b">
        <f>IFERROR(__xludf.DUMMYFUNCTION("""COMPUTED_VALUE"""),FALSE)</f>
        <v>0</v>
      </c>
      <c r="H62" s="11" t="str">
        <f>IFERROR(__xludf.DUMMYFUNCTION("""COMPUTED_VALUE"""),"Clutch, Elit-Web, AdVenture Media, Storm Brain")</f>
        <v>Clutch, Elit-Web, AdVenture Media, Storm Brain</v>
      </c>
      <c r="I62" s="11">
        <f>IFERROR(__xludf.DUMMYFUNCTION("""COMPUTED_VALUE"""),1.0)</f>
        <v>1</v>
      </c>
      <c r="J62" s="11">
        <f>IFERROR(__xludf.DUMMYFUNCTION("""COMPUTED_VALUE"""),0.0)</f>
        <v>0</v>
      </c>
      <c r="K62" s="11">
        <f>IFERROR(__xludf.DUMMYFUNCTION("""COMPUTED_VALUE"""),0.0)</f>
        <v>0</v>
      </c>
    </row>
    <row r="63" ht="15.75" customHeight="1">
      <c r="A63" s="10" t="str">
        <f>IFERROR(__xludf.DUMMYFUNCTION("""COMPUTED_VALUE"""),"https://clutch.co/us/agencies/ppc/display%3Fpage%3D8")</f>
        <v>https://clutch.co/us/agencies/ppc/display%3Fpage%3D8</v>
      </c>
      <c r="B63" s="11" t="str">
        <f>IFERROR(__xludf.DUMMYFUNCTION("""COMPUTED_VALUE"""),"Top Display Advertising Agencies in the United States - Jul 2026 Rankings \| Clutch.co")</f>
        <v>Top Display Advertising Agencies in the United States - Jul 2026 Rankings \| Clutch.co</v>
      </c>
      <c r="C63" s="10" t="str">
        <f>IFERROR(__xludf.DUMMYFUNCTION("""COMPUTED_VALUE"""),"clutch.co")</f>
        <v>clutch.co</v>
      </c>
      <c r="D63" s="11" t="str">
        <f>IFERROR(__xludf.DUMMYFUNCTION("""COMPUTED_VALUE"""),"CATEGORY_PAGE")</f>
        <v>CATEGORY_PAGE</v>
      </c>
      <c r="E63" s="11" t="str">
        <f>IFERROR(__xludf.DUMMYFUNCTION("""COMPUTED_VALUE"""),"COMPETITOR")</f>
        <v>COMPETITOR</v>
      </c>
      <c r="F63" s="11" t="str">
        <f>IFERROR(__xludf.DUMMYFUNCTION("""COMPUTED_VALUE"""),"Category Page")</f>
        <v>Category Page</v>
      </c>
      <c r="G63" s="11" t="b">
        <f>IFERROR(__xludf.DUMMYFUNCTION("""COMPUTED_VALUE"""),FALSE)</f>
        <v>0</v>
      </c>
      <c r="H63" s="11" t="str">
        <f>IFERROR(__xludf.DUMMYFUNCTION("""COMPUTED_VALUE"""),"Clutch, Elit-Web, AdVenture Media, Storm Brain")</f>
        <v>Clutch, Elit-Web, AdVenture Media, Storm Brain</v>
      </c>
      <c r="I63" s="11">
        <f>IFERROR(__xludf.DUMMYFUNCTION("""COMPUTED_VALUE"""),1.0)</f>
        <v>1</v>
      </c>
      <c r="J63" s="11">
        <f>IFERROR(__xludf.DUMMYFUNCTION("""COMPUTED_VALUE"""),0.0)</f>
        <v>0</v>
      </c>
      <c r="K63" s="11">
        <f>IFERROR(__xludf.DUMMYFUNCTION("""COMPUTED_VALUE"""),0.0)</f>
        <v>0</v>
      </c>
    </row>
    <row r="64" ht="15.75" customHeight="1">
      <c r="A64" s="10" t="str">
        <f>IFERROR(__xludf.DUMMYFUNCTION("""COMPUTED_VALUE"""),"https://clutch.co/us/agencies/ppc/display?page=10")</f>
        <v>https://clutch.co/us/agencies/ppc/display?page=10</v>
      </c>
      <c r="B64" s="11" t="str">
        <f>IFERROR(__xludf.DUMMYFUNCTION("""COMPUTED_VALUE"""),"Page 10 - Top Display Advertising Agencies in the United States - Jul 2026 Rankings | Clutch.co")</f>
        <v>Page 10 - Top Display Advertising Agencies in the United States - Jul 2026 Rankings | Clutch.co</v>
      </c>
      <c r="C64" s="10" t="str">
        <f>IFERROR(__xludf.DUMMYFUNCTION("""COMPUTED_VALUE"""),"clutch.co")</f>
        <v>clutch.co</v>
      </c>
      <c r="D64" s="11" t="str">
        <f>IFERROR(__xludf.DUMMYFUNCTION("""COMPUTED_VALUE"""),"OTHER")</f>
        <v>OTHER</v>
      </c>
      <c r="E64" s="11" t="str">
        <f>IFERROR(__xludf.DUMMYFUNCTION("""COMPUTED_VALUE"""),"COMPETITOR")</f>
        <v>COMPETITOR</v>
      </c>
      <c r="F64" s="11" t="str">
        <f>IFERROR(__xludf.DUMMYFUNCTION("""COMPUTED_VALUE"""),"Other")</f>
        <v>Other</v>
      </c>
      <c r="G64" s="11" t="b">
        <f>IFERROR(__xludf.DUMMYFUNCTION("""COMPUTED_VALUE"""),FALSE)</f>
        <v>0</v>
      </c>
      <c r="H64" s="11" t="str">
        <f>IFERROR(__xludf.DUMMYFUNCTION("""COMPUTED_VALUE"""),"Clutch, Elit-Web, AdVenture Media, Go Fish Digital, Storm Brain, NoGood, Tinuiti")</f>
        <v>Clutch, Elit-Web, AdVenture Media, Go Fish Digital, Storm Brain, NoGood, Tinuiti</v>
      </c>
      <c r="I64" s="11">
        <f>IFERROR(__xludf.DUMMYFUNCTION("""COMPUTED_VALUE"""),1.0)</f>
        <v>1</v>
      </c>
      <c r="J64" s="11">
        <f>IFERROR(__xludf.DUMMYFUNCTION("""COMPUTED_VALUE"""),0.0)</f>
        <v>0</v>
      </c>
      <c r="K64" s="11">
        <f>IFERROR(__xludf.DUMMYFUNCTION("""COMPUTED_VALUE"""),0.0)</f>
        <v>0</v>
      </c>
    </row>
    <row r="65" ht="15.75" customHeight="1">
      <c r="A65" s="10" t="str">
        <f>IFERROR(__xludf.DUMMYFUNCTION("""COMPUTED_VALUE"""),"https://clutch.co/us/agencies/ppc/display?page=16")</f>
        <v>https://clutch.co/us/agencies/ppc/display?page=16</v>
      </c>
      <c r="B65" s="11" t="str">
        <f>IFERROR(__xludf.DUMMYFUNCTION("""COMPUTED_VALUE"""),"Page 16 - Top Display Advertising Agencies in the United States - Jul 2026 Rankings \| Clutch.co")</f>
        <v>Page 16 - Top Display Advertising Agencies in the United States - Jul 2026 Rankings \| Clutch.co</v>
      </c>
      <c r="C65" s="10" t="str">
        <f>IFERROR(__xludf.DUMMYFUNCTION("""COMPUTED_VALUE"""),"clutch.co")</f>
        <v>clutch.co</v>
      </c>
      <c r="D65" s="11" t="str">
        <f>IFERROR(__xludf.DUMMYFUNCTION("""COMPUTED_VALUE"""),"CATEGORY_PAGE")</f>
        <v>CATEGORY_PAGE</v>
      </c>
      <c r="E65" s="11" t="str">
        <f>IFERROR(__xludf.DUMMYFUNCTION("""COMPUTED_VALUE"""),"COMPETITOR")</f>
        <v>COMPETITOR</v>
      </c>
      <c r="F65" s="11" t="str">
        <f>IFERROR(__xludf.DUMMYFUNCTION("""COMPUTED_VALUE"""),"Category Page")</f>
        <v>Category Page</v>
      </c>
      <c r="G65" s="11" t="b">
        <f>IFERROR(__xludf.DUMMYFUNCTION("""COMPUTED_VALUE"""),FALSE)</f>
        <v>0</v>
      </c>
      <c r="H65" s="11" t="str">
        <f>IFERROR(__xludf.DUMMYFUNCTION("""COMPUTED_VALUE"""),"Clutch, Elit-Web, AdVenture Media, Storm Brain, Huge, Go Fish Digital, NoGood, Tinuiti")</f>
        <v>Clutch, Elit-Web, AdVenture Media, Storm Brain, Huge, Go Fish Digital, NoGood, Tinuiti</v>
      </c>
      <c r="I65" s="11">
        <f>IFERROR(__xludf.DUMMYFUNCTION("""COMPUTED_VALUE"""),1.0)</f>
        <v>1</v>
      </c>
      <c r="J65" s="11">
        <f>IFERROR(__xludf.DUMMYFUNCTION("""COMPUTED_VALUE"""),0.0)</f>
        <v>0</v>
      </c>
      <c r="K65" s="11">
        <f>IFERROR(__xludf.DUMMYFUNCTION("""COMPUTED_VALUE"""),0.0)</f>
        <v>0</v>
      </c>
    </row>
    <row r="66" ht="15.75" customHeight="1">
      <c r="A66" s="10" t="str">
        <f>IFERROR(__xludf.DUMMYFUNCTION("""COMPUTED_VALUE"""),"https://clutch.co/us/agencies/ppc/ecommerce-industry")</f>
        <v>https://clutch.co/us/agencies/ppc/ecommerce-industry</v>
      </c>
      <c r="B66" s="11" t="str">
        <f>IFERROR(__xludf.DUMMYFUNCTION("""COMPUTED_VALUE"""),"Top PPC Agencies for E-Commerce Companies in the United States - Jul 2026 Rankings | Clutch.co")</f>
        <v>Top PPC Agencies for E-Commerce Companies in the United States - Jul 2026 Rankings | Clutch.co</v>
      </c>
      <c r="C66" s="10" t="str">
        <f>IFERROR(__xludf.DUMMYFUNCTION("""COMPUTED_VALUE"""),"clutch.co")</f>
        <v>clutch.co</v>
      </c>
      <c r="D66" s="11" t="str">
        <f>IFERROR(__xludf.DUMMYFUNCTION("""COMPUTED_VALUE"""),"CATEGORY_PAGE")</f>
        <v>CATEGORY_PAGE</v>
      </c>
      <c r="E66" s="11" t="str">
        <f>IFERROR(__xludf.DUMMYFUNCTION("""COMPUTED_VALUE"""),"COMPETITOR")</f>
        <v>COMPETITOR</v>
      </c>
      <c r="F66" s="11" t="str">
        <f>IFERROR(__xludf.DUMMYFUNCTION("""COMPUTED_VALUE"""),"Category Page")</f>
        <v>Category Page</v>
      </c>
      <c r="G66" s="11" t="b">
        <f>IFERROR(__xludf.DUMMYFUNCTION("""COMPUTED_VALUE"""),FALSE)</f>
        <v>0</v>
      </c>
      <c r="H66" s="11" t="str">
        <f>IFERROR(__xludf.DUMMYFUNCTION("""COMPUTED_VALUE"""),"Clutch, KlientBoost, Disruptive Advertising, AdVenture Media, Elit-Web, HawkSEM, SmartSites, Intero Digital, Storm Brain, Acadia")</f>
        <v>Clutch, KlientBoost, Disruptive Advertising, AdVenture Media, Elit-Web, HawkSEM, SmartSites, Intero Digital, Storm Brain, Acadia</v>
      </c>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IFERROR(__xludf.DUMMYFUNCTION("""COMPUTED_VALUE"""),"https://clutch.co/us/agencies/ppc/google-adwords%3Fpage%3D16")</f>
        <v>https://clutch.co/us/agencies/ppc/google-adwords%3Fpage%3D16</v>
      </c>
      <c r="B67" s="11" t="str">
        <f>IFERROR(__xludf.DUMMYFUNCTION("""COMPUTED_VALUE"""),"Top Adwords PPC Agencies in the United States - Jul 2026 Rankings \| Clutch.co")</f>
        <v>Top Adwords PPC Agencies in the United States - Jul 2026 Rankings \| Clutch.co</v>
      </c>
      <c r="C67" s="10" t="str">
        <f>IFERROR(__xludf.DUMMYFUNCTION("""COMPUTED_VALUE"""),"clutch.co")</f>
        <v>clutch.co</v>
      </c>
      <c r="D67" s="11" t="str">
        <f>IFERROR(__xludf.DUMMYFUNCTION("""COMPUTED_VALUE"""),"CATEGORY_PAGE")</f>
        <v>CATEGORY_PAGE</v>
      </c>
      <c r="E67" s="11" t="str">
        <f>IFERROR(__xludf.DUMMYFUNCTION("""COMPUTED_VALUE"""),"COMPETITOR")</f>
        <v>COMPETITOR</v>
      </c>
      <c r="F67" s="11" t="str">
        <f>IFERROR(__xludf.DUMMYFUNCTION("""COMPUTED_VALUE"""),"Category Page")</f>
        <v>Category Page</v>
      </c>
      <c r="G67" s="11" t="b">
        <f>IFERROR(__xludf.DUMMYFUNCTION("""COMPUTED_VALUE"""),FALSE)</f>
        <v>0</v>
      </c>
      <c r="H67" s="11" t="str">
        <f>IFERROR(__xludf.DUMMYFUNCTION("""COMPUTED_VALUE"""),"Clutch, KlientBoost, Disruptive Advertising, AdVenture Media, HawkSEM, SmartSites, Intero Digital, Elit-Web, Accelerated Digital Media, Ignite Visibility, Searchbloom, Funnel Boost Media")</f>
        <v>Clutch, KlientBoost, Disruptive Advertising, AdVenture Media, HawkSEM, SmartSites, Intero Digital, Elit-Web, Accelerated Digital Media, Ignite Visibility, Searchbloom, Funnel Boost Media</v>
      </c>
      <c r="I67" s="11">
        <f>IFERROR(__xludf.DUMMYFUNCTION("""COMPUTED_VALUE"""),1.0)</f>
        <v>1</v>
      </c>
      <c r="J67" s="11">
        <f>IFERROR(__xludf.DUMMYFUNCTION("""COMPUTED_VALUE"""),0.0)</f>
        <v>0</v>
      </c>
      <c r="K67" s="11">
        <f>IFERROR(__xludf.DUMMYFUNCTION("""COMPUTED_VALUE"""),0.0)</f>
        <v>0</v>
      </c>
    </row>
    <row r="68" ht="15.75" customHeight="1">
      <c r="A68" s="10" t="str">
        <f>IFERROR(__xludf.DUMMYFUNCTION("""COMPUTED_VALUE"""),"https://clutch.co/us/agencies/programmatic%3Fpage%3D2")</f>
        <v>https://clutch.co/us/agencies/programmatic%3Fpage%3D2</v>
      </c>
      <c r="B68" s="11" t="str">
        <f>IFERROR(__xludf.DUMMYFUNCTION("""COMPUTED_VALUE"""),"Top Programmatic Advertising Agencies in the United States - Jul 2026 Rankings \| Clutch.co")</f>
        <v>Top Programmatic Advertising Agencies in the United States - Jul 2026 Rankings \| Clutch.co</v>
      </c>
      <c r="C68" s="10" t="str">
        <f>IFERROR(__xludf.DUMMYFUNCTION("""COMPUTED_VALUE"""),"clutch.co")</f>
        <v>clutch.co</v>
      </c>
      <c r="D68" s="11" t="str">
        <f>IFERROR(__xludf.DUMMYFUNCTION("""COMPUTED_VALUE"""),"CATEGORY_PAGE")</f>
        <v>CATEGORY_PAGE</v>
      </c>
      <c r="E68" s="11" t="str">
        <f>IFERROR(__xludf.DUMMYFUNCTION("""COMPUTED_VALUE"""),"COMPETITOR")</f>
        <v>COMPETITOR</v>
      </c>
      <c r="F68" s="11" t="str">
        <f>IFERROR(__xludf.DUMMYFUNCTION("""COMPUTED_VALUE"""),"Category Page")</f>
        <v>Category Page</v>
      </c>
      <c r="G68" s="11" t="b">
        <f>IFERROR(__xludf.DUMMYFUNCTION("""COMPUTED_VALUE"""),FALSE)</f>
        <v>0</v>
      </c>
      <c r="H68" s="11" t="str">
        <f>IFERROR(__xludf.DUMMYFUNCTION("""COMPUTED_VALUE"""),"Clutch, SmartSites, Funnel Boost Media, LYFE Marketing, AdVenture Media, Accelerated Digital Media, Storm Brain")</f>
        <v>Clutch, SmartSites, Funnel Boost Media, LYFE Marketing, AdVenture Media, Accelerated Digital Media, Storm Brain</v>
      </c>
      <c r="I68" s="11">
        <f>IFERROR(__xludf.DUMMYFUNCTION("""COMPUTED_VALUE"""),1.0)</f>
        <v>1</v>
      </c>
      <c r="J68" s="11">
        <f>IFERROR(__xludf.DUMMYFUNCTION("""COMPUTED_VALUE"""),0.0)</f>
        <v>0</v>
      </c>
      <c r="K68" s="11">
        <f>IFERROR(__xludf.DUMMYFUNCTION("""COMPUTED_VALUE"""),0.0)</f>
        <v>0</v>
      </c>
    </row>
    <row r="69" ht="15.75" customHeight="1">
      <c r="A69" s="10" t="str">
        <f>IFERROR(__xludf.DUMMYFUNCTION("""COMPUTED_VALUE"""),"https://clutch.co/us/agencies/programmatic%3Fpage%3D3")</f>
        <v>https://clutch.co/us/agencies/programmatic%3Fpage%3D3</v>
      </c>
      <c r="B69" s="11" t="str">
        <f>IFERROR(__xludf.DUMMYFUNCTION("""COMPUTED_VALUE"""),"Top Programmatic Advertising Agencies in the United States - Jul 2026 Rankings \| Clutch.co")</f>
        <v>Top Programmatic Advertising Agencies in the United States - Jul 2026 Rankings \| Clutch.co</v>
      </c>
      <c r="C69" s="10" t="str">
        <f>IFERROR(__xludf.DUMMYFUNCTION("""COMPUTED_VALUE"""),"clutch.co")</f>
        <v>clutch.co</v>
      </c>
      <c r="D69" s="11" t="str">
        <f>IFERROR(__xludf.DUMMYFUNCTION("""COMPUTED_VALUE"""),"CATEGORY_PAGE")</f>
        <v>CATEGORY_PAGE</v>
      </c>
      <c r="E69" s="11" t="str">
        <f>IFERROR(__xludf.DUMMYFUNCTION("""COMPUTED_VALUE"""),"COMPETITOR")</f>
        <v>COMPETITOR</v>
      </c>
      <c r="F69" s="11" t="str">
        <f>IFERROR(__xludf.DUMMYFUNCTION("""COMPUTED_VALUE"""),"Category Page")</f>
        <v>Category Page</v>
      </c>
      <c r="G69" s="11" t="b">
        <f>IFERROR(__xludf.DUMMYFUNCTION("""COMPUTED_VALUE"""),FALSE)</f>
        <v>0</v>
      </c>
      <c r="H69" s="11" t="str">
        <f>IFERROR(__xludf.DUMMYFUNCTION("""COMPUTED_VALUE"""),"Clutch, SmartSites, Funnel Boost Media, LYFE Marketing, AdVenture Media, Accelerated Digital Media, Storm Brain")</f>
        <v>Clutch, SmartSites, Funnel Boost Media, LYFE Marketing, AdVenture Media, Accelerated Digital Media, Storm Brain</v>
      </c>
      <c r="I69" s="11">
        <f>IFERROR(__xludf.DUMMYFUNCTION("""COMPUTED_VALUE"""),1.0)</f>
        <v>1</v>
      </c>
      <c r="J69" s="11">
        <f>IFERROR(__xludf.DUMMYFUNCTION("""COMPUTED_VALUE"""),0.0)</f>
        <v>0</v>
      </c>
      <c r="K69" s="11">
        <f>IFERROR(__xludf.DUMMYFUNCTION("""COMPUTED_VALUE"""),0.0)</f>
        <v>0</v>
      </c>
    </row>
    <row r="70" ht="15.75" customHeight="1">
      <c r="A70" s="10" t="str">
        <f>IFERROR(__xludf.DUMMYFUNCTION("""COMPUTED_VALUE"""),"https://clutch.co/us/agencies/programmatic%3Fpage%3D7")</f>
        <v>https://clutch.co/us/agencies/programmatic%3Fpage%3D7</v>
      </c>
      <c r="B70" s="11" t="str">
        <f>IFERROR(__xludf.DUMMYFUNCTION("""COMPUTED_VALUE"""),"Top Programmatic Advertising Agencies in the United States - Jul 2026 Rankings \| Clutch.co")</f>
        <v>Top Programmatic Advertising Agencies in the United States - Jul 2026 Rankings \| Clutch.co</v>
      </c>
      <c r="C70" s="10" t="str">
        <f>IFERROR(__xludf.DUMMYFUNCTION("""COMPUTED_VALUE"""),"clutch.co")</f>
        <v>clutch.co</v>
      </c>
      <c r="D70" s="11" t="str">
        <f>IFERROR(__xludf.DUMMYFUNCTION("""COMPUTED_VALUE"""),"CATEGORY_PAGE")</f>
        <v>CATEGORY_PAGE</v>
      </c>
      <c r="E70" s="11" t="str">
        <f>IFERROR(__xludf.DUMMYFUNCTION("""COMPUTED_VALUE"""),"COMPETITOR")</f>
        <v>COMPETITOR</v>
      </c>
      <c r="F70" s="11" t="str">
        <f>IFERROR(__xludf.DUMMYFUNCTION("""COMPUTED_VALUE"""),"Category Page")</f>
        <v>Category Page</v>
      </c>
      <c r="G70" s="11" t="b">
        <f>IFERROR(__xludf.DUMMYFUNCTION("""COMPUTED_VALUE"""),FALSE)</f>
        <v>0</v>
      </c>
      <c r="H70" s="11" t="str">
        <f>IFERROR(__xludf.DUMMYFUNCTION("""COMPUTED_VALUE"""),"Clutch, SmartSites, Funnel Boost Media, LYFE Marketing, AdVenture Media, Accelerated Digital Media, Storm Brain")</f>
        <v>Clutch, SmartSites, Funnel Boost Media, LYFE Marketing, AdVenture Media, Accelerated Digital Media, Storm Brain</v>
      </c>
      <c r="I70" s="11">
        <f>IFERROR(__xludf.DUMMYFUNCTION("""COMPUTED_VALUE"""),1.0)</f>
        <v>1</v>
      </c>
      <c r="J70" s="11">
        <f>IFERROR(__xludf.DUMMYFUNCTION("""COMPUTED_VALUE"""),0.0)</f>
        <v>0</v>
      </c>
      <c r="K70" s="11">
        <f>IFERROR(__xludf.DUMMYFUNCTION("""COMPUTED_VALUE"""),0.0)</f>
        <v>0</v>
      </c>
    </row>
    <row r="71" ht="15.75" customHeight="1">
      <c r="A71" s="10" t="str">
        <f>IFERROR(__xludf.DUMMYFUNCTION("""COMPUTED_VALUE"""),"https://clutch.co/us/agencies/social-media-marketing/influencer/tiktok")</f>
        <v>https://clutch.co/us/agencies/social-media-marketing/influencer/tiktok</v>
      </c>
      <c r="B71" s="11" t="str">
        <f>IFERROR(__xludf.DUMMYFUNCTION("""COMPUTED_VALUE"""),"Top TikTok Influencer Marketing Agencies in the United States - Jul 2026 Rankings \| Clutch.co")</f>
        <v>Top TikTok Influencer Marketing Agencies in the United States - Jul 2026 Rankings \| Clutch.co</v>
      </c>
      <c r="C71" s="10" t="str">
        <f>IFERROR(__xludf.DUMMYFUNCTION("""COMPUTED_VALUE"""),"clutch.co")</f>
        <v>clutch.co</v>
      </c>
      <c r="D71" s="11" t="str">
        <f>IFERROR(__xludf.DUMMYFUNCTION("""COMPUTED_VALUE"""),"CATEGORY_PAGE")</f>
        <v>CATEGORY_PAGE</v>
      </c>
      <c r="E71" s="11" t="str">
        <f>IFERROR(__xludf.DUMMYFUNCTION("""COMPUTED_VALUE"""),"COMPETITOR")</f>
        <v>COMPETITOR</v>
      </c>
      <c r="F71" s="11" t="str">
        <f>IFERROR(__xludf.DUMMYFUNCTION("""COMPUTED_VALUE"""),"Category Page")</f>
        <v>Category Page</v>
      </c>
      <c r="G71" s="11" t="b">
        <f>IFERROR(__xludf.DUMMYFUNCTION("""COMPUTED_VALUE"""),FALSE)</f>
        <v>0</v>
      </c>
      <c r="H71" s="11" t="str">
        <f>IFERROR(__xludf.DUMMYFUNCTION("""COMPUTED_VALUE"""),"Clutch, SmartSites, Sociallyin, Elit-Web, Acadia, Disruptive Advertising, Brighter Click, AdVenture Media, Measured")</f>
        <v>Clutch, SmartSites, Sociallyin, Elit-Web, Acadia, Disruptive Advertising, Brighter Click, AdVenture Media, Measured</v>
      </c>
      <c r="I71" s="11">
        <f>IFERROR(__xludf.DUMMYFUNCTION("""COMPUTED_VALUE"""),1.0)</f>
        <v>1</v>
      </c>
      <c r="J71" s="11">
        <f>IFERROR(__xludf.DUMMYFUNCTION("""COMPUTED_VALUE"""),0.0)</f>
        <v>0</v>
      </c>
      <c r="K71" s="11">
        <f>IFERROR(__xludf.DUMMYFUNCTION("""COMPUTED_VALUE"""),0.0)</f>
        <v>0</v>
      </c>
    </row>
    <row r="72" ht="15.75" customHeight="1">
      <c r="A72" s="10" t="str">
        <f>IFERROR(__xludf.DUMMYFUNCTION("""COMPUTED_VALUE"""),"https://clutch.co/us/agencies/social-media-marketing/tik-tok")</f>
        <v>https://clutch.co/us/agencies/social-media-marketing/tik-tok</v>
      </c>
      <c r="B72" s="11" t="str">
        <f>IFERROR(__xludf.DUMMYFUNCTION("""COMPUTED_VALUE"""),"Top TikTok Advertising Agencies in the United States - Jul 2026 Rankings \| Clutch.co")</f>
        <v>Top TikTok Advertising Agencies in the United States - Jul 2026 Rankings \| Clutch.co</v>
      </c>
      <c r="C72" s="10" t="str">
        <f>IFERROR(__xludf.DUMMYFUNCTION("""COMPUTED_VALUE"""),"clutch.co")</f>
        <v>clutch.co</v>
      </c>
      <c r="D72" s="11" t="str">
        <f>IFERROR(__xludf.DUMMYFUNCTION("""COMPUTED_VALUE"""),"CATEGORY_PAGE")</f>
        <v>CATEGORY_PAGE</v>
      </c>
      <c r="E72" s="11" t="str">
        <f>IFERROR(__xludf.DUMMYFUNCTION("""COMPUTED_VALUE"""),"COMPETITOR")</f>
        <v>COMPETITOR</v>
      </c>
      <c r="F72" s="11" t="str">
        <f>IFERROR(__xludf.DUMMYFUNCTION("""COMPUTED_VALUE"""),"Category Page")</f>
        <v>Category Page</v>
      </c>
      <c r="G72" s="11" t="b">
        <f>IFERROR(__xludf.DUMMYFUNCTION("""COMPUTED_VALUE"""),FALSE)</f>
        <v>0</v>
      </c>
      <c r="H72" s="11" t="str">
        <f>IFERROR(__xludf.DUMMYFUNCTION("""COMPUTED_VALUE"""),"Clutch, Sociallyin, Elit-Web, SmartSites, Viral Nation, Acadia, HawkSEM, Momentum, Accelerated Digital Media")</f>
        <v>Clutch, Sociallyin, Elit-Web, SmartSites, Viral Nation, Acadia, HawkSEM, Momentum, Accelerated Digital Media</v>
      </c>
      <c r="I72" s="11">
        <f>IFERROR(__xludf.DUMMYFUNCTION("""COMPUTED_VALUE"""),1.0)</f>
        <v>1</v>
      </c>
      <c r="J72" s="11">
        <f>IFERROR(__xludf.DUMMYFUNCTION("""COMPUTED_VALUE"""),0.0)</f>
        <v>0</v>
      </c>
      <c r="K72" s="11">
        <f>IFERROR(__xludf.DUMMYFUNCTION("""COMPUTED_VALUE"""),6.0)</f>
        <v>6</v>
      </c>
    </row>
    <row r="73" ht="15.75" customHeight="1">
      <c r="A73" s="10" t="str">
        <f>IFERROR(__xludf.DUMMYFUNCTION("""COMPUTED_VALUE"""),"https://clutch.co/us/consulting/ai/maturation?page=6")</f>
        <v>https://clutch.co/us/consulting/ai/maturation?page=6</v>
      </c>
      <c r="B73" s="11" t="str">
        <f>IFERROR(__xludf.DUMMYFUNCTION("""COMPUTED_VALUE"""),"Page 6 - Top AI Maturation Services in the United States - Jul 2026 Rankings | Clutch.co")</f>
        <v>Page 6 - Top AI Maturation Services in the United States - Jul 2026 Rankings | Clutch.co</v>
      </c>
      <c r="C73" s="10" t="str">
        <f>IFERROR(__xludf.DUMMYFUNCTION("""COMPUTED_VALUE"""),"clutch.co")</f>
        <v>clutch.co</v>
      </c>
      <c r="D73" s="11" t="str">
        <f>IFERROR(__xludf.DUMMYFUNCTION("""COMPUTED_VALUE"""),"CATEGORY_PAGE")</f>
        <v>CATEGORY_PAGE</v>
      </c>
      <c r="E73" s="11" t="str">
        <f>IFERROR(__xludf.DUMMYFUNCTION("""COMPUTED_VALUE"""),"COMPETITOR")</f>
        <v>COMPETITOR</v>
      </c>
      <c r="F73" s="11" t="str">
        <f>IFERROR(__xludf.DUMMYFUNCTION("""COMPUTED_VALUE"""),"Category Page")</f>
        <v>Category Page</v>
      </c>
      <c r="G73" s="11" t="b">
        <f>IFERROR(__xludf.DUMMYFUNCTION("""COMPUTED_VALUE"""),FALSE)</f>
        <v>0</v>
      </c>
      <c r="H73" s="11" t="str">
        <f>IFERROR(__xludf.DUMMYFUNCTION("""COMPUTED_VALUE"""),"Clutch, Go Fish Digital")</f>
        <v>Clutch, Go Fish Digital</v>
      </c>
      <c r="I73" s="11">
        <f>IFERROR(__xludf.DUMMYFUNCTION("""COMPUTED_VALUE"""),1.0)</f>
        <v>1</v>
      </c>
      <c r="J73" s="11">
        <f>IFERROR(__xludf.DUMMYFUNCTION("""COMPUTED_VALUE"""),0.0)</f>
        <v>0</v>
      </c>
      <c r="K73" s="11">
        <f>IFERROR(__xludf.DUMMYFUNCTION("""COMPUTED_VALUE"""),0.0)</f>
        <v>0</v>
      </c>
    </row>
    <row r="74" ht="15.75" customHeight="1">
      <c r="A74" s="10" t="str">
        <f>IFERROR(__xludf.DUMMYFUNCTION("""COMPUTED_VALUE"""),"https://clutch.co/us/developers/artificial-intelligence")</f>
        <v>https://clutch.co/us/developers/artificial-intelligence</v>
      </c>
      <c r="B74" s="11" t="str">
        <f>IFERROR(__xludf.DUMMYFUNCTION("""COMPUTED_VALUE"""),"Top Artificial Intelligence Companies in the United States - Jul 2026 Rankings | Clutch.co")</f>
        <v>Top Artificial Intelligence Companies in the United States - Jul 2026 Rankings | Clutch.co</v>
      </c>
      <c r="C74" s="10" t="str">
        <f>IFERROR(__xludf.DUMMYFUNCTION("""COMPUTED_VALUE"""),"clutch.co")</f>
        <v>clutch.co</v>
      </c>
      <c r="D74" s="11" t="str">
        <f>IFERROR(__xludf.DUMMYFUNCTION("""COMPUTED_VALUE"""),"CATEGORY_PAGE")</f>
        <v>CATEGORY_PAGE</v>
      </c>
      <c r="E74" s="11" t="str">
        <f>IFERROR(__xludf.DUMMYFUNCTION("""COMPUTED_VALUE"""),"COMPETITOR")</f>
        <v>COMPETITOR</v>
      </c>
      <c r="F74" s="11" t="str">
        <f>IFERROR(__xludf.DUMMYFUNCTION("""COMPUTED_VALUE"""),"Category Page")</f>
        <v>Category Page</v>
      </c>
      <c r="G74" s="11" t="b">
        <f>IFERROR(__xludf.DUMMYFUNCTION("""COMPUTED_VALUE"""),FALSE)</f>
        <v>0</v>
      </c>
      <c r="H74" s="11" t="str">
        <f>IFERROR(__xludf.DUMMYFUNCTION("""COMPUTED_VALUE"""),"Clutch, Momentum, Huge")</f>
        <v>Clutch, Momentum, Huge</v>
      </c>
      <c r="I74" s="11">
        <f>IFERROR(__xludf.DUMMYFUNCTION("""COMPUTED_VALUE"""),1.0)</f>
        <v>1</v>
      </c>
      <c r="J74" s="11">
        <f>IFERROR(__xludf.DUMMYFUNCTION("""COMPUTED_VALUE"""),0.0)</f>
        <v>0</v>
      </c>
      <c r="K74" s="11">
        <f>IFERROR(__xludf.DUMMYFUNCTION("""COMPUTED_VALUE"""),0.0)</f>
        <v>0</v>
      </c>
    </row>
    <row r="75" ht="15.75" customHeight="1">
      <c r="A75" s="10" t="str">
        <f>IFERROR(__xludf.DUMMYFUNCTION("""COMPUTED_VALUE"""),"https://clutch.co/us/seo-firms")</f>
        <v>https://clutch.co/us/seo-firms</v>
      </c>
      <c r="B75" s="11" t="str">
        <f>IFERROR(__xludf.DUMMYFUNCTION("""COMPUTED_VALUE"""),"Top SEO Agencies in the United States - Jul 2026 Rankings \| Clutch.co")</f>
        <v>Top SEO Agencies in the United States - Jul 2026 Rankings \| Clutch.co</v>
      </c>
      <c r="C75" s="10" t="str">
        <f>IFERROR(__xludf.DUMMYFUNCTION("""COMPUTED_VALUE"""),"clutch.co")</f>
        <v>clutch.co</v>
      </c>
      <c r="D75" s="11" t="str">
        <f>IFERROR(__xludf.DUMMYFUNCTION("""COMPUTED_VALUE"""),"CATEGORY_PAGE")</f>
        <v>CATEGORY_PAGE</v>
      </c>
      <c r="E75" s="11" t="str">
        <f>IFERROR(__xludf.DUMMYFUNCTION("""COMPUTED_VALUE"""),"COMPETITOR")</f>
        <v>COMPETITOR</v>
      </c>
      <c r="F75" s="11" t="str">
        <f>IFERROR(__xludf.DUMMYFUNCTION("""COMPUTED_VALUE"""),"Category Page")</f>
        <v>Category Page</v>
      </c>
      <c r="G75" s="11" t="b">
        <f>IFERROR(__xludf.DUMMYFUNCTION("""COMPUTED_VALUE"""),FALSE)</f>
        <v>0</v>
      </c>
      <c r="H75" s="11" t="str">
        <f>IFERROR(__xludf.DUMMYFUNCTION("""COMPUTED_VALUE"""),"Clutch, Funnel Boost Media, SmartSites, Victorious, Acadia, WebFX, Intero Digital, Ignite Visibility, Elit-Web, Searchbloom, Thrive Internet Marketing Agency, HawkSEM, KlientBoost, Disruptive Advertising, Storm Brain, Digital Authority Partners, RevenueZe"&amp;"n")</f>
        <v>Clutch, Funnel Boost Media, SmartSites, Victorious, Acadia, WebFX, Intero Digital, Ignite Visibility, Elit-Web, Searchbloom, Thrive Internet Marketing Agency, HawkSEM, KlientBoost, Disruptive Advertising, Storm Brain, Digital Authority Partners, RevenueZen</v>
      </c>
      <c r="I75" s="11">
        <f>IFERROR(__xludf.DUMMYFUNCTION("""COMPUTED_VALUE"""),1.0)</f>
        <v>1</v>
      </c>
      <c r="J75" s="11">
        <f>IFERROR(__xludf.DUMMYFUNCTION("""COMPUTED_VALUE"""),0.0)</f>
        <v>0</v>
      </c>
      <c r="K75" s="11">
        <f>IFERROR(__xludf.DUMMYFUNCTION("""COMPUTED_VALUE"""),0.0)</f>
        <v>0</v>
      </c>
    </row>
    <row r="76" ht="15.75" customHeight="1">
      <c r="A76" s="10" t="str">
        <f>IFERROR(__xludf.DUMMYFUNCTION("""COMPUTED_VALUE"""),"https://clutch.co/us/seo-firms/international")</f>
        <v>https://clutch.co/us/seo-firms/international</v>
      </c>
      <c r="B76" s="11" t="str">
        <f>IFERROR(__xludf.DUMMYFUNCTION("""COMPUTED_VALUE"""),"Top International SEO Agencies in the United States - Jul 2026 Rankings \| Clutch.co")</f>
        <v>Top International SEO Agencies in the United States - Jul 2026 Rankings \| Clutch.co</v>
      </c>
      <c r="C76" s="10" t="str">
        <f>IFERROR(__xludf.DUMMYFUNCTION("""COMPUTED_VALUE"""),"clutch.co")</f>
        <v>clutch.co</v>
      </c>
      <c r="D76" s="11" t="str">
        <f>IFERROR(__xludf.DUMMYFUNCTION("""COMPUTED_VALUE"""),"CATEGORY_PAGE")</f>
        <v>CATEGORY_PAGE</v>
      </c>
      <c r="E76" s="11" t="str">
        <f>IFERROR(__xludf.DUMMYFUNCTION("""COMPUTED_VALUE"""),"COMPETITOR")</f>
        <v>COMPETITOR</v>
      </c>
      <c r="F76" s="11" t="str">
        <f>IFERROR(__xludf.DUMMYFUNCTION("""COMPUTED_VALUE"""),"Category Page")</f>
        <v>Category Page</v>
      </c>
      <c r="G76" s="11" t="b">
        <f>IFERROR(__xludf.DUMMYFUNCTION("""COMPUTED_VALUE"""),FALSE)</f>
        <v>0</v>
      </c>
      <c r="H76" s="11" t="str">
        <f>IFERROR(__xludf.DUMMYFUNCTION("""COMPUTED_VALUE"""),"Clutch, Elit-Web, Searchbloom, Storm Brain, Acadia, NinjaPromo")</f>
        <v>Clutch, Elit-Web, Searchbloom, Storm Brain, Acadia, NinjaPromo</v>
      </c>
      <c r="I76" s="11">
        <f>IFERROR(__xludf.DUMMYFUNCTION("""COMPUTED_VALUE"""),1.0)</f>
        <v>1</v>
      </c>
      <c r="J76" s="11">
        <f>IFERROR(__xludf.DUMMYFUNCTION("""COMPUTED_VALUE"""),0.0)</f>
        <v>0</v>
      </c>
      <c r="K76" s="11">
        <f>IFERROR(__xludf.DUMMYFUNCTION("""COMPUTED_VALUE"""),1.0)</f>
        <v>1</v>
      </c>
    </row>
    <row r="77" ht="15.75" customHeight="1">
      <c r="A77" s="10" t="str">
        <f>IFERROR(__xludf.DUMMYFUNCTION("""COMPUTED_VALUE"""),"https://clutch.co/us/seo-firms/media-industry")</f>
        <v>https://clutch.co/us/seo-firms/media-industry</v>
      </c>
      <c r="B77" s="11" t="str">
        <f>IFERROR(__xludf.DUMMYFUNCTION("""COMPUTED_VALUE"""),"Top SEO Companies for Media in the United States - Jul 2026 Rankings \| Clutch.co")</f>
        <v>Top SEO Companies for Media in the United States - Jul 2026 Rankings \| Clutch.co</v>
      </c>
      <c r="C77" s="10" t="str">
        <f>IFERROR(__xludf.DUMMYFUNCTION("""COMPUTED_VALUE"""),"clutch.co")</f>
        <v>clutch.co</v>
      </c>
      <c r="D77" s="11" t="str">
        <f>IFERROR(__xludf.DUMMYFUNCTION("""COMPUTED_VALUE"""),"CATEGORY_PAGE")</f>
        <v>CATEGORY_PAGE</v>
      </c>
      <c r="E77" s="11" t="str">
        <f>IFERROR(__xludf.DUMMYFUNCTION("""COMPUTED_VALUE"""),"COMPETITOR")</f>
        <v>COMPETITOR</v>
      </c>
      <c r="F77" s="11" t="str">
        <f>IFERROR(__xludf.DUMMYFUNCTION("""COMPUTED_VALUE"""),"Category Page")</f>
        <v>Category Page</v>
      </c>
      <c r="G77" s="11" t="b">
        <f>IFERROR(__xludf.DUMMYFUNCTION("""COMPUTED_VALUE"""),FALSE)</f>
        <v>0</v>
      </c>
      <c r="H77" s="11" t="str">
        <f>IFERROR(__xludf.DUMMYFUNCTION("""COMPUTED_VALUE"""),"Clutch, SmartSites, Funnel Boost Media")</f>
        <v>Clutch, SmartSites, Funnel Boost Media</v>
      </c>
      <c r="I77" s="11">
        <f>IFERROR(__xludf.DUMMYFUNCTION("""COMPUTED_VALUE"""),1.0)</f>
        <v>1</v>
      </c>
      <c r="J77" s="11">
        <f>IFERROR(__xludf.DUMMYFUNCTION("""COMPUTED_VALUE"""),0.0)</f>
        <v>0</v>
      </c>
      <c r="K77" s="11">
        <f>IFERROR(__xludf.DUMMYFUNCTION("""COMPUTED_VALUE"""),0.0)</f>
        <v>0</v>
      </c>
    </row>
    <row r="78" ht="15.75" customHeight="1">
      <c r="A78" s="10" t="str">
        <f>IFERROR(__xludf.DUMMYFUNCTION("""COMPUTED_VALUE"""),"https://clutch.co/video-production/post-production")</f>
        <v>https://clutch.co/video-production/post-production</v>
      </c>
      <c r="B78" s="11" t="str">
        <f>IFERROR(__xludf.DUMMYFUNCTION("""COMPUTED_VALUE"""),"Top Post Production Services - Jul 2026 Rankings \| Clutch.co")</f>
        <v>Top Post Production Services - Jul 2026 Rankings \| Clutch.co</v>
      </c>
      <c r="C78" s="10" t="str">
        <f>IFERROR(__xludf.DUMMYFUNCTION("""COMPUTED_VALUE"""),"clutch.co")</f>
        <v>clutch.co</v>
      </c>
      <c r="D78" s="11" t="str">
        <f>IFERROR(__xludf.DUMMYFUNCTION("""COMPUTED_VALUE"""),"CATEGORY_PAGE")</f>
        <v>CATEGORY_PAGE</v>
      </c>
      <c r="E78" s="11" t="str">
        <f>IFERROR(__xludf.DUMMYFUNCTION("""COMPUTED_VALUE"""),"COMPETITOR")</f>
        <v>COMPETITOR</v>
      </c>
      <c r="F78" s="11" t="str">
        <f>IFERROR(__xludf.DUMMYFUNCTION("""COMPUTED_VALUE"""),"Category Page")</f>
        <v>Category Page</v>
      </c>
      <c r="G78" s="11" t="b">
        <f>IFERROR(__xludf.DUMMYFUNCTION("""COMPUTED_VALUE"""),FALSE)</f>
        <v>0</v>
      </c>
      <c r="H78" s="11" t="str">
        <f>IFERROR(__xludf.DUMMYFUNCTION("""COMPUTED_VALUE"""),"Clutch")</f>
        <v>Clutch</v>
      </c>
      <c r="I78" s="11">
        <f>IFERROR(__xludf.DUMMYFUNCTION("""COMPUTED_VALUE"""),1.0)</f>
        <v>1</v>
      </c>
      <c r="J78" s="11">
        <f>IFERROR(__xludf.DUMMYFUNCTION("""COMPUTED_VALUE"""),0.0)</f>
        <v>0</v>
      </c>
      <c r="K78" s="11">
        <f>IFERROR(__xludf.DUMMYFUNCTION("""COMPUTED_VALUE"""),0.0)</f>
        <v>0</v>
      </c>
    </row>
    <row r="79" ht="15.75" customHeight="1">
      <c r="A79" s="10" t="str">
        <f>IFERROR(__xludf.DUMMYFUNCTION("""COMPUTED_VALUE"""),"https://www.linkedin.com/posts/clutch-co_bestofclutch-digitalmarketing-webdevelopment-activity-7323717286719090688-G6i3")</f>
        <v>https://www.linkedin.com/posts/clutch-co_bestofclutch-digitalmarketing-webdevelopment-activity-7323717286719090688-G6i3</v>
      </c>
      <c r="B79" s="11" t="str">
        <f>IFERROR(__xludf.DUMMYFUNCTION("""COMPUTED_VALUE"""),"#bestofclutch #digitalmarketing #webdevelopment #webdesign | Clutch | 20 comments")</f>
        <v>#bestofclutch #digitalmarketing #webdevelopment #webdesign | Clutch | 20 comments</v>
      </c>
      <c r="C79" s="10" t="str">
        <f>IFERROR(__xludf.DUMMYFUNCTION("""COMPUTED_VALUE"""),"linkedin.com")</f>
        <v>linkedin.com</v>
      </c>
      <c r="D79" s="11" t="str">
        <f>IFERROR(__xludf.DUMMYFUNCTION("""COMPUTED_VALUE"""),"DISCUSSION")</f>
        <v>DISCUSSION</v>
      </c>
      <c r="E79" s="11" t="str">
        <f>IFERROR(__xludf.DUMMYFUNCTION("""COMPUTED_VALUE"""),"UGC")</f>
        <v>UGC</v>
      </c>
      <c r="F79" s="11" t="str">
        <f>IFERROR(__xludf.DUMMYFUNCTION("""COMPUTED_VALUE"""),"Discussion")</f>
        <v>Discussion</v>
      </c>
      <c r="G79" s="11" t="b">
        <f>IFERROR(__xludf.DUMMYFUNCTION("""COMPUTED_VALUE"""),FALSE)</f>
        <v>0</v>
      </c>
      <c r="H79" s="11" t="str">
        <f>IFERROR(__xludf.DUMMYFUNCTION("""COMPUTED_VALUE"""),"Clutch, Ignite Visibility, Victorious, Huge")</f>
        <v>Clutch, Ignite Visibility, Victorious, Huge</v>
      </c>
      <c r="I79" s="11">
        <f>IFERROR(__xludf.DUMMYFUNCTION("""COMPUTED_VALUE"""),1.0)</f>
        <v>1</v>
      </c>
      <c r="J79" s="11">
        <f>IFERROR(__xludf.DUMMYFUNCTION("""COMPUTED_VALUE"""),0.0)</f>
        <v>0</v>
      </c>
      <c r="K79" s="11">
        <f>IFERROR(__xludf.DUMMYFUNCTION("""COMPUTED_VALUE"""),0.0)</f>
        <v>0</v>
      </c>
    </row>
    <row r="80" ht="15.75" customHeight="1">
      <c r="A80" s="10" t="str">
        <f>IFERROR(__xludf.DUMMYFUNCTION("""COMPUTED_VALUE"""),"https://www.linkedin.com/posts/clutch-co_top-15-ppc-agencies-clutch-global-fall-2025-activity-7421548745084932096-DYA_")</f>
        <v>https://www.linkedin.com/posts/clutch-co_top-15-ppc-agencies-clutch-global-fall-2025-activity-7421548745084932096-DYA_</v>
      </c>
      <c r="B80" s="11" t="str">
        <f>IFERROR(__xludf.DUMMYFUNCTION("""COMPUTED_VALUE"""),"Top 15 PPC Agencies: Clutch Global Fall 2025 | Clutch | 10 comments")</f>
        <v>Top 15 PPC Agencies: Clutch Global Fall 2025 | Clutch | 10 comments</v>
      </c>
      <c r="C80" s="10" t="str">
        <f>IFERROR(__xludf.DUMMYFUNCTION("""COMPUTED_VALUE"""),"linkedin.com")</f>
        <v>linkedin.com</v>
      </c>
      <c r="D80" s="11" t="str">
        <f>IFERROR(__xludf.DUMMYFUNCTION("""COMPUTED_VALUE"""),"DISCUSSION")</f>
        <v>DISCUSSION</v>
      </c>
      <c r="E80" s="11" t="str">
        <f>IFERROR(__xludf.DUMMYFUNCTION("""COMPUTED_VALUE"""),"UGC")</f>
        <v>UGC</v>
      </c>
      <c r="F80" s="11" t="str">
        <f>IFERROR(__xludf.DUMMYFUNCTION("""COMPUTED_VALUE"""),"Discussion")</f>
        <v>Discussion</v>
      </c>
      <c r="G80" s="11" t="b">
        <f>IFERROR(__xludf.DUMMYFUNCTION("""COMPUTED_VALUE"""),FALSE)</f>
        <v>0</v>
      </c>
      <c r="H80" s="11" t="str">
        <f>IFERROR(__xludf.DUMMYFUNCTION("""COMPUTED_VALUE"""),"Clutch, KlientBoost, Disruptive Advertising, AdVenture Media, HawkSEM, Elit-Web, SmartSites")</f>
        <v>Clutch, KlientBoost, Disruptive Advertising, AdVenture Media, HawkSEM, Elit-Web, SmartSites</v>
      </c>
      <c r="I80" s="11">
        <f>IFERROR(__xludf.DUMMYFUNCTION("""COMPUTED_VALUE"""),1.0)</f>
        <v>1</v>
      </c>
      <c r="J80" s="11">
        <f>IFERROR(__xludf.DUMMYFUNCTION("""COMPUTED_VALUE"""),0.0)</f>
        <v>0</v>
      </c>
      <c r="K80" s="11">
        <f>IFERROR(__xludf.DUMMYFUNCTION("""COMPUTED_VALUE"""),0.0)</f>
        <v>0</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location=":~:text=The%20agency%20consistently%20received%20high%20ratings%20for,2%20of%202%20reviews%20are%205%20stars."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location=":~:text=List%20of%20the%20Top%20United%20States%20Programmatic,108%20reviews.%20%2D%20Onya.%205.0%2030%20reviews."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location=":~:text=Version2%20is%20an%20advertising%20agency%20specializing%20in,of%20reviewers%20highlighting%20their%20professionalism%20and%20commitment." ref="A56"/>
    <hyperlink r:id="rId109" ref="C56"/>
    <hyperlink r:id="rId110" ref="A57"/>
    <hyperlink r:id="rId111" ref="C57"/>
    <hyperlink r:id="rId112" ref="A58"/>
    <hyperlink r:id="rId113" ref="C58"/>
    <hyperlink r:id="rId114" ref="A59"/>
    <hyperlink r:id="rId115" ref="C59"/>
    <hyperlink r:id="rId116" location=":~:text=%2410%2C000%2B%20250%20%2D%20999.%20San%20Diego%2C%20CA.,execution%2C%20strong%20communication%2C%20and%20impressive%20project%20management."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s>
  <drawing r:id="rId1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All'!A2:A1000)),""semrush"")
  ),
  """"
)"),"https://agencies.semrush.com/list/display-advertising/united-states/")</f>
        <v>https://agencies.semrush.com/list/display-advertising/united-states/</v>
      </c>
      <c r="B2" s="11" t="str">
        <f>IFERROR(__xludf.DUMMYFUNCTION("""COMPUTED_VALUE"""),"Best Display Ads Agencies in United States 2026 | Semrush")</f>
        <v>Best Display Ads Agencies in United States 2026 | Semrush</v>
      </c>
      <c r="C2" s="10" t="str">
        <f>IFERROR(__xludf.DUMMYFUNCTION("""COMPUTED_VALUE"""),"semrush.com")</f>
        <v>semrush.com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IFERROR(__xludf.DUMMYFUNCTION("""COMPUTED_VALUE"""),"SmartSites, Elit-Web, Brighter Click")</f>
        <v>SmartSites, Elit-Web, Brighter Click</v>
      </c>
      <c r="I2" s="11">
        <f>IFERROR(__xludf.DUMMYFUNCTION("""COMPUTED_VALUE"""),42.0)</f>
        <v>42</v>
      </c>
      <c r="J2" s="11">
        <f>IFERROR(__xludf.DUMMYFUNCTION("""COMPUTED_VALUE"""),0.04)</f>
        <v>0.04</v>
      </c>
      <c r="K2" s="11">
        <f>IFERROR(__xludf.DUMMYFUNCTION("""COMPUTED_VALUE"""),0.17)</f>
        <v>0.17</v>
      </c>
    </row>
    <row r="3" ht="15.75" customHeight="1">
      <c r="A3" s="10" t="str">
        <f>IFERROR(__xludf.DUMMYFUNCTION("""COMPUTED_VALUE"""),"https://agencies.semrush.com/list/united-states/")</f>
        <v>https://agencies.semrush.com/list/united-states/</v>
      </c>
      <c r="B3" s="11" t="str">
        <f>IFERROR(__xludf.DUMMYFUNCTION("""COMPUTED_VALUE"""),"Best Digital Marketing Agencies in United States 2026 | Semrush")</f>
        <v>Best Digital Marketing Agencies in United States 2026 | Semrush</v>
      </c>
      <c r="C3" s="10" t="str">
        <f>IFERROR(__xludf.DUMMYFUNCTION("""COMPUTED_VALUE"""),"semrush.com")</f>
        <v>semrush.com</v>
      </c>
      <c r="D3" s="11" t="str">
        <f>IFERROR(__xludf.DUMMYFUNCTION("""COMPUTED_VALUE"""),"PROFILE")</f>
        <v>PROFILE</v>
      </c>
      <c r="E3" s="11" t="str">
        <f>IFERROR(__xludf.DUMMYFUNCTION("""COMPUTED_VALUE"""),"CORPORATE")</f>
        <v>CORPORATE</v>
      </c>
      <c r="F3" s="11" t="str">
        <f>IFERROR(__xludf.DUMMYFUNCTION("""COMPUTED_VALUE"""),"Profile")</f>
        <v>Profile</v>
      </c>
      <c r="G3" s="11" t="b">
        <f>IFERROR(__xludf.DUMMYFUNCTION("""COMPUTED_VALUE"""),FALSE)</f>
        <v>0</v>
      </c>
      <c r="H3" s="11" t="str">
        <f>IFERROR(__xludf.DUMMYFUNCTION("""COMPUTED_VALUE"""),"Clutch")</f>
        <v>Clutch</v>
      </c>
      <c r="I3" s="11">
        <f>IFERROR(__xludf.DUMMYFUNCTION("""COMPUTED_VALUE"""),33.0)</f>
        <v>33</v>
      </c>
      <c r="J3" s="11">
        <f>IFERROR(__xludf.DUMMYFUNCTION("""COMPUTED_VALUE"""),0.03)</f>
        <v>0.03</v>
      </c>
      <c r="K3" s="11">
        <f>IFERROR(__xludf.DUMMYFUNCTION("""COMPUTED_VALUE"""),0.24)</f>
        <v>0.24</v>
      </c>
    </row>
    <row r="4" ht="15.75" customHeight="1">
      <c r="A4" s="10" t="str">
        <f>IFERROR(__xludf.DUMMYFUNCTION("""COMPUTED_VALUE"""),"https://agencies.semrush.com/list/smm/united-states/")</f>
        <v>https://agencies.semrush.com/list/smm/united-states/</v>
      </c>
      <c r="B4" s="11" t="str">
        <f>IFERROR(__xludf.DUMMYFUNCTION("""COMPUTED_VALUE"""),"Best Social Media Marketing Agencies in United States 2026 | Semrush")</f>
        <v>Best Social Media Marketing Agencies in United States 2026 | Semrush</v>
      </c>
      <c r="C4" s="10" t="str">
        <f>IFERROR(__xludf.DUMMYFUNCTION("""COMPUTED_VALUE"""),"semrush.com")</f>
        <v>semrush.com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IFERROR(__xludf.DUMMYFUNCTION("""COMPUTED_VALUE"""),"SmartSites, Elit-Web, Brighter Click")</f>
        <v>SmartSites, Elit-Web, Brighter Click</v>
      </c>
      <c r="I4" s="11">
        <f>IFERROR(__xludf.DUMMYFUNCTION("""COMPUTED_VALUE"""),21.0)</f>
        <v>21</v>
      </c>
      <c r="J4" s="11">
        <f>IFERROR(__xludf.DUMMYFUNCTION("""COMPUTED_VALUE"""),0.02)</f>
        <v>0.02</v>
      </c>
      <c r="K4" s="11">
        <f>IFERROR(__xludf.DUMMYFUNCTION("""COMPUTED_VALUE"""),0.1)</f>
        <v>0.1</v>
      </c>
    </row>
    <row r="5" ht="15.75" customHeight="1">
      <c r="A5" s="10" t="str">
        <f>IFERROR(__xludf.DUMMYFUNCTION("""COMPUTED_VALUE"""),"https://agencies.semrush.com/list/ai-optimization/united-states/")</f>
        <v>https://agencies.semrush.com/list/ai-optimization/united-states/</v>
      </c>
      <c r="B5" s="11" t="str">
        <f>IFERROR(__xludf.DUMMYFUNCTION("""COMPUTED_VALUE"""),"Best AI Search Optimization Agencies in United States 2026 | Semrush")</f>
        <v>Best AI Search Optimization Agencies in United States 2026 | Semrush</v>
      </c>
      <c r="C5" s="10"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IFERROR(__xludf.DUMMYFUNCTION("""COMPUTED_VALUE"""),"SmartSites, Elit-Web")</f>
        <v>SmartSites, Elit-Web</v>
      </c>
      <c r="I5" s="11">
        <f>IFERROR(__xludf.DUMMYFUNCTION("""COMPUTED_VALUE"""),20.0)</f>
        <v>20</v>
      </c>
      <c r="J5" s="11">
        <f>IFERROR(__xludf.DUMMYFUNCTION("""COMPUTED_VALUE"""),0.02)</f>
        <v>0.02</v>
      </c>
      <c r="K5" s="11">
        <f>IFERROR(__xludf.DUMMYFUNCTION("""COMPUTED_VALUE"""),0.7)</f>
        <v>0.7</v>
      </c>
    </row>
    <row r="6" ht="15.75" customHeight="1">
      <c r="A6" s="10" t="str">
        <f>IFERROR(__xludf.DUMMYFUNCTION("""COMPUTED_VALUE"""),"https://agencies.semrush.com/list/display-advertising/")</f>
        <v>https://agencies.semrush.com/list/display-advertising/</v>
      </c>
      <c r="B6" s="11" t="str">
        <f>IFERROR(__xludf.DUMMYFUNCTION("""COMPUTED_VALUE"""),"Best Display Ads Agencies in the World 2026 | Semrush")</f>
        <v>Best Display Ads Agencies in the World 2026 | Semrush</v>
      </c>
      <c r="C6" s="10" t="str">
        <f>IFERROR(__xludf.DUMMYFUNCTION("""COMPUTED_VALUE"""),"semrush.com")</f>
        <v>semrush.com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IFERROR(__xludf.DUMMYFUNCTION("""COMPUTED_VALUE"""),"SmartSites")</f>
        <v>SmartSites</v>
      </c>
      <c r="I6" s="11">
        <f>IFERROR(__xludf.DUMMYFUNCTION("""COMPUTED_VALUE"""),15.0)</f>
        <v>15</v>
      </c>
      <c r="J6" s="11">
        <f>IFERROR(__xludf.DUMMYFUNCTION("""COMPUTED_VALUE"""),0.01)</f>
        <v>0.01</v>
      </c>
      <c r="K6" s="11">
        <f>IFERROR(__xludf.DUMMYFUNCTION("""COMPUTED_VALUE"""),0.0)</f>
        <v>0</v>
      </c>
    </row>
    <row r="7" ht="15.75" customHeight="1">
      <c r="A7" s="10" t="str">
        <f>IFERROR(__xludf.DUMMYFUNCTION("""COMPUTED_VALUE"""),"https://agencies.semrush.com/list/display-advertising/united-states/enterprise-business/")</f>
        <v>https://agencies.semrush.com/list/display-advertising/united-states/enterprise-business/</v>
      </c>
      <c r="B7" s="11" t="str">
        <f>IFERROR(__xludf.DUMMYFUNCTION("""COMPUTED_VALUE"""),"Best Display Ads Agencies for Enterprise Business in United States 2026 | Semrush")</f>
        <v>Best Display Ads Agencies for Enterprise Business in United States 2026 | Semrush</v>
      </c>
      <c r="C7" s="10" t="str">
        <f>IFERROR(__xludf.DUMMYFUNCTION("""COMPUTED_VALUE"""),"semrush.com")</f>
        <v>semrush.com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IFERROR(__xludf.DUMMYFUNCTION("""COMPUTED_VALUE"""),"SmartSites, Elit-Web, Brighter Click")</f>
        <v>SmartSites, Elit-Web, Brighter Click</v>
      </c>
      <c r="I7" s="11">
        <f>IFERROR(__xludf.DUMMYFUNCTION("""COMPUTED_VALUE"""),13.0)</f>
        <v>13</v>
      </c>
      <c r="J7" s="11">
        <f>IFERROR(__xludf.DUMMYFUNCTION("""COMPUTED_VALUE"""),0.01)</f>
        <v>0.01</v>
      </c>
      <c r="K7" s="11">
        <f>IFERROR(__xludf.DUMMYFUNCTION("""COMPUTED_VALUE"""),0.0)</f>
        <v>0</v>
      </c>
    </row>
    <row r="8" ht="15.75" customHeight="1">
      <c r="A8" s="10" t="str">
        <f>IFERROR(__xludf.DUMMYFUNCTION("""COMPUTED_VALUE"""),"https://agencies.semrush.com/list/display-advertising/united-states/mid-business/")</f>
        <v>https://agencies.semrush.com/list/display-advertising/united-states/mid-business/</v>
      </c>
      <c r="B8" s="11" t="str">
        <f>IFERROR(__xludf.DUMMYFUNCTION("""COMPUTED_VALUE"""),"Best Display Ads Agencies for Mid Business in United States 2026 | Semrush")</f>
        <v>Best Display Ads Agencies for Mid Business in United States 2026 | Semrush</v>
      </c>
      <c r="C8" s="10" t="str">
        <f>IFERROR(__xludf.DUMMYFUNCTION("""COMPUTED_VALUE"""),"semrush.com")</f>
        <v>semrush.com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IFERROR(__xludf.DUMMYFUNCTION("""COMPUTED_VALUE"""),"SmartSites, Elit-Web, Brighter Click")</f>
        <v>SmartSites, Elit-Web, Brighter Click</v>
      </c>
      <c r="I8" s="11">
        <f>IFERROR(__xludf.DUMMYFUNCTION("""COMPUTED_VALUE"""),12.0)</f>
        <v>12</v>
      </c>
      <c r="J8" s="11">
        <f>IFERROR(__xludf.DUMMYFUNCTION("""COMPUTED_VALUE"""),0.01)</f>
        <v>0.01</v>
      </c>
      <c r="K8" s="11">
        <f>IFERROR(__xludf.DUMMYFUNCTION("""COMPUTED_VALUE"""),0.08)</f>
        <v>0.08</v>
      </c>
    </row>
    <row r="9" ht="15.75" customHeight="1">
      <c r="A9" s="10" t="str">
        <f>IFERROR(__xludf.DUMMYFUNCTION("""COMPUTED_VALUE"""),"https://agencies.semrush.com/list/programmatic-advertising/united-states/")</f>
        <v>https://agencies.semrush.com/list/programmatic-advertising/united-states/</v>
      </c>
      <c r="B9" s="11" t="str">
        <f>IFERROR(__xludf.DUMMYFUNCTION("""COMPUTED_VALUE"""),"Best Programmatic Advertising Agencies in United States 2026 | Semrush")</f>
        <v>Best Programmatic Advertising Agencies in United States 2026 | Semrush</v>
      </c>
      <c r="C9" s="10" t="str">
        <f>IFERROR(__xludf.DUMMYFUNCTION("""COMPUTED_VALUE"""),"semrush.com")</f>
        <v>semrush.com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IFERROR(__xludf.DUMMYFUNCTION("""COMPUTED_VALUE"""),"SmartSites, Elit-Web, Silverback Strategies, WebFX")</f>
        <v>SmartSites, Elit-Web, Silverback Strategies, WebFX</v>
      </c>
      <c r="I9" s="11">
        <f>IFERROR(__xludf.DUMMYFUNCTION("""COMPUTED_VALUE"""),10.0)</f>
        <v>10</v>
      </c>
      <c r="J9" s="11">
        <f>IFERROR(__xludf.DUMMYFUNCTION("""COMPUTED_VALUE"""),0.01)</f>
        <v>0.01</v>
      </c>
      <c r="K9" s="11">
        <f>IFERROR(__xludf.DUMMYFUNCTION("""COMPUTED_VALUE"""),0.0)</f>
        <v>0</v>
      </c>
    </row>
    <row r="10" ht="15.75" customHeight="1">
      <c r="A10" s="10" t="str">
        <f>IFERROR(__xludf.DUMMYFUNCTION("""COMPUTED_VALUE"""),"https://agencies.semrush.com/list/analytics-data-science/united-states/")</f>
        <v>https://agencies.semrush.com/list/analytics-data-science/united-states/</v>
      </c>
      <c r="B10" s="11" t="str">
        <f>IFERROR(__xludf.DUMMYFUNCTION("""COMPUTED_VALUE"""),"Best Data Analytics Services in United States 2026 | Semrush")</f>
        <v>Best Data Analytics Services in United States 2026 | Semrush</v>
      </c>
      <c r="C10" s="10" t="str">
        <f>IFERROR(__xludf.DUMMYFUNCTION("""COMPUTED_VALUE"""),"semrush.com")</f>
        <v>semrush.com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IFERROR(__xludf.DUMMYFUNCTION("""COMPUTED_VALUE"""),"Elit-Web, Silverback Strategies, WebFX")</f>
        <v>Elit-Web, Silverback Strategies, WebFX</v>
      </c>
      <c r="I10" s="11">
        <f>IFERROR(__xludf.DUMMYFUNCTION("""COMPUTED_VALUE"""),6.0)</f>
        <v>6</v>
      </c>
      <c r="J10" s="11">
        <f>IFERROR(__xludf.DUMMYFUNCTION("""COMPUTED_VALUE"""),0.01)</f>
        <v>0.01</v>
      </c>
      <c r="K10" s="11">
        <f>IFERROR(__xludf.DUMMYFUNCTION("""COMPUTED_VALUE"""),0.0)</f>
        <v>0</v>
      </c>
    </row>
    <row r="11" ht="15.75" customHeight="1">
      <c r="A11" s="10" t="str">
        <f>IFERROR(__xludf.DUMMYFUNCTION("""COMPUTED_VALUE"""),"https://agencies.semrush.com/list/ppc/united-states/")</f>
        <v>https://agencies.semrush.com/list/ppc/united-states/</v>
      </c>
      <c r="B11" s="11" t="str">
        <f>IFERROR(__xludf.DUMMYFUNCTION("""COMPUTED_VALUE"""),"Best PPC Agencies in United States 2026 | Semrush")</f>
        <v>Best PPC Agencies in United States 2026 | Semrush</v>
      </c>
      <c r="C11" s="10" t="str">
        <f>IFERROR(__xludf.DUMMYFUNCTION("""COMPUTED_VALUE"""),"semrush.com")</f>
        <v>semrush.com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IFERROR(__xludf.DUMMYFUNCTION("""COMPUTED_VALUE"""),"SmartSites, Elit-Web, Clutch")</f>
        <v>SmartSites, Elit-Web, Clutch</v>
      </c>
      <c r="I11" s="11">
        <f>IFERROR(__xludf.DUMMYFUNCTION("""COMPUTED_VALUE"""),6.0)</f>
        <v>6</v>
      </c>
      <c r="J11" s="11">
        <f>IFERROR(__xludf.DUMMYFUNCTION("""COMPUTED_VALUE"""),0.01)</f>
        <v>0.01</v>
      </c>
      <c r="K11" s="11">
        <f>IFERROR(__xludf.DUMMYFUNCTION("""COMPUTED_VALUE"""),0.0)</f>
        <v>0</v>
      </c>
    </row>
    <row r="12" ht="15.75" customHeight="1">
      <c r="A12" s="10" t="str">
        <f>IFERROR(__xludf.DUMMYFUNCTION("""COMPUTED_VALUE"""),"https://agencies.semrush.com/list/analytics-data-science/business-professional-services/united-states/")</f>
        <v>https://agencies.semrush.com/list/analytics-data-science/business-professional-services/united-states/</v>
      </c>
      <c r="B12" s="11" t="str">
        <f>IFERROR(__xludf.DUMMYFUNCTION("""COMPUTED_VALUE"""),"Best B2B Services Data Analytics Services in United States 2026 | Semrush")</f>
        <v>Best B2B Services Data Analytics Services in United States 2026 | Semrush</v>
      </c>
      <c r="C12" s="10" t="str">
        <f>IFERROR(__xludf.DUMMYFUNCTION("""COMPUTED_VALUE"""),"semrush.com")</f>
        <v>semrush.com</v>
      </c>
      <c r="D12" s="11" t="str">
        <f>IFERROR(__xludf.DUMMYFUNCTION("""COMPUTED_VALUE"""),"CATEGORY_PAGE")</f>
        <v>CATEGORY_PAGE</v>
      </c>
      <c r="E12" s="11" t="str">
        <f>IFERROR(__xludf.DUMMYFUNCTION("""COMPUTED_VALUE"""),"CORPORATE")</f>
        <v>CORPORATE</v>
      </c>
      <c r="F12" s="11" t="str">
        <f>IFERROR(__xludf.DUMMYFUNCTION("""COMPUTED_VALUE"""),"Category Page")</f>
        <v>Category Page</v>
      </c>
      <c r="G12" s="11" t="b">
        <f>IFERROR(__xludf.DUMMYFUNCTION("""COMPUTED_VALUE"""),FALSE)</f>
        <v>0</v>
      </c>
      <c r="H12" s="11" t="str">
        <f>IFERROR(__xludf.DUMMYFUNCTION("""COMPUTED_VALUE"""),"LYFE Marketing, Elit-Web, Silverback Strategies, WebFX")</f>
        <v>LYFE Marketing, Elit-Web, Silverback Strategies, WebFX</v>
      </c>
      <c r="I12" s="11">
        <f>IFERROR(__xludf.DUMMYFUNCTION("""COMPUTED_VALUE"""),3.0)</f>
        <v>3</v>
      </c>
      <c r="J12" s="11">
        <f>IFERROR(__xludf.DUMMYFUNCTION("""COMPUTED_VALUE"""),0.0)</f>
        <v>0</v>
      </c>
      <c r="K12" s="11">
        <f>IFERROR(__xludf.DUMMYFUNCTION("""COMPUTED_VALUE"""),0.0)</f>
        <v>0</v>
      </c>
    </row>
    <row r="13" ht="15.75" customHeight="1">
      <c r="A13" s="10" t="str">
        <f>IFERROR(__xludf.DUMMYFUNCTION("""COMPUTED_VALUE"""),"https://agencies.semrush.com/list/display-advertising/ecommerce/united-states/")</f>
        <v>https://agencies.semrush.com/list/display-advertising/ecommerce/united-states/</v>
      </c>
      <c r="B13" s="11" t="str">
        <f>IFERROR(__xludf.DUMMYFUNCTION("""COMPUTED_VALUE"""),"Best Ecommerce Display Ads Agencies in United States 2026 | Semrush")</f>
        <v>Best Ecommerce Display Ads Agencies in United States 2026 | Semrush</v>
      </c>
      <c r="C13" s="10" t="str">
        <f>IFERROR(__xludf.DUMMYFUNCTION("""COMPUTED_VALUE"""),"semrush.com")</f>
        <v>semrush.com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IFERROR(__xludf.DUMMYFUNCTION("""COMPUTED_VALUE"""),"SmartSites, Elit-Web, Brighter Click, Silverback Strategies")</f>
        <v>SmartSites, Elit-Web, Brighter Click, Silverback Strategies</v>
      </c>
      <c r="I13" s="11">
        <f>IFERROR(__xludf.DUMMYFUNCTION("""COMPUTED_VALUE"""),3.0)</f>
        <v>3</v>
      </c>
      <c r="J13" s="11">
        <f>IFERROR(__xludf.DUMMYFUNCTION("""COMPUTED_VALUE"""),0.0)</f>
        <v>0</v>
      </c>
      <c r="K13" s="11">
        <f>IFERROR(__xludf.DUMMYFUNCTION("""COMPUTED_VALUE"""),0.0)</f>
        <v>0</v>
      </c>
    </row>
    <row r="14" ht="15.75" customHeight="1">
      <c r="A14" s="10" t="str">
        <f>IFERROR(__xludf.DUMMYFUNCTION("""COMPUTED_VALUE"""),"https://agencies.semrush.com/list/display-advertising/new-york/#:~:text=Digital%20Dot.%20Connecting%20the%20Dots%20to%20Your,driving%20organic%20traffic%20and%20generating%20quality%20leads.")</f>
        <v>https://agencies.semrush.com/list/display-advertising/new-york/#:~:text=Digital%20Dot.%20Connecting%20the%20Dots%20to%20Your,driving%20organic%20traffic%20and%20generating%20quality%20leads.</v>
      </c>
      <c r="B14" s="11" t="str">
        <f>IFERROR(__xludf.DUMMYFUNCTION("""COMPUTED_VALUE"""),"Best Display Ads Agencies in New York 2026 | Semrush")</f>
        <v>Best Display Ads Agencies in New York 2026 | Semrush</v>
      </c>
      <c r="C14" s="10" t="str">
        <f>IFERROR(__xludf.DUMMYFUNCTION("""COMPUTED_VALUE"""),"semrush.com")</f>
        <v>semrush.com</v>
      </c>
      <c r="D14" s="11" t="str">
        <f>IFERROR(__xludf.DUMMYFUNCTION("""COMPUTED_VALUE"""),"OTHER")</f>
        <v>OTHER</v>
      </c>
      <c r="E14" s="11" t="str">
        <f>IFERROR(__xludf.DUMMYFUNCTION("""COMPUTED_VALUE"""),"CORPORATE")</f>
        <v>CORPORATE</v>
      </c>
      <c r="F14" s="11" t="str">
        <f>IFERROR(__xludf.DUMMYFUNCTION("""COMPUTED_VALUE"""),"Other")</f>
        <v>Other</v>
      </c>
      <c r="G14" s="11" t="b">
        <f>IFERROR(__xludf.DUMMYFUNCTION("""COMPUTED_VALUE"""),FALSE)</f>
        <v>0</v>
      </c>
      <c r="H14" s="11" t="str">
        <f>IFERROR(__xludf.DUMMYFUNCTION("""COMPUTED_VALUE"""),"Elit-Web, Measured")</f>
        <v>Elit-Web, Measured</v>
      </c>
      <c r="I14" s="11">
        <f>IFERROR(__xludf.DUMMYFUNCTION("""COMPUTED_VALUE"""),2.0)</f>
        <v>2</v>
      </c>
      <c r="J14" s="11">
        <f>IFERROR(__xludf.DUMMYFUNCTION("""COMPUTED_VALUE"""),0.0)</f>
        <v>0</v>
      </c>
      <c r="K14" s="11">
        <f>IFERROR(__xludf.DUMMYFUNCTION("""COMPUTED_VALUE"""),1.0)</f>
        <v>1</v>
      </c>
    </row>
    <row r="15" ht="15.75" customHeight="1">
      <c r="A15" s="10" t="str">
        <f>IFERROR(__xludf.DUMMYFUNCTION("""COMPUTED_VALUE"""),"https://agencies.semrush.com/list/display-advertising/united-states/small-business/")</f>
        <v>https://agencies.semrush.com/list/display-advertising/united-states/small-business/</v>
      </c>
      <c r="B15" s="11" t="str">
        <f>IFERROR(__xludf.DUMMYFUNCTION("""COMPUTED_VALUE"""),"Best Display Ads Agencies for Small Business in United States 2026 | Semrush")</f>
        <v>Best Display Ads Agencies for Small Business in United States 2026 | Semrush</v>
      </c>
      <c r="C15" s="10" t="str">
        <f>IFERROR(__xludf.DUMMYFUNCTION("""COMPUTED_VALUE"""),"semrush.com")</f>
        <v>semrush.com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IFERROR(__xludf.DUMMYFUNCTION("""COMPUTED_VALUE"""),"SmartSites, LYFE Marketing, Elit-Web")</f>
        <v>SmartSites, LYFE Marketing, Elit-Web</v>
      </c>
      <c r="I15" s="11">
        <f>IFERROR(__xludf.DUMMYFUNCTION("""COMPUTED_VALUE"""),2.0)</f>
        <v>2</v>
      </c>
      <c r="J15" s="11">
        <f>IFERROR(__xludf.DUMMYFUNCTION("""COMPUTED_VALUE"""),0.0)</f>
        <v>0</v>
      </c>
      <c r="K15" s="11">
        <f>IFERROR(__xludf.DUMMYFUNCTION("""COMPUTED_VALUE"""),0.0)</f>
        <v>0</v>
      </c>
    </row>
    <row r="16" ht="15.75" customHeight="1">
      <c r="A16" s="10" t="str">
        <f>IFERROR(__xludf.DUMMYFUNCTION("""COMPUTED_VALUE"""),"https://agencies.semrush.com/list/programmatic-advertising/information-technology/united-states/")</f>
        <v>https://agencies.semrush.com/list/programmatic-advertising/information-technology/united-states/</v>
      </c>
      <c r="B16" s="11" t="str">
        <f>IFERROR(__xludf.DUMMYFUNCTION("""COMPUTED_VALUE"""),"Best IT Programmatic Advertising Agencies in United States 2026 | Semrush")</f>
        <v>Best IT Programmatic Advertising Agencies in United States 2026 | Semrush</v>
      </c>
      <c r="C16" s="10" t="str">
        <f>IFERROR(__xludf.DUMMYFUNCTION("""COMPUTED_VALUE"""),"semrush.com")</f>
        <v>semrush.com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IFERROR(__xludf.DUMMYFUNCTION("""COMPUTED_VALUE"""),"SmartSites, Elit-Web, Silverback Strategies, WebFX, Measured, Funnel Boost Media")</f>
        <v>SmartSites, Elit-Web, Silverback Strategies, WebFX, Measured, Funnel Boost Media</v>
      </c>
      <c r="I16" s="11">
        <f>IFERROR(__xludf.DUMMYFUNCTION("""COMPUTED_VALUE"""),2.0)</f>
        <v>2</v>
      </c>
      <c r="J16" s="11">
        <f>IFERROR(__xludf.DUMMYFUNCTION("""COMPUTED_VALUE"""),0.0)</f>
        <v>0</v>
      </c>
      <c r="K16" s="11">
        <f>IFERROR(__xludf.DUMMYFUNCTION("""COMPUTED_VALUE"""),0.0)</f>
        <v>0</v>
      </c>
    </row>
    <row r="17" ht="15.75" customHeight="1">
      <c r="A17" s="10" t="str">
        <f>IFERROR(__xludf.DUMMYFUNCTION("""COMPUTED_VALUE"""),"https://www.semrush.com/agencies/list/display-advertising/united-states/")</f>
        <v>https://www.semrush.com/agencies/list/display-advertising/united-states/</v>
      </c>
      <c r="B17" s="11" t="str">
        <f>IFERROR(__xludf.DUMMYFUNCTION("""COMPUTED_VALUE"""),"Best Display Ads Agencies in United States 2026 \| Semrush")</f>
        <v>Best Display Ads Agencies in United States 2026 \| Semrush</v>
      </c>
      <c r="C17" s="10" t="str">
        <f>IFERROR(__xludf.DUMMYFUNCTION("""COMPUTED_VALUE"""),"semrush.com")</f>
        <v>semrush.com</v>
      </c>
      <c r="D17" s="11" t="str">
        <f>IFERROR(__xludf.DUMMYFUNCTION("""COMPUTED_VALUE"""),"PROFILE")</f>
        <v>PROFILE</v>
      </c>
      <c r="E17" s="11" t="str">
        <f>IFERROR(__xludf.DUMMYFUNCTION("""COMPUTED_VALUE"""),"CORPORATE")</f>
        <v>CORPORATE</v>
      </c>
      <c r="F17" s="11" t="str">
        <f>IFERROR(__xludf.DUMMYFUNCTION("""COMPUTED_VALUE"""),"Profile")</f>
        <v>Profile</v>
      </c>
      <c r="G17" s="11" t="b">
        <f>IFERROR(__xludf.DUMMYFUNCTION("""COMPUTED_VALUE"""),FALSE)</f>
        <v>0</v>
      </c>
      <c r="H17" s="11" t="str">
        <f>IFERROR(__xludf.DUMMYFUNCTION("""COMPUTED_VALUE"""),"SmartSites, Elit-Web, Brighter Click")</f>
        <v>SmartSites, Elit-Web, Brighter Click</v>
      </c>
      <c r="I17" s="11">
        <f>IFERROR(__xludf.DUMMYFUNCTION("""COMPUTED_VALUE"""),2.0)</f>
        <v>2</v>
      </c>
      <c r="J17" s="11">
        <f>IFERROR(__xludf.DUMMYFUNCTION("""COMPUTED_VALUE"""),0.0)</f>
        <v>0</v>
      </c>
      <c r="K17" s="11">
        <f>IFERROR(__xludf.DUMMYFUNCTION("""COMPUTED_VALUE"""),0.0)</f>
        <v>0</v>
      </c>
    </row>
    <row r="18" ht="15.75" customHeight="1">
      <c r="A18" s="10" t="str">
        <f>IFERROR(__xludf.DUMMYFUNCTION("""COMPUTED_VALUE"""),"https://agencies.semrush.com/list/")</f>
        <v>https://agencies.semrush.com/list/</v>
      </c>
      <c r="B18" s="11" t="str">
        <f>IFERROR(__xludf.DUMMYFUNCTION("""COMPUTED_VALUE"""),"Best Digital Marketing Agencies in the World 2026 | Semrush")</f>
        <v>Best Digital Marketing Agencies in the World 2026 | Semrush</v>
      </c>
      <c r="C18" s="10" t="str">
        <f>IFERROR(__xludf.DUMMYFUNCTION("""COMPUTED_VALUE"""),"semrush.com")</f>
        <v>semrush.com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c r="I18" s="11">
        <f>IFERROR(__xludf.DUMMYFUNCTION("""COMPUTED_VALUE"""),1.0)</f>
        <v>1</v>
      </c>
      <c r="J18" s="11">
        <f>IFERROR(__xludf.DUMMYFUNCTION("""COMPUTED_VALUE"""),0.0)</f>
        <v>0</v>
      </c>
      <c r="K18" s="11">
        <f>IFERROR(__xludf.DUMMYFUNCTION("""COMPUTED_VALUE"""),0.0)</f>
        <v>0</v>
      </c>
    </row>
    <row r="19" ht="15.75" customHeight="1">
      <c r="A19" s="10" t="str">
        <f>IFERROR(__xludf.DUMMYFUNCTION("""COMPUTED_VALUE"""),"https://agencies.semrush.com/list/advertising/united-states/")</f>
        <v>https://agencies.semrush.com/list/advertising/united-states/</v>
      </c>
      <c r="B19" s="11" t="str">
        <f>IFERROR(__xludf.DUMMYFUNCTION("""COMPUTED_VALUE"""),"Best Advertising Agencies in United States 2026 | Semrush")</f>
        <v>Best Advertising Agencies in United States 2026 | Semrush</v>
      </c>
      <c r="C19" s="10" t="str">
        <f>IFERROR(__xludf.DUMMYFUNCTION("""COMPUTED_VALUE"""),"semrush.com")</f>
        <v>semrush.com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IFERROR(__xludf.DUMMYFUNCTION("""COMPUTED_VALUE"""),"SmartSites, Elit-Web")</f>
        <v>SmartSites, Elit-Web</v>
      </c>
      <c r="I19" s="11">
        <f>IFERROR(__xludf.DUMMYFUNCTION("""COMPUTED_VALUE"""),1.0)</f>
        <v>1</v>
      </c>
      <c r="J19" s="11">
        <f>IFERROR(__xludf.DUMMYFUNCTION("""COMPUTED_VALUE"""),0.0)</f>
        <v>0</v>
      </c>
      <c r="K19" s="11">
        <f>IFERROR(__xludf.DUMMYFUNCTION("""COMPUTED_VALUE"""),0.0)</f>
        <v>0</v>
      </c>
    </row>
    <row r="20" ht="15.75" customHeight="1">
      <c r="A20" s="10" t="str">
        <f>IFERROR(__xludf.DUMMYFUNCTION("""COMPUTED_VALUE"""),"https://agencies.semrush.com/list/ai-optimization/united-states/small-business/")</f>
        <v>https://agencies.semrush.com/list/ai-optimization/united-states/small-business/</v>
      </c>
      <c r="B20" s="11" t="str">
        <f>IFERROR(__xludf.DUMMYFUNCTION("""COMPUTED_VALUE"""),"Best AI Search Optimization Agencies for Small Business in United States 2026 | Semrush")</f>
        <v>Best AI Search Optimization Agencies for Small Business in United States 2026 | Semrush</v>
      </c>
      <c r="C20" s="10" t="str">
        <f>IFERROR(__xludf.DUMMYFUNCTION("""COMPUTED_VALUE"""),"semrush.com")</f>
        <v>semrush.com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IFERROR(__xludf.DUMMYFUNCTION("""COMPUTED_VALUE"""),"SmartSites, Elit-Web")</f>
        <v>SmartSites, Elit-Web</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IFERROR(__xludf.DUMMYFUNCTION("""COMPUTED_VALUE"""),"https://agencies.semrush.com/list/los-angeles/")</f>
        <v>https://agencies.semrush.com/list/los-angeles/</v>
      </c>
      <c r="B21" s="11" t="str">
        <f>IFERROR(__xludf.DUMMYFUNCTION("""COMPUTED_VALUE"""),"Best Digital Marketing Agencies in Los Angeles 2026 | Semrush")</f>
        <v>Best Digital Marketing Agencies in Los Angeles 2026 | Semrush</v>
      </c>
      <c r="C21" s="10" t="str">
        <f>IFERROR(__xludf.DUMMYFUNCTION("""COMPUTED_VALUE"""),"semrush.com")</f>
        <v>semrush.com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c r="I21" s="11">
        <f>IFERROR(__xludf.DUMMYFUNCTION("""COMPUTED_VALUE"""),1.0)</f>
        <v>1</v>
      </c>
      <c r="J21" s="11">
        <f>IFERROR(__xludf.DUMMYFUNCTION("""COMPUTED_VALUE"""),0.0)</f>
        <v>0</v>
      </c>
      <c r="K21" s="11">
        <f>IFERROR(__xludf.DUMMYFUNCTION("""COMPUTED_VALUE"""),0.0)</f>
        <v>0</v>
      </c>
    </row>
    <row r="22" ht="15.75" customHeight="1">
      <c r="A22" s="10" t="str">
        <f>IFERROR(__xludf.DUMMYFUNCTION("""COMPUTED_VALUE"""),"https://agencies.semrush.com/list/machine-learning-and-ai/business-professional-services/united-states/")</f>
        <v>https://agencies.semrush.com/list/machine-learning-and-ai/business-professional-services/united-states/</v>
      </c>
      <c r="B22" s="11" t="str">
        <f>IFERROR(__xludf.DUMMYFUNCTION("""COMPUTED_VALUE"""),"Best B2B Services Machine Learning and AI Services in United States 2026 | Semrush")</f>
        <v>Best B2B Services Machine Learning and AI Services in United States 2026 | Semrush</v>
      </c>
      <c r="C22" s="10" t="str">
        <f>IFERROR(__xludf.DUMMYFUNCTION("""COMPUTED_VALUE"""),"semrush.com")</f>
        <v>semrush.com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IFERROR(__xludf.DUMMYFUNCTION("""COMPUTED_VALUE"""),"LYFE Marketing, Elit-Web, Silverback Strategies, WebFX")</f>
        <v>LYFE Marketing, Elit-Web, Silverback Strategies, WebFX</v>
      </c>
      <c r="I22" s="11">
        <f>IFERROR(__xludf.DUMMYFUNCTION("""COMPUTED_VALUE"""),1.0)</f>
        <v>1</v>
      </c>
      <c r="J22" s="11">
        <f>IFERROR(__xludf.DUMMYFUNCTION("""COMPUTED_VALUE"""),0.0)</f>
        <v>0</v>
      </c>
      <c r="K22" s="11">
        <f>IFERROR(__xludf.DUMMYFUNCTION("""COMPUTED_VALUE"""),0.0)</f>
        <v>0</v>
      </c>
    </row>
    <row r="23" ht="15.75" customHeight="1">
      <c r="A23" s="10" t="str">
        <f>IFERROR(__xludf.DUMMYFUNCTION("""COMPUTED_VALUE"""),"https://agencies.semrush.com/list/programmatic-advertising/arts-entertainment/united-states/")</f>
        <v>https://agencies.semrush.com/list/programmatic-advertising/arts-entertainment/united-states/</v>
      </c>
      <c r="B23" s="11" t="str">
        <f>IFERROR(__xludf.DUMMYFUNCTION("""COMPUTED_VALUE"""),"Best Media &amp;amp; Entertainment Programmatic Advertising Agencies in United States 2026 | Semrush")</f>
        <v>Best Media &amp;amp; Entertainment Programmatic Advertising Agencies in United States 2026 | Semrush</v>
      </c>
      <c r="C23" s="10" t="str">
        <f>IFERROR(__xludf.DUMMYFUNCTION("""COMPUTED_VALUE"""),"semrush.com")</f>
        <v>semrush.com</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IFERROR(__xludf.DUMMYFUNCTION("""COMPUTED_VALUE"""),"SmartSites, Elit-Web, Silverback Strategies, Measured, Funnel Boost Media")</f>
        <v>SmartSites, Elit-Web, Silverback Strategies, Measured, Funnel Boost Media</v>
      </c>
      <c r="I23" s="11">
        <f>IFERROR(__xludf.DUMMYFUNCTION("""COMPUTED_VALUE"""),1.0)</f>
        <v>1</v>
      </c>
      <c r="J23" s="11">
        <f>IFERROR(__xludf.DUMMYFUNCTION("""COMPUTED_VALUE"""),0.0)</f>
        <v>0</v>
      </c>
      <c r="K23" s="11">
        <f>IFERROR(__xludf.DUMMYFUNCTION("""COMPUTED_VALUE"""),0.0)</f>
        <v>0</v>
      </c>
    </row>
    <row r="24" ht="15.75" customHeight="1">
      <c r="A24" s="10" t="str">
        <f>IFERROR(__xludf.DUMMYFUNCTION("""COMPUTED_VALUE"""),"https://www.semrush.com/agencies/list/display-advertising/information-technology/united-states/")</f>
        <v>https://www.semrush.com/agencies/list/display-advertising/information-technology/united-states/</v>
      </c>
      <c r="B24" s="11" t="str">
        <f>IFERROR(__xludf.DUMMYFUNCTION("""COMPUTED_VALUE"""),"Best IT Display Ads Agencies in United States 2026 \| Semrush")</f>
        <v>Best IT Display Ads Agencies in United States 2026 \| Semrush</v>
      </c>
      <c r="C24" s="10" t="str">
        <f>IFERROR(__xludf.DUMMYFUNCTION("""COMPUTED_VALUE"""),"semrush.com")</f>
        <v>semrush.com</v>
      </c>
      <c r="D24" s="11" t="str">
        <f>IFERROR(__xludf.DUMMYFUNCTION("""COMPUTED_VALUE"""),"PROFILE")</f>
        <v>PROFILE</v>
      </c>
      <c r="E24" s="11" t="str">
        <f>IFERROR(__xludf.DUMMYFUNCTION("""COMPUTED_VALUE"""),"CORPORATE")</f>
        <v>CORPORATE</v>
      </c>
      <c r="F24" s="11" t="str">
        <f>IFERROR(__xludf.DUMMYFUNCTION("""COMPUTED_VALUE"""),"Profile")</f>
        <v>Profile</v>
      </c>
      <c r="G24" s="11" t="b">
        <f>IFERROR(__xludf.DUMMYFUNCTION("""COMPUTED_VALUE"""),FALSE)</f>
        <v>0</v>
      </c>
      <c r="H24" s="11" t="str">
        <f>IFERROR(__xludf.DUMMYFUNCTION("""COMPUTED_VALUE"""),"SmartSites, Elit-Web, Silverback Strategies, WebFX, Measured, Funnel Boost Media")</f>
        <v>SmartSites, Elit-Web, Silverback Strategies, WebFX, Measured, Funnel Boost Media</v>
      </c>
      <c r="I24" s="11">
        <f>IFERROR(__xludf.DUMMYFUNCTION("""COMPUTED_VALUE"""),1.0)</f>
        <v>1</v>
      </c>
      <c r="J24" s="11">
        <f>IFERROR(__xludf.DUMMYFUNCTION("""COMPUTED_VALUE"""),0.0)</f>
        <v>0</v>
      </c>
      <c r="K24" s="11">
        <f>IFERROR(__xludf.DUMMYFUNCTION("""COMPUTED_VALUE"""),0.0)</f>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location=":~:text=Digital%20Dot.%20Connecting%20the%20Dots%20to%20Your,driving%20organic%20traffic%20and%20generating%20quality%20leads."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s>
  <drawing r:id="rId4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All'!A2:A1000)),""directiveconsulting"")
  ),
  """"
)"),"https://directiveconsulting.com/blog/25-best-paid-media-agencies-that-turn-ad-spend-into-revenue/")</f>
        <v>https://directiveconsulting.com/blog/25-best-paid-media-agencies-that-turn-ad-spend-into-revenue/</v>
      </c>
      <c r="B2" s="11" t="str">
        <f>IFERROR(__xludf.DUMMYFUNCTION("""COMPUTED_VALUE"""),"25 Best Paid Media Agencies For B2B - Directive")</f>
        <v>25 Best Paid Media Agencies For B2B - Directive</v>
      </c>
      <c r="C2" s="10" t="str">
        <f>IFERROR(__xludf.DUMMYFUNCTION("""COMPUTED_VALUE"""),"directiveconsulting.com")</f>
        <v>directiveconsulting.com</v>
      </c>
      <c r="D2" s="11" t="str">
        <f>IFERROR(__xludf.DUMMYFUNCTION("""COMPUTED_VALUE"""),"LISTICLE")</f>
        <v>LISTICLE</v>
      </c>
      <c r="E2" s="11" t="str">
        <f>IFERROR(__xludf.DUMMYFUNCTION("""COMPUTED_VALUE"""),"COMPETITOR")</f>
        <v>COMPETITOR</v>
      </c>
      <c r="F2" s="11" t="str">
        <f>IFERROR(__xludf.DUMMYFUNCTION("""COMPUTED_VALUE"""),"Listicle")</f>
        <v>Listicle</v>
      </c>
      <c r="G2" s="11" t="b">
        <f>IFERROR(__xludf.DUMMYFUNCTION("""COMPUTED_VALUE"""),FALSE)</f>
        <v>0</v>
      </c>
      <c r="H2"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2" s="11">
        <f>IFERROR(__xludf.DUMMYFUNCTION("""COMPUTED_VALUE"""),39.0)</f>
        <v>39</v>
      </c>
      <c r="J2" s="11">
        <f>IFERROR(__xludf.DUMMYFUNCTION("""COMPUTED_VALUE"""),0.04)</f>
        <v>0.04</v>
      </c>
      <c r="K2" s="11">
        <f>IFERROR(__xludf.DUMMYFUNCTION("""COMPUTED_VALUE"""),0.77)</f>
        <v>0.77</v>
      </c>
    </row>
    <row r="3" ht="15.75" customHeight="1">
      <c r="A3" s="10" t="str">
        <f>IFERROR(__xludf.DUMMYFUNCTION("""COMPUTED_VALUE"""),"https://directiveconsulting.com/blog/top-performance-marketing-agencies/")</f>
        <v>https://directiveconsulting.com/blog/top-performance-marketing-agencies/</v>
      </c>
      <c r="B3" s="11" t="str">
        <f>IFERROR(__xludf.DUMMYFUNCTION("""COMPUTED_VALUE"""),"18 Best Performance Marketing Agencies For B2B - Directive")</f>
        <v>18 Best Performance Marketing Agencies For B2B - Directive</v>
      </c>
      <c r="C3" s="10" t="str">
        <f>IFERROR(__xludf.DUMMYFUNCTION("""COMPUTED_VALUE"""),"directiveconsulting.com")</f>
        <v>directiveconsulting.com</v>
      </c>
      <c r="D3" s="11" t="str">
        <f>IFERROR(__xludf.DUMMYFUNCTION("""COMPUTED_VALUE"""),"LISTICLE")</f>
        <v>LISTICLE</v>
      </c>
      <c r="E3" s="11" t="str">
        <f>IFERROR(__xludf.DUMMYFUNCTION("""COMPUTED_VALUE"""),"COMPETITOR")</f>
        <v>COMPETITOR</v>
      </c>
      <c r="F3" s="11" t="str">
        <f>IFERROR(__xludf.DUMMYFUNCTION("""COMPUTED_VALUE"""),"Listicle")</f>
        <v>Listicle</v>
      </c>
      <c r="G3" s="11" t="b">
        <f>IFERROR(__xludf.DUMMYFUNCTION("""COMPUTED_VALUE"""),FALSE)</f>
        <v>0</v>
      </c>
      <c r="H3" s="11" t="str">
        <f>IFERROR(__xludf.DUMMYFUNCTION("""COMPUTED_VALUE"""),"Directive, NoGood, Common Thread Collective, Amsive, Hey Digital, Right Side Up, Wpromote, Darkroom, inBeat, Single Grain, Omniscient Digital, Seer Interactive, Brighter Click, Metric Theory, Measured, TransUnion, Clutch")</f>
        <v>Directive, NoGood, Common Thread Collective, Amsive, Hey Digital, Right Side Up, Wpromote, Darkroom, inBeat, Single Grain, Omniscient Digital, Seer Interactive, Brighter Click, Metric Theory, Measured, TransUnion, Clutch</v>
      </c>
      <c r="I3" s="11">
        <f>IFERROR(__xludf.DUMMYFUNCTION("""COMPUTED_VALUE"""),29.0)</f>
        <v>29</v>
      </c>
      <c r="J3" s="11">
        <f>IFERROR(__xludf.DUMMYFUNCTION("""COMPUTED_VALUE"""),0.03)</f>
        <v>0.03</v>
      </c>
      <c r="K3" s="11">
        <f>IFERROR(__xludf.DUMMYFUNCTION("""COMPUTED_VALUE"""),1.72)</f>
        <v>1.72</v>
      </c>
    </row>
    <row r="4" ht="15.75" customHeight="1">
      <c r="A4" s="10" t="str">
        <f>IFERROR(__xludf.DUMMYFUNCTION("""COMPUTED_VALUE"""),"https://directiveconsulting.com/blog/best-marketing-data-agency/")</f>
        <v>https://directiveconsulting.com/blog/best-marketing-data-agency/</v>
      </c>
      <c r="B4" s="11" t="str">
        <f>IFERROR(__xludf.DUMMYFUNCTION("""COMPUTED_VALUE"""),"18 Best Marketing Data Agencies for B2B - Directive")</f>
        <v>18 Best Marketing Data Agencies for B2B - Directive</v>
      </c>
      <c r="C4" s="10" t="str">
        <f>IFERROR(__xludf.DUMMYFUNCTION("""COMPUTED_VALUE"""),"directiveconsulting.com")</f>
        <v>directiveconsulting.com</v>
      </c>
      <c r="D4" s="11" t="str">
        <f>IFERROR(__xludf.DUMMYFUNCTION("""COMPUTED_VALUE"""),"LISTICLE")</f>
        <v>LISTICLE</v>
      </c>
      <c r="E4" s="11" t="str">
        <f>IFERROR(__xludf.DUMMYFUNCTION("""COMPUTED_VALUE"""),"COMPETITOR")</f>
        <v>COMPETITOR</v>
      </c>
      <c r="F4" s="11" t="str">
        <f>IFERROR(__xludf.DUMMYFUNCTION("""COMPUTED_VALUE"""),"Listicle")</f>
        <v>Listicle</v>
      </c>
      <c r="G4" s="11" t="b">
        <f>IFERROR(__xludf.DUMMYFUNCTION("""COMPUTED_VALUE"""),FALSE)</f>
        <v>0</v>
      </c>
      <c r="H4" s="11" t="str">
        <f>IFERROR(__xludf.DUMMYFUNCTION("""COMPUTED_VALUE"""),"Directive, RevPartners, KlientBoost, Brainlabs, Power Digital, Measured, Clutch")</f>
        <v>Directive, RevPartners, KlientBoost, Brainlabs, Power Digital, Measured, Clutch</v>
      </c>
      <c r="I4" s="11">
        <f>IFERROR(__xludf.DUMMYFUNCTION("""COMPUTED_VALUE"""),27.0)</f>
        <v>27</v>
      </c>
      <c r="J4" s="11">
        <f>IFERROR(__xludf.DUMMYFUNCTION("""COMPUTED_VALUE"""),0.03)</f>
        <v>0.03</v>
      </c>
      <c r="K4" s="11">
        <f>IFERROR(__xludf.DUMMYFUNCTION("""COMPUTED_VALUE"""),1.7)</f>
        <v>1.7</v>
      </c>
    </row>
    <row r="5" ht="15.75" customHeight="1">
      <c r="A5" s="10" t="str">
        <f>IFERROR(__xludf.DUMMYFUNCTION("""COMPUTED_VALUE"""),"https://directiveconsulting.com/blog/best-geo-agencies/")</f>
        <v>https://directiveconsulting.com/blog/best-geo-agencies/</v>
      </c>
      <c r="B5" s="11" t="str">
        <f>IFERROR(__xludf.DUMMYFUNCTION("""COMPUTED_VALUE"""),"25 Best GEO Agencies For B2B - Directive")</f>
        <v>25 Best GEO Agencies For B2B - Directive</v>
      </c>
      <c r="C5" s="10" t="str">
        <f>IFERROR(__xludf.DUMMYFUNCTION("""COMPUTED_VALUE"""),"directiveconsulting.com")</f>
        <v>directiveconsulting.com</v>
      </c>
      <c r="D5" s="11" t="str">
        <f>IFERROR(__xludf.DUMMYFUNCTION("""COMPUTED_VALUE"""),"LISTICLE")</f>
        <v>LISTICLE</v>
      </c>
      <c r="E5" s="11" t="str">
        <f>IFERROR(__xludf.DUMMYFUNCTION("""COMPUTED_VALUE"""),"COMPETITOR")</f>
        <v>COMPETITOR</v>
      </c>
      <c r="F5" s="11" t="str">
        <f>IFERROR(__xludf.DUMMYFUNCTION("""COMPUTED_VALUE"""),"Listicle")</f>
        <v>Listicle</v>
      </c>
      <c r="G5" s="11" t="b">
        <f>IFERROR(__xludf.DUMMYFUNCTION("""COMPUTED_VALUE"""),FALSE)</f>
        <v>0</v>
      </c>
      <c r="H5"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5" s="11">
        <f>IFERROR(__xludf.DUMMYFUNCTION("""COMPUTED_VALUE"""),10.0)</f>
        <v>10</v>
      </c>
      <c r="J5" s="11">
        <f>IFERROR(__xludf.DUMMYFUNCTION("""COMPUTED_VALUE"""),0.01)</f>
        <v>0.01</v>
      </c>
      <c r="K5" s="11">
        <f>IFERROR(__xludf.DUMMYFUNCTION("""COMPUTED_VALUE"""),0.1)</f>
        <v>0.1</v>
      </c>
    </row>
    <row r="6" ht="15.75" customHeight="1">
      <c r="A6" s="10" t="str">
        <f>IFERROR(__xludf.DUMMYFUNCTION("""COMPUTED_VALUE"""),"https://directiveconsulting.com/uk/blog/best-geo-agencies/")</f>
        <v>https://directiveconsulting.com/uk/blog/best-geo-agencies/</v>
      </c>
      <c r="B6" s="11" t="str">
        <f>IFERROR(__xludf.DUMMYFUNCTION("""COMPUTED_VALUE"""),"25 Best GEO Agencies For B2B - Directive")</f>
        <v>25 Best GEO Agencies For B2B - Directive</v>
      </c>
      <c r="C6" s="10" t="str">
        <f>IFERROR(__xludf.DUMMYFUNCTION("""COMPUTED_VALUE"""),"directiveconsulting.com")</f>
        <v>directiveconsulting.com</v>
      </c>
      <c r="D6" s="11" t="str">
        <f>IFERROR(__xludf.DUMMYFUNCTION("""COMPUTED_VALUE"""),"LISTICLE")</f>
        <v>LISTICLE</v>
      </c>
      <c r="E6" s="11" t="str">
        <f>IFERROR(__xludf.DUMMYFUNCTION("""COMPUTED_VALUE"""),"COMPETITOR")</f>
        <v>COMPETITOR</v>
      </c>
      <c r="F6" s="11" t="str">
        <f>IFERROR(__xludf.DUMMYFUNCTION("""COMPUTED_VALUE"""),"Listicle")</f>
        <v>Listicle</v>
      </c>
      <c r="G6" s="11" t="b">
        <f>IFERROR(__xludf.DUMMYFUNCTION("""COMPUTED_VALUE"""),FALSE)</f>
        <v>0</v>
      </c>
      <c r="H6"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6" s="11">
        <f>IFERROR(__xludf.DUMMYFUNCTION("""COMPUTED_VALUE"""),10.0)</f>
        <v>10</v>
      </c>
      <c r="J6" s="11">
        <f>IFERROR(__xludf.DUMMYFUNCTION("""COMPUTED_VALUE"""),0.01)</f>
        <v>0.01</v>
      </c>
      <c r="K6" s="11">
        <f>IFERROR(__xludf.DUMMYFUNCTION("""COMPUTED_VALUE"""),0.0)</f>
        <v>0</v>
      </c>
    </row>
    <row r="7" ht="15.75" customHeight="1">
      <c r="A7" s="10" t="str">
        <f>IFERROR(__xludf.DUMMYFUNCTION("""COMPUTED_VALUE"""),"https://directiveconsulting.com/blog/best-google-ads-agencies/")</f>
        <v>https://directiveconsulting.com/blog/best-google-ads-agencies/</v>
      </c>
      <c r="B7" s="11" t="str">
        <f>IFERROR(__xludf.DUMMYFUNCTION("""COMPUTED_VALUE"""),"20 Best Google Ads Agencies For B2B - Directive")</f>
        <v>20 Best Google Ads Agencies For B2B - Directive</v>
      </c>
      <c r="C7" s="10" t="str">
        <f>IFERROR(__xludf.DUMMYFUNCTION("""COMPUTED_VALUE"""),"directiveconsulting.com")</f>
        <v>directiveconsulting.com</v>
      </c>
      <c r="D7" s="11" t="str">
        <f>IFERROR(__xludf.DUMMYFUNCTION("""COMPUTED_VALUE"""),"LISTICLE")</f>
        <v>LISTICLE</v>
      </c>
      <c r="E7" s="11" t="str">
        <f>IFERROR(__xludf.DUMMYFUNCTION("""COMPUTED_VALUE"""),"COMPETITOR")</f>
        <v>COMPETITOR</v>
      </c>
      <c r="F7" s="11" t="str">
        <f>IFERROR(__xludf.DUMMYFUNCTION("""COMPUTED_VALUE"""),"Listicle")</f>
        <v>Listicle</v>
      </c>
      <c r="G7" s="11" t="b">
        <f>IFERROR(__xludf.DUMMYFUNCTION("""COMPUTED_VALUE"""),FALSE)</f>
        <v>0</v>
      </c>
      <c r="H7" s="11" t="str">
        <f>IFERROR(__xludf.DUMMYFUNCTION("""COMPUTED_VALUE"""),"Directive, Disruptive Advertising, KlientBoost, Single Grain, Ignite Visibility, WebFX, HawkSEM, SmartSites, Monks, Thrive Internet Marketing Agency, Wpromote, Amsive, NoGood, TransUnion, Clutch")</f>
        <v>Directive, Disruptive Advertising, KlientBoost, Single Grain, Ignite Visibility, WebFX, HawkSEM, SmartSites, Monks, Thrive Internet Marketing Agency, Wpromote, Amsive, NoGood, TransUnion, Clutch</v>
      </c>
      <c r="I7" s="11">
        <f>IFERROR(__xludf.DUMMYFUNCTION("""COMPUTED_VALUE"""),5.0)</f>
        <v>5</v>
      </c>
      <c r="J7" s="11">
        <f>IFERROR(__xludf.DUMMYFUNCTION("""COMPUTED_VALUE"""),0.0)</f>
        <v>0</v>
      </c>
      <c r="K7" s="11">
        <f>IFERROR(__xludf.DUMMYFUNCTION("""COMPUTED_VALUE"""),1.2)</f>
        <v>1.2</v>
      </c>
    </row>
    <row r="8" ht="15.75" customHeight="1">
      <c r="A8" s="10" t="str">
        <f>IFERROR(__xludf.DUMMYFUNCTION("""COMPUTED_VALUE"""),"https://directiveconsulting.com/blog/20-best-paid-social-agencies-turning-scrolls-into-sales/#:~:text=Merkle%20B2B%20Merkle%20B2B%20specializes%20in%20enterprise%2Dgrade,complex%20buying%20committees%20across%20LinkedIn%20and%20Meta.")</f>
        <v>https://directiveconsulting.com/blog/20-best-paid-social-agencies-turning-scrolls-into-sales/#:~:text=Merkle%20B2B%20Merkle%20B2B%20specializes%20in%20enterprise%2Dgrade,complex%20buying%20committees%20across%20LinkedIn%20and%20Meta.</v>
      </c>
      <c r="B8" s="11" t="str">
        <f>IFERROR(__xludf.DUMMYFUNCTION("""COMPUTED_VALUE"""),"20 Best Paid Social Agencies For B2B - Directive")</f>
        <v>20 Best Paid Social Agencies For B2B - Directive</v>
      </c>
      <c r="C8" s="10" t="str">
        <f>IFERROR(__xludf.DUMMYFUNCTION("""COMPUTED_VALUE"""),"directiveconsulting.com")</f>
        <v>directiveconsulting.com</v>
      </c>
      <c r="D8" s="11" t="str">
        <f>IFERROR(__xludf.DUMMYFUNCTION("""COMPUTED_VALUE"""),"PRODUCT_PAGE")</f>
        <v>PRODUCT_PAGE</v>
      </c>
      <c r="E8" s="11" t="str">
        <f>IFERROR(__xludf.DUMMYFUNCTION("""COMPUTED_VALUE"""),"COMPETITOR")</f>
        <v>COMPETITOR</v>
      </c>
      <c r="F8" s="11" t="str">
        <f>IFERROR(__xludf.DUMMYFUNCTION("""COMPUTED_VALUE"""),"Product Page")</f>
        <v>Product Page</v>
      </c>
      <c r="G8" s="11" t="b">
        <f>IFERROR(__xludf.DUMMYFUNCTION("""COMPUTED_VALUE"""),FALSE)</f>
        <v>0</v>
      </c>
      <c r="H8" s="11" t="str">
        <f>IFERROR(__xludf.DUMMYFUNCTION("""COMPUTED_VALUE"""),"Directive, Wpromote, Ignite Visibility, Seer Interactive, Merkle, Disruptive Advertising, PMG, Hawke Media, Sociallyin, Jellyfish, KlientBoost, Viral Nation, Brainlabs, LYFE Marketing, Dentsu, TransUnion, IBM, Momentum, Clutch")</f>
        <v>Directive, Wpromote, Ignite Visibility, Seer Interactive, Merkle, Disruptive Advertising, PMG, Hawke Media, Sociallyin, Jellyfish, KlientBoost, Viral Nation, Brainlabs, LYFE Marketing, Dentsu, TransUnion, IBM, Momentum, Clutch</v>
      </c>
      <c r="I8" s="11">
        <f>IFERROR(__xludf.DUMMYFUNCTION("""COMPUTED_VALUE"""),4.0)</f>
        <v>4</v>
      </c>
      <c r="J8" s="11">
        <f>IFERROR(__xludf.DUMMYFUNCTION("""COMPUTED_VALUE"""),0.0)</f>
        <v>0</v>
      </c>
      <c r="K8" s="11">
        <f>IFERROR(__xludf.DUMMYFUNCTION("""COMPUTED_VALUE"""),1.25)</f>
        <v>1.25</v>
      </c>
    </row>
    <row r="9" ht="15.75" customHeight="1">
      <c r="A9" s="10" t="str">
        <f>IFERROR(__xludf.DUMMYFUNCTION("""COMPUTED_VALUE"""),"https://directiveconsulting.com/blog/25-best-advertising-agencies-built-for-media-momentum/")</f>
        <v>https://directiveconsulting.com/blog/25-best-advertising-agencies-built-for-media-momentum/</v>
      </c>
      <c r="B9" s="11" t="str">
        <f>IFERROR(__xludf.DUMMYFUNCTION("""COMPUTED_VALUE"""),"25 Best Advertising Agencies For B2B - Directive")</f>
        <v>25 Best Advertising Agencies For B2B - Directive</v>
      </c>
      <c r="C9" s="10" t="str">
        <f>IFERROR(__xludf.DUMMYFUNCTION("""COMPUTED_VALUE"""),"directiveconsulting.com")</f>
        <v>directiveconsulting.com</v>
      </c>
      <c r="D9" s="11" t="str">
        <f>IFERROR(__xludf.DUMMYFUNCTION("""COMPUTED_VALUE"""),"LISTICLE")</f>
        <v>LISTICLE</v>
      </c>
      <c r="E9" s="11" t="str">
        <f>IFERROR(__xludf.DUMMYFUNCTION("""COMPUTED_VALUE"""),"COMPETITOR")</f>
        <v>COMPETITOR</v>
      </c>
      <c r="F9" s="11" t="str">
        <f>IFERROR(__xludf.DUMMYFUNCTION("""COMPUTED_VALUE"""),"Listicle")</f>
        <v>Listicle</v>
      </c>
      <c r="G9" s="11" t="b">
        <f>IFERROR(__xludf.DUMMYFUNCTION("""COMPUTED_VALUE"""),FALSE)</f>
        <v>0</v>
      </c>
      <c r="H9" s="11" t="str">
        <f>IFERROR(__xludf.DUMMYFUNCTION("""COMPUTED_VALUE"""),"Directive, Momentum, Refine Labs, Tinuiti, PMG, Seer Interactive, Jellyfish, Wpromote, Accelerated Digital Media, KlientBoost, Merkle, iProspect, Croud, R/GA, Monks, AKQA, Measured, IBM, Clutch")</f>
        <v>Directive, Momentum, Refine Labs, Tinuiti, PMG, Seer Interactive, Jellyfish, Wpromote, Accelerated Digital Media, KlientBoost, Merkle, iProspect, Croud, R/GA, Monks, AKQA, Measured, IBM, Clutch</v>
      </c>
      <c r="I9" s="11">
        <f>IFERROR(__xludf.DUMMYFUNCTION("""COMPUTED_VALUE"""),4.0)</f>
        <v>4</v>
      </c>
      <c r="J9" s="11">
        <f>IFERROR(__xludf.DUMMYFUNCTION("""COMPUTED_VALUE"""),0.0)</f>
        <v>0</v>
      </c>
      <c r="K9" s="11">
        <f>IFERROR(__xludf.DUMMYFUNCTION("""COMPUTED_VALUE"""),0.5)</f>
        <v>0.5</v>
      </c>
    </row>
    <row r="10" ht="15.75" customHeight="1">
      <c r="A10" s="10" t="str">
        <f>IFERROR(__xludf.DUMMYFUNCTION("""COMPUTED_VALUE"""),"https://directiveconsulting.com/blog/best-programmatic-ad-agencies/")</f>
        <v>https://directiveconsulting.com/blog/best-programmatic-ad-agencies/</v>
      </c>
      <c r="B10" s="11" t="str">
        <f>IFERROR(__xludf.DUMMYFUNCTION("""COMPUTED_VALUE"""),"17 Best Programmatic Advertising Agencies For B2B - Directive")</f>
        <v>17 Best Programmatic Advertising Agencies For B2B - Directive</v>
      </c>
      <c r="C10" s="10" t="str">
        <f>IFERROR(__xludf.DUMMYFUNCTION("""COMPUTED_VALUE"""),"directiveconsulting.com")</f>
        <v>directiveconsulting.com</v>
      </c>
      <c r="D10" s="11" t="str">
        <f>IFERROR(__xludf.DUMMYFUNCTION("""COMPUTED_VALUE"""),"LISTICLE")</f>
        <v>LISTICLE</v>
      </c>
      <c r="E10" s="11" t="str">
        <f>IFERROR(__xludf.DUMMYFUNCTION("""COMPUTED_VALUE"""),"COMPETITOR")</f>
        <v>COMPETITOR</v>
      </c>
      <c r="F10" s="11" t="str">
        <f>IFERROR(__xludf.DUMMYFUNCTION("""COMPUTED_VALUE"""),"Listicle")</f>
        <v>Listicle</v>
      </c>
      <c r="G10" s="11" t="b">
        <f>IFERROR(__xludf.DUMMYFUNCTION("""COMPUTED_VALUE"""),FALSE)</f>
        <v>0</v>
      </c>
      <c r="H10" s="11" t="str">
        <f>IFERROR(__xludf.DUMMYFUNCTION("""COMPUTED_VALUE"""),"Directive, Tinuiti, Merkle, Wpromote, Monks, Brainlabs, PMG, Jellyfish, Croud, iProspect, Kepler Group, TransUnion, IBM, Clutch")</f>
        <v>Directive, Tinuiti, Merkle, Wpromote, Monks, Brainlabs, PMG, Jellyfish, Croud, iProspect, Kepler Group, TransUnion, IBM, Clutch</v>
      </c>
      <c r="I10" s="11">
        <f>IFERROR(__xludf.DUMMYFUNCTION("""COMPUTED_VALUE"""),3.0)</f>
        <v>3</v>
      </c>
      <c r="J10" s="11">
        <f>IFERROR(__xludf.DUMMYFUNCTION("""COMPUTED_VALUE"""),0.0)</f>
        <v>0</v>
      </c>
      <c r="K10" s="11">
        <f>IFERROR(__xludf.DUMMYFUNCTION("""COMPUTED_VALUE"""),0.67)</f>
        <v>0.67</v>
      </c>
    </row>
    <row r="11" ht="15.75" customHeight="1">
      <c r="A11" s="10" t="str">
        <f>IFERROR(__xludf.DUMMYFUNCTION("""COMPUTED_VALUE"""),"https://directiveconsulting.com/blog/the-best-b2b-marketing-agencies-for-technology-companies-in-2026/")</f>
        <v>https://directiveconsulting.com/blog/the-best-b2b-marketing-agencies-for-technology-companies-in-2026/</v>
      </c>
      <c r="B11" s="11" t="str">
        <f>IFERROR(__xludf.DUMMYFUNCTION("""COMPUTED_VALUE"""),"25 Best B2B Marketing Agencies For B2B Technology Companies")</f>
        <v>25 Best B2B Marketing Agencies For B2B Technology Companies</v>
      </c>
      <c r="C11" s="10" t="str">
        <f>IFERROR(__xludf.DUMMYFUNCTION("""COMPUTED_VALUE"""),"directiveconsulting.com")</f>
        <v>directiveconsulting.com</v>
      </c>
      <c r="D11" s="11" t="str">
        <f>IFERROR(__xludf.DUMMYFUNCTION("""COMPUTED_VALUE"""),"LISTICLE")</f>
        <v>LISTICLE</v>
      </c>
      <c r="E11" s="11" t="str">
        <f>IFERROR(__xludf.DUMMYFUNCTION("""COMPUTED_VALUE"""),"COMPETITOR")</f>
        <v>COMPETITOR</v>
      </c>
      <c r="F11" s="11" t="str">
        <f>IFERROR(__xludf.DUMMYFUNCTION("""COMPUTED_VALUE"""),"Listicle")</f>
        <v>Listicle</v>
      </c>
      <c r="G11" s="11" t="b">
        <f>IFERROR(__xludf.DUMMYFUNCTION("""COMPUTED_VALUE"""),FALSE)</f>
        <v>0</v>
      </c>
      <c r="H11" s="11" t="str">
        <f>IFERROR(__xludf.DUMMYFUNCTION("""COMPUTED_VALUE"""),"Directive, Refine Labs, Merkle, Jellyfish, AKQA, R/GA, Monks, DEPT, Bounteous, Seer Interactive, Wpromote, iProspect, Tinuiti, Victorious, PMG, WebFX, Croud, Measured, Momentum, IBM, Clutch")</f>
        <v>Directive, Refine Labs, Merkle, Jellyfish, AKQA, R/GA, Monks, DEPT, Bounteous, Seer Interactive, Wpromote, iProspect, Tinuiti, Victorious, PMG, WebFX, Croud, Measured, Momentum, IBM, Clutch</v>
      </c>
      <c r="I11" s="11">
        <f>IFERROR(__xludf.DUMMYFUNCTION("""COMPUTED_VALUE"""),3.0)</f>
        <v>3</v>
      </c>
      <c r="J11" s="11">
        <f>IFERROR(__xludf.DUMMYFUNCTION("""COMPUTED_VALUE"""),0.0)</f>
        <v>0</v>
      </c>
      <c r="K11" s="11">
        <f>IFERROR(__xludf.DUMMYFUNCTION("""COMPUTED_VALUE"""),0.67)</f>
        <v>0.67</v>
      </c>
    </row>
    <row r="12" ht="15.75" customHeight="1">
      <c r="A12" s="10" t="str">
        <f>IFERROR(__xludf.DUMMYFUNCTION("""COMPUTED_VALUE"""),"https://directiveconsulting.com/blog/10-ai-marketing-agencies-outperforming-the-market/")</f>
        <v>https://directiveconsulting.com/blog/10-ai-marketing-agencies-outperforming-the-market/</v>
      </c>
      <c r="B12" s="11" t="str">
        <f>IFERROR(__xludf.DUMMYFUNCTION("""COMPUTED_VALUE"""),"10 B2B Marketing Agencies Using Proprietary AI to Outperform the Market - Directive")</f>
        <v>10 B2B Marketing Agencies Using Proprietary AI to Outperform the Market - Directive</v>
      </c>
      <c r="C12" s="10" t="str">
        <f>IFERROR(__xludf.DUMMYFUNCTION("""COMPUTED_VALUE"""),"directiveconsulting.com")</f>
        <v>directiveconsulting.com</v>
      </c>
      <c r="D12" s="11" t="str">
        <f>IFERROR(__xludf.DUMMYFUNCTION("""COMPUTED_VALUE"""),"LISTICLE")</f>
        <v>LISTICLE</v>
      </c>
      <c r="E12" s="11" t="str">
        <f>IFERROR(__xludf.DUMMYFUNCTION("""COMPUTED_VALUE"""),"COMPETITOR")</f>
        <v>COMPETITOR</v>
      </c>
      <c r="F12" s="11" t="str">
        <f>IFERROR(__xludf.DUMMYFUNCTION("""COMPUTED_VALUE"""),"Listicle")</f>
        <v>Listicle</v>
      </c>
      <c r="G12" s="11" t="b">
        <f>IFERROR(__xludf.DUMMYFUNCTION("""COMPUTED_VALUE"""),FALSE)</f>
        <v>0</v>
      </c>
      <c r="H12" s="11" t="str">
        <f>IFERROR(__xludf.DUMMYFUNCTION("""COMPUTED_VALUE"""),"Directive, NoGood, Single Grain, Measured, IBM, Clutch")</f>
        <v>Directive, NoGood, Single Grain, Measured, IBM, Clutch</v>
      </c>
      <c r="I12" s="11">
        <f>IFERROR(__xludf.DUMMYFUNCTION("""COMPUTED_VALUE"""),2.0)</f>
        <v>2</v>
      </c>
      <c r="J12" s="11">
        <f>IFERROR(__xludf.DUMMYFUNCTION("""COMPUTED_VALUE"""),0.0)</f>
        <v>0</v>
      </c>
      <c r="K12" s="11">
        <f>IFERROR(__xludf.DUMMYFUNCTION("""COMPUTED_VALUE"""),1.5)</f>
        <v>1.5</v>
      </c>
    </row>
    <row r="13" ht="15.75" customHeight="1">
      <c r="A13" s="10" t="str">
        <f>IFERROR(__xludf.DUMMYFUNCTION("""COMPUTED_VALUE"""),"https://directiveconsulting.com/blog/top-25-b2b-enterprise-marketing-agencies/")</f>
        <v>https://directiveconsulting.com/blog/top-25-b2b-enterprise-marketing-agencies/</v>
      </c>
      <c r="B13" s="11" t="str">
        <f>IFERROR(__xludf.DUMMYFUNCTION("""COMPUTED_VALUE"""),"25 Best Enterprise Marketing Agencies For B2B - Directive")</f>
        <v>25 Best Enterprise Marketing Agencies For B2B - Directive</v>
      </c>
      <c r="C13" s="10" t="str">
        <f>IFERROR(__xludf.DUMMYFUNCTION("""COMPUTED_VALUE"""),"directiveconsulting.com")</f>
        <v>directiveconsulting.com</v>
      </c>
      <c r="D13" s="11" t="str">
        <f>IFERROR(__xludf.DUMMYFUNCTION("""COMPUTED_VALUE"""),"LISTICLE")</f>
        <v>LISTICLE</v>
      </c>
      <c r="E13" s="11" t="str">
        <f>IFERROR(__xludf.DUMMYFUNCTION("""COMPUTED_VALUE"""),"COMPETITOR")</f>
        <v>COMPETITOR</v>
      </c>
      <c r="F13" s="11" t="str">
        <f>IFERROR(__xludf.DUMMYFUNCTION("""COMPUTED_VALUE"""),"Listicle")</f>
        <v>Listicle</v>
      </c>
      <c r="G13" s="11" t="b">
        <f>IFERROR(__xludf.DUMMYFUNCTION("""COMPUTED_VALUE"""),FALSE)</f>
        <v>0</v>
      </c>
      <c r="H13" s="11" t="str">
        <f>IFERROR(__xludf.DUMMYFUNCTION("""COMPUTED_VALUE"""),"Directive, Merkle, Accenture Song, Deloitte Digital, Wpromote, iProspect, Dentsu, Ogilvy, Publicis Sapient, Brainlabs, McKinsey, Bain &amp; Company, BCG, PwC, Slalom, Monks, VML, R/GA, Momentum, TransUnion, IBM, Clutch")</f>
        <v>Directive, Merkle, Accenture Song, Deloitte Digital, Wpromote, iProspect, Dentsu, Ogilvy, Publicis Sapient, Brainlabs, McKinsey, Bain &amp; Company, BCG, PwC, Slalom, Monks, VML, R/GA, Momentum, TransUnion, IBM, Clutch</v>
      </c>
      <c r="I13" s="11">
        <f>IFERROR(__xludf.DUMMYFUNCTION("""COMPUTED_VALUE"""),2.0)</f>
        <v>2</v>
      </c>
      <c r="J13" s="11">
        <f>IFERROR(__xludf.DUMMYFUNCTION("""COMPUTED_VALUE"""),0.0)</f>
        <v>0</v>
      </c>
      <c r="K13" s="11">
        <f>IFERROR(__xludf.DUMMYFUNCTION("""COMPUTED_VALUE"""),1.5)</f>
        <v>1.5</v>
      </c>
    </row>
    <row r="14" ht="15.75" customHeight="1">
      <c r="A14" s="10" t="str">
        <f>IFERROR(__xludf.DUMMYFUNCTION("""COMPUTED_VALUE"""),"https://directiveconsulting.com/uk/blog/25-best-paid-media-agencies-that-turn-ad-spend-into-revenue/")</f>
        <v>https://directiveconsulting.com/uk/blog/25-best-paid-media-agencies-that-turn-ad-spend-into-revenue/</v>
      </c>
      <c r="B14" s="11" t="str">
        <f>IFERROR(__xludf.DUMMYFUNCTION("""COMPUTED_VALUE"""),"25 Best Paid Media Agencies For B2B - Directive")</f>
        <v>25 Best Paid Media Agencies For B2B - Directive</v>
      </c>
      <c r="C14" s="10" t="str">
        <f>IFERROR(__xludf.DUMMYFUNCTION("""COMPUTED_VALUE"""),"directiveconsulting.com")</f>
        <v>directiveconsulting.com</v>
      </c>
      <c r="D14" s="11" t="str">
        <f>IFERROR(__xludf.DUMMYFUNCTION("""COMPUTED_VALUE"""),"LISTICLE")</f>
        <v>LISTICLE</v>
      </c>
      <c r="E14" s="11" t="str">
        <f>IFERROR(__xludf.DUMMYFUNCTION("""COMPUTED_VALUE"""),"COMPETITOR")</f>
        <v>COMPETITOR</v>
      </c>
      <c r="F14" s="11" t="str">
        <f>IFERROR(__xludf.DUMMYFUNCTION("""COMPUTED_VALUE"""),"Listicle")</f>
        <v>Listicle</v>
      </c>
      <c r="G14" s="11" t="b">
        <f>IFERROR(__xludf.DUMMYFUNCTION("""COMPUTED_VALUE"""),FALSE)</f>
        <v>0</v>
      </c>
      <c r="H14"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14" s="11">
        <f>IFERROR(__xludf.DUMMYFUNCTION("""COMPUTED_VALUE"""),2.0)</f>
        <v>2</v>
      </c>
      <c r="J14" s="11">
        <f>IFERROR(__xludf.DUMMYFUNCTION("""COMPUTED_VALUE"""),0.0)</f>
        <v>0</v>
      </c>
      <c r="K14" s="11">
        <f>IFERROR(__xludf.DUMMYFUNCTION("""COMPUTED_VALUE"""),0.5)</f>
        <v>0.5</v>
      </c>
    </row>
    <row r="15" ht="15.75" customHeight="1">
      <c r="A15" s="10" t="str">
        <f>IFERROR(__xludf.DUMMYFUNCTION("""COMPUTED_VALUE"""),"https://directiveconsulting.com/blog/27-seo-agencies-built-for-b2b-growth-2026/")</f>
        <v>https://directiveconsulting.com/blog/27-seo-agencies-built-for-b2b-growth-2026/</v>
      </c>
      <c r="B15" s="11" t="str">
        <f>IFERROR(__xludf.DUMMYFUNCTION("""COMPUTED_VALUE"""),"27 Best SEO Agencies For B2B - Directive")</f>
        <v>27 Best SEO Agencies For B2B - Directive</v>
      </c>
      <c r="C15" s="10" t="str">
        <f>IFERROR(__xludf.DUMMYFUNCTION("""COMPUTED_VALUE"""),"directiveconsulting.com")</f>
        <v>directiveconsulting.com</v>
      </c>
      <c r="D15" s="11" t="str">
        <f>IFERROR(__xludf.DUMMYFUNCTION("""COMPUTED_VALUE"""),"LISTICLE")</f>
        <v>LISTICLE</v>
      </c>
      <c r="E15" s="11" t="str">
        <f>IFERROR(__xludf.DUMMYFUNCTION("""COMPUTED_VALUE"""),"COMPETITOR")</f>
        <v>COMPETITOR</v>
      </c>
      <c r="F15" s="11" t="str">
        <f>IFERROR(__xludf.DUMMYFUNCTION("""COMPUTED_VALUE"""),"Listicle")</f>
        <v>Listicle</v>
      </c>
      <c r="G15" s="11" t="b">
        <f>IFERROR(__xludf.DUMMYFUNCTION("""COMPUTED_VALUE"""),FALSE)</f>
        <v>0</v>
      </c>
      <c r="H15" s="11" t="str">
        <f>IFERROR(__xludf.DUMMYFUNCTION("""COMPUTED_VALUE"""),"Directive, iPullRank, Omniscient Digital, Siege Media, RevenueZen, First Page Sage, Animalz, Amsive, Ignite Visibility, WebFX, Victorious, Silverback Strategies, Intero Digital, Clutch")</f>
        <v>Directive, iPullRank, Omniscient Digital, Siege Media, RevenueZen, First Page Sage, Animalz, Amsive, Ignite Visibility, WebFX, Victorious, Silverback Strategies, Intero Digital, Clutch</v>
      </c>
      <c r="I15" s="11">
        <f>IFERROR(__xludf.DUMMYFUNCTION("""COMPUTED_VALUE"""),1.0)</f>
        <v>1</v>
      </c>
      <c r="J15" s="11">
        <f>IFERROR(__xludf.DUMMYFUNCTION("""COMPUTED_VALUE"""),0.0)</f>
        <v>0</v>
      </c>
      <c r="K15" s="11">
        <f>IFERROR(__xludf.DUMMYFUNCTION("""COMPUTED_VALUE"""),1.0)</f>
        <v>1</v>
      </c>
    </row>
    <row r="16" ht="15.75" customHeight="1">
      <c r="A16" s="10" t="str">
        <f>IFERROR(__xludf.DUMMYFUNCTION("""COMPUTED_VALUE"""),"https://directiveconsulting.com/blog/performance-marketing-agencies/")</f>
        <v>https://directiveconsulting.com/blog/performance-marketing-agencies/</v>
      </c>
      <c r="B16" s="11" t="str">
        <f>IFERROR(__xludf.DUMMYFUNCTION("""COMPUTED_VALUE"""),"5 Top Performance Marketing Agencies Celebrating 10+ Years - Directive")</f>
        <v>5 Top Performance Marketing Agencies Celebrating 10+ Years - Directive</v>
      </c>
      <c r="C16" s="10" t="str">
        <f>IFERROR(__xludf.DUMMYFUNCTION("""COMPUTED_VALUE"""),"directiveconsulting.com")</f>
        <v>directiveconsulting.com</v>
      </c>
      <c r="D16" s="11" t="str">
        <f>IFERROR(__xludf.DUMMYFUNCTION("""COMPUTED_VALUE"""),"LISTICLE")</f>
        <v>LISTICLE</v>
      </c>
      <c r="E16" s="11" t="str">
        <f>IFERROR(__xludf.DUMMYFUNCTION("""COMPUTED_VALUE"""),"COMPETITOR")</f>
        <v>COMPETITOR</v>
      </c>
      <c r="F16" s="11" t="str">
        <f>IFERROR(__xludf.DUMMYFUNCTION("""COMPUTED_VALUE"""),"Listicle")</f>
        <v>Listicle</v>
      </c>
      <c r="G16" s="11" t="b">
        <f>IFERROR(__xludf.DUMMYFUNCTION("""COMPUTED_VALUE"""),FALSE)</f>
        <v>0</v>
      </c>
      <c r="H16" s="11" t="str">
        <f>IFERROR(__xludf.DUMMYFUNCTION("""COMPUTED_VALUE"""),"Directive, Single Grain, Tinuiti, Wpromote, Clutch")</f>
        <v>Directive, Single Grain, Tinuiti, Wpromote, Clutch</v>
      </c>
      <c r="I16" s="11">
        <f>IFERROR(__xludf.DUMMYFUNCTION("""COMPUTED_VALUE"""),1.0)</f>
        <v>1</v>
      </c>
      <c r="J16" s="11">
        <f>IFERROR(__xludf.DUMMYFUNCTION("""COMPUTED_VALUE"""),0.0)</f>
        <v>0</v>
      </c>
      <c r="K16" s="11">
        <f>IFERROR(__xludf.DUMMYFUNCTION("""COMPUTED_VALUE"""),1.0)</f>
        <v>1</v>
      </c>
    </row>
    <row r="17" ht="15.75" customHeight="1">
      <c r="A17" s="10" t="str">
        <f>IFERROR(__xludf.DUMMYFUNCTION("""COMPUTED_VALUE"""),"https://directiveconsulting.com/wp-content/uploads/2019/08/MediaKit.pdf")</f>
        <v>https://directiveconsulting.com/wp-content/uploads/2019/08/MediaKit.pdf</v>
      </c>
      <c r="B17" s="11"/>
      <c r="C17" s="10" t="str">
        <f>IFERROR(__xludf.DUMMYFUNCTION("""COMPUTED_VALUE"""),"directiveconsulting.com")</f>
        <v>directiveconsulting.com</v>
      </c>
      <c r="D17" s="11" t="str">
        <f>IFERROR(__xludf.DUMMYFUNCTION("""COMPUTED_VALUE"""),"OTHER")</f>
        <v>OTHER</v>
      </c>
      <c r="E17" s="11" t="str">
        <f>IFERROR(__xludf.DUMMYFUNCTION("""COMPUTED_VALUE"""),"COMPETITOR")</f>
        <v>COMPETITOR</v>
      </c>
      <c r="F17" s="11" t="str">
        <f>IFERROR(__xludf.DUMMYFUNCTION("""COMPUTED_VALUE"""),"Other")</f>
        <v>Other</v>
      </c>
      <c r="G17" s="11" t="b">
        <f>IFERROR(__xludf.DUMMYFUNCTION("""COMPUTED_VALUE"""),FALSE)</f>
        <v>0</v>
      </c>
      <c r="H17" s="11" t="str">
        <f>IFERROR(__xludf.DUMMYFUNCTION("""COMPUTED_VALUE"""),"Directive")</f>
        <v>Directive</v>
      </c>
      <c r="I17" s="11">
        <f>IFERROR(__xludf.DUMMYFUNCTION("""COMPUTED_VALUE"""),1.0)</f>
        <v>1</v>
      </c>
      <c r="J17" s="11">
        <f>IFERROR(__xludf.DUMMYFUNCTION("""COMPUTED_VALUE"""),0.0)</f>
        <v>0</v>
      </c>
      <c r="K17" s="11">
        <f>IFERROR(__xludf.DUMMYFUNCTION("""COMPUTED_VALUE"""),1.0)</f>
        <v>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location=":~:text=Merkle%20B2B%20Merkle%20B2B%20specializes%20in%20enterprise%2Dgrade,complex%20buying%20committees%20across%20LinkedIn%20and%20Meta."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s>
  <drawing r:id="rId3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All'!A2:A1000)),""designrush.com"")
  ),
  """"
)"),"https://www.designrush.com/agency/digital-marketing/analytics/us")</f>
        <v>https://www.designrush.com/agency/digital-marketing/analytics/us</v>
      </c>
      <c r="B2" s="11" t="str">
        <f>IFERROR(__xludf.DUMMYFUNCTION("""COMPUTED_VALUE"""),"Top United States Marketing Analytics Companies | 2026")</f>
        <v>Top United States Marketing Analytics Companies | 2026</v>
      </c>
      <c r="C2" s="10" t="str">
        <f>IFERROR(__xludf.DUMMYFUNCTION("""COMPUTED_VALUE"""),"designrush.com")</f>
        <v>designrush.com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IFERROR(__xludf.DUMMYFUNCTION("""COMPUTED_VALUE"""),"SmartSites, Huge, KlientBoost, Funnel Boost Media, Elit-Web, AdVenture Media, Monks, Ignite Visibility, IBM, Measured")</f>
        <v>SmartSites, Huge, KlientBoost, Funnel Boost Media, Elit-Web, AdVenture Media, Monks, Ignite Visibility, IBM, Measured</v>
      </c>
      <c r="I2" s="11">
        <f>IFERROR(__xludf.DUMMYFUNCTION("""COMPUTED_VALUE"""),37.0)</f>
        <v>37</v>
      </c>
      <c r="J2" s="11">
        <f>IFERROR(__xludf.DUMMYFUNCTION("""COMPUTED_VALUE"""),0.04)</f>
        <v>0.04</v>
      </c>
      <c r="K2" s="11">
        <f>IFERROR(__xludf.DUMMYFUNCTION("""COMPUTED_VALUE"""),0.54)</f>
        <v>0.54</v>
      </c>
    </row>
    <row r="3" ht="15.75" customHeight="1">
      <c r="A3" s="10" t="str">
        <f>IFERROR(__xludf.DUMMYFUNCTION("""COMPUTED_VALUE"""),"https://www.designrush.com/agency/digital-marketing/us")</f>
        <v>https://www.designrush.com/agency/digital-marketing/us</v>
      </c>
      <c r="B3" s="11" t="str">
        <f>IFERROR(__xludf.DUMMYFUNCTION("""COMPUTED_VALUE"""),"Digital Marketing Agencies in US - Jul 2026 | DesignRush")</f>
        <v>Digital Marketing Agencies in US - Jul 2026 | DesignRush</v>
      </c>
      <c r="C3" s="10" t="str">
        <f>IFERROR(__xludf.DUMMYFUNCTION("""COMPUTED_VALUE"""),"designrush.com")</f>
        <v>designrush.com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t="str">
        <f>IFERROR(__xludf.DUMMYFUNCTION("""COMPUTED_VALUE"""),"Funnel Boost Media, Huge, SmartSites, Searchbloom, Silverback Strategies, Disruptive Advertising, PwC, Clutch, Intero Digital, IBM, NinjaPromo, KlientBoost, Elit-Web, McKinsey, HawkSEM")</f>
        <v>Funnel Boost Media, Huge, SmartSites, Searchbloom, Silverback Strategies, Disruptive Advertising, PwC, Clutch, Intero Digital, IBM, NinjaPromo, KlientBoost, Elit-Web, McKinsey, HawkSEM</v>
      </c>
      <c r="I3" s="11">
        <f>IFERROR(__xludf.DUMMYFUNCTION("""COMPUTED_VALUE"""),25.0)</f>
        <v>25</v>
      </c>
      <c r="J3" s="11">
        <f>IFERROR(__xludf.DUMMYFUNCTION("""COMPUTED_VALUE"""),0.02)</f>
        <v>0.02</v>
      </c>
      <c r="K3" s="11">
        <f>IFERROR(__xludf.DUMMYFUNCTION("""COMPUTED_VALUE"""),0.16)</f>
        <v>0.16</v>
      </c>
    </row>
    <row r="4" ht="15.75" customHeight="1">
      <c r="A4" s="10" t="str">
        <f>IFERROR(__xludf.DUMMYFUNCTION("""COMPUTED_VALUE"""),"https://www.designrush.com/agency/digital-marketing/analytics")</f>
        <v>https://www.designrush.com/agency/digital-marketing/analytics</v>
      </c>
      <c r="B4" s="11" t="str">
        <f>IFERROR(__xludf.DUMMYFUNCTION("""COMPUTED_VALUE"""),"Top Marketing Analytics Agencies in 2026")</f>
        <v>Top Marketing Analytics Agencies in 2026</v>
      </c>
      <c r="C4" s="10" t="str">
        <f>IFERROR(__xludf.DUMMYFUNCTION("""COMPUTED_VALUE"""),"designrush.com")</f>
        <v>designrush.com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IFERROR(__xludf.DUMMYFUNCTION("""COMPUTED_VALUE"""),"SmartSites, Huge, KlientBoost, Funnel Boost Media, Elit-Web, AdVenture Media, Monks, Ignite Visibility, Ruler Analytics, Amsive, Intero Digital")</f>
        <v>SmartSites, Huge, KlientBoost, Funnel Boost Media, Elit-Web, AdVenture Media, Monks, Ignite Visibility, Ruler Analytics, Amsive, Intero Digital</v>
      </c>
      <c r="I4" s="11">
        <f>IFERROR(__xludf.DUMMYFUNCTION("""COMPUTED_VALUE"""),23.0)</f>
        <v>23</v>
      </c>
      <c r="J4" s="11">
        <f>IFERROR(__xludf.DUMMYFUNCTION("""COMPUTED_VALUE"""),0.02)</f>
        <v>0.02</v>
      </c>
      <c r="K4" s="11">
        <f>IFERROR(__xludf.DUMMYFUNCTION("""COMPUTED_VALUE"""),0.87)</f>
        <v>0.87</v>
      </c>
    </row>
    <row r="5" ht="15.75" customHeight="1">
      <c r="A5" s="10" t="str">
        <f>IFERROR(__xludf.DUMMYFUNCTION("""COMPUTED_VALUE"""),"https://www.designrush.com/agency/digital-marketing/performance-marketing-agencies")</f>
        <v>https://www.designrush.com/agency/digital-marketing/performance-marketing-agencies</v>
      </c>
      <c r="B5" s="11" t="str">
        <f>IFERROR(__xludf.DUMMYFUNCTION("""COMPUTED_VALUE"""),"Top Performance Marketing Agencies in 2026")</f>
        <v>Top Performance Marketing Agencies in 2026</v>
      </c>
      <c r="C5" s="10" t="str">
        <f>IFERROR(__xludf.DUMMYFUNCTION("""COMPUTED_VALUE"""),"designrush.com")</f>
        <v>designrush.com</v>
      </c>
      <c r="D5" s="11" t="str">
        <f>IFERROR(__xludf.DUMMYFUNCTION("""COMPUTED_VALUE"""),"LISTICLE")</f>
        <v>LISTICLE</v>
      </c>
      <c r="E5" s="11" t="str">
        <f>IFERROR(__xludf.DUMMYFUNCTION("""COMPUTED_VALUE"""),"CORPORATE")</f>
        <v>CORPORATE</v>
      </c>
      <c r="F5" s="11" t="str">
        <f>IFERROR(__xludf.DUMMYFUNCTION("""COMPUTED_VALUE"""),"Listicle")</f>
        <v>Listicle</v>
      </c>
      <c r="G5" s="11" t="b">
        <f>IFERROR(__xludf.DUMMYFUNCTION("""COMPUTED_VALUE"""),FALSE)</f>
        <v>0</v>
      </c>
      <c r="H5" s="11" t="str">
        <f>IFERROR(__xludf.DUMMYFUNCTION("""COMPUTED_VALUE"""),"Amsive, MuteSix, Wpromote, NoGood, Power Digital, Huge, Searchbloom, Funnel Boost Media, SmartSites, Intero Digital, Silverback Strategies, Disruptive Advertising, PwC, Web Tonic, KlientBoost, DEPT")</f>
        <v>Amsive, MuteSix, Wpromote, NoGood, Power Digital, Huge, Searchbloom, Funnel Boost Media, SmartSites, Intero Digital, Silverback Strategies, Disruptive Advertising, PwC, Web Tonic, KlientBoost, DEPT</v>
      </c>
      <c r="I5" s="11">
        <f>IFERROR(__xludf.DUMMYFUNCTION("""COMPUTED_VALUE"""),20.0)</f>
        <v>20</v>
      </c>
      <c r="J5" s="11">
        <f>IFERROR(__xludf.DUMMYFUNCTION("""COMPUTED_VALUE"""),0.02)</f>
        <v>0.02</v>
      </c>
      <c r="K5" s="11">
        <f>IFERROR(__xludf.DUMMYFUNCTION("""COMPUTED_VALUE"""),0.05)</f>
        <v>0.05</v>
      </c>
    </row>
    <row r="6" ht="15.75" customHeight="1">
      <c r="A6" s="10" t="str">
        <f>IFERROR(__xludf.DUMMYFUNCTION("""COMPUTED_VALUE"""),"https://www.designrush.com/agency/creative-agencies/us")</f>
        <v>https://www.designrush.com/agency/creative-agencies/us</v>
      </c>
      <c r="B6" s="11" t="str">
        <f>IFERROR(__xludf.DUMMYFUNCTION("""COMPUTED_VALUE"""),"Top Creative Agencies - Jul 2026 | DesignRush")</f>
        <v>Top Creative Agencies - Jul 2026 | DesignRush</v>
      </c>
      <c r="C6" s="10" t="str">
        <f>IFERROR(__xludf.DUMMYFUNCTION("""COMPUTED_VALUE"""),"designrush.com")</f>
        <v>designrush.com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IFERROR(__xludf.DUMMYFUNCTION("""COMPUTED_VALUE"""),"PwC, Disruptive Advertising, IBM, Huge, Major Tom, Directive, McKinsey, Nielsen, Measured")</f>
        <v>PwC, Disruptive Advertising, IBM, Huge, Major Tom, Directive, McKinsey, Nielsen, Measured</v>
      </c>
      <c r="I6" s="11">
        <f>IFERROR(__xludf.DUMMYFUNCTION("""COMPUTED_VALUE"""),19.0)</f>
        <v>19</v>
      </c>
      <c r="J6" s="11">
        <f>IFERROR(__xludf.DUMMYFUNCTION("""COMPUTED_VALUE"""),0.02)</f>
        <v>0.02</v>
      </c>
      <c r="K6" s="11">
        <f>IFERROR(__xludf.DUMMYFUNCTION("""COMPUTED_VALUE"""),0.26)</f>
        <v>0.26</v>
      </c>
    </row>
    <row r="7" ht="15.75" customHeight="1">
      <c r="A7" s="10" t="str">
        <f>IFERROR(__xludf.DUMMYFUNCTION("""COMPUTED_VALUE"""),"https://www.designrush.com/agency/digital-marketing/artificial-intelligence")</f>
        <v>https://www.designrush.com/agency/digital-marketing/artificial-intelligence</v>
      </c>
      <c r="B7" s="11" t="str">
        <f>IFERROR(__xludf.DUMMYFUNCTION("""COMPUTED_VALUE"""),"Top AI Marketing Companies in 2026")</f>
        <v>Top AI Marketing Companies in 2026</v>
      </c>
      <c r="C7" s="10" t="str">
        <f>IFERROR(__xludf.DUMMYFUNCTION("""COMPUTED_VALUE"""),"designrush.com")</f>
        <v>designrush.com</v>
      </c>
      <c r="D7" s="11" t="str">
        <f>IFERROR(__xludf.DUMMYFUNCTION("""COMPUTED_VALUE"""),"LISTICLE")</f>
        <v>LISTICLE</v>
      </c>
      <c r="E7" s="11" t="str">
        <f>IFERROR(__xludf.DUMMYFUNCTION("""COMPUTED_VALUE"""),"CORPORATE")</f>
        <v>CORPORATE</v>
      </c>
      <c r="F7" s="11" t="str">
        <f>IFERROR(__xludf.DUMMYFUNCTION("""COMPUTED_VALUE"""),"Listicle")</f>
        <v>Listicle</v>
      </c>
      <c r="G7" s="11" t="b">
        <f>IFERROR(__xludf.DUMMYFUNCTION("""COMPUTED_VALUE"""),FALSE)</f>
        <v>0</v>
      </c>
      <c r="H7" s="11" t="str">
        <f>IFERROR(__xludf.DUMMYFUNCTION("""COMPUTED_VALUE"""),"Amsive, Single Grain, Jellyfish, Major Tom, Searchbloom, SmartSites, Funnel Boost Media, Huge, Intero Digital, Disruptive Advertising, NinjaPromo, PwC, WebFX, IBM")</f>
        <v>Amsive, Single Grain, Jellyfish, Major Tom, Searchbloom, SmartSites, Funnel Boost Media, Huge, Intero Digital, Disruptive Advertising, NinjaPromo, PwC, WebFX, IBM</v>
      </c>
      <c r="I7" s="11">
        <f>IFERROR(__xludf.DUMMYFUNCTION("""COMPUTED_VALUE"""),16.0)</f>
        <v>16</v>
      </c>
      <c r="J7" s="11">
        <f>IFERROR(__xludf.DUMMYFUNCTION("""COMPUTED_VALUE"""),0.02)</f>
        <v>0.02</v>
      </c>
      <c r="K7" s="11">
        <f>IFERROR(__xludf.DUMMYFUNCTION("""COMPUTED_VALUE"""),0.19)</f>
        <v>0.19</v>
      </c>
    </row>
    <row r="8" ht="15.75" customHeight="1">
      <c r="A8" s="10" t="str">
        <f>IFERROR(__xludf.DUMMYFUNCTION("""COMPUTED_VALUE"""),"https://www.designrush.com/agency/paid-media-pay-per-click/display-advertising-agency")</f>
        <v>https://www.designrush.com/agency/paid-media-pay-per-click/display-advertising-agency</v>
      </c>
      <c r="B8" s="11" t="str">
        <f>IFERROR(__xludf.DUMMYFUNCTION("""COMPUTED_VALUE"""),"Top Display Advertising Agencies in 2026")</f>
        <v>Top Display Advertising Agencies in 2026</v>
      </c>
      <c r="C8" s="10" t="str">
        <f>IFERROR(__xludf.DUMMYFUNCTION("""COMPUTED_VALUE"""),"designrush.com")</f>
        <v>designrush.com</v>
      </c>
      <c r="D8" s="11" t="str">
        <f>IFERROR(__xludf.DUMMYFUNCTION("""COMPUTED_VALUE"""),"LISTICLE")</f>
        <v>LISTICLE</v>
      </c>
      <c r="E8" s="11" t="str">
        <f>IFERROR(__xludf.DUMMYFUNCTION("""COMPUTED_VALUE"""),"CORPORATE")</f>
        <v>CORPORATE</v>
      </c>
      <c r="F8" s="11" t="str">
        <f>IFERROR(__xludf.DUMMYFUNCTION("""COMPUTED_VALUE"""),"Listicle")</f>
        <v>Listicle</v>
      </c>
      <c r="G8" s="11" t="b">
        <f>IFERROR(__xludf.DUMMYFUNCTION("""COMPUTED_VALUE"""),FALSE)</f>
        <v>0</v>
      </c>
      <c r="H8" s="11" t="str">
        <f>IFERROR(__xludf.DUMMYFUNCTION("""COMPUTED_VALUE"""),"Searchbloom, SmartSites, Funnel Boost Media, Huge, Disruptive Advertising, AdVenture Media, Web Tonic, WebFX")</f>
        <v>Searchbloom, SmartSites, Funnel Boost Media, Huge, Disruptive Advertising, AdVenture Media, Web Tonic, WebFX</v>
      </c>
      <c r="I8" s="11">
        <f>IFERROR(__xludf.DUMMYFUNCTION("""COMPUTED_VALUE"""),15.0)</f>
        <v>15</v>
      </c>
      <c r="J8" s="11">
        <f>IFERROR(__xludf.DUMMYFUNCTION("""COMPUTED_VALUE"""),0.01)</f>
        <v>0.01</v>
      </c>
      <c r="K8" s="11">
        <f>IFERROR(__xludf.DUMMYFUNCTION("""COMPUTED_VALUE"""),0.4)</f>
        <v>0.4</v>
      </c>
    </row>
    <row r="9" ht="15.75" customHeight="1">
      <c r="A9" s="10" t="str">
        <f>IFERROR(__xludf.DUMMYFUNCTION("""COMPUTED_VALUE"""),"https://www.designrush.com/agency/digital-marketing/analytics/us?page=23")</f>
        <v>https://www.designrush.com/agency/digital-marketing/analytics/us?page=23</v>
      </c>
      <c r="B9" s="11" t="str">
        <f>IFERROR(__xludf.DUMMYFUNCTION("""COMPUTED_VALUE"""),"Top United States Marketing Analytics Companies - Page 23")</f>
        <v>Top United States Marketing Analytics Companies - Page 23</v>
      </c>
      <c r="C9" s="10" t="str">
        <f>IFERROR(__xludf.DUMMYFUNCTION("""COMPUTED_VALUE"""),"designrush.com")</f>
        <v>designrush.com</v>
      </c>
      <c r="D9" s="11" t="str">
        <f>IFERROR(__xludf.DUMMYFUNCTION("""COMPUTED_VALUE"""),"LISTICLE")</f>
        <v>LISTICLE</v>
      </c>
      <c r="E9" s="11" t="str">
        <f>IFERROR(__xludf.DUMMYFUNCTION("""COMPUTED_VALUE"""),"CORPORATE")</f>
        <v>CORPORATE</v>
      </c>
      <c r="F9" s="11" t="str">
        <f>IFERROR(__xludf.DUMMYFUNCTION("""COMPUTED_VALUE"""),"Listicle")</f>
        <v>Listicle</v>
      </c>
      <c r="G9" s="11" t="b">
        <f>IFERROR(__xludf.DUMMYFUNCTION("""COMPUTED_VALUE"""),FALSE)</f>
        <v>0</v>
      </c>
      <c r="H9" s="11" t="str">
        <f>IFERROR(__xludf.DUMMYFUNCTION("""COMPUTED_VALUE"""),"IBM, Measured")</f>
        <v>IBM, Measured</v>
      </c>
      <c r="I9" s="11">
        <f>IFERROR(__xludf.DUMMYFUNCTION("""COMPUTED_VALUE"""),11.0)</f>
        <v>11</v>
      </c>
      <c r="J9" s="11">
        <f>IFERROR(__xludf.DUMMYFUNCTION("""COMPUTED_VALUE"""),0.01)</f>
        <v>0.01</v>
      </c>
      <c r="K9" s="11">
        <f>IFERROR(__xludf.DUMMYFUNCTION("""COMPUTED_VALUE"""),0.09)</f>
        <v>0.09</v>
      </c>
    </row>
    <row r="10" ht="15.75" customHeight="1">
      <c r="A10" s="10" t="str">
        <f>IFERROR(__xludf.DUMMYFUNCTION("""COMPUTED_VALUE"""),"https://www.designrush.com/agency/digital-marketing/analytics/us?page=24")</f>
        <v>https://www.designrush.com/agency/digital-marketing/analytics/us?page=24</v>
      </c>
      <c r="B10" s="11" t="str">
        <f>IFERROR(__xludf.DUMMYFUNCTION("""COMPUTED_VALUE"""),"Top United States Marketing Analytics Companies - Page 24")</f>
        <v>Top United States Marketing Analytics Companies - Page 24</v>
      </c>
      <c r="C10" s="10" t="str">
        <f>IFERROR(__xludf.DUMMYFUNCTION("""COMPUTED_VALUE"""),"designrush.com")</f>
        <v>designrush.com</v>
      </c>
      <c r="D10" s="11" t="str">
        <f>IFERROR(__xludf.DUMMYFUNCTION("""COMPUTED_VALUE"""),"OTHER")</f>
        <v>OTHER</v>
      </c>
      <c r="E10" s="11" t="str">
        <f>IFERROR(__xludf.DUMMYFUNCTION("""COMPUTED_VALUE"""),"CORPORATE")</f>
        <v>CORPORATE</v>
      </c>
      <c r="F10" s="11" t="str">
        <f>IFERROR(__xludf.DUMMYFUNCTION("""COMPUTED_VALUE"""),"Other")</f>
        <v>Other</v>
      </c>
      <c r="G10" s="11" t="b">
        <f>IFERROR(__xludf.DUMMYFUNCTION("""COMPUTED_VALUE"""),FALSE)</f>
        <v>0</v>
      </c>
      <c r="H10" s="11" t="str">
        <f>IFERROR(__xludf.DUMMYFUNCTION("""COMPUTED_VALUE"""),"IBM, Measured")</f>
        <v>IBM, Measured</v>
      </c>
      <c r="I10" s="11">
        <f>IFERROR(__xludf.DUMMYFUNCTION("""COMPUTED_VALUE"""),11.0)</f>
        <v>11</v>
      </c>
      <c r="J10" s="11">
        <f>IFERROR(__xludf.DUMMYFUNCTION("""COMPUTED_VALUE"""),0.01)</f>
        <v>0.01</v>
      </c>
      <c r="K10" s="11">
        <f>IFERROR(__xludf.DUMMYFUNCTION("""COMPUTED_VALUE"""),0.0)</f>
        <v>0</v>
      </c>
    </row>
    <row r="11" ht="15.75" customHeight="1">
      <c r="A11" s="10" t="str">
        <f>IFERROR(__xludf.DUMMYFUNCTION("""COMPUTED_VALUE"""),"https://www.designrush.com/agency/paid-media-pay-per-click/google-adwords/us")</f>
        <v>https://www.designrush.com/agency/paid-media-pay-per-click/google-adwords/us</v>
      </c>
      <c r="B11" s="11" t="str">
        <f>IFERROR(__xludf.DUMMYFUNCTION("""COMPUTED_VALUE"""),"Top Google Ads Agencies in the USA | DesignRush")</f>
        <v>Top Google Ads Agencies in the USA | DesignRush</v>
      </c>
      <c r="C11" s="10" t="str">
        <f>IFERROR(__xludf.DUMMYFUNCTION("""COMPUTED_VALUE"""),"designrush.com")</f>
        <v>designrush.com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IFERROR(__xludf.DUMMYFUNCTION("""COMPUTED_VALUE"""),"SmartSites, Searchbloom, Huge, Disruptive Advertising, Funnel Boost Media, Silverback Strategies, Intero Digital, KlientBoost, Elit-Web, Major Tom, IBM, AdVenture Media")</f>
        <v>SmartSites, Searchbloom, Huge, Disruptive Advertising, Funnel Boost Media, Silverback Strategies, Intero Digital, KlientBoost, Elit-Web, Major Tom, IBM, AdVenture Media</v>
      </c>
      <c r="I11" s="11">
        <f>IFERROR(__xludf.DUMMYFUNCTION("""COMPUTED_VALUE"""),9.0)</f>
        <v>9</v>
      </c>
      <c r="J11" s="11">
        <f>IFERROR(__xludf.DUMMYFUNCTION("""COMPUTED_VALUE"""),0.01)</f>
        <v>0.01</v>
      </c>
      <c r="K11" s="11">
        <f>IFERROR(__xludf.DUMMYFUNCTION("""COMPUTED_VALUE"""),0.44)</f>
        <v>0.44</v>
      </c>
    </row>
    <row r="12" ht="15.75" customHeight="1">
      <c r="A12" s="10" t="str">
        <f>IFERROR(__xludf.DUMMYFUNCTION("""COMPUTED_VALUE"""),"https://www.designrush.com/agency/digital-marketing/trends/incrementality-testing")</f>
        <v>https://www.designrush.com/agency/digital-marketing/trends/incrementality-testing</v>
      </c>
      <c r="B12" s="11" t="str">
        <f>IFERROR(__xludf.DUMMYFUNCTION("""COMPUTED_VALUE"""),"Incrementality Testing: Measure True Marketing Impact")</f>
        <v>Incrementality Testing: Measure True Marketing Impact</v>
      </c>
      <c r="C12" s="10" t="str">
        <f>IFERROR(__xludf.DUMMYFUNCTION("""COMPUTED_VALUE"""),"designrush.com")</f>
        <v>designrush.com</v>
      </c>
      <c r="D12" s="11" t="str">
        <f>IFERROR(__xludf.DUMMYFUNCTION("""COMPUTED_VALUE"""),"ARTICLE")</f>
        <v>ARTICLE</v>
      </c>
      <c r="E12" s="11" t="str">
        <f>IFERROR(__xludf.DUMMYFUNCTION("""COMPUTED_VALUE"""),"CORPORATE")</f>
        <v>CORPORATE</v>
      </c>
      <c r="F12" s="11" t="str">
        <f>IFERROR(__xludf.DUMMYFUNCTION("""COMPUTED_VALUE"""),"Article")</f>
        <v>Article</v>
      </c>
      <c r="G12" s="11" t="b">
        <f>IFERROR(__xludf.DUMMYFUNCTION("""COMPUTED_VALUE"""),FALSE)</f>
        <v>0</v>
      </c>
      <c r="H12" s="11" t="str">
        <f>IFERROR(__xludf.DUMMYFUNCTION("""COMPUTED_VALUE"""),"Measured, Silverback Strategies, Power Digital")</f>
        <v>Measured, Silverback Strategies, Power Digital</v>
      </c>
      <c r="I12" s="11">
        <f>IFERROR(__xludf.DUMMYFUNCTION("""COMPUTED_VALUE"""),7.0)</f>
        <v>7</v>
      </c>
      <c r="J12" s="11">
        <f>IFERROR(__xludf.DUMMYFUNCTION("""COMPUTED_VALUE"""),0.01)</f>
        <v>0.01</v>
      </c>
      <c r="K12" s="11">
        <f>IFERROR(__xludf.DUMMYFUNCTION("""COMPUTED_VALUE"""),1.29)</f>
        <v>1.29</v>
      </c>
    </row>
    <row r="13" ht="15.75" customHeight="1">
      <c r="A13" s="10" t="str">
        <f>IFERROR(__xludf.DUMMYFUNCTION("""COMPUTED_VALUE"""),"https://www.designrush.com/agency/digital-marketing")</f>
        <v>https://www.designrush.com/agency/digital-marketing</v>
      </c>
      <c r="B13" s="11" t="str">
        <f>IFERROR(__xludf.DUMMYFUNCTION("""COMPUTED_VALUE"""),"Top Digital Marketing Agencies in 2026")</f>
        <v>Top Digital Marketing Agencies in 2026</v>
      </c>
      <c r="C13" s="10" t="str">
        <f>IFERROR(__xludf.DUMMYFUNCTION("""COMPUTED_VALUE"""),"designrush.com")</f>
        <v>designrush.com</v>
      </c>
      <c r="D13" s="11" t="str">
        <f>IFERROR(__xludf.DUMMYFUNCTION("""COMPUTED_VALUE"""),"PROFILE")</f>
        <v>PROFILE</v>
      </c>
      <c r="E13" s="11" t="str">
        <f>IFERROR(__xludf.DUMMYFUNCTION("""COMPUTED_VALUE"""),"CORPORATE")</f>
        <v>CORPORATE</v>
      </c>
      <c r="F13" s="11" t="str">
        <f>IFERROR(__xludf.DUMMYFUNCTION("""COMPUTED_VALUE"""),"Profile")</f>
        <v>Profile</v>
      </c>
      <c r="G13" s="11" t="b">
        <f>IFERROR(__xludf.DUMMYFUNCTION("""COMPUTED_VALUE"""),FALSE)</f>
        <v>0</v>
      </c>
      <c r="H13" s="11" t="str">
        <f>IFERROR(__xludf.DUMMYFUNCTION("""COMPUTED_VALUE"""),"SmartSites, Searchbloom, Silverback Strategies, Intero Digital, Funnel Boost Media, Huge, Disruptive Advertising, IBM, PwC, NinjaPromo, KlientBoost, Elit-Web, Momentum")</f>
        <v>SmartSites, Searchbloom, Silverback Strategies, Intero Digital, Funnel Boost Media, Huge, Disruptive Advertising, IBM, PwC, NinjaPromo, KlientBoost, Elit-Web, Momentum</v>
      </c>
      <c r="I13" s="11">
        <f>IFERROR(__xludf.DUMMYFUNCTION("""COMPUTED_VALUE"""),6.0)</f>
        <v>6</v>
      </c>
      <c r="J13" s="11">
        <f>IFERROR(__xludf.DUMMYFUNCTION("""COMPUTED_VALUE"""),0.01)</f>
        <v>0.01</v>
      </c>
      <c r="K13" s="11">
        <f>IFERROR(__xludf.DUMMYFUNCTION("""COMPUTED_VALUE"""),0.0)</f>
        <v>0</v>
      </c>
    </row>
    <row r="14" ht="15.75" customHeight="1">
      <c r="A14" s="10" t="str">
        <f>IFERROR(__xludf.DUMMYFUNCTION("""COMPUTED_VALUE"""),"https://www.designrush.com/agency/paid-media-pay-per-click/google-adwords")</f>
        <v>https://www.designrush.com/agency/paid-media-pay-per-click/google-adwords</v>
      </c>
      <c r="B14" s="11" t="str">
        <f>IFERROR(__xludf.DUMMYFUNCTION("""COMPUTED_VALUE"""),"Top Google Ads Agencies in 2026")</f>
        <v>Top Google Ads Agencies in 2026</v>
      </c>
      <c r="C14" s="10" t="str">
        <f>IFERROR(__xludf.DUMMYFUNCTION("""COMPUTED_VALUE"""),"designrush.com")</f>
        <v>designrush.com</v>
      </c>
      <c r="D14" s="11" t="str">
        <f>IFERROR(__xludf.DUMMYFUNCTION("""COMPUTED_VALUE"""),"LISTICLE")</f>
        <v>LISTICLE</v>
      </c>
      <c r="E14" s="11" t="str">
        <f>IFERROR(__xludf.DUMMYFUNCTION("""COMPUTED_VALUE"""),"CORPORATE")</f>
        <v>CORPORATE</v>
      </c>
      <c r="F14" s="11" t="str">
        <f>IFERROR(__xludf.DUMMYFUNCTION("""COMPUTED_VALUE"""),"Listicle")</f>
        <v>Listicle</v>
      </c>
      <c r="G14" s="11" t="b">
        <f>IFERROR(__xludf.DUMMYFUNCTION("""COMPUTED_VALUE"""),FALSE)</f>
        <v>0</v>
      </c>
      <c r="H14" s="11" t="str">
        <f>IFERROR(__xludf.DUMMYFUNCTION("""COMPUTED_VALUE"""),"SmartSites, Searchbloom, Disruptive Advertising, Silverback Strategies, Funnel Boost Media, Huge, Intero Digital, KlientBoost, Elit-Web, Major Tom, IBM, Momentum")</f>
        <v>SmartSites, Searchbloom, Disruptive Advertising, Silverback Strategies, Funnel Boost Media, Huge, Intero Digital, KlientBoost, Elit-Web, Major Tom, IBM, Momentum</v>
      </c>
      <c r="I14" s="11">
        <f>IFERROR(__xludf.DUMMYFUNCTION("""COMPUTED_VALUE"""),4.0)</f>
        <v>4</v>
      </c>
      <c r="J14" s="11">
        <f>IFERROR(__xludf.DUMMYFUNCTION("""COMPUTED_VALUE"""),0.0)</f>
        <v>0</v>
      </c>
      <c r="K14" s="11">
        <f>IFERROR(__xludf.DUMMYFUNCTION("""COMPUTED_VALUE"""),0.75)</f>
        <v>0.75</v>
      </c>
    </row>
    <row r="15" ht="15.75" customHeight="1">
      <c r="A15" s="10" t="str">
        <f>IFERROR(__xludf.DUMMYFUNCTION("""COMPUTED_VALUE"""),"https://www.designrush.com/agency/creative-agencies")</f>
        <v>https://www.designrush.com/agency/creative-agencies</v>
      </c>
      <c r="B15" s="11" t="str">
        <f>IFERROR(__xludf.DUMMYFUNCTION("""COMPUTED_VALUE"""),"Top Creative Agencies in 2026")</f>
        <v>Top Creative Agencies in 2026</v>
      </c>
      <c r="C15" s="10" t="str">
        <f>IFERROR(__xludf.DUMMYFUNCTION("""COMPUTED_VALUE"""),"designrush.com")</f>
        <v>designrush.com</v>
      </c>
      <c r="D15" s="11" t="str">
        <f>IFERROR(__xludf.DUMMYFUNCTION("""COMPUTED_VALUE"""),"PROFILE")</f>
        <v>PROFILE</v>
      </c>
      <c r="E15" s="11" t="str">
        <f>IFERROR(__xludf.DUMMYFUNCTION("""COMPUTED_VALUE"""),"CORPORATE")</f>
        <v>CORPORATE</v>
      </c>
      <c r="F15" s="11" t="str">
        <f>IFERROR(__xludf.DUMMYFUNCTION("""COMPUTED_VALUE"""),"Profile")</f>
        <v>Profile</v>
      </c>
      <c r="G15" s="11" t="b">
        <f>IFERROR(__xludf.DUMMYFUNCTION("""COMPUTED_VALUE"""),FALSE)</f>
        <v>0</v>
      </c>
      <c r="H15" s="11" t="str">
        <f>IFERROR(__xludf.DUMMYFUNCTION("""COMPUTED_VALUE"""),"Huge, IBM, Disruptive Advertising, Major Tom, McKinsey, Measured, Nielsen")</f>
        <v>Huge, IBM, Disruptive Advertising, Major Tom, McKinsey, Measured, Nielsen</v>
      </c>
      <c r="I15" s="11">
        <f>IFERROR(__xludf.DUMMYFUNCTION("""COMPUTED_VALUE"""),3.0)</f>
        <v>3</v>
      </c>
      <c r="J15" s="11">
        <f>IFERROR(__xludf.DUMMYFUNCTION("""COMPUTED_VALUE"""),0.0)</f>
        <v>0</v>
      </c>
      <c r="K15" s="11">
        <f>IFERROR(__xludf.DUMMYFUNCTION("""COMPUTED_VALUE"""),0.0)</f>
        <v>0</v>
      </c>
    </row>
    <row r="16" ht="15.75" customHeight="1">
      <c r="A16" s="10" t="str">
        <f>IFERROR(__xludf.DUMMYFUNCTION("""COMPUTED_VALUE"""),"https://www.designrush.com/agency/digital-marketing/analytics/us?page=2")</f>
        <v>https://www.designrush.com/agency/digital-marketing/analytics/us?page=2</v>
      </c>
      <c r="B16" s="11" t="str">
        <f>IFERROR(__xludf.DUMMYFUNCTION("""COMPUTED_VALUE"""),"Top United States Marketing Analytics Companies - Page 2")</f>
        <v>Top United States Marketing Analytics Companies - Page 2</v>
      </c>
      <c r="C16" s="10" t="str">
        <f>IFERROR(__xludf.DUMMYFUNCTION("""COMPUTED_VALUE"""),"designrush.com")</f>
        <v>designrush.com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IFERROR(__xludf.DUMMYFUNCTION("""COMPUTED_VALUE"""),"Nielsen, DEPT, IBM, Measured")</f>
        <v>Nielsen, DEPT, IBM, Measured</v>
      </c>
      <c r="I16" s="11">
        <f>IFERROR(__xludf.DUMMYFUNCTION("""COMPUTED_VALUE"""),2.0)</f>
        <v>2</v>
      </c>
      <c r="J16" s="11">
        <f>IFERROR(__xludf.DUMMYFUNCTION("""COMPUTED_VALUE"""),0.0)</f>
        <v>0</v>
      </c>
      <c r="K16" s="11">
        <f>IFERROR(__xludf.DUMMYFUNCTION("""COMPUTED_VALUE"""),0.0)</f>
        <v>0</v>
      </c>
    </row>
    <row r="17" ht="15.75" customHeight="1">
      <c r="A17" s="10" t="str">
        <f>IFERROR(__xludf.DUMMYFUNCTION("""COMPUTED_VALUE"""),"https://www.designrush.com/agency/digital-marketing/analytics?page=2")</f>
        <v>https://www.designrush.com/agency/digital-marketing/analytics?page=2</v>
      </c>
      <c r="B17" s="11" t="str">
        <f>IFERROR(__xludf.DUMMYFUNCTION("""COMPUTED_VALUE"""),"Top Marketing Analytics Agencies in 2026 - Page 2")</f>
        <v>Top Marketing Analytics Agencies in 2026 - Page 2</v>
      </c>
      <c r="C17" s="10" t="str">
        <f>IFERROR(__xludf.DUMMYFUNCTION("""COMPUTED_VALUE"""),"designrush.com")</f>
        <v>designrush.com</v>
      </c>
      <c r="D17" s="11" t="str">
        <f>IFERROR(__xludf.DUMMYFUNCTION("""COMPUTED_VALUE"""),"LISTICLE")</f>
        <v>LISTICLE</v>
      </c>
      <c r="E17" s="11" t="str">
        <f>IFERROR(__xludf.DUMMYFUNCTION("""COMPUTED_VALUE"""),"CORPORATE")</f>
        <v>CORPORATE</v>
      </c>
      <c r="F17" s="11" t="str">
        <f>IFERROR(__xludf.DUMMYFUNCTION("""COMPUTED_VALUE"""),"Listicle")</f>
        <v>Listicle</v>
      </c>
      <c r="G17" s="11" t="b">
        <f>IFERROR(__xludf.DUMMYFUNCTION("""COMPUTED_VALUE"""),FALSE)</f>
        <v>0</v>
      </c>
      <c r="H17" s="11" t="str">
        <f>IFERROR(__xludf.DUMMYFUNCTION("""COMPUTED_VALUE"""),"Ruler Analytics, Amsive, Intero Digital, Ignite Visibility")</f>
        <v>Ruler Analytics, Amsive, Intero Digital, Ignite Visibility</v>
      </c>
      <c r="I17" s="11">
        <f>IFERROR(__xludf.DUMMYFUNCTION("""COMPUTED_VALUE"""),2.0)</f>
        <v>2</v>
      </c>
      <c r="J17" s="11">
        <f>IFERROR(__xludf.DUMMYFUNCTION("""COMPUTED_VALUE"""),0.0)</f>
        <v>0</v>
      </c>
      <c r="K17" s="11">
        <f>IFERROR(__xludf.DUMMYFUNCTION("""COMPUTED_VALUE"""),0.0)</f>
        <v>0</v>
      </c>
    </row>
    <row r="18" ht="15.75" customHeight="1">
      <c r="A18" s="10" t="str">
        <f>IFERROR(__xludf.DUMMYFUNCTION("""COMPUTED_VALUE"""),"https://www.designrush.com/agency/ad-agencies/missouri/kansas-city")</f>
        <v>https://www.designrush.com/agency/ad-agencies/missouri/kansas-city</v>
      </c>
      <c r="B18" s="11" t="str">
        <f>IFERROR(__xludf.DUMMYFUNCTION("""COMPUTED_VALUE"""),"Top Advertising Agencies in Kansas City | 2026")</f>
        <v>Top Advertising Agencies in Kansas City | 2026</v>
      </c>
      <c r="C18" s="10" t="str">
        <f>IFERROR(__xludf.DUMMYFUNCTION("""COMPUTED_VALUE"""),"designrush.com")</f>
        <v>designrush.com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IFERROR(__xludf.DUMMYFUNCTION("""COMPUTED_VALUE"""),"Searchbloom, Funnel Boost Media, Huge, SmartSites, Disruptive Advertising, VML")</f>
        <v>Searchbloom, Funnel Boost Media, Huge, SmartSites, Disruptive Advertising, VML</v>
      </c>
      <c r="I18" s="11">
        <f>IFERROR(__xludf.DUMMYFUNCTION("""COMPUTED_VALUE"""),1.0)</f>
        <v>1</v>
      </c>
      <c r="J18" s="11">
        <f>IFERROR(__xludf.DUMMYFUNCTION("""COMPUTED_VALUE"""),0.0)</f>
        <v>0</v>
      </c>
      <c r="K18" s="11">
        <f>IFERROR(__xludf.DUMMYFUNCTION("""COMPUTED_VALUE"""),0.0)</f>
        <v>0</v>
      </c>
    </row>
    <row r="19" ht="15.75" customHeight="1">
      <c r="A19" s="10" t="str">
        <f>IFERROR(__xludf.DUMMYFUNCTION("""COMPUTED_VALUE"""),"https://www.designrush.com/agency/digital-marketing/digital-advertising/us")</f>
        <v>https://www.designrush.com/agency/digital-marketing/digital-advertising/us</v>
      </c>
      <c r="B19" s="11" t="str">
        <f>IFERROR(__xludf.DUMMYFUNCTION("""COMPUTED_VALUE"""),"Top Digital Advertising Agencies in the United States | 2026")</f>
        <v>Top Digital Advertising Agencies in the United States | 2026</v>
      </c>
      <c r="C19" s="10" t="str">
        <f>IFERROR(__xludf.DUMMYFUNCTION("""COMPUTED_VALUE"""),"designrush.com")</f>
        <v>designrush.com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IFERROR(__xludf.DUMMYFUNCTION("""COMPUTED_VALUE"""),"Searchbloom, Funnel Boost Media, Huge, SmartSites, Disruptive Advertising, IBM, Silverback Strategies, Intero Digital, PwC, NinjaPromo, Elit-Web, Major Tom")</f>
        <v>Searchbloom, Funnel Boost Media, Huge, SmartSites, Disruptive Advertising, IBM, Silverback Strategies, Intero Digital, PwC, NinjaPromo, Elit-Web, Major Tom</v>
      </c>
      <c r="I19" s="11">
        <f>IFERROR(__xludf.DUMMYFUNCTION("""COMPUTED_VALUE"""),1.0)</f>
        <v>1</v>
      </c>
      <c r="J19" s="11">
        <f>IFERROR(__xludf.DUMMYFUNCTION("""COMPUTED_VALUE"""),0.0)</f>
        <v>0</v>
      </c>
      <c r="K19" s="11">
        <f>IFERROR(__xludf.DUMMYFUNCTION("""COMPUTED_VALUE"""),0.0)</f>
        <v>0</v>
      </c>
    </row>
    <row r="20" ht="15.75" customHeight="1">
      <c r="A20" s="10" t="str">
        <f>IFERROR(__xludf.DUMMYFUNCTION("""COMPUTED_VALUE"""),"https://www.designrush.com/agency/media-buying-agencies/us")</f>
        <v>https://www.designrush.com/agency/media-buying-agencies/us</v>
      </c>
      <c r="B20" s="11" t="str">
        <f>IFERROR(__xludf.DUMMYFUNCTION("""COMPUTED_VALUE"""),"Top Media Buying Agencies in US 2026 | DesignRush")</f>
        <v>Top Media Buying Agencies in US 2026 | DesignRush</v>
      </c>
      <c r="C20" s="10" t="str">
        <f>IFERROR(__xludf.DUMMYFUNCTION("""COMPUTED_VALUE"""),"designrush.com")</f>
        <v>designrush.com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IFERROR(__xludf.DUMMYFUNCTION("""COMPUTED_VALUE"""),"Searchbloom, AdVenture Media, Clutch, Nielsen, Web Tonic, Measured")</f>
        <v>Searchbloom, AdVenture Media, Clutch, Nielsen, Web Tonic, Measured</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IFERROR(__xludf.DUMMYFUNCTION("""COMPUTED_VALUE"""),"https://www.designrush.com/agency/paid-media-pay-per-click/trends/display-ads")</f>
        <v>https://www.designrush.com/agency/paid-media-pay-per-click/trends/display-ads</v>
      </c>
      <c r="B21" s="11" t="str">
        <f>IFERROR(__xludf.DUMMYFUNCTION("""COMPUTED_VALUE"""),"PPC Trends \| DesignRush")</f>
        <v>PPC Trends \| DesignRush</v>
      </c>
      <c r="C21" s="10" t="str">
        <f>IFERROR(__xludf.DUMMYFUNCTION("""COMPUTED_VALUE"""),"designrush.com")</f>
        <v>designrush.com</v>
      </c>
      <c r="D21" s="11" t="str">
        <f>IFERROR(__xludf.DUMMYFUNCTION("""COMPUTED_VALUE"""),"LISTICLE")</f>
        <v>LISTICLE</v>
      </c>
      <c r="E21" s="11" t="str">
        <f>IFERROR(__xludf.DUMMYFUNCTION("""COMPUTED_VALUE"""),"CORPORATE")</f>
        <v>CORPORATE</v>
      </c>
      <c r="F21" s="11" t="str">
        <f>IFERROR(__xludf.DUMMYFUNCTION("""COMPUTED_VALUE"""),"Listicle")</f>
        <v>Listicle</v>
      </c>
      <c r="G21" s="11" t="b">
        <f>IFERROR(__xludf.DUMMYFUNCTION("""COMPUTED_VALUE"""),FALSE)</f>
        <v>0</v>
      </c>
      <c r="H21" s="11"/>
      <c r="I21" s="11">
        <f>IFERROR(__xludf.DUMMYFUNCTION("""COMPUTED_VALUE"""),1.0)</f>
        <v>1</v>
      </c>
      <c r="J21" s="11">
        <f>IFERROR(__xludf.DUMMYFUNCTION("""COMPUTED_VALUE"""),0.0)</f>
        <v>0</v>
      </c>
      <c r="K21" s="11">
        <f>IFERROR(__xludf.DUMMYFUNCTION("""COMPUTED_VALUE"""),1.0)</f>
        <v>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s>
  <drawing r:id="rId4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1" t="str">
        <f>IFERROR(__xludf.DUMMYFUNCTION("IFERROR(
  FILTER(
    'PEEC - URLs - All'!A2:G1000,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All'!A2:A1000)),""reddit"")
  ),
  """"
)"),"https://www.reddit.com/r/MktgSupermarket/comments/1qom30j/compiled_a_directory_of_25_ai_marketing_agencies/")</f>
        <v>https://www.reddit.com/r/MktgSupermarket/comments/1qom30j/compiled_a_directory_of_25_ai_marketing_agencies/</v>
      </c>
      <c r="B2" s="11" t="str">
        <f>IFERROR(__xludf.DUMMYFUNCTION("""COMPUTED_VALUE"""),"Compiled a directory of 25 AI marketing agencies — here's the breakdown by category")</f>
        <v>Compiled a directory of 25 AI marketing agencies — here's the breakdown by category</v>
      </c>
      <c r="C2" s="10"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IFERROR(__xludf.DUMMYFUNCTION("""COMPUTED_VALUE"""),"SmartSites, Single Grain, Superside, DEPT, NoGood, NinjaPromo, Keenfolks, Omniscient Digital")</f>
        <v>SmartSites, Single Grain, Superside, DEPT, NoGood, NinjaPromo, Keenfolks, Omniscient Digital</v>
      </c>
      <c r="I2" s="11">
        <f>IFERROR(__xludf.DUMMYFUNCTION("""COMPUTED_VALUE"""),11.0)</f>
        <v>11</v>
      </c>
      <c r="J2" s="11">
        <f>IFERROR(__xludf.DUMMYFUNCTION("""COMPUTED_VALUE"""),0.01)</f>
        <v>0.01</v>
      </c>
      <c r="K2" s="11">
        <f>IFERROR(__xludf.DUMMYFUNCTION("""COMPUTED_VALUE"""),1.73)</f>
        <v>1.73</v>
      </c>
    </row>
    <row r="3" ht="15.75" customHeight="1">
      <c r="A3" s="10" t="str">
        <f>IFERROR(__xludf.DUMMYFUNCTION("""COMPUTED_VALUE"""),"https://www.reddit.com/r/TheTopAgencies/comments/1mjdxiv/the_best_generative_engine_optimization_agencies/")</f>
        <v>https://www.reddit.com/r/TheTopAgencies/comments/1mjdxiv/the_best_generative_engine_optimization_agencies/</v>
      </c>
      <c r="B3" s="11" t="str">
        <f>IFERROR(__xludf.DUMMYFUNCTION("""COMPUTED_VALUE"""),"The Best Generative Engine Optimization Agencies In The United States")</f>
        <v>The Best Generative Engine Optimization Agencies In The United States</v>
      </c>
      <c r="C3" s="10"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IFERROR(__xludf.DUMMYFUNCTION("""COMPUTED_VALUE"""),"Brainlabs, Siege Media, Victorious, HawkSEM, Animalz, Omniscient Digital, iPullRank")</f>
        <v>Brainlabs, Siege Media, Victorious, HawkSEM, Animalz, Omniscient Digital, iPullRank</v>
      </c>
      <c r="I3" s="11">
        <f>IFERROR(__xludf.DUMMYFUNCTION("""COMPUTED_VALUE"""),11.0)</f>
        <v>11</v>
      </c>
      <c r="J3" s="11">
        <f>IFERROR(__xludf.DUMMYFUNCTION("""COMPUTED_VALUE"""),0.01)</f>
        <v>0.01</v>
      </c>
      <c r="K3" s="11">
        <f>IFERROR(__xludf.DUMMYFUNCTION("""COMPUTED_VALUE"""),3.0)</f>
        <v>3</v>
      </c>
    </row>
    <row r="4" ht="15.75" customHeight="1">
      <c r="A4" s="10" t="str">
        <f>IFERROR(__xludf.DUMMYFUNCTION("""COMPUTED_VALUE"""),"https://www.reddit.com/r/SaaS/comments/1scwc2o/who_is_the_best_answer_engine_optimization_aeo/")</f>
        <v>https://www.reddit.com/r/SaaS/comments/1scwc2o/who_is_the_best_answer_engine_optimization_aeo/</v>
      </c>
      <c r="B4" s="11" t="str">
        <f>IFERROR(__xludf.DUMMYFUNCTION("""COMPUTED_VALUE"""),"Who is the best Answer Engine Optimization (AEO) Agency in USA?")</f>
        <v>Who is the best Answer Engine Optimization (AEO) Agency in USA?</v>
      </c>
      <c r="C4" s="10"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IFERROR(__xludf.DUMMYFUNCTION("""COMPUTED_VALUE"""),"Animalz, NoGood")</f>
        <v>Animalz, NoGood</v>
      </c>
      <c r="I4" s="11">
        <f>IFERROR(__xludf.DUMMYFUNCTION("""COMPUTED_VALUE"""),10.0)</f>
        <v>10</v>
      </c>
      <c r="J4" s="11">
        <f>IFERROR(__xludf.DUMMYFUNCTION("""COMPUTED_VALUE"""),0.01)</f>
        <v>0.01</v>
      </c>
      <c r="K4" s="11">
        <f>IFERROR(__xludf.DUMMYFUNCTION("""COMPUTED_VALUE"""),1.2)</f>
        <v>1.2</v>
      </c>
    </row>
    <row r="5" ht="15.75" customHeight="1">
      <c r="A5" s="10" t="str">
        <f>IFERROR(__xludf.DUMMYFUNCTION("""COMPUTED_VALUE"""),"https://www.reddit.com/r/ecommerce/comments/1qusfa4/looking_for_best_incrementality_testing_tools/")</f>
        <v>https://www.reddit.com/r/ecommerce/comments/1qusfa4/looking_for_best_incrementality_testing_tools/</v>
      </c>
      <c r="B5" s="11" t="str">
        <f>IFERROR(__xludf.DUMMYFUNCTION("""COMPUTED_VALUE"""),"Looking for best incrementality testing tools (advice/recommendation)")</f>
        <v>Looking for best incrementality testing tools (advice/recommendation)</v>
      </c>
      <c r="C5" s="10" t="str">
        <f>IFERROR(__xludf.DUMMYFUNCTION("""COMPUTED_VALUE"""),"reddit.com")</f>
        <v>reddit.com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IFERROR(__xludf.DUMMYFUNCTION("""COMPUTED_VALUE"""),"Haus, LifeSight, Measured, SegmentStream, Recast, Rockerbox, Northbeam")</f>
        <v>Haus, LifeSight, Measured, SegmentStream, Recast, Rockerbox, Northbeam</v>
      </c>
      <c r="I5" s="11">
        <f>IFERROR(__xludf.DUMMYFUNCTION("""COMPUTED_VALUE"""),10.0)</f>
        <v>10</v>
      </c>
      <c r="J5" s="11">
        <f>IFERROR(__xludf.DUMMYFUNCTION("""COMPUTED_VALUE"""),0.01)</f>
        <v>0.01</v>
      </c>
      <c r="K5" s="11">
        <f>IFERROR(__xludf.DUMMYFUNCTION("""COMPUTED_VALUE"""),1.4)</f>
        <v>1.4</v>
      </c>
    </row>
    <row r="6" ht="15.75" customHeight="1">
      <c r="A6" s="10" t="str">
        <f>IFERROR(__xludf.DUMMYFUNCTION("""COMPUTED_VALUE"""),"https://www.reddit.com/r/u_Large_Let1715/comments/1tdt8px/best_marketing_analytics_firms_a_complete/")</f>
        <v>https://www.reddit.com/r/u_Large_Let1715/comments/1tdt8px/best_marketing_analytics_firms_a_complete/</v>
      </c>
      <c r="B6" s="11" t="str">
        <f>IFERROR(__xludf.DUMMYFUNCTION("""COMPUTED_VALUE"""),"Best Marketing Analytics firms - a complete breakdown in the USA")</f>
        <v>Best Marketing Analytics firms - a complete breakdown in the USA</v>
      </c>
      <c r="C6" s="10"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IFERROR(__xludf.DUMMYFUNCTION("""COMPUTED_VALUE"""),"LatentView Analytics, Fractal Analytics")</f>
        <v>LatentView Analytics, Fractal Analytics</v>
      </c>
      <c r="I6" s="11">
        <f>IFERROR(__xludf.DUMMYFUNCTION("""COMPUTED_VALUE"""),8.0)</f>
        <v>8</v>
      </c>
      <c r="J6" s="11">
        <f>IFERROR(__xludf.DUMMYFUNCTION("""COMPUTED_VALUE"""),0.01)</f>
        <v>0.01</v>
      </c>
      <c r="K6" s="11">
        <f>IFERROR(__xludf.DUMMYFUNCTION("""COMPUTED_VALUE"""),3.63)</f>
        <v>3.63</v>
      </c>
    </row>
    <row r="7" ht="15.75" customHeight="1">
      <c r="A7" s="10" t="str">
        <f>IFERROR(__xludf.DUMMYFUNCTION("""COMPUTED_VALUE"""),"https://www.reddit.com/r/TheTopAgencies/comments/1me9pid/the_best_digital_marketing_agencies_in_the_united/")</f>
        <v>https://www.reddit.com/r/TheTopAgencies/comments/1me9pid/the_best_digital_marketing_agencies_in_the_united/</v>
      </c>
      <c r="B7" s="11" t="str">
        <f>IFERROR(__xludf.DUMMYFUNCTION("""COMPUTED_VALUE"""),"The Best Digital Marketing Agencies In The United States")</f>
        <v>The Best Digital Marketing Agencies In The United States</v>
      </c>
      <c r="C7" s="10"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IFERROR(__xludf.DUMMYFUNCTION("""COMPUTED_VALUE"""),"LYFE Marketing, Ignite Visibility, Thrive Internet Marketing Agency, Disruptive Advertising, Sociallyin, WebFX, Victorious, Tinuiti, Power Digital, Metric Theory, Brainlabs, Silverback Strategies, Single Grain, HawkSEM, SmartSites, Directive, KlientBoost,"&amp;" First Page Sage, Refine Labs, Kobe Digital, Ogilvy, VaynerMedia")</f>
        <v>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v>
      </c>
      <c r="I7" s="11">
        <f>IFERROR(__xludf.DUMMYFUNCTION("""COMPUTED_VALUE"""),7.0)</f>
        <v>7</v>
      </c>
      <c r="J7" s="11">
        <f>IFERROR(__xludf.DUMMYFUNCTION("""COMPUTED_VALUE"""),0.01)</f>
        <v>0.01</v>
      </c>
      <c r="K7" s="11">
        <f>IFERROR(__xludf.DUMMYFUNCTION("""COMPUTED_VALUE"""),1.43)</f>
        <v>1.43</v>
      </c>
    </row>
    <row r="8" ht="15.75" customHeight="1">
      <c r="A8" s="10" t="str">
        <f>IFERROR(__xludf.DUMMYFUNCTION("""COMPUTED_VALUE"""),"https://www.reddit.com/r/agency/comments/1ok212i/performance_marketing_incrementality/")</f>
        <v>https://www.reddit.com/r/agency/comments/1ok212i/performance_marketing_incrementality/</v>
      </c>
      <c r="B8" s="11" t="str">
        <f>IFERROR(__xludf.DUMMYFUNCTION("""COMPUTED_VALUE"""),"Performance Marketing Incrementality")</f>
        <v>Performance Marketing Incrementality</v>
      </c>
      <c r="C8" s="10"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t="str">
        <f>IFERROR(__xludf.DUMMYFUNCTION("""COMPUTED_VALUE"""),"Haus, Measured, Recast")</f>
        <v>Haus, Measured, Recast</v>
      </c>
      <c r="I8" s="11">
        <f>IFERROR(__xludf.DUMMYFUNCTION("""COMPUTED_VALUE"""),7.0)</f>
        <v>7</v>
      </c>
      <c r="J8" s="11">
        <f>IFERROR(__xludf.DUMMYFUNCTION("""COMPUTED_VALUE"""),0.01)</f>
        <v>0.01</v>
      </c>
      <c r="K8" s="11">
        <f>IFERROR(__xludf.DUMMYFUNCTION("""COMPUTED_VALUE"""),2.0)</f>
        <v>2</v>
      </c>
    </row>
    <row r="9" ht="15.75" customHeight="1">
      <c r="A9" s="10" t="str">
        <f>IFERROR(__xludf.DUMMYFUNCTION("""COMPUTED_VALUE"""),"https://www.reddit.com/r/b2bmarketing/comments/1rl47cr/the_10_best_visibility_companies_and_agencies_for/#:~:text=Conductor%20is%20the%20enterprise%20tool%20behind%20the,else%20is%20doing.%20Lemonshadehere.%20%E2%80%A2%204mo%20ago.")</f>
        <v>https://www.reddit.com/r/b2bmarketing/comments/1rl47cr/the_10_best_visibility_companies_and_agencies_for/#:~:text=Conductor%20is%20the%20enterprise%20tool%20behind%20the,else%20is%20doing.%20Lemonshadehere.%20%E2%80%A2%204mo%20ago.</v>
      </c>
      <c r="B9" s="11" t="str">
        <f>IFERROR(__xludf.DUMMYFUNCTION("""COMPUTED_VALUE"""),"The 10 Best Visibility Companies and Agencies for SEO and GEO?")</f>
        <v>The 10 Best Visibility Companies and Agencies for SEO and GEO?</v>
      </c>
      <c r="C9" s="10"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t="b">
        <f>IFERROR(__xludf.DUMMYFUNCTION("""COMPUTED_VALUE"""),FALSE)</f>
        <v>0</v>
      </c>
      <c r="H9" s="11" t="str">
        <f>IFERROR(__xludf.DUMMYFUNCTION("""COMPUTED_VALUE"""),"Seer Interactive, Funnel Boost Media, Huge, Siege Media, Single Grain, First Page Sage, iPullRank, Clutch, Directive")</f>
        <v>Seer Interactive, Funnel Boost Media, Huge, Siege Media, Single Grain, First Page Sage, iPullRank, Clutch, Directive</v>
      </c>
      <c r="I9" s="11">
        <f>IFERROR(__xludf.DUMMYFUNCTION("""COMPUTED_VALUE"""),7.0)</f>
        <v>7</v>
      </c>
      <c r="J9" s="11">
        <f>IFERROR(__xludf.DUMMYFUNCTION("""COMPUTED_VALUE"""),0.01)</f>
        <v>0.01</v>
      </c>
      <c r="K9" s="11">
        <f>IFERROR(__xludf.DUMMYFUNCTION("""COMPUTED_VALUE"""),1.14)</f>
        <v>1.14</v>
      </c>
    </row>
    <row r="10" ht="15.75" customHeight="1">
      <c r="A10" s="10" t="str">
        <f>IFERROR(__xludf.DUMMYFUNCTION("""COMPUTED_VALUE"""),"https://www.reddit.com/r/ecommerce/comments/1c4too8/best_tools_for_paid_marketing_attribution/")</f>
        <v>https://www.reddit.com/r/ecommerce/comments/1c4too8/best_tools_for_paid_marketing_attribution/</v>
      </c>
      <c r="B10" s="11" t="str">
        <f>IFERROR(__xludf.DUMMYFUNCTION("""COMPUTED_VALUE"""),"Best tools for paid marketing attribution?")</f>
        <v>Best tools for paid marketing attribution?</v>
      </c>
      <c r="C10" s="10" t="str">
        <f>IFERROR(__xludf.DUMMYFUNCTION("""COMPUTED_VALUE"""),"reddit.com")</f>
        <v>reddit.com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t="str">
        <f>IFERROR(__xludf.DUMMYFUNCTION("""COMPUTED_VALUE"""),"Cometly, Huge, Ruler Analytics, Triple Whale, Northbeam, Rockerbox, HockeyStack, SegmentStream")</f>
        <v>Cometly, Huge, Ruler Analytics, Triple Whale, Northbeam, Rockerbox, HockeyStack, SegmentStream</v>
      </c>
      <c r="I10" s="11">
        <f>IFERROR(__xludf.DUMMYFUNCTION("""COMPUTED_VALUE"""),6.0)</f>
        <v>6</v>
      </c>
      <c r="J10" s="11">
        <f>IFERROR(__xludf.DUMMYFUNCTION("""COMPUTED_VALUE"""),0.01)</f>
        <v>0.01</v>
      </c>
      <c r="K10" s="11">
        <f>IFERROR(__xludf.DUMMYFUNCTION("""COMPUTED_VALUE"""),1.17)</f>
        <v>1.17</v>
      </c>
    </row>
    <row r="11" ht="15.75" customHeight="1">
      <c r="A11" s="10" t="str">
        <f>IFERROR(__xludf.DUMMYFUNCTION("""COMPUTED_VALUE"""),"https://www.reddit.com/r/SearchTides/comments/1uu5d0d/10_best_geo_agencies_for_brands_that_want_to_win/")</f>
        <v>https://www.reddit.com/r/SearchTides/comments/1uu5d0d/10_best_geo_agencies_for_brands_that_want_to_win/</v>
      </c>
      <c r="B11" s="11" t="str">
        <f>IFERROR(__xludf.DUMMYFUNCTION("""COMPUTED_VALUE"""),"10 Best GEO Agencies for Brands That Want to Win AI Search, Featuring SearchTides")</f>
        <v>10 Best GEO Agencies for Brands That Want to Win AI Search, Featuring SearchTides</v>
      </c>
      <c r="C11" s="10"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IFERROR(__xludf.DUMMYFUNCTION("""COMPUTED_VALUE"""),"Seer Interactive, Funnel Boost Media")</f>
        <v>Seer Interactive, Funnel Boost Media</v>
      </c>
      <c r="I11" s="11">
        <f>IFERROR(__xludf.DUMMYFUNCTION("""COMPUTED_VALUE"""),5.0)</f>
        <v>5</v>
      </c>
      <c r="J11" s="11">
        <f>IFERROR(__xludf.DUMMYFUNCTION("""COMPUTED_VALUE"""),0.0)</f>
        <v>0</v>
      </c>
      <c r="K11" s="11">
        <f>IFERROR(__xludf.DUMMYFUNCTION("""COMPUTED_VALUE"""),2.8)</f>
        <v>2.8</v>
      </c>
    </row>
    <row r="12" ht="15.75" customHeight="1">
      <c r="A12" s="10" t="str">
        <f>IFERROR(__xludf.DUMMYFUNCTION("""COMPUTED_VALUE"""),"https://www.reddit.com/r/b2bmarketing/comments/1t546si/the_7_leading_ai_seo_agencies_for_modern_search/")</f>
        <v>https://www.reddit.com/r/b2bmarketing/comments/1t546si/the_7_leading_ai_seo_agencies_for_modern_search/</v>
      </c>
      <c r="B12" s="11" t="str">
        <f>IFERROR(__xludf.DUMMYFUNCTION("""COMPUTED_VALUE"""),"The 7 Leading AI SEO Agencies for Modern Search")</f>
        <v>The 7 Leading AI SEO Agencies for Modern Search</v>
      </c>
      <c r="C12" s="10"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IFERROR(__xludf.DUMMYFUNCTION("""COMPUTED_VALUE"""),"Omniscient Digital, Siege Media, Seer Interactive, iPullRank")</f>
        <v>Omniscient Digital, Siege Media, Seer Interactive, iPullRank</v>
      </c>
      <c r="I12" s="11">
        <f>IFERROR(__xludf.DUMMYFUNCTION("""COMPUTED_VALUE"""),5.0)</f>
        <v>5</v>
      </c>
      <c r="J12" s="11">
        <f>IFERROR(__xludf.DUMMYFUNCTION("""COMPUTED_VALUE"""),0.0)</f>
        <v>0</v>
      </c>
      <c r="K12" s="11">
        <f>IFERROR(__xludf.DUMMYFUNCTION("""COMPUTED_VALUE"""),1.0)</f>
        <v>1</v>
      </c>
    </row>
    <row r="13" ht="15.75" customHeight="1">
      <c r="A13" s="10" t="str">
        <f>IFERROR(__xludf.DUMMYFUNCTION("""COMPUTED_VALUE"""),"https://www.reddit.com/r/Superframeworks/comments/1twfxf1/10_best_ai_seo_geoaeo_agencies_for_2026_no/")</f>
        <v>https://www.reddit.com/r/Superframeworks/comments/1twfxf1/10_best_ai_seo_geoaeo_agencies_for_2026_no/</v>
      </c>
      <c r="B13" s="11" t="str">
        <f>IFERROR(__xludf.DUMMYFUNCTION("""COMPUTED_VALUE"""),"10 Best AI SEO (GEO/AEO) Agencies for 2026: No Self-Ranking, Verified by Clutch Reviews and Real AI-Citation Proof")</f>
        <v>10 Best AI SEO (GEO/AEO) Agencies for 2026: No Self-Ranking, Verified by Clutch Reviews and Real AI-Citation Proof</v>
      </c>
      <c r="C13" s="10"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IFERROR(__xludf.DUMMYFUNCTION("""COMPUTED_VALUE"""),"First Page Sage, Single Grain, Clutch, NoGood, iPullRank, Victorious")</f>
        <v>First Page Sage, Single Grain, Clutch, NoGood, iPullRank, Victorious</v>
      </c>
      <c r="I13" s="11">
        <f>IFERROR(__xludf.DUMMYFUNCTION("""COMPUTED_VALUE"""),4.0)</f>
        <v>4</v>
      </c>
      <c r="J13" s="11">
        <f>IFERROR(__xludf.DUMMYFUNCTION("""COMPUTED_VALUE"""),0.0)</f>
        <v>0</v>
      </c>
      <c r="K13" s="11">
        <f>IFERROR(__xludf.DUMMYFUNCTION("""COMPUTED_VALUE"""),1.25)</f>
        <v>1.25</v>
      </c>
    </row>
    <row r="14" ht="15.75" customHeight="1">
      <c r="A14" s="10" t="str">
        <f>IFERROR(__xludf.DUMMYFUNCTION("""COMPUTED_VALUE"""),"https://www.reddit.com/r/AISEOTricks/comments/1t9xk64/what_are_the_best_seo_agencies_right_now/")</f>
        <v>https://www.reddit.com/r/AISEOTricks/comments/1t9xk64/what_are_the_best_seo_agencies_right_now/</v>
      </c>
      <c r="B14" s="11" t="str">
        <f>IFERROR(__xludf.DUMMYFUNCTION("""COMPUTED_VALUE"""),"What Are the Best SEO Agencies Right Now?")</f>
        <v>What Are the Best SEO Agencies Right Now?</v>
      </c>
      <c r="C14" s="10" t="str">
        <f>IFERROR(__xludf.DUMMYFUNCTION("""COMPUTED_VALUE"""),"reddit.com")</f>
        <v>reddit.com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IFERROR(__xludf.DUMMYFUNCTION("""COMPUTED_VALUE"""),"Siege Media, Omniscient Digital, First Page Sage, Searchbloom, Intero Digital, iPullRank, Victorious")</f>
        <v>Siege Media, Omniscient Digital, First Page Sage, Searchbloom, Intero Digital, iPullRank, Victorious</v>
      </c>
      <c r="I14" s="11">
        <f>IFERROR(__xludf.DUMMYFUNCTION("""COMPUTED_VALUE"""),2.0)</f>
        <v>2</v>
      </c>
      <c r="J14" s="11">
        <f>IFERROR(__xludf.DUMMYFUNCTION("""COMPUTED_VALUE"""),0.0)</f>
        <v>0</v>
      </c>
      <c r="K14" s="11">
        <f>IFERROR(__xludf.DUMMYFUNCTION("""COMPUTED_VALUE"""),2.0)</f>
        <v>2</v>
      </c>
    </row>
    <row r="15" ht="15.75" customHeight="1">
      <c r="A15" s="10" t="str">
        <f>IFERROR(__xludf.DUMMYFUNCTION("""COMPUTED_VALUE"""),"https://www.reddit.com/r/LLMTraffic/comments/1t44tn7/which_geo_marketing_agencies_are_actually_worth/#:~:text=The%20strategy%20includes%20digital%20PR,designed%20to%20increase%20citation%20probability.")</f>
        <v>https://www.reddit.com/r/LLMTraffic/comments/1t44tn7/which_geo_marketing_agencies_are_actually_worth/#:~:text=The%20strategy%20includes%20digital%20PR,designed%20to%20increase%20citation%20probability.</v>
      </c>
      <c r="B15" s="11" t="str">
        <f>IFERROR(__xludf.DUMMYFUNCTION("""COMPUTED_VALUE"""),"Which ""GEO marketing"" agencies are actually worth talking to?")</f>
        <v>Which "GEO marketing" agencies are actually worth talking to?</v>
      </c>
      <c r="C15" s="10" t="str">
        <f>IFERROR(__xludf.DUMMYFUNCTION("""COMPUTED_VALUE"""),"reddit.com")</f>
        <v>reddit.com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t="str">
        <f>IFERROR(__xludf.DUMMYFUNCTION("""COMPUTED_VALUE"""),"Measured")</f>
        <v>Measured</v>
      </c>
      <c r="I15" s="11">
        <f>IFERROR(__xludf.DUMMYFUNCTION("""COMPUTED_VALUE"""),2.0)</f>
        <v>2</v>
      </c>
      <c r="J15" s="11">
        <f>IFERROR(__xludf.DUMMYFUNCTION("""COMPUTED_VALUE"""),0.0)</f>
        <v>0</v>
      </c>
      <c r="K15" s="11">
        <f>IFERROR(__xludf.DUMMYFUNCTION("""COMPUTED_VALUE"""),1.5)</f>
        <v>1.5</v>
      </c>
    </row>
    <row r="16" ht="15.75" customHeight="1">
      <c r="A16" s="10" t="str">
        <f>IFERROR(__xludf.DUMMYFUNCTION("""COMPUTED_VALUE"""),"https://www.reddit.com/r/SocialMediaMarketing/comments/18gblts/what_are_some_trusted_legit_a_social_media/")</f>
        <v>https://www.reddit.com/r/SocialMediaMarketing/comments/18gblts/what_are_some_trusted_legit_a_social_media/</v>
      </c>
      <c r="B16" s="11" t="str">
        <f>IFERROR(__xludf.DUMMYFUNCTION("""COMPUTED_VALUE"""),"What are some trusted legit A+ social media marketing agencies?")</f>
        <v>What are some trusted legit A+ social media marketing agencies?</v>
      </c>
      <c r="C16" s="10" t="str">
        <f>IFERROR(__xludf.DUMMYFUNCTION("""COMPUTED_VALUE"""),"reddit.com")</f>
        <v>reddit.com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t="str">
        <f>IFERROR(__xludf.DUMMYFUNCTION("""COMPUTED_VALUE"""),"Huge, Sociallyin, LYFE Marketing, KlientBoost")</f>
        <v>Huge, Sociallyin, LYFE Marketing, KlientBoost</v>
      </c>
      <c r="I16" s="11">
        <f>IFERROR(__xludf.DUMMYFUNCTION("""COMPUTED_VALUE"""),2.0)</f>
        <v>2</v>
      </c>
      <c r="J16" s="11">
        <f>IFERROR(__xludf.DUMMYFUNCTION("""COMPUTED_VALUE"""),0.0)</f>
        <v>0</v>
      </c>
      <c r="K16" s="11">
        <f>IFERROR(__xludf.DUMMYFUNCTION("""COMPUTED_VALUE"""),1.0)</f>
        <v>1</v>
      </c>
    </row>
    <row r="17" ht="15.75" customHeight="1">
      <c r="A17" s="10" t="str">
        <f>IFERROR(__xludf.DUMMYFUNCTION("""COMPUTED_VALUE"""),"https://www.reddit.com/r/hiredevelopers_/comments/1n84jms/list_of_best_ai_consulting_companies_in_usa/")</f>
        <v>https://www.reddit.com/r/hiredevelopers_/comments/1n84jms/list_of_best_ai_consulting_companies_in_usa/</v>
      </c>
      <c r="B17" s="11" t="str">
        <f>IFERROR(__xludf.DUMMYFUNCTION("""COMPUTED_VALUE"""),"List of Best Ai consulting companies in USA")</f>
        <v>List of Best Ai consulting companies in USA</v>
      </c>
      <c r="C17" s="10" t="str">
        <f>IFERROR(__xludf.DUMMYFUNCTION("""COMPUTED_VALUE"""),"reddit.com")</f>
        <v>reddit.com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IFERROR(__xludf.DUMMYFUNCTION("""COMPUTED_VALUE"""),"McKinsey, QuantumBlack, Huge, PwC, BCG, Slalom, IBM")</f>
        <v>McKinsey, QuantumBlack, Huge, PwC, BCG, Slalom, IBM</v>
      </c>
      <c r="I17" s="11">
        <f>IFERROR(__xludf.DUMMYFUNCTION("""COMPUTED_VALUE"""),2.0)</f>
        <v>2</v>
      </c>
      <c r="J17" s="11">
        <f>IFERROR(__xludf.DUMMYFUNCTION("""COMPUTED_VALUE"""),0.0)</f>
        <v>0</v>
      </c>
      <c r="K17" s="11">
        <f>IFERROR(__xludf.DUMMYFUNCTION("""COMPUTED_VALUE"""),1.0)</f>
        <v>1</v>
      </c>
    </row>
    <row r="18" ht="15.75" customHeight="1">
      <c r="A18" s="10" t="str">
        <f>IFERROR(__xludf.DUMMYFUNCTION("""COMPUTED_VALUE"""),"https://www.reddit.com/r/u_Temporary_Meeting182/comments/1tp4iah/best_saas_geo_agencies_in_2026_who_should/")</f>
        <v>https://www.reddit.com/r/u_Temporary_Meeting182/comments/1tp4iah/best_saas_geo_agencies_in_2026_who_should/</v>
      </c>
      <c r="B18" s="11" t="str">
        <f>IFERROR(__xludf.DUMMYFUNCTION("""COMPUTED_VALUE"""),"Best SaaS GEO agencies in 2026 - who should enterprises consider?")</f>
        <v>Best SaaS GEO agencies in 2026 - who should enterprises consider?</v>
      </c>
      <c r="C18" s="10" t="str">
        <f>IFERROR(__xludf.DUMMYFUNCTION("""COMPUTED_VALUE"""),"reddit.com")</f>
        <v>reddit.com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IFERROR(__xludf.DUMMYFUNCTION("""COMPUTED_VALUE"""),"Searchbloom, The SEO Works, Clutch")</f>
        <v>Searchbloom, The SEO Works, Clutch</v>
      </c>
      <c r="I18" s="11">
        <f>IFERROR(__xludf.DUMMYFUNCTION("""COMPUTED_VALUE"""),2.0)</f>
        <v>2</v>
      </c>
      <c r="J18" s="11">
        <f>IFERROR(__xludf.DUMMYFUNCTION("""COMPUTED_VALUE"""),0.0)</f>
        <v>0</v>
      </c>
      <c r="K18" s="11">
        <f>IFERROR(__xludf.DUMMYFUNCTION("""COMPUTED_VALUE"""),1.0)</f>
        <v>1</v>
      </c>
    </row>
    <row r="19" ht="15.75" customHeight="1">
      <c r="A19" s="10" t="str">
        <f>IFERROR(__xludf.DUMMYFUNCTION("""COMPUTED_VALUE"""),"https://www.reddit.com/r/u_ThoughtMetric/comments/1udm00v/best_improvado_alternatives_updated_june_2026/")</f>
        <v>https://www.reddit.com/r/u_ThoughtMetric/comments/1udm00v/best_improvado_alternatives_updated_june_2026/</v>
      </c>
      <c r="B19" s="11" t="str">
        <f>IFERROR(__xludf.DUMMYFUNCTION("""COMPUTED_VALUE"""),"Best Improvado Alternatives (Updated June 2026)")</f>
        <v>Best Improvado Alternatives (Updated June 2026)</v>
      </c>
      <c r="C19" s="10"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IFERROR(__xludf.DUMMYFUNCTION("""COMPUTED_VALUE"""),"Rockerbox, Triple Whale, Northbeam")</f>
        <v>Rockerbox, Triple Whale, Northbeam</v>
      </c>
      <c r="I19" s="11">
        <f>IFERROR(__xludf.DUMMYFUNCTION("""COMPUTED_VALUE"""),2.0)</f>
        <v>2</v>
      </c>
      <c r="J19" s="11">
        <f>IFERROR(__xludf.DUMMYFUNCTION("""COMPUTED_VALUE"""),0.0)</f>
        <v>0</v>
      </c>
      <c r="K19" s="11">
        <f>IFERROR(__xludf.DUMMYFUNCTION("""COMPUTED_VALUE"""),2.0)</f>
        <v>2</v>
      </c>
    </row>
    <row r="20" ht="15.75" customHeight="1">
      <c r="A20" s="10" t="str">
        <f>IFERROR(__xludf.DUMMYFUNCTION("""COMPUTED_VALUE"""),"https://www.reddit.com/r/Agentic_Marketing/comments/1ue8msc/top_ai_consulting_firms_in_the_usa_driving/")</f>
        <v>https://www.reddit.com/r/Agentic_Marketing/comments/1ue8msc/top_ai_consulting_firms_in_the_usa_driving/</v>
      </c>
      <c r="B20" s="11" t="str">
        <f>IFERROR(__xludf.DUMMYFUNCTION("""COMPUTED_VALUE"""),"Top AI Consulting Firms in the USA: Driving Innovation and Business Transformation in 2026")</f>
        <v>Top AI Consulting Firms in the USA: Driving Innovation and Business Transformation in 2026</v>
      </c>
      <c r="C20" s="10" t="str">
        <f>IFERROR(__xludf.DUMMYFUNCTION("""COMPUTED_VALUE"""),"reddit.com")</f>
        <v>reddit.com</v>
      </c>
      <c r="D20" s="11" t="str">
        <f>IFERROR(__xludf.DUMMYFUNCTION("""COMPUTED_VALUE"""),"DISCUSSION")</f>
        <v>DISCUSSION</v>
      </c>
      <c r="E20" s="11" t="str">
        <f>IFERROR(__xludf.DUMMYFUNCTION("""COMPUTED_VALUE"""),"UGC")</f>
        <v>UGC</v>
      </c>
      <c r="F20" s="11" t="str">
        <f>IFERROR(__xludf.DUMMYFUNCTION("""COMPUTED_VALUE"""),"Discussion")</f>
        <v>Discussion</v>
      </c>
      <c r="G20" s="11"/>
      <c r="H20" s="11" t="str">
        <f>IFERROR(__xludf.DUMMYFUNCTION("""COMPUTED_VALUE"""),"Unknown")</f>
        <v>Unknown</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IFERROR(__xludf.DUMMYFUNCTION("""COMPUTED_VALUE"""),"https://www.reddit.com/r/AskMarketing/comments/1jwyn6z/a_client_is_looking_for_a_cheaper_incrementality/")</f>
        <v>https://www.reddit.com/r/AskMarketing/comments/1jwyn6z/a_client_is_looking_for_a_cheaper_incrementality/</v>
      </c>
      <c r="B21" s="11" t="str">
        <f>IFERROR(__xludf.DUMMYFUNCTION("""COMPUTED_VALUE"""),"A client is looking for a cheaper incrementality testing alternative.")</f>
        <v>A client is looking for a cheaper incrementality testing alternative.</v>
      </c>
      <c r="C21" s="10" t="str">
        <f>IFERROR(__xludf.DUMMYFUNCTION("""COMPUTED_VALUE"""),"reddit.com")</f>
        <v>reddit.com</v>
      </c>
      <c r="D21" s="11" t="str">
        <f>IFERROR(__xludf.DUMMYFUNCTION("""COMPUTED_VALUE"""),"DISCUSSION")</f>
        <v>DISCUSSION</v>
      </c>
      <c r="E21" s="11" t="str">
        <f>IFERROR(__xludf.DUMMYFUNCTION("""COMPUTED_VALUE"""),"UGC")</f>
        <v>UGC</v>
      </c>
      <c r="F21" s="11" t="str">
        <f>IFERROR(__xludf.DUMMYFUNCTION("""COMPUTED_VALUE"""),"Discussion")</f>
        <v>Discussion</v>
      </c>
      <c r="G21" s="11" t="b">
        <f>IFERROR(__xludf.DUMMYFUNCTION("""COMPUTED_VALUE"""),FALSE)</f>
        <v>0</v>
      </c>
      <c r="H21" s="11" t="str">
        <f>IFERROR(__xludf.DUMMYFUNCTION("""COMPUTED_VALUE"""),"Measured, Haus, LifeSight, INCRMNTAL, Huge, Northbeam, LiftLab")</f>
        <v>Measured, Haus, LifeSight, INCRMNTAL, Huge, Northbeam, LiftLab</v>
      </c>
      <c r="I21" s="11">
        <f>IFERROR(__xludf.DUMMYFUNCTION("""COMPUTED_VALUE"""),1.0)</f>
        <v>1</v>
      </c>
      <c r="J21" s="11">
        <f>IFERROR(__xludf.DUMMYFUNCTION("""COMPUTED_VALUE"""),0.0)</f>
        <v>0</v>
      </c>
      <c r="K21" s="11">
        <f>IFERROR(__xludf.DUMMYFUNCTION("""COMPUTED_VALUE"""),2.0)</f>
        <v>2</v>
      </c>
    </row>
    <row r="22" ht="15.75" customHeight="1">
      <c r="A22" s="10" t="str">
        <f>IFERROR(__xludf.DUMMYFUNCTION("""COMPUTED_VALUE"""),"https://www.reddit.com/r/DigitalMarketing/comments/1rwxybs/which_agencies_are_actually_wellknown_worldwide/")</f>
        <v>https://www.reddit.com/r/DigitalMarketing/comments/1rwxybs/which_agencies_are_actually_wellknown_worldwide/</v>
      </c>
      <c r="B22" s="11" t="str">
        <f>IFERROR(__xludf.DUMMYFUNCTION("""COMPUTED_VALUE"""),"Which agencies are actually well-known worldwide right now")</f>
        <v>Which agencies are actually well-known worldwide right now</v>
      </c>
      <c r="C22" s="10" t="str">
        <f>IFERROR(__xludf.DUMMYFUNCTION("""COMPUTED_VALUE"""),"reddit.com")</f>
        <v>reddit.com</v>
      </c>
      <c r="D22" s="11" t="str">
        <f>IFERROR(__xludf.DUMMYFUNCTION("""COMPUTED_VALUE"""),"DISCUSSION")</f>
        <v>DISCUSSION</v>
      </c>
      <c r="E22" s="11" t="str">
        <f>IFERROR(__xludf.DUMMYFUNCTION("""COMPUTED_VALUE"""),"UGC")</f>
        <v>UGC</v>
      </c>
      <c r="F22" s="11" t="str">
        <f>IFERROR(__xludf.DUMMYFUNCTION("""COMPUTED_VALUE"""),"Discussion")</f>
        <v>Discussion</v>
      </c>
      <c r="G22" s="11" t="b">
        <f>IFERROR(__xludf.DUMMYFUNCTION("""COMPUTED_VALUE"""),FALSE)</f>
        <v>0</v>
      </c>
      <c r="H22" s="11"/>
      <c r="I22" s="11">
        <f>IFERROR(__xludf.DUMMYFUNCTION("""COMPUTED_VALUE"""),1.0)</f>
        <v>1</v>
      </c>
      <c r="J22" s="11">
        <f>IFERROR(__xludf.DUMMYFUNCTION("""COMPUTED_VALUE"""),0.0)</f>
        <v>0</v>
      </c>
      <c r="K22" s="11">
        <f>IFERROR(__xludf.DUMMYFUNCTION("""COMPUTED_VALUE"""),1.0)</f>
        <v>1</v>
      </c>
    </row>
    <row r="23" ht="15.75" customHeight="1">
      <c r="A23" s="10" t="str">
        <f>IFERROR(__xludf.DUMMYFUNCTION("""COMPUTED_VALUE"""),"https://www.reddit.com/r/DigitalMarketing/comments/1tdfcjb/every_seo_agency_now_lists_ai_search_optimization/")</f>
        <v>https://www.reddit.com/r/DigitalMarketing/comments/1tdfcjb/every_seo_agency_now_lists_ai_search_optimization/</v>
      </c>
      <c r="B23" s="11" t="str">
        <f>IFERROR(__xludf.DUMMYFUNCTION("""COMPUTED_VALUE"""),"Every SEO agency now lists AI search optimization. Most are describing the wrong thing.")</f>
        <v>Every SEO agency now lists AI search optimization. Most are describing the wrong thing.</v>
      </c>
      <c r="C23" s="10" t="str">
        <f>IFERROR(__xludf.DUMMYFUNCTION("""COMPUTED_VALUE"""),"reddit.com")</f>
        <v>reddit.com</v>
      </c>
      <c r="D23" s="11" t="str">
        <f>IFERROR(__xludf.DUMMYFUNCTION("""COMPUTED_VALUE"""),"DISCUSSION")</f>
        <v>DISCUSSION</v>
      </c>
      <c r="E23" s="11" t="str">
        <f>IFERROR(__xludf.DUMMYFUNCTION("""COMPUTED_VALUE"""),"UGC")</f>
        <v>UGC</v>
      </c>
      <c r="F23" s="11" t="str">
        <f>IFERROR(__xludf.DUMMYFUNCTION("""COMPUTED_VALUE"""),"Discussion")</f>
        <v>Discussion</v>
      </c>
      <c r="G23" s="11" t="b">
        <f>IFERROR(__xludf.DUMMYFUNCTION("""COMPUTED_VALUE"""),FALSE)</f>
        <v>0</v>
      </c>
      <c r="H23" s="11" t="str">
        <f>IFERROR(__xludf.DUMMYFUNCTION("""COMPUTED_VALUE"""),"Anomaly")</f>
        <v>Anomaly</v>
      </c>
      <c r="I23" s="11">
        <f>IFERROR(__xludf.DUMMYFUNCTION("""COMPUTED_VALUE"""),1.0)</f>
        <v>1</v>
      </c>
      <c r="J23" s="11">
        <f>IFERROR(__xludf.DUMMYFUNCTION("""COMPUTED_VALUE"""),0.0)</f>
        <v>0</v>
      </c>
      <c r="K23" s="11">
        <f>IFERROR(__xludf.DUMMYFUNCTION("""COMPUTED_VALUE"""),2.0)</f>
        <v>2</v>
      </c>
    </row>
    <row r="24" ht="15.75" customHeight="1">
      <c r="A24" s="10" t="str">
        <f>IFERROR(__xludf.DUMMYFUNCTION("""COMPUTED_VALUE"""),"https://www.reddit.com/r/DigitalMarketing/comments/1tpb0sw/mmm_tools_for_50k200kmo_ad_spend_brands_recast_vs/")</f>
        <v>https://www.reddit.com/r/DigitalMarketing/comments/1tpb0sw/mmm_tools_for_50k200kmo_ad_spend_brands_recast_vs/</v>
      </c>
      <c r="B24" s="11" t="str">
        <f>IFERROR(__xludf.DUMMYFUNCTION("""COMPUTED_VALUE"""),"MMM tools for $50K-$200K/mo ad spend brands. Recast vs Lifesight vs in-house. real-world experience?")</f>
        <v>MMM tools for $50K-$200K/mo ad spend brands. Recast vs Lifesight vs in-house. real-world experience?</v>
      </c>
      <c r="C24" s="10" t="str">
        <f>IFERROR(__xludf.DUMMYFUNCTION("""COMPUTED_VALUE"""),"reddit.com")</f>
        <v>reddit.com</v>
      </c>
      <c r="D24" s="11" t="str">
        <f>IFERROR(__xludf.DUMMYFUNCTION("""COMPUTED_VALUE"""),"DISCUSSION")</f>
        <v>DISCUSSION</v>
      </c>
      <c r="E24" s="11" t="str">
        <f>IFERROR(__xludf.DUMMYFUNCTION("""COMPUTED_VALUE"""),"UGC")</f>
        <v>UGC</v>
      </c>
      <c r="F24" s="11" t="str">
        <f>IFERROR(__xludf.DUMMYFUNCTION("""COMPUTED_VALUE"""),"Discussion")</f>
        <v>Discussion</v>
      </c>
      <c r="G24" s="11" t="b">
        <f>IFERROR(__xludf.DUMMYFUNCTION("""COMPUTED_VALUE"""),FALSE)</f>
        <v>0</v>
      </c>
      <c r="H24" s="11" t="str">
        <f>IFERROR(__xludf.DUMMYFUNCTION("""COMPUTED_VALUE"""),"Recast, LifeSight")</f>
        <v>Recast, LifeSight</v>
      </c>
      <c r="I24" s="11">
        <f>IFERROR(__xludf.DUMMYFUNCTION("""COMPUTED_VALUE"""),1.0)</f>
        <v>1</v>
      </c>
      <c r="J24" s="11">
        <f>IFERROR(__xludf.DUMMYFUNCTION("""COMPUTED_VALUE"""),0.0)</f>
        <v>0</v>
      </c>
      <c r="K24" s="11">
        <f>IFERROR(__xludf.DUMMYFUNCTION("""COMPUTED_VALUE"""),2.0)</f>
        <v>2</v>
      </c>
    </row>
    <row r="25" ht="15.75" customHeight="1">
      <c r="A25" s="10" t="str">
        <f>IFERROR(__xludf.DUMMYFUNCTION("""COMPUTED_VALUE"""),"https://www.reddit.com/r/FacebookAds/comments/1nhohty/meta_insights_based_on_640_incrementality_tests/")</f>
        <v>https://www.reddit.com/r/FacebookAds/comments/1nhohty/meta_insights_based_on_640_incrementality_tests/</v>
      </c>
      <c r="B25" s="11" t="str">
        <f>IFERROR(__xludf.DUMMYFUNCTION("""COMPUTED_VALUE"""),"Meta Insights based on 640 Incrementality Tests")</f>
        <v>Meta Insights based on 640 Incrementality Tests</v>
      </c>
      <c r="C25" s="10" t="str">
        <f>IFERROR(__xludf.DUMMYFUNCTION("""COMPUTED_VALUE"""),"reddit.com")</f>
        <v>reddit.com</v>
      </c>
      <c r="D25" s="11" t="str">
        <f>IFERROR(__xludf.DUMMYFUNCTION("""COMPUTED_VALUE"""),"DISCUSSION")</f>
        <v>DISCUSSION</v>
      </c>
      <c r="E25" s="11" t="str">
        <f>IFERROR(__xludf.DUMMYFUNCTION("""COMPUTED_VALUE"""),"UGC")</f>
        <v>UGC</v>
      </c>
      <c r="F25" s="11" t="str">
        <f>IFERROR(__xludf.DUMMYFUNCTION("""COMPUTED_VALUE"""),"Discussion")</f>
        <v>Discussion</v>
      </c>
      <c r="G25" s="11" t="b">
        <f>IFERROR(__xludf.DUMMYFUNCTION("""COMPUTED_VALUE"""),FALSE)</f>
        <v>0</v>
      </c>
      <c r="H25" s="11" t="str">
        <f>IFERROR(__xludf.DUMMYFUNCTION("""COMPUTED_VALUE"""),"Haus, Huge")</f>
        <v>Haus, Huge</v>
      </c>
      <c r="I25" s="11">
        <f>IFERROR(__xludf.DUMMYFUNCTION("""COMPUTED_VALUE"""),1.0)</f>
        <v>1</v>
      </c>
      <c r="J25" s="11">
        <f>IFERROR(__xludf.DUMMYFUNCTION("""COMPUTED_VALUE"""),0.0)</f>
        <v>0</v>
      </c>
      <c r="K25" s="11">
        <f>IFERROR(__xludf.DUMMYFUNCTION("""COMPUTED_VALUE"""),3.0)</f>
        <v>3</v>
      </c>
    </row>
    <row r="26" ht="15.75" customHeight="1">
      <c r="A26" s="10" t="str">
        <f>IFERROR(__xludf.DUMMYFUNCTION("""COMPUTED_VALUE"""),"https://www.reddit.com/r/GenEngineOptimization/comments/1qab4rt/what_are_the_top_geo_agencies_and_what_softwares/")</f>
        <v>https://www.reddit.com/r/GenEngineOptimization/comments/1qab4rt/what_are_the_top_geo_agencies_and_what_softwares/</v>
      </c>
      <c r="B26" s="11" t="str">
        <f>IFERROR(__xludf.DUMMYFUNCTION("""COMPUTED_VALUE"""),"What are the top GEO Agencies and what softwares are they using?")</f>
        <v>What are the top GEO Agencies and what softwares are they using?</v>
      </c>
      <c r="C26" s="10" t="str">
        <f>IFERROR(__xludf.DUMMYFUNCTION("""COMPUTED_VALUE"""),"reddit.com")</f>
        <v>reddit.com</v>
      </c>
      <c r="D26" s="11" t="str">
        <f>IFERROR(__xludf.DUMMYFUNCTION("""COMPUTED_VALUE"""),"DISCUSSION")</f>
        <v>DISCUSSION</v>
      </c>
      <c r="E26" s="11" t="str">
        <f>IFERROR(__xludf.DUMMYFUNCTION("""COMPUTED_VALUE"""),"UGC")</f>
        <v>UGC</v>
      </c>
      <c r="F26" s="11" t="str">
        <f>IFERROR(__xludf.DUMMYFUNCTION("""COMPUTED_VALUE"""),"Discussion")</f>
        <v>Discussion</v>
      </c>
      <c r="G26" s="11" t="b">
        <f>IFERROR(__xludf.DUMMYFUNCTION("""COMPUTED_VALUE"""),FALSE)</f>
        <v>0</v>
      </c>
      <c r="H26" s="11"/>
      <c r="I26" s="11">
        <f>IFERROR(__xludf.DUMMYFUNCTION("""COMPUTED_VALUE"""),1.0)</f>
        <v>1</v>
      </c>
      <c r="J26" s="11">
        <f>IFERROR(__xludf.DUMMYFUNCTION("""COMPUTED_VALUE"""),0.0)</f>
        <v>0</v>
      </c>
      <c r="K26" s="11">
        <f>IFERROR(__xludf.DUMMYFUNCTION("""COMPUTED_VALUE"""),1.0)</f>
        <v>1</v>
      </c>
    </row>
    <row r="27" ht="15.75" customHeight="1">
      <c r="A27" s="10" t="str">
        <f>IFERROR(__xludf.DUMMYFUNCTION("""COMPUTED_VALUE"""),"https://www.reddit.com/r/GrowthHacking/comments/1rri9ch/searching_for_10_ai_visibility_agency_brands_are/")</f>
        <v>https://www.reddit.com/r/GrowthHacking/comments/1rri9ch/searching_for_10_ai_visibility_agency_brands_are/</v>
      </c>
      <c r="B27" s="11" t="str">
        <f>IFERROR(__xludf.DUMMYFUNCTION("""COMPUTED_VALUE"""),"Searching for 10 AI visibility agency brands are talking about right now?")</f>
        <v>Searching for 10 AI visibility agency brands are talking about right now?</v>
      </c>
      <c r="C27" s="10" t="str">
        <f>IFERROR(__xludf.DUMMYFUNCTION("""COMPUTED_VALUE"""),"reddit.com")</f>
        <v>reddit.com</v>
      </c>
      <c r="D27" s="11" t="str">
        <f>IFERROR(__xludf.DUMMYFUNCTION("""COMPUTED_VALUE"""),"DISCUSSION")</f>
        <v>DISCUSSION</v>
      </c>
      <c r="E27" s="11" t="str">
        <f>IFERROR(__xludf.DUMMYFUNCTION("""COMPUTED_VALUE"""),"UGC")</f>
        <v>UGC</v>
      </c>
      <c r="F27" s="11" t="str">
        <f>IFERROR(__xludf.DUMMYFUNCTION("""COMPUTED_VALUE"""),"Discussion")</f>
        <v>Discussion</v>
      </c>
      <c r="G27" s="11" t="b">
        <f>IFERROR(__xludf.DUMMYFUNCTION("""COMPUTED_VALUE"""),FALSE)</f>
        <v>0</v>
      </c>
      <c r="H27" s="11"/>
      <c r="I27" s="11">
        <f>IFERROR(__xludf.DUMMYFUNCTION("""COMPUTED_VALUE"""),1.0)</f>
        <v>1</v>
      </c>
      <c r="J27" s="11">
        <f>IFERROR(__xludf.DUMMYFUNCTION("""COMPUTED_VALUE"""),0.0)</f>
        <v>0</v>
      </c>
      <c r="K27" s="11">
        <f>IFERROR(__xludf.DUMMYFUNCTION("""COMPUTED_VALUE"""),0.0)</f>
        <v>0</v>
      </c>
    </row>
    <row r="28" ht="15.75" customHeight="1">
      <c r="A28" s="10" t="str">
        <f>IFERROR(__xludf.DUMMYFUNCTION("""COMPUTED_VALUE"""),"https://www.reddit.com/r/SaaS/comments/1rd9bem/whats_the_best_marketing_agency_youve_worked_with/")</f>
        <v>https://www.reddit.com/r/SaaS/comments/1rd9bem/whats_the_best_marketing_agency_youve_worked_with/</v>
      </c>
      <c r="B28" s="11" t="str">
        <f>IFERROR(__xludf.DUMMYFUNCTION("""COMPUTED_VALUE"""),"What’s the best marketing agency you’ve worked with, and what did they actually do well?")</f>
        <v>What’s the best marketing agency you’ve worked with, and what did they actually do well?</v>
      </c>
      <c r="C28" s="10" t="str">
        <f>IFERROR(__xludf.DUMMYFUNCTION("""COMPUTED_VALUE"""),"reddit.com")</f>
        <v>reddit.com</v>
      </c>
      <c r="D28" s="11" t="str">
        <f>IFERROR(__xludf.DUMMYFUNCTION("""COMPUTED_VALUE"""),"DISCUSSION")</f>
        <v>DISCUSSION</v>
      </c>
      <c r="E28" s="11" t="str">
        <f>IFERROR(__xludf.DUMMYFUNCTION("""COMPUTED_VALUE"""),"UGC")</f>
        <v>UGC</v>
      </c>
      <c r="F28" s="11" t="str">
        <f>IFERROR(__xludf.DUMMYFUNCTION("""COMPUTED_VALUE"""),"Discussion")</f>
        <v>Discussion</v>
      </c>
      <c r="G28" s="11" t="b">
        <f>IFERROR(__xludf.DUMMYFUNCTION("""COMPUTED_VALUE"""),FALSE)</f>
        <v>0</v>
      </c>
      <c r="H28" s="11" t="str">
        <f>IFERROR(__xludf.DUMMYFUNCTION("""COMPUTED_VALUE"""),"Measured, Huge, Animalz")</f>
        <v>Measured, Huge, Animalz</v>
      </c>
      <c r="I28" s="11">
        <f>IFERROR(__xludf.DUMMYFUNCTION("""COMPUTED_VALUE"""),1.0)</f>
        <v>1</v>
      </c>
      <c r="J28" s="11">
        <f>IFERROR(__xludf.DUMMYFUNCTION("""COMPUTED_VALUE"""),0.0)</f>
        <v>0</v>
      </c>
      <c r="K28" s="11">
        <f>IFERROR(__xludf.DUMMYFUNCTION("""COMPUTED_VALUE"""),1.0)</f>
        <v>1</v>
      </c>
    </row>
    <row r="29" ht="15.75" customHeight="1">
      <c r="A29" s="10" t="str">
        <f>IFERROR(__xludf.DUMMYFUNCTION("""COMPUTED_VALUE"""),"https://www.reddit.com/r/TheTopAgencies/comments/1m6imy5/the_best_digital_marketing_agencies_in_seattle/")</f>
        <v>https://www.reddit.com/r/TheTopAgencies/comments/1m6imy5/the_best_digital_marketing_agencies_in_seattle/</v>
      </c>
      <c r="B29" s="11" t="str">
        <f>IFERROR(__xludf.DUMMYFUNCTION("""COMPUTED_VALUE"""),"The Best Digital Marketing Agencies in Seattle")</f>
        <v>The Best Digital Marketing Agencies in Seattle</v>
      </c>
      <c r="C29" s="10" t="str">
        <f>IFERROR(__xludf.DUMMYFUNCTION("""COMPUTED_VALUE"""),"reddit.com")</f>
        <v>reddit.com</v>
      </c>
      <c r="D29" s="11" t="str">
        <f>IFERROR(__xludf.DUMMYFUNCTION("""COMPUTED_VALUE"""),"DISCUSSION")</f>
        <v>DISCUSSION</v>
      </c>
      <c r="E29" s="11" t="str">
        <f>IFERROR(__xludf.DUMMYFUNCTION("""COMPUTED_VALUE"""),"UGC")</f>
        <v>UGC</v>
      </c>
      <c r="F29" s="11" t="str">
        <f>IFERROR(__xludf.DUMMYFUNCTION("""COMPUTED_VALUE"""),"Discussion")</f>
        <v>Discussion</v>
      </c>
      <c r="G29" s="11" t="b">
        <f>IFERROR(__xludf.DUMMYFUNCTION("""COMPUTED_VALUE"""),FALSE)</f>
        <v>0</v>
      </c>
      <c r="H29" s="11" t="str">
        <f>IFERROR(__xludf.DUMMYFUNCTION("""COMPUTED_VALUE"""),"Thrive Internet Marketing Agency, Brainlabs, NoGood")</f>
        <v>Thrive Internet Marketing Agency, Brainlabs, NoGood</v>
      </c>
      <c r="I29" s="11">
        <f>IFERROR(__xludf.DUMMYFUNCTION("""COMPUTED_VALUE"""),1.0)</f>
        <v>1</v>
      </c>
      <c r="J29" s="11">
        <f>IFERROR(__xludf.DUMMYFUNCTION("""COMPUTED_VALUE"""),0.0)</f>
        <v>0</v>
      </c>
      <c r="K29" s="11">
        <f>IFERROR(__xludf.DUMMYFUNCTION("""COMPUTED_VALUE"""),1.0)</f>
        <v>1</v>
      </c>
    </row>
    <row r="30" ht="15.75" customHeight="1">
      <c r="A30" s="10" t="str">
        <f>IFERROR(__xludf.DUMMYFUNCTION("""COMPUTED_VALUE"""),"https://www.reddit.com/r/digital_marketing/comments/1rpmtmy/what_are_the_top_5_ai_visibility_agencies_in_2026/")</f>
        <v>https://www.reddit.com/r/digital_marketing/comments/1rpmtmy/what_are_the_top_5_ai_visibility_agencies_in_2026/</v>
      </c>
      <c r="B30" s="11" t="str">
        <f>IFERROR(__xludf.DUMMYFUNCTION("""COMPUTED_VALUE"""),"What Are the Top 5 AI Visibility Agencies in 2026?")</f>
        <v>What Are the Top 5 AI Visibility Agencies in 2026?</v>
      </c>
      <c r="C30" s="10" t="str">
        <f>IFERROR(__xludf.DUMMYFUNCTION("""COMPUTED_VALUE"""),"reddit.com")</f>
        <v>reddit.com</v>
      </c>
      <c r="D30" s="11" t="str">
        <f>IFERROR(__xludf.DUMMYFUNCTION("""COMPUTED_VALUE"""),"DISCUSSION")</f>
        <v>DISCUSSION</v>
      </c>
      <c r="E30" s="11" t="str">
        <f>IFERROR(__xludf.DUMMYFUNCTION("""COMPUTED_VALUE"""),"UGC")</f>
        <v>UGC</v>
      </c>
      <c r="F30" s="11" t="str">
        <f>IFERROR(__xludf.DUMMYFUNCTION("""COMPUTED_VALUE"""),"Discussion")</f>
        <v>Discussion</v>
      </c>
      <c r="G30" s="11" t="b">
        <f>IFERROR(__xludf.DUMMYFUNCTION("""COMPUTED_VALUE"""),FALSE)</f>
        <v>0</v>
      </c>
      <c r="H30" s="11" t="str">
        <f>IFERROR(__xludf.DUMMYFUNCTION("""COMPUTED_VALUE"""),"Intero Digital")</f>
        <v>Intero Digital</v>
      </c>
      <c r="I30" s="11">
        <f>IFERROR(__xludf.DUMMYFUNCTION("""COMPUTED_VALUE"""),1.0)</f>
        <v>1</v>
      </c>
      <c r="J30" s="11">
        <f>IFERROR(__xludf.DUMMYFUNCTION("""COMPUTED_VALUE"""),0.0)</f>
        <v>0</v>
      </c>
      <c r="K30" s="11">
        <f>IFERROR(__xludf.DUMMYFUNCTION("""COMPUTED_VALUE"""),2.0)</f>
        <v>2</v>
      </c>
    </row>
    <row r="31" ht="15.75" customHeight="1">
      <c r="A31" s="10" t="str">
        <f>IFERROR(__xludf.DUMMYFUNCTION("""COMPUTED_VALUE"""),"https://www.reddit.com/r/u_ThoughtMetric/comments/1t4mvsi/we_put_together_a_comparison_of_the_top_shopify/")</f>
        <v>https://www.reddit.com/r/u_ThoughtMetric/comments/1t4mvsi/we_put_together_a_comparison_of_the_top_shopify/</v>
      </c>
      <c r="B31" s="11" t="str">
        <f>IFERROR(__xludf.DUMMYFUNCTION("""COMPUTED_VALUE"""),"We put together a comparison of the top Shopify attribution tools (features, pricing, and who they fit)")</f>
        <v>We put together a comparison of the top Shopify attribution tools (features, pricing, and who they fit)</v>
      </c>
      <c r="C31" s="10" t="str">
        <f>IFERROR(__xludf.DUMMYFUNCTION("""COMPUTED_VALUE"""),"reddit.com")</f>
        <v>reddit.com</v>
      </c>
      <c r="D31" s="11" t="str">
        <f>IFERROR(__xludf.DUMMYFUNCTION("""COMPUTED_VALUE"""),"DISCUSSION")</f>
        <v>DISCUSSION</v>
      </c>
      <c r="E31" s="11" t="str">
        <f>IFERROR(__xludf.DUMMYFUNCTION("""COMPUTED_VALUE"""),"UGC")</f>
        <v>UGC</v>
      </c>
      <c r="F31" s="11" t="str">
        <f>IFERROR(__xludf.DUMMYFUNCTION("""COMPUTED_VALUE"""),"Discussion")</f>
        <v>Discussion</v>
      </c>
      <c r="G31" s="11" t="b">
        <f>IFERROR(__xludf.DUMMYFUNCTION("""COMPUTED_VALUE"""),FALSE)</f>
        <v>0</v>
      </c>
      <c r="H31" s="11" t="str">
        <f>IFERROR(__xludf.DUMMYFUNCTION("""COMPUTED_VALUE"""),"Rockerbox, Triple Whale, Northbeam")</f>
        <v>Rockerbox, Triple Whale, Northbeam</v>
      </c>
      <c r="I31" s="11">
        <f>IFERROR(__xludf.DUMMYFUNCTION("""COMPUTED_VALUE"""),1.0)</f>
        <v>1</v>
      </c>
      <c r="J31" s="11">
        <f>IFERROR(__xludf.DUMMYFUNCTION("""COMPUTED_VALUE"""),0.0)</f>
        <v>0</v>
      </c>
      <c r="K31" s="11">
        <f>IFERROR(__xludf.DUMMYFUNCTION("""COMPUTED_VALUE"""),2.0)</f>
        <v>2</v>
      </c>
    </row>
    <row r="32" ht="15.75" customHeight="1">
      <c r="A32" s="10" t="str">
        <f>IFERROR(__xludf.DUMMYFUNCTION("""COMPUTED_VALUE"""),"https://www.reddit.com/r/u_ThoughtMetric/comments/1tdbr6w/top_hyros_alternatives_updated_may_2026/")</f>
        <v>https://www.reddit.com/r/u_ThoughtMetric/comments/1tdbr6w/top_hyros_alternatives_updated_may_2026/</v>
      </c>
      <c r="B32" s="11" t="str">
        <f>IFERROR(__xludf.DUMMYFUNCTION("""COMPUTED_VALUE"""),"Top Hyros alternatives (updated May 2026)")</f>
        <v>Top Hyros alternatives (updated May 2026)</v>
      </c>
      <c r="C32" s="10" t="str">
        <f>IFERROR(__xludf.DUMMYFUNCTION("""COMPUTED_VALUE"""),"reddit.com")</f>
        <v>reddit.com</v>
      </c>
      <c r="D32" s="11" t="str">
        <f>IFERROR(__xludf.DUMMYFUNCTION("""COMPUTED_VALUE"""),"DISCUSSION")</f>
        <v>DISCUSSION</v>
      </c>
      <c r="E32" s="11" t="str">
        <f>IFERROR(__xludf.DUMMYFUNCTION("""COMPUTED_VALUE"""),"UGC")</f>
        <v>UGC</v>
      </c>
      <c r="F32" s="11" t="str">
        <f>IFERROR(__xludf.DUMMYFUNCTION("""COMPUTED_VALUE"""),"Discussion")</f>
        <v>Discussion</v>
      </c>
      <c r="G32" s="11" t="b">
        <f>IFERROR(__xludf.DUMMYFUNCTION("""COMPUTED_VALUE"""),FALSE)</f>
        <v>0</v>
      </c>
      <c r="H32" s="11" t="str">
        <f>IFERROR(__xludf.DUMMYFUNCTION("""COMPUTED_VALUE"""),"Rockerbox, Northbeam, Triple Whale")</f>
        <v>Rockerbox, Northbeam, Triple Whale</v>
      </c>
      <c r="I32" s="11">
        <f>IFERROR(__xludf.DUMMYFUNCTION("""COMPUTED_VALUE"""),1.0)</f>
        <v>1</v>
      </c>
      <c r="J32" s="11">
        <f>IFERROR(__xludf.DUMMYFUNCTION("""COMPUTED_VALUE"""),0.0)</f>
        <v>0</v>
      </c>
      <c r="K32" s="11">
        <f>IFERROR(__xludf.DUMMYFUNCTION("""COMPUTED_VALUE"""),1.0)</f>
        <v>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location=":~:text=Conductor%20is%20the%20enterprise%20tool%20behind%20the,else%20is%20doing.%20Lemonshadehere.%20%E2%80%A2%204mo%20ago."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The%20strategy%20includes%20digital%20PR,designed%20to%20increase%20citation%20probability."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s>
  <drawing r:id="rId6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All'!A2:A1000)),""quora"")
  ),
  """"
)"),"https://www.quora.com/What-is-the-best-AEO-agency-in-the-USA-in-2026")</f>
        <v>https://www.quora.com/What-is-the-best-AEO-agency-in-the-USA-in-2026</v>
      </c>
      <c r="B2" s="11"/>
      <c r="C2" s="10" t="str">
        <f>IFERROR(__xludf.DUMMYFUNCTION("""COMPUTED_VALUE"""),"quora.com")</f>
        <v>quora.com</v>
      </c>
      <c r="D2" s="11" t="str">
        <f>IFERROR(__xludf.DUMMYFUNCTION("""COMPUTED_VALUE"""),"OTHER")</f>
        <v>OTHER</v>
      </c>
      <c r="E2" s="11" t="str">
        <f>IFERROR(__xludf.DUMMYFUNCTION("""COMPUTED_VALUE"""),"UGC")</f>
        <v>UGC</v>
      </c>
      <c r="F2" s="11" t="str">
        <f>IFERROR(__xludf.DUMMYFUNCTION("""COMPUTED_VALUE"""),"Other")</f>
        <v>Other</v>
      </c>
      <c r="G2" s="11"/>
      <c r="H2" s="11" t="str">
        <f>IFERROR(__xludf.DUMMYFUNCTION("""COMPUTED_VALUE"""),"Unknown")</f>
        <v>Unknown</v>
      </c>
      <c r="I2" s="11">
        <f>IFERROR(__xludf.DUMMYFUNCTION("""COMPUTED_VALUE"""),4.0)</f>
        <v>4</v>
      </c>
      <c r="J2" s="11">
        <f>IFERROR(__xludf.DUMMYFUNCTION("""COMPUTED_VALUE"""),0.0)</f>
        <v>0</v>
      </c>
      <c r="K2" s="11">
        <f>IFERROR(__xludf.DUMMYFUNCTION("""COMPUTED_VALUE"""),1.25)</f>
        <v>1.25</v>
      </c>
    </row>
    <row r="3" ht="15.75" customHeight="1">
      <c r="A3" s="10" t="str">
        <f>IFERROR(__xludf.DUMMYFUNCTION("""COMPUTED_VALUE"""),"https://www.quora.com/What-are-some-AI-SEO-agencies")</f>
        <v>https://www.quora.com/What-are-some-AI-SEO-agencies</v>
      </c>
      <c r="B3" s="11" t="str">
        <f>IFERROR(__xludf.DUMMYFUNCTION("""COMPUTED_VALUE"""),"What are some AI SEO agencies? - Quora")</f>
        <v>What are some AI SEO agencies? - Quora</v>
      </c>
      <c r="C3" s="10" t="str">
        <f>IFERROR(__xludf.DUMMYFUNCTION("""COMPUTED_VALUE"""),"quora.com")</f>
        <v>quora.com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IFERROR(__xludf.DUMMYFUNCTION("""COMPUTED_VALUE"""),"NP Digital, Directive, Victorious, Single Grain, Siege Media")</f>
        <v>NP Digital, Directive, Victorious, Single Grain, Siege Media</v>
      </c>
      <c r="I3" s="11">
        <f>IFERROR(__xludf.DUMMYFUNCTION("""COMPUTED_VALUE"""),1.0)</f>
        <v>1</v>
      </c>
      <c r="J3" s="11">
        <f>IFERROR(__xludf.DUMMYFUNCTION("""COMPUTED_VALUE"""),0.0)</f>
        <v>0</v>
      </c>
      <c r="K3" s="11">
        <f>IFERROR(__xludf.DUMMYFUNCTION("""COMPUTED_VALUE"""),1.0)</f>
        <v>1</v>
      </c>
    </row>
    <row r="4" ht="15.75" customHeight="1">
      <c r="A4" s="10" t="str">
        <f>IFERROR(__xludf.DUMMYFUNCTION("""COMPUTED_VALUE"""),"https://www.quora.com/Which-are-the-best-social-media-marketing-agencies-in-USA")</f>
        <v>https://www.quora.com/Which-are-the-best-social-media-marketing-agencies-in-USA</v>
      </c>
      <c r="B4" s="11"/>
      <c r="C4" s="10" t="str">
        <f>IFERROR(__xludf.DUMMYFUNCTION("""COMPUTED_VALUE"""),"quora.com")</f>
        <v>quora.com</v>
      </c>
      <c r="D4" s="11" t="str">
        <f>IFERROR(__xludf.DUMMYFUNCTION("""COMPUTED_VALUE"""),"OTHER")</f>
        <v>OTHER</v>
      </c>
      <c r="E4" s="11" t="str">
        <f>IFERROR(__xludf.DUMMYFUNCTION("""COMPUTED_VALUE"""),"OTHER")</f>
        <v>OTHER</v>
      </c>
      <c r="F4" s="11" t="str">
        <f>IFERROR(__xludf.DUMMYFUNCTION("""COMPUTED_VALUE"""),"Other")</f>
        <v>Other</v>
      </c>
      <c r="G4" s="11"/>
      <c r="H4" s="11" t="str">
        <f>IFERROR(__xludf.DUMMYFUNCTION("""COMPUTED_VALUE"""),"Unknown")</f>
        <v>Unknown</v>
      </c>
      <c r="I4" s="11">
        <f>IFERROR(__xludf.DUMMYFUNCTION("""COMPUTED_VALUE"""),1.0)</f>
        <v>1</v>
      </c>
      <c r="J4" s="11">
        <f>IFERROR(__xludf.DUMMYFUNCTION("""COMPUTED_VALUE"""),0.0)</f>
        <v>0</v>
      </c>
      <c r="K4" s="11">
        <f>IFERROR(__xludf.DUMMYFUNCTION("""COMPUTED_VALUE"""),1.0)</f>
        <v>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All'!A2:A1000)),""medium"")
  ),
  """"
)"),"https://medium.com/@naiya.sharma_75305/10-best-digital-marketing-agencies-trusted-by-leading-brands-in-the-usa-db172483a516")</f>
        <v>https://medium.com/@naiya.sharma_75305/10-best-digital-marketing-agencies-trusted-by-leading-brands-in-the-usa-db172483a516</v>
      </c>
      <c r="B2" s="11" t="str">
        <f>IFERROR(__xludf.DUMMYFUNCTION("""COMPUTED_VALUE"""),"10+ Best Digital Marketing Agencies Trusted by Leading Brands in the USA | by Naiya Sharma | Medium")</f>
        <v>10+ Best Digital Marketing Agencies Trusted by Leading Brands in the USA | by Naiya Sharma | Medium</v>
      </c>
      <c r="C2" s="10" t="str">
        <f>IFERROR(__xludf.DUMMYFUNCTION("""COMPUTED_VALUE"""),"medium.com")</f>
        <v>medium.com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t="str">
        <f>IFERROR(__xludf.DUMMYFUNCTION("""COMPUTED_VALUE"""),"Ogilvy, IBM, Dentsu, Merkle, Accenture Song, Deloitte Digital, BBDO, Omnicom Media Group, Publicis Groupe, Epsilon, Wieden+Kennedy")</f>
        <v>Ogilvy, IBM, Dentsu, Merkle, Accenture Song, Deloitte Digital, BBDO, Omnicom Media Group, Publicis Groupe, Epsilon, Wieden+Kennedy</v>
      </c>
      <c r="I2" s="11">
        <f>IFERROR(__xludf.DUMMYFUNCTION("""COMPUTED_VALUE"""),1.0)</f>
        <v>1</v>
      </c>
      <c r="J2" s="11">
        <f>IFERROR(__xludf.DUMMYFUNCTION("""COMPUTED_VALUE"""),0.0)</f>
        <v>0</v>
      </c>
      <c r="K2" s="11">
        <f>IFERROR(__xludf.DUMMYFUNCTION("""COMPUTED_VALUE"""),0.0)</f>
        <v>0</v>
      </c>
    </row>
    <row r="3" ht="15.75" customHeight="1">
      <c r="A3" s="10" t="str">
        <f>IFERROR(__xludf.DUMMYFUNCTION("""COMPUTED_VALUE"""),"https://medium.com/data-science-at-microsoft/how-do-you-know-your-ai-actually-works-b1a380a07825")</f>
        <v>https://medium.com/data-science-at-microsoft/how-do-you-know-your-ai-actually-works-b1a380a07825</v>
      </c>
      <c r="B3" s="11" t="str">
        <f>IFERROR(__xludf.DUMMYFUNCTION("""COMPUTED_VALUE"""),"AI evals platforms: A comparative guide for production AI systems | by Francesca Lazzeri | Data Science + AI at Microsoft | Medium")</f>
        <v>AI evals platforms: A comparative guide for production AI systems | by Francesca Lazzeri | Data Science + AI at Microsoft | Medium</v>
      </c>
      <c r="C3" s="10" t="str">
        <f>IFERROR(__xludf.DUMMYFUNCTION("""COMPUTED_VALUE"""),"medium.com")</f>
        <v>medium.com</v>
      </c>
      <c r="D3" s="11" t="str">
        <f>IFERROR(__xludf.DUMMYFUNCTION("""COMPUTED_VALUE"""),"COMPARISON")</f>
        <v>COMPARISON</v>
      </c>
      <c r="E3" s="11" t="str">
        <f>IFERROR(__xludf.DUMMYFUNCTION("""COMPUTED_VALUE"""),"UGC")</f>
        <v>UGC</v>
      </c>
      <c r="F3" s="11" t="str">
        <f>IFERROR(__xludf.DUMMYFUNCTION("""COMPUTED_VALUE"""),"Comparison")</f>
        <v>Comparison</v>
      </c>
      <c r="G3" s="11" t="b">
        <f>IFERROR(__xludf.DUMMYFUNCTION("""COMPUTED_VALUE"""),FALSE)</f>
        <v>0</v>
      </c>
      <c r="H3" s="11"/>
      <c r="I3" s="11">
        <f>IFERROR(__xludf.DUMMYFUNCTION("""COMPUTED_VALUE"""),1.0)</f>
        <v>1</v>
      </c>
      <c r="J3" s="11">
        <f>IFERROR(__xludf.DUMMYFUNCTION("""COMPUTED_VALUE"""),0.0)</f>
        <v>0</v>
      </c>
      <c r="K3" s="11">
        <f>IFERROR(__xludf.DUMMYFUNCTION("""COMPUTED_VALUE"""),1.0)</f>
        <v>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)"),"https://www.businessinsider.com/how-ai-is-changing-consulting-talent-at-mckinsey-pwc-deloitte-2025-12")</f>
        <v>https://www.businessinsider.com/how-ai-is-changing-consulting-talent-at-mckinsey-pwc-deloitte-2025-12</v>
      </c>
      <c r="B2" s="11" t="str">
        <f>IFERROR(__xludf.DUMMYFUNCTION("""COMPUTED_VALUE"""),"How Elite Consulting Firms Are Changing Hiring and Training in the AI Age - Business Insider")</f>
        <v>How Elite Consulting Firms Are Changing Hiring and Training in the AI Age - Business Insider</v>
      </c>
      <c r="C2" s="10" t="str">
        <f>IFERROR(__xludf.DUMMYFUNCTION("""COMPUTED_VALUE"""),"businessinsider.com")</f>
        <v>businessinsider.com</v>
      </c>
      <c r="D2" s="11" t="str">
        <f>IFERROR(__xludf.DUMMYFUNCTION("""COMPUTED_VALUE"""),"ARTICLE")</f>
        <v>ARTICLE</v>
      </c>
      <c r="E2" s="11" t="str">
        <f>IFERROR(__xludf.DUMMYFUNCTION("""COMPUTED_VALUE"""),"EDITORIAL")</f>
        <v>EDITORIAL</v>
      </c>
      <c r="F2" s="11" t="str">
        <f>IFERROR(__xludf.DUMMYFUNCTION("""COMPUTED_VALUE"""),"Article")</f>
        <v>Article</v>
      </c>
      <c r="G2" s="11" t="b">
        <f>IFERROR(__xludf.DUMMYFUNCTION("""COMPUTED_VALUE"""),FALSE)</f>
        <v>0</v>
      </c>
      <c r="H2" s="11" t="str">
        <f>IFERROR(__xludf.DUMMYFUNCTION("""COMPUTED_VALUE"""),"McKinsey, PwC, BCG, QuantumBlack")</f>
        <v>McKinsey, PwC, BCG, QuantumBlack</v>
      </c>
      <c r="I2" s="11">
        <f>IFERROR(__xludf.DUMMYFUNCTION("""COMPUTED_VALUE"""),1.0)</f>
        <v>1</v>
      </c>
      <c r="J2" s="11">
        <f>IFERROR(__xludf.DUMMYFUNCTION("""COMPUTED_VALUE"""),0.0)</f>
        <v>0</v>
      </c>
      <c r="K2" s="11">
        <f>IFERROR(__xludf.DUMMYFUNCTION("""COMPUTED_VALUE"""),2.0)</f>
        <v>2</v>
      </c>
    </row>
    <row r="3" ht="15.75" customHeight="1">
      <c r="A3" s="10" t="str">
        <f>IFERROR(__xludf.DUMMYFUNCTION("""COMPUTED_VALUE"""),"https://pipeline.zoominfo.com/marketing/digital-marketing-tools")</f>
        <v>https://pipeline.zoominfo.com/marketing/digital-marketing-tools</v>
      </c>
      <c r="B3" s="11" t="str">
        <f>IFERROR(__xludf.DUMMYFUNCTION("""COMPUTED_VALUE"""),"Digital Marketing Tools: 12 Best Platforms Compared for 2026")</f>
        <v>Digital Marketing Tools: 12 Best Platforms Compared for 2026</v>
      </c>
      <c r="C3" s="10" t="str">
        <f>IFERROR(__xludf.DUMMYFUNCTION("""COMPUTED_VALUE"""),"zoominfo.com")</f>
        <v>zoominfo.com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c r="I3" s="11">
        <f>IFERROR(__xludf.DUMMYFUNCTION("""COMPUTED_VALUE"""),1.0)</f>
        <v>1</v>
      </c>
      <c r="J3" s="11">
        <f>IFERROR(__xludf.DUMMYFUNCTION("""COMPUTED_VALUE"""),0.0)</f>
        <v>0</v>
      </c>
      <c r="K3" s="11">
        <f>IFERROR(__xludf.DUMMYFUNCTION("""COMPUTED_VALUE"""),1.0)</f>
        <v>1</v>
      </c>
    </row>
    <row r="4" ht="15.75" customHeight="1">
      <c r="A4" s="10" t="str">
        <f>IFERROR(__xludf.DUMMYFUNCTION("""COMPUTED_VALUE"""),"https://www.trustpilot.com/review/www.mutesix.com")</f>
        <v>https://www.trustpilot.com/review/www.mutesix.com</v>
      </c>
      <c r="B4" s="11" t="str">
        <f>IFERROR(__xludf.DUMMYFUNCTION("""COMPUTED_VALUE"""),"MuteSix Reviews \| Read Customer Service Reviews of www.mutesix.com")</f>
        <v>MuteSix Reviews \| Read Customer Service Reviews of www.mutesix.com</v>
      </c>
      <c r="C4" s="10" t="str">
        <f>IFERROR(__xludf.DUMMYFUNCTION("""COMPUTED_VALUE"""),"trustpilot.com")</f>
        <v>trustpilot.com</v>
      </c>
      <c r="D4" s="11" t="str">
        <f>IFERROR(__xludf.DUMMYFUNCTION("""COMPUTED_VALUE"""),"PROFILE")</f>
        <v>PROFILE</v>
      </c>
      <c r="E4" s="11" t="str">
        <f>IFERROR(__xludf.DUMMYFUNCTION("""COMPUTED_VALUE"""),"UGC")</f>
        <v>UGC</v>
      </c>
      <c r="F4" s="11" t="str">
        <f>IFERROR(__xludf.DUMMYFUNCTION("""COMPUTED_VALUE"""),"Profile")</f>
        <v>Profile</v>
      </c>
      <c r="G4" s="11" t="b">
        <f>IFERROR(__xludf.DUMMYFUNCTION("""COMPUTED_VALUE"""),FALSE)</f>
        <v>0</v>
      </c>
      <c r="H4" s="11" t="str">
        <f>IFERROR(__xludf.DUMMYFUNCTION("""COMPUTED_VALUE"""),"NinjaPromo, MuteSix, LYFE Marketing, Superside")</f>
        <v>NinjaPromo, MuteSix, LYFE Marketing, Superside</v>
      </c>
      <c r="I4" s="11">
        <f>IFERROR(__xludf.DUMMYFUNCTION("""COMPUTED_VALUE"""),1.0)</f>
        <v>1</v>
      </c>
      <c r="J4" s="11">
        <f>IFERROR(__xludf.DUMMYFUNCTION("""COMPUTED_VALUE"""),0.0)</f>
        <v>0</v>
      </c>
      <c r="K4" s="11">
        <f>IFERROR(__xludf.DUMMYFUNCTION("""COMPUTED_VALUE"""),1.0)</f>
        <v>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All'!C2:C1000)),""facebook"")
  ),
  """"
)"),"https://www.facebook.com/McKinsey/videos/only-11-of-companies-are-fully-leveraging-the-potential-of-gen-ai-quantumblack-a/932826565549113/")</f>
        <v>https://www.facebook.com/McKinsey/videos/only-11-of-companies-are-fully-leveraging-the-potential-of-gen-ai-quantumblack-a/932826565549113/</v>
      </c>
      <c r="B2" s="11"/>
      <c r="C2" s="10" t="str">
        <f>IFERROR(__xludf.DUMMYFUNCTION("""COMPUTED_VALUE"""),"facebook.com")</f>
        <v>facebook.com</v>
      </c>
      <c r="D2" s="11" t="str">
        <f>IFERROR(__xludf.DUMMYFUNCTION("""COMPUTED_VALUE"""),"OTHER")</f>
        <v>OTHER</v>
      </c>
      <c r="E2" s="11" t="str">
        <f>IFERROR(__xludf.DUMMYFUNCTION("""COMPUTED_VALUE"""),"UGC")</f>
        <v>UGC</v>
      </c>
      <c r="F2" s="11" t="str">
        <f>IFERROR(__xludf.DUMMYFUNCTION("""COMPUTED_VALUE"""),"Other")</f>
        <v>Other</v>
      </c>
      <c r="G2" s="11" t="b">
        <f>IFERROR(__xludf.DUMMYFUNCTION("""COMPUTED_VALUE"""),FALSE)</f>
        <v>0</v>
      </c>
      <c r="H2" s="11" t="str">
        <f>IFERROR(__xludf.DUMMYFUNCTION("""COMPUTED_VALUE"""),"QuantumBlack, McKinsey")</f>
        <v>QuantumBlack, McKinsey</v>
      </c>
      <c r="I2" s="11">
        <f>IFERROR(__xludf.DUMMYFUNCTION("""COMPUTED_VALUE"""),1.0)</f>
        <v>1</v>
      </c>
      <c r="J2" s="11">
        <f>IFERROR(__xludf.DUMMYFUNCTION("""COMPUTED_VALUE"""),0.0)</f>
        <v>0</v>
      </c>
      <c r="K2" s="11">
        <f>IFERROR(__xludf.DUMMYFUNCTION("""COMPUTED_VALUE"""),1.0)</f>
        <v>1</v>
      </c>
    </row>
    <row r="3" ht="15.75" customHeight="1">
      <c r="A3" s="10" t="str">
        <f>IFERROR(__xludf.DUMMYFUNCTION("""COMPUTED_VALUE"""),"https://www.facebook.com/tinuiti1/")</f>
        <v>https://www.facebook.com/tinuiti1/</v>
      </c>
      <c r="B3" s="11" t="str">
        <f>IFERROR(__xludf.DUMMYFUNCTION("""COMPUTED_VALUE"""),"Facebook")</f>
        <v>Facebook</v>
      </c>
      <c r="C3" s="10" t="str">
        <f>IFERROR(__xludf.DUMMYFUNCTION("""COMPUTED_VALUE"""),"facebook.com")</f>
        <v>facebook.com</v>
      </c>
      <c r="D3" s="11" t="str">
        <f>IFERROR(__xludf.DUMMYFUNCTION("""COMPUTED_VALUE"""),"PROFILE")</f>
        <v>PROFILE</v>
      </c>
      <c r="E3" s="11" t="str">
        <f>IFERROR(__xludf.DUMMYFUNCTION("""COMPUTED_VALUE"""),"UGC")</f>
        <v>UGC</v>
      </c>
      <c r="F3" s="11" t="str">
        <f>IFERROR(__xludf.DUMMYFUNCTION("""COMPUTED_VALUE"""),"Profile")</f>
        <v>Profile</v>
      </c>
      <c r="G3" s="11" t="b">
        <f>IFERROR(__xludf.DUMMYFUNCTION("""COMPUTED_VALUE"""),FALSE)</f>
        <v>0</v>
      </c>
      <c r="H3" s="11"/>
      <c r="I3" s="11">
        <f>IFERROR(__xludf.DUMMYFUNCTION("""COMPUTED_VALUE"""),1.0)</f>
        <v>1</v>
      </c>
      <c r="J3" s="11">
        <f>IFERROR(__xludf.DUMMYFUNCTION("""COMPUTED_VALUE"""),0.0)</f>
        <v>0</v>
      </c>
      <c r="K3" s="11">
        <f>IFERROR(__xludf.DUMMYFUNCTION("""COMPUTED_VALUE"""),1.0)</f>
        <v>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All'!A2:A1000)),""linkedin"")
  ),
  """"
)"),"https://www.linkedin.com/pulse/top-25-performance-marketing-agencies-us-hawkemedia-iqbnc")</f>
        <v>https://www.linkedin.com/pulse/top-25-performance-marketing-agencies-us-hawkemedia-iqbnc</v>
      </c>
      <c r="B2" s="11" t="str">
        <f>IFERROR(__xludf.DUMMYFUNCTION("""COMPUTED_VALUE"""),"Top 25 Performance Marketing Agencies In The U.S.")</f>
        <v>Top 25 Performance Marketing Agencies In The U.S.</v>
      </c>
      <c r="C2" s="10" t="str">
        <f>IFERROR(__xludf.DUMMYFUNCTION("""COMPUTED_VALUE"""),"linkedin.com")</f>
        <v>linkedin.com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2" s="11">
        <f>IFERROR(__xludf.DUMMYFUNCTION("""COMPUTED_VALUE"""),36.0)</f>
        <v>36</v>
      </c>
      <c r="J2" s="11">
        <f>IFERROR(__xludf.DUMMYFUNCTION("""COMPUTED_VALUE"""),0.04)</f>
        <v>0.04</v>
      </c>
      <c r="K2" s="11">
        <f>IFERROR(__xludf.DUMMYFUNCTION("""COMPUTED_VALUE"""),1.22)</f>
        <v>1.22</v>
      </c>
    </row>
    <row r="3" ht="15.75" customHeight="1">
      <c r="A3" s="10" t="str">
        <f>IFERROR(__xludf.DUMMYFUNCTION("""COMPUTED_VALUE"""),"https://www.linkedin.com/pulse/top-10-aeo-agencies-usa-2026-best-answer-engine-companies-sam-israel-pgcwc")</f>
        <v>https://www.linkedin.com/pulse/top-10-aeo-agencies-usa-2026-best-answer-engine-companies-sam-israel-pgcwc</v>
      </c>
      <c r="B3" s="11" t="str">
        <f>IFERROR(__xludf.DUMMYFUNCTION("""COMPUTED_VALUE"""),"Top 10 AEO Agencies in the USA (2026): The Best Answer Engine Optimization Companies for AI Search Visibility")</f>
        <v>Top 10 AEO Agencies in the USA (2026): The Best Answer Engine Optimization Companies for AI Search Visibility</v>
      </c>
      <c r="C3" s="10" t="str">
        <f>IFERROR(__xludf.DUMMYFUNCTION("""COMPUTED_VALUE"""),"linkedin.com")</f>
        <v>linkedin.com</v>
      </c>
      <c r="D3" s="11" t="str">
        <f>IFERROR(__xludf.DUMMYFUNCTION("""COMPUTED_VALUE"""),"LISTICLE")</f>
        <v>LISTICLE</v>
      </c>
      <c r="E3" s="11" t="str">
        <f>IFERROR(__xludf.DUMMYFUNCTION("""COMPUTED_VALUE"""),"UGC")</f>
        <v>UGC</v>
      </c>
      <c r="F3" s="11" t="str">
        <f>IFERROR(__xludf.DUMMYFUNCTION("""COMPUTED_VALUE"""),"Listicle")</f>
        <v>Listicle</v>
      </c>
      <c r="G3" s="11" t="b">
        <f>IFERROR(__xludf.DUMMYFUNCTION("""COMPUTED_VALUE"""),FALSE)</f>
        <v>0</v>
      </c>
      <c r="H3" s="11" t="str">
        <f>IFERROR(__xludf.DUMMYFUNCTION("""COMPUTED_VALUE"""),"iPullRank, Omniscient Digital, Siege Media, WebFX, Single Grain, First Page Sage, NoGood, RevenueZen")</f>
        <v>iPullRank, Omniscient Digital, Siege Media, WebFX, Single Grain, First Page Sage, NoGood, RevenueZen</v>
      </c>
      <c r="I3" s="11">
        <f>IFERROR(__xludf.DUMMYFUNCTION("""COMPUTED_VALUE"""),27.0)</f>
        <v>27</v>
      </c>
      <c r="J3" s="11">
        <f>IFERROR(__xludf.DUMMYFUNCTION("""COMPUTED_VALUE"""),0.03)</f>
        <v>0.03</v>
      </c>
      <c r="K3" s="11">
        <f>IFERROR(__xludf.DUMMYFUNCTION("""COMPUTED_VALUE"""),2.15)</f>
        <v>2.15</v>
      </c>
    </row>
    <row r="4" ht="15.75" customHeight="1">
      <c r="A4" s="10" t="str">
        <f>IFERROR(__xludf.DUMMYFUNCTION("""COMPUTED_VALUE"""),"https://directiveconsulting.com/blog/20-best-paid-social-agencies-turning-scrolls-into-sales/#:~:text=Merkle%20B2B%20Merkle%20B2B%20specializes%20in%20enterprise%2Dgrade,complex%20buying%20committees%20across%20LinkedIn%20and%20Meta.")</f>
        <v>https://directiveconsulting.com/blog/20-best-paid-social-agencies-turning-scrolls-into-sales/#:~:text=Merkle%20B2B%20Merkle%20B2B%20specializes%20in%20enterprise%2Dgrade,complex%20buying%20committees%20across%20LinkedIn%20and%20Meta.</v>
      </c>
      <c r="B4" s="11" t="str">
        <f>IFERROR(__xludf.DUMMYFUNCTION("""COMPUTED_VALUE"""),"20 Best Paid Social Agencies For B2B - Directive")</f>
        <v>20 Best Paid Social Agencies For B2B - Directive</v>
      </c>
      <c r="C4" s="10" t="str">
        <f>IFERROR(__xludf.DUMMYFUNCTION("""COMPUTED_VALUE"""),"directiveconsulting.com")</f>
        <v>directiveconsulting.com</v>
      </c>
      <c r="D4" s="11" t="str">
        <f>IFERROR(__xludf.DUMMYFUNCTION("""COMPUTED_VALUE"""),"PRODUCT_PAGE")</f>
        <v>PRODUCT_PAGE</v>
      </c>
      <c r="E4" s="11" t="str">
        <f>IFERROR(__xludf.DUMMYFUNCTION("""COMPUTED_VALUE"""),"COMPETITOR")</f>
        <v>COMPETITOR</v>
      </c>
      <c r="F4" s="11" t="str">
        <f>IFERROR(__xludf.DUMMYFUNCTION("""COMPUTED_VALUE"""),"Product Page")</f>
        <v>Product Page</v>
      </c>
      <c r="G4" s="11" t="b">
        <f>IFERROR(__xludf.DUMMYFUNCTION("""COMPUTED_VALUE"""),FALSE)</f>
        <v>0</v>
      </c>
      <c r="H4" s="11" t="str">
        <f>IFERROR(__xludf.DUMMYFUNCTION("""COMPUTED_VALUE"""),"Directive, Wpromote, Ignite Visibility, Seer Interactive, Merkle, Disruptive Advertising, PMG, Hawke Media, Sociallyin, Jellyfish, KlientBoost, Viral Nation, Brainlabs, LYFE Marketing, Dentsu, TransUnion, IBM, Momentum, Clutch")</f>
        <v>Directive, Wpromote, Ignite Visibility, Seer Interactive, Merkle, Disruptive Advertising, PMG, Hawke Media, Sociallyin, Jellyfish, KlientBoost, Viral Nation, Brainlabs, LYFE Marketing, Dentsu, TransUnion, IBM, Momentum, Clutch</v>
      </c>
      <c r="I4" s="11">
        <f>IFERROR(__xludf.DUMMYFUNCTION("""COMPUTED_VALUE"""),4.0)</f>
        <v>4</v>
      </c>
      <c r="J4" s="11">
        <f>IFERROR(__xludf.DUMMYFUNCTION("""COMPUTED_VALUE"""),0.0)</f>
        <v>0</v>
      </c>
      <c r="K4" s="11">
        <f>IFERROR(__xludf.DUMMYFUNCTION("""COMPUTED_VALUE"""),1.25)</f>
        <v>1.25</v>
      </c>
    </row>
    <row r="5" ht="15.75" customHeight="1">
      <c r="A5" s="10" t="str">
        <f>IFERROR(__xludf.DUMMYFUNCTION("""COMPUTED_VALUE"""),"https://www.linkedin.com/pulse/top-5-geo-agencies-usa-2026-yash-kumar-m4v6c")</f>
        <v>https://www.linkedin.com/pulse/top-5-geo-agencies-usa-2026-yash-kumar-m4v6c</v>
      </c>
      <c r="B5" s="11" t="str">
        <f>IFERROR(__xludf.DUMMYFUNCTION("""COMPUTED_VALUE"""),"Top 5 GEO Agencies in the USA (2026)")</f>
        <v>Top 5 GEO Agencies in the USA (2026)</v>
      </c>
      <c r="C5" s="10" t="str">
        <f>IFERROR(__xludf.DUMMYFUNCTION("""COMPUTED_VALUE"""),"linkedin.com")</f>
        <v>linkedin.com</v>
      </c>
      <c r="D5" s="11" t="str">
        <f>IFERROR(__xludf.DUMMYFUNCTION("""COMPUTED_VALUE"""),"LISTICLE")</f>
        <v>LISTICLE</v>
      </c>
      <c r="E5" s="11" t="str">
        <f>IFERROR(__xludf.DUMMYFUNCTION("""COMPUTED_VALUE"""),"UGC")</f>
        <v>UGC</v>
      </c>
      <c r="F5" s="11" t="str">
        <f>IFERROR(__xludf.DUMMYFUNCTION("""COMPUTED_VALUE"""),"Listicle")</f>
        <v>Listicle</v>
      </c>
      <c r="G5" s="11" t="b">
        <f>IFERROR(__xludf.DUMMYFUNCTION("""COMPUTED_VALUE"""),FALSE)</f>
        <v>0</v>
      </c>
      <c r="H5" s="11" t="str">
        <f>IFERROR(__xludf.DUMMYFUNCTION("""COMPUTED_VALUE"""),"iPullRank, Siege Media, First Page Sage")</f>
        <v>iPullRank, Siege Media, First Page Sage</v>
      </c>
      <c r="I5" s="11">
        <f>IFERROR(__xludf.DUMMYFUNCTION("""COMPUTED_VALUE"""),4.0)</f>
        <v>4</v>
      </c>
      <c r="J5" s="11">
        <f>IFERROR(__xludf.DUMMYFUNCTION("""COMPUTED_VALUE"""),0.0)</f>
        <v>0</v>
      </c>
      <c r="K5" s="11">
        <f>IFERROR(__xludf.DUMMYFUNCTION("""COMPUTED_VALUE"""),0.0)</f>
        <v>0</v>
      </c>
    </row>
    <row r="6" ht="15.75" customHeight="1">
      <c r="A6" s="10" t="str">
        <f>IFERROR(__xludf.DUMMYFUNCTION("""COMPUTED_VALUE"""),"https://www.linkedin.com/company/mutesix")</f>
        <v>https://www.linkedin.com/company/mutesix</v>
      </c>
      <c r="B6" s="11" t="str">
        <f>IFERROR(__xludf.DUMMYFUNCTION("""COMPUTED_VALUE"""),"MuteSix | LinkedIn")</f>
        <v>MuteSix | LinkedIn</v>
      </c>
      <c r="C6" s="10" t="str">
        <f>IFERROR(__xludf.DUMMYFUNCTION("""COMPUTED_VALUE"""),"linkedin.com")</f>
        <v>linkedin.com</v>
      </c>
      <c r="D6" s="11" t="str">
        <f>IFERROR(__xludf.DUMMYFUNCTION("""COMPUTED_VALUE"""),"PROFILE")</f>
        <v>PROFILE</v>
      </c>
      <c r="E6" s="11" t="str">
        <f>IFERROR(__xludf.DUMMYFUNCTION("""COMPUTED_VALUE"""),"UGC")</f>
        <v>UGC</v>
      </c>
      <c r="F6" s="11" t="str">
        <f>IFERROR(__xludf.DUMMYFUNCTION("""COMPUTED_VALUE"""),"Profile")</f>
        <v>Profile</v>
      </c>
      <c r="G6" s="11" t="b">
        <f>IFERROR(__xludf.DUMMYFUNCTION("""COMPUTED_VALUE"""),FALSE)</f>
        <v>0</v>
      </c>
      <c r="H6" s="11" t="str">
        <f>IFERROR(__xludf.DUMMYFUNCTION("""COMPUTED_VALUE"""),"MuteSix, Common Thread Collective, Power Digital, Wpromote, Tinuiti, Monks, NoGood")</f>
        <v>MuteSix, Common Thread Collective, Power Digital, Wpromote, Tinuiti, Monks, NoGood</v>
      </c>
      <c r="I6" s="11">
        <f>IFERROR(__xludf.DUMMYFUNCTION("""COMPUTED_VALUE"""),2.0)</f>
        <v>2</v>
      </c>
      <c r="J6" s="11">
        <f>IFERROR(__xludf.DUMMYFUNCTION("""COMPUTED_VALUE"""),0.0)</f>
        <v>0</v>
      </c>
      <c r="K6" s="11">
        <f>IFERROR(__xludf.DUMMYFUNCTION("""COMPUTED_VALUE"""),1.5)</f>
        <v>1.5</v>
      </c>
    </row>
    <row r="7" ht="15.75" customHeight="1">
      <c r="A7" s="10" t="str">
        <f>IFERROR(__xludf.DUMMYFUNCTION("""COMPUTED_VALUE"""),"https://www.linkedin.com/company/analytics-pros")</f>
        <v>https://www.linkedin.com/company/analytics-pros</v>
      </c>
      <c r="B7" s="11" t="str">
        <f>IFERROR(__xludf.DUMMYFUNCTION("""COMPUTED_VALUE"""),"Analytics Pros | LinkedIn")</f>
        <v>Analytics Pros | LinkedIn</v>
      </c>
      <c r="C7" s="10" t="str">
        <f>IFERROR(__xludf.DUMMYFUNCTION("""COMPUTED_VALUE"""),"linkedin.com")</f>
        <v>linkedin.com</v>
      </c>
      <c r="D7" s="11" t="str">
        <f>IFERROR(__xludf.DUMMYFUNCTION("""COMPUTED_VALUE"""),"OTHER")</f>
        <v>OTHER</v>
      </c>
      <c r="E7" s="11" t="str">
        <f>IFERROR(__xludf.DUMMYFUNCTION("""COMPUTED_VALUE"""),"UGC")</f>
        <v>UGC</v>
      </c>
      <c r="F7" s="11" t="str">
        <f>IFERROR(__xludf.DUMMYFUNCTION("""COMPUTED_VALUE"""),"Other")</f>
        <v>Other</v>
      </c>
      <c r="G7" s="11" t="b">
        <f>IFERROR(__xludf.DUMMYFUNCTION("""COMPUTED_VALUE"""),FALSE)</f>
        <v>0</v>
      </c>
      <c r="H7" s="11" t="str">
        <f>IFERROR(__xludf.DUMMYFUNCTION("""COMPUTED_VALUE"""),"Adswerve, InfoTrust, Tinuiti, Monks, Acxiom")</f>
        <v>Adswerve, InfoTrust, Tinuiti, Monks, Acxiom</v>
      </c>
      <c r="I7" s="11">
        <f>IFERROR(__xludf.DUMMYFUNCTION("""COMPUTED_VALUE"""),1.0)</f>
        <v>1</v>
      </c>
      <c r="J7" s="11">
        <f>IFERROR(__xludf.DUMMYFUNCTION("""COMPUTED_VALUE"""),0.0)</f>
        <v>0</v>
      </c>
      <c r="K7" s="11">
        <f>IFERROR(__xludf.DUMMYFUNCTION("""COMPUTED_VALUE"""),1.0)</f>
        <v>1</v>
      </c>
    </row>
    <row r="8" ht="15.75" customHeight="1">
      <c r="A8" s="10" t="str">
        <f>IFERROR(__xludf.DUMMYFUNCTION("""COMPUTED_VALUE"""),"https://www.linkedin.com/company/artefact-global")</f>
        <v>https://www.linkedin.com/company/artefact-global</v>
      </c>
      <c r="B8" s="11" t="str">
        <f>IFERROR(__xludf.DUMMYFUNCTION("""COMPUTED_VALUE"""),"Artefact | LinkedIn")</f>
        <v>Artefact | LinkedIn</v>
      </c>
      <c r="C8" s="10" t="str">
        <f>IFERROR(__xludf.DUMMYFUNCTION("""COMPUTED_VALUE"""),"linkedin.com")</f>
        <v>linkedin.com</v>
      </c>
      <c r="D8" s="11" t="str">
        <f>IFERROR(__xludf.DUMMYFUNCTION("""COMPUTED_VALUE"""),"PROFILE")</f>
        <v>PROFILE</v>
      </c>
      <c r="E8" s="11" t="str">
        <f>IFERROR(__xludf.DUMMYFUNCTION("""COMPUTED_VALUE"""),"UGC")</f>
        <v>UGC</v>
      </c>
      <c r="F8" s="11" t="str">
        <f>IFERROR(__xludf.DUMMYFUNCTION("""COMPUTED_VALUE"""),"Profile")</f>
        <v>Profile</v>
      </c>
      <c r="G8" s="11" t="b">
        <f>IFERROR(__xludf.DUMMYFUNCTION("""COMPUTED_VALUE"""),FALSE)</f>
        <v>0</v>
      </c>
      <c r="H8" s="11" t="str">
        <f>IFERROR(__xludf.DUMMYFUNCTION("""COMPUTED_VALUE"""),"Artefact, IBM, Momentum, BCG")</f>
        <v>Artefact, IBM, Momentum, BCG</v>
      </c>
      <c r="I8" s="11">
        <f>IFERROR(__xludf.DUMMYFUNCTION("""COMPUTED_VALUE"""),1.0)</f>
        <v>1</v>
      </c>
      <c r="J8" s="11">
        <f>IFERROR(__xludf.DUMMYFUNCTION("""COMPUTED_VALUE"""),0.0)</f>
        <v>0</v>
      </c>
      <c r="K8" s="11">
        <f>IFERROR(__xludf.DUMMYFUNCTION("""COMPUTED_VALUE"""),1.0)</f>
        <v>1</v>
      </c>
    </row>
    <row r="9" ht="15.75" customHeight="1">
      <c r="A9" s="10" t="str">
        <f>IFERROR(__xludf.DUMMYFUNCTION("""COMPUTED_VALUE"""),"https://www.linkedin.com/company/the-social-shepherd")</f>
        <v>https://www.linkedin.com/company/the-social-shepherd</v>
      </c>
      <c r="B9" s="11" t="str">
        <f>IFERROR(__xludf.DUMMYFUNCTION("""COMPUTED_VALUE"""),"The Social Shepherd | LinkedIn")</f>
        <v>The Social Shepherd | LinkedIn</v>
      </c>
      <c r="C9" s="10" t="str">
        <f>IFERROR(__xludf.DUMMYFUNCTION("""COMPUTED_VALUE"""),"linkedin.com")</f>
        <v>linkedin.com</v>
      </c>
      <c r="D9" s="11" t="str">
        <f>IFERROR(__xludf.DUMMYFUNCTION("""COMPUTED_VALUE"""),"PROFILE")</f>
        <v>PROFILE</v>
      </c>
      <c r="E9" s="11" t="str">
        <f>IFERROR(__xludf.DUMMYFUNCTION("""COMPUTED_VALUE"""),"UGC")</f>
        <v>UGC</v>
      </c>
      <c r="F9" s="11" t="str">
        <f>IFERROR(__xludf.DUMMYFUNCTION("""COMPUTED_VALUE"""),"Profile")</f>
        <v>Profile</v>
      </c>
      <c r="G9" s="11" t="b">
        <f>IFERROR(__xludf.DUMMYFUNCTION("""COMPUTED_VALUE"""),FALSE)</f>
        <v>0</v>
      </c>
      <c r="H9" s="11" t="str">
        <f>IFERROR(__xludf.DUMMYFUNCTION("""COMPUTED_VALUE"""),"The Social Shepherd, Huge")</f>
        <v>The Social Shepherd, Huge</v>
      </c>
      <c r="I9" s="11">
        <f>IFERROR(__xludf.DUMMYFUNCTION("""COMPUTED_VALUE"""),1.0)</f>
        <v>1</v>
      </c>
      <c r="J9" s="11">
        <f>IFERROR(__xludf.DUMMYFUNCTION("""COMPUTED_VALUE"""),0.0)</f>
        <v>0</v>
      </c>
      <c r="K9" s="11">
        <f>IFERROR(__xludf.DUMMYFUNCTION("""COMPUTED_VALUE"""),1.0)</f>
        <v>1</v>
      </c>
    </row>
    <row r="10" ht="15.75" customHeight="1">
      <c r="A10" s="10" t="str">
        <f>IFERROR(__xludf.DUMMYFUNCTION("""COMPUTED_VALUE"""),"https://www.linkedin.com/company/vaynermedia")</f>
        <v>https://www.linkedin.com/company/vaynermedia</v>
      </c>
      <c r="B10" s="11" t="str">
        <f>IFERROR(__xludf.DUMMYFUNCTION("""COMPUTED_VALUE"""),"VaynerMedia | LinkedIn")</f>
        <v>VaynerMedia | LinkedIn</v>
      </c>
      <c r="C10" s="10" t="str">
        <f>IFERROR(__xludf.DUMMYFUNCTION("""COMPUTED_VALUE"""),"linkedin.com")</f>
        <v>linkedin.com</v>
      </c>
      <c r="D10" s="11" t="str">
        <f>IFERROR(__xludf.DUMMYFUNCTION("""COMPUTED_VALUE"""),"PROFILE")</f>
        <v>PROFILE</v>
      </c>
      <c r="E10" s="11" t="str">
        <f>IFERROR(__xludf.DUMMYFUNCTION("""COMPUTED_VALUE"""),"UGC")</f>
        <v>UGC</v>
      </c>
      <c r="F10" s="11" t="str">
        <f>IFERROR(__xludf.DUMMYFUNCTION("""COMPUTED_VALUE"""),"Profile")</f>
        <v>Profile</v>
      </c>
      <c r="G10" s="11" t="b">
        <f>IFERROR(__xludf.DUMMYFUNCTION("""COMPUTED_VALUE"""),FALSE)</f>
        <v>0</v>
      </c>
      <c r="H10" s="11" t="str">
        <f>IFERROR(__xludf.DUMMYFUNCTION("""COMPUTED_VALUE"""),"VaynerMedia, Huge, DEPT, Ogilvy, Dentsu, VML, Publicis Groupe")</f>
        <v>VaynerMedia, Huge, DEPT, Ogilvy, Dentsu, VML, Publicis Groupe</v>
      </c>
      <c r="I10" s="11">
        <f>IFERROR(__xludf.DUMMYFUNCTION("""COMPUTED_VALUE"""),1.0)</f>
        <v>1</v>
      </c>
      <c r="J10" s="11">
        <f>IFERROR(__xludf.DUMMYFUNCTION("""COMPUTED_VALUE"""),0.0)</f>
        <v>0</v>
      </c>
      <c r="K10" s="11">
        <f>IFERROR(__xludf.DUMMYFUNCTION("""COMPUTED_VALUE"""),1.0)</f>
        <v>1</v>
      </c>
    </row>
    <row r="11" ht="15.75" customHeight="1">
      <c r="A11" s="10" t="str">
        <f>IFERROR(__xludf.DUMMYFUNCTION("""COMPUTED_VALUE"""),"https://www.linkedin.com/posts/clutch-co_bestofclutch-digitalmarketing-webdevelopment-activity-7323717286719090688-G6i3")</f>
        <v>https://www.linkedin.com/posts/clutch-co_bestofclutch-digitalmarketing-webdevelopment-activity-7323717286719090688-G6i3</v>
      </c>
      <c r="B11" s="11" t="str">
        <f>IFERROR(__xludf.DUMMYFUNCTION("""COMPUTED_VALUE"""),"#bestofclutch #digitalmarketing #webdevelopment #webdesign | Clutch | 20 comments")</f>
        <v>#bestofclutch #digitalmarketing #webdevelopment #webdesign | Clutch | 20 comments</v>
      </c>
      <c r="C11" s="10" t="str">
        <f>IFERROR(__xludf.DUMMYFUNCTION("""COMPUTED_VALUE"""),"linkedin.com")</f>
        <v>linkedin.com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IFERROR(__xludf.DUMMYFUNCTION("""COMPUTED_VALUE"""),"Clutch, Ignite Visibility, Victorious, Huge")</f>
        <v>Clutch, Ignite Visibility, Victorious, Huge</v>
      </c>
      <c r="I11" s="11">
        <f>IFERROR(__xludf.DUMMYFUNCTION("""COMPUTED_VALUE"""),1.0)</f>
        <v>1</v>
      </c>
      <c r="J11" s="11">
        <f>IFERROR(__xludf.DUMMYFUNCTION("""COMPUTED_VALUE"""),0.0)</f>
        <v>0</v>
      </c>
      <c r="K11" s="11">
        <f>IFERROR(__xludf.DUMMYFUNCTION("""COMPUTED_VALUE"""),0.0)</f>
        <v>0</v>
      </c>
    </row>
    <row r="12" ht="15.75" customHeight="1">
      <c r="A12" s="10" t="str">
        <f>IFERROR(__xludf.DUMMYFUNCTION("""COMPUTED_VALUE"""),"https://www.linkedin.com/posts/clutch-co_top-15-ppc-agencies-clutch-global-fall-2025-activity-7421548745084932096-DYA_")</f>
        <v>https://www.linkedin.com/posts/clutch-co_top-15-ppc-agencies-clutch-global-fall-2025-activity-7421548745084932096-DYA_</v>
      </c>
      <c r="B12" s="11" t="str">
        <f>IFERROR(__xludf.DUMMYFUNCTION("""COMPUTED_VALUE"""),"Top 15 PPC Agencies: Clutch Global Fall 2025 | Clutch | 10 comments")</f>
        <v>Top 15 PPC Agencies: Clutch Global Fall 2025 | Clutch | 10 comments</v>
      </c>
      <c r="C12" s="10" t="str">
        <f>IFERROR(__xludf.DUMMYFUNCTION("""COMPUTED_VALUE"""),"linkedin.com")</f>
        <v>linkedin.com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IFERROR(__xludf.DUMMYFUNCTION("""COMPUTED_VALUE"""),"Clutch, KlientBoost, Disruptive Advertising, AdVenture Media, HawkSEM, Elit-Web, SmartSites")</f>
        <v>Clutch, KlientBoost, Disruptive Advertising, AdVenture Media, HawkSEM, Elit-Web, SmartSites</v>
      </c>
      <c r="I12" s="11">
        <f>IFERROR(__xludf.DUMMYFUNCTION("""COMPUTED_VALUE"""),1.0)</f>
        <v>1</v>
      </c>
      <c r="J12" s="11">
        <f>IFERROR(__xludf.DUMMYFUNCTION("""COMPUTED_VALUE"""),0.0)</f>
        <v>0</v>
      </c>
      <c r="K12" s="11">
        <f>IFERROR(__xludf.DUMMYFUNCTION("""COMPUTED_VALUE"""),0.0)</f>
        <v>0</v>
      </c>
    </row>
    <row r="13" ht="15.75" customHeight="1">
      <c r="A13" s="10" t="str">
        <f>IFERROR(__xludf.DUMMYFUNCTION("""COMPUTED_VALUE"""),"https://www.linkedin.com/pulse/10-best-answer-engine-optimization-aeo-agencies-2026-nick-malekos-tkzqf")</f>
        <v>https://www.linkedin.com/pulse/10-best-answer-engine-optimization-aeo-agencies-2026-nick-malekos-tkzqf</v>
      </c>
      <c r="B13" s="11" t="str">
        <f>IFERROR(__xludf.DUMMYFUNCTION("""COMPUTED_VALUE"""),"12 Best Answer Engine Optimization (AEO) Agencies in 2026")</f>
        <v>12 Best Answer Engine Optimization (AEO) Agencies in 2026</v>
      </c>
      <c r="C13" s="10" t="str">
        <f>IFERROR(__xludf.DUMMYFUNCTION("""COMPUTED_VALUE"""),"linkedin.com")</f>
        <v>linkedin.com</v>
      </c>
      <c r="D13" s="11" t="str">
        <f>IFERROR(__xludf.DUMMYFUNCTION("""COMPUTED_VALUE"""),"LISTICLE")</f>
        <v>LISTICLE</v>
      </c>
      <c r="E13" s="11" t="str">
        <f>IFERROR(__xludf.DUMMYFUNCTION("""COMPUTED_VALUE"""),"UGC")</f>
        <v>UGC</v>
      </c>
      <c r="F13" s="11" t="str">
        <f>IFERROR(__xludf.DUMMYFUNCTION("""COMPUTED_VALUE"""),"Listicle")</f>
        <v>Listicle</v>
      </c>
      <c r="G13" s="11" t="b">
        <f>IFERROR(__xludf.DUMMYFUNCTION("""COMPUTED_VALUE"""),FALSE)</f>
        <v>0</v>
      </c>
      <c r="H13" s="11" t="str">
        <f>IFERROR(__xludf.DUMMYFUNCTION("""COMPUTED_VALUE"""),"NoGood, iPullRank, Victorious, Clutch, Ignite Visibility, First Page Sage, Graphite")</f>
        <v>NoGood, iPullRank, Victorious, Clutch, Ignite Visibility, First Page Sage, Graphite</v>
      </c>
      <c r="I13" s="11">
        <f>IFERROR(__xludf.DUMMYFUNCTION("""COMPUTED_VALUE"""),1.0)</f>
        <v>1</v>
      </c>
      <c r="J13" s="11">
        <f>IFERROR(__xludf.DUMMYFUNCTION("""COMPUTED_VALUE"""),0.0)</f>
        <v>0</v>
      </c>
      <c r="K13" s="11">
        <f>IFERROR(__xludf.DUMMYFUNCTION("""COMPUTED_VALUE"""),0.0)</f>
        <v>0</v>
      </c>
    </row>
    <row r="14" ht="15.75" customHeight="1">
      <c r="A14" s="10" t="str">
        <f>IFERROR(__xludf.DUMMYFUNCTION("""COMPUTED_VALUE"""),"https://www.linkedin.com/pulse/30-leading-graphic-design-companies-making-global-impact-lti6f")</f>
        <v>https://www.linkedin.com/pulse/30-leading-graphic-design-companies-making-global-impact-lti6f</v>
      </c>
      <c r="B14" s="11" t="str">
        <f>IFERROR(__xludf.DUMMYFUNCTION("""COMPUTED_VALUE"""),"30 Top Graphic Design Companies Revolutionizing the Industry")</f>
        <v>30 Top Graphic Design Companies Revolutionizing the Industry</v>
      </c>
      <c r="C14" s="10" t="str">
        <f>IFERROR(__xludf.DUMMYFUNCTION("""COMPUTED_VALUE"""),"linkedin.com")</f>
        <v>linkedin.com</v>
      </c>
      <c r="D14" s="11" t="str">
        <f>IFERROR(__xludf.DUMMYFUNCTION("""COMPUTED_VALUE"""),"LISTICLE")</f>
        <v>LISTICLE</v>
      </c>
      <c r="E14" s="11" t="str">
        <f>IFERROR(__xludf.DUMMYFUNCTION("""COMPUTED_VALUE"""),"UGC")</f>
        <v>UGC</v>
      </c>
      <c r="F14" s="11" t="str">
        <f>IFERROR(__xludf.DUMMYFUNCTION("""COMPUTED_VALUE"""),"Listicle")</f>
        <v>Listicle</v>
      </c>
      <c r="G14" s="11" t="b">
        <f>IFERROR(__xludf.DUMMYFUNCTION("""COMPUTED_VALUE"""),FALSE)</f>
        <v>0</v>
      </c>
      <c r="H14" s="11" t="str">
        <f>IFERROR(__xludf.DUMMYFUNCTION("""COMPUTED_VALUE"""),"Pentagram, Wolff Olins, AKQA")</f>
        <v>Pentagram, Wolff Olins, AKQA</v>
      </c>
      <c r="I14" s="11">
        <f>IFERROR(__xludf.DUMMYFUNCTION("""COMPUTED_VALUE"""),1.0)</f>
        <v>1</v>
      </c>
      <c r="J14" s="11">
        <f>IFERROR(__xludf.DUMMYFUNCTION("""COMPUTED_VALUE"""),0.0)</f>
        <v>0</v>
      </c>
      <c r="K14" s="11">
        <f>IFERROR(__xludf.DUMMYFUNCTION("""COMPUTED_VALUE"""),1.0)</f>
        <v>1</v>
      </c>
    </row>
    <row r="15" ht="15.75" customHeight="1">
      <c r="A15" s="10" t="str">
        <f>IFERROR(__xludf.DUMMYFUNCTION("""COMPUTED_VALUE"""),"https://www.linkedin.com/pulse/ai-seo-agencies-softtrix-web-solutions-zaxtc")</f>
        <v>https://www.linkedin.com/pulse/ai-seo-agencies-softtrix-web-solutions-zaxtc</v>
      </c>
      <c r="B15" s="11" t="str">
        <f>IFERROR(__xludf.DUMMYFUNCTION("""COMPUTED_VALUE"""),"Top 10 AI SEO Agencies in USA")</f>
        <v>Top 10 AI SEO Agencies in USA</v>
      </c>
      <c r="C15" s="10" t="str">
        <f>IFERROR(__xludf.DUMMYFUNCTION("""COMPUTED_VALUE"""),"linkedin.com")</f>
        <v>linkedin.com</v>
      </c>
      <c r="D15" s="11" t="str">
        <f>IFERROR(__xludf.DUMMYFUNCTION("""COMPUTED_VALUE"""),"LISTICLE")</f>
        <v>LISTICLE</v>
      </c>
      <c r="E15" s="11" t="str">
        <f>IFERROR(__xludf.DUMMYFUNCTION("""COMPUTED_VALUE"""),"UGC")</f>
        <v>UGC</v>
      </c>
      <c r="F15" s="11" t="str">
        <f>IFERROR(__xludf.DUMMYFUNCTION("""COMPUTED_VALUE"""),"Listicle")</f>
        <v>Listicle</v>
      </c>
      <c r="G15" s="11" t="b">
        <f>IFERROR(__xludf.DUMMYFUNCTION("""COMPUTED_VALUE"""),FALSE)</f>
        <v>0</v>
      </c>
      <c r="H15" s="11" t="str">
        <f>IFERROR(__xludf.DUMMYFUNCTION("""COMPUTED_VALUE"""),"Clutch, Victorious, Directive, Intero Digital, WebFX, Ignite Visibility, Thrive Internet Marketing Agency, SmartSites, iPullRank, Siege Media")</f>
        <v>Clutch, Victorious, Directive, Intero Digital, WebFX, Ignite Visibility, Thrive Internet Marketing Agency, SmartSites, iPullRank, Siege Media</v>
      </c>
      <c r="I15" s="11">
        <f>IFERROR(__xludf.DUMMYFUNCTION("""COMPUTED_VALUE"""),1.0)</f>
        <v>1</v>
      </c>
      <c r="J15" s="11">
        <f>IFERROR(__xludf.DUMMYFUNCTION("""COMPUTED_VALUE"""),0.0)</f>
        <v>0</v>
      </c>
      <c r="K15" s="11">
        <f>IFERROR(__xludf.DUMMYFUNCTION("""COMPUTED_VALUE"""),1.0)</f>
        <v>1</v>
      </c>
    </row>
    <row r="16" ht="15.75" customHeight="1">
      <c r="A16" s="10" t="str">
        <f>IFERROR(__xludf.DUMMYFUNCTION("""COMPUTED_VALUE"""),"https://www.linkedin.com/pulse/deconstructing-common-solutions-first-party-data-pierre-cholet-booce")</f>
        <v>https://www.linkedin.com/pulse/deconstructing-common-solutions-first-party-data-pierre-cholet-booce</v>
      </c>
      <c r="B16" s="11" t="str">
        <f>IFERROR(__xludf.DUMMYFUNCTION("""COMPUTED_VALUE"""),"Deconstructing common solutions for first-party data activation")</f>
        <v>Deconstructing common solutions for first-party data activation</v>
      </c>
      <c r="C16" s="10" t="str">
        <f>IFERROR(__xludf.DUMMYFUNCTION("""COMPUTED_VALUE"""),"linkedin.com")</f>
        <v>linkedin.com</v>
      </c>
      <c r="D16" s="11" t="str">
        <f>IFERROR(__xludf.DUMMYFUNCTION("""COMPUTED_VALUE"""),"ARTICLE")</f>
        <v>ARTICLE</v>
      </c>
      <c r="E16" s="11" t="str">
        <f>IFERROR(__xludf.DUMMYFUNCTION("""COMPUTED_VALUE"""),"UGC")</f>
        <v>UGC</v>
      </c>
      <c r="F16" s="11" t="str">
        <f>IFERROR(__xludf.DUMMYFUNCTION("""COMPUTED_VALUE"""),"Article")</f>
        <v>Article</v>
      </c>
      <c r="G16" s="11" t="b">
        <f>IFERROR(__xludf.DUMMYFUNCTION("""COMPUTED_VALUE"""),FALSE)</f>
        <v>0</v>
      </c>
      <c r="H16" s="11" t="str">
        <f>IFERROR(__xludf.DUMMYFUNCTION("""COMPUTED_VALUE"""),"Epsilon")</f>
        <v>Epsilon</v>
      </c>
      <c r="I16" s="11">
        <f>IFERROR(__xludf.DUMMYFUNCTION("""COMPUTED_VALUE"""),1.0)</f>
        <v>1</v>
      </c>
      <c r="J16" s="11">
        <f>IFERROR(__xludf.DUMMYFUNCTION("""COMPUTED_VALUE"""),0.0)</f>
        <v>0</v>
      </c>
      <c r="K16" s="11">
        <f>IFERROR(__xludf.DUMMYFUNCTION("""COMPUTED_VALUE"""),0.0)</f>
        <v>0</v>
      </c>
    </row>
    <row r="17" ht="15.75" customHeight="1">
      <c r="A17" s="10" t="str">
        <f>IFERROR(__xludf.DUMMYFUNCTION("""COMPUTED_VALUE"""),"https://www.thegrowthsyndicate.com/agencies/best-linkedin-ads-agencies-us")</f>
        <v>https://www.thegrowthsyndicate.com/agencies/best-linkedin-ads-agencies-us</v>
      </c>
      <c r="B17" s="11" t="str">
        <f>IFERROR(__xludf.DUMMYFUNCTION("""COMPUTED_VALUE"""),"Best LinkedIn Ads Agencies in the US (2026)")</f>
        <v>Best LinkedIn Ads Agencies in the US (2026)</v>
      </c>
      <c r="C17" s="10" t="str">
        <f>IFERROR(__xludf.DUMMYFUNCTION("""COMPUTED_VALUE"""),"thegrowthsyndicate.com")</f>
        <v>thegrowthsyndicate.com</v>
      </c>
      <c r="D17" s="11" t="str">
        <f>IFERROR(__xludf.DUMMYFUNCTION("""COMPUTED_VALUE"""),"LISTICLE")</f>
        <v>LISTICLE</v>
      </c>
      <c r="E17" s="11" t="str">
        <f>IFERROR(__xludf.DUMMYFUNCTION("""COMPUTED_VALUE"""),"CORPORATE")</f>
        <v>CORPORATE</v>
      </c>
      <c r="F17" s="11" t="str">
        <f>IFERROR(__xludf.DUMMYFUNCTION("""COMPUTED_VALUE"""),"Listicle")</f>
        <v>Listicle</v>
      </c>
      <c r="G17" s="11" t="b">
        <f>IFERROR(__xludf.DUMMYFUNCTION("""COMPUTED_VALUE"""),FALSE)</f>
        <v>0</v>
      </c>
      <c r="H17" s="11" t="str">
        <f>IFERROR(__xludf.DUMMYFUNCTION("""COMPUTED_VALUE"""),"Directive, Refine Labs, Disruptive Advertising, Clutch, Measured")</f>
        <v>Directive, Refine Labs, Disruptive Advertising, Clutch, Measured</v>
      </c>
      <c r="I17" s="11">
        <f>IFERROR(__xludf.DUMMYFUNCTION("""COMPUTED_VALUE"""),1.0)</f>
        <v>1</v>
      </c>
      <c r="J17" s="11">
        <f>IFERROR(__xludf.DUMMYFUNCTION("""COMPUTED_VALUE"""),0.0)</f>
        <v>0</v>
      </c>
      <c r="K17" s="11">
        <f>IFERROR(__xludf.DUMMYFUNCTION("""COMPUTED_VALUE"""),2.0)</f>
        <v>2</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Merkle%20B2B%20Merkle%20B2B%20specializes%20in%20enterprise%2Dgrade,complex%20buying%20committees%20across%20LinkedIn%20and%20Meta."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s>
  <drawing r:id="rId3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REGEXMATCH(LOWER(TO_TEXT('PEEC - URLs - All'!A2:A1000)),""wikipedia"")
  ),
  """"
)"),"https://en.wikipedia.org/wiki/Wieden+Kennedy")</f>
        <v>https://en.wikipedia.org/wiki/Wieden+Kennedy</v>
      </c>
      <c r="B2" s="11" t="str">
        <f>IFERROR(__xludf.DUMMYFUNCTION("""COMPUTED_VALUE"""),"Wieden+Kennedy - Wikipedia")</f>
        <v>Wieden+Kennedy - Wikipedia</v>
      </c>
      <c r="C2" s="10" t="str">
        <f>IFERROR(__xludf.DUMMYFUNCTION("""COMPUTED_VALUE"""),"wikipedia.org")</f>
        <v>wikipedia.org</v>
      </c>
      <c r="D2" s="11" t="str">
        <f>IFERROR(__xludf.DUMMYFUNCTION("""COMPUTED_VALUE"""),"PROFILE")</f>
        <v>PROFILE</v>
      </c>
      <c r="E2" s="11" t="str">
        <f>IFERROR(__xludf.DUMMYFUNCTION("""COMPUTED_VALUE"""),"REFERENCE")</f>
        <v>REFERENCE</v>
      </c>
      <c r="F2" s="11" t="str">
        <f>IFERROR(__xludf.DUMMYFUNCTION("""COMPUTED_VALUE"""),"Profile")</f>
        <v>Profile</v>
      </c>
      <c r="G2" s="11" t="b">
        <f>IFERROR(__xludf.DUMMYFUNCTION("""COMPUTED_VALUE"""),FALSE)</f>
        <v>0</v>
      </c>
      <c r="H2" s="11" t="str">
        <f>IFERROR(__xludf.DUMMYFUNCTION("""COMPUTED_VALUE"""),"Wieden+Kennedy")</f>
        <v>Wieden+Kennedy</v>
      </c>
      <c r="I2" s="11">
        <f>IFERROR(__xludf.DUMMYFUNCTION("""COMPUTED_VALUE"""),3.0)</f>
        <v>3</v>
      </c>
      <c r="J2" s="11">
        <f>IFERROR(__xludf.DUMMYFUNCTION("""COMPUTED_VALUE"""),0.0)</f>
        <v>0</v>
      </c>
      <c r="K2" s="11">
        <f>IFERROR(__xludf.DUMMYFUNCTION("""COMPUTED_VALUE"""),1.0)</f>
        <v>1</v>
      </c>
    </row>
    <row r="3" ht="15.75" customHeight="1">
      <c r="A3" s="10" t="str">
        <f>IFERROR(__xludf.DUMMYFUNCTION("""COMPUTED_VALUE"""),"https://en.wikipedia.org/wiki/Advertising_agency")</f>
        <v>https://en.wikipedia.org/wiki/Advertising_agency</v>
      </c>
      <c r="B3" s="11" t="str">
        <f>IFERROR(__xludf.DUMMYFUNCTION("""COMPUTED_VALUE"""),"Advertising agency - Wikipedia")</f>
        <v>Advertising agency - Wikipedia</v>
      </c>
      <c r="C3" s="10" t="str">
        <f>IFERROR(__xludf.DUMMYFUNCTION("""COMPUTED_VALUE"""),"wikipedia.org")</f>
        <v>wikipedia.org</v>
      </c>
      <c r="D3" s="11" t="str">
        <f>IFERROR(__xludf.DUMMYFUNCTION("""COMPUTED_VALUE"""),"CATEGORY_PAGE")</f>
        <v>CATEGORY_PAGE</v>
      </c>
      <c r="E3" s="11" t="str">
        <f>IFERROR(__xludf.DUMMYFUNCTION("""COMPUTED_VALUE"""),"REFERENCE")</f>
        <v>REFERENCE</v>
      </c>
      <c r="F3" s="11" t="str">
        <f>IFERROR(__xludf.DUMMYFUNCTION("""COMPUTED_VALUE"""),"Category Page")</f>
        <v>Category Page</v>
      </c>
      <c r="G3" s="11" t="b">
        <f>IFERROR(__xludf.DUMMYFUNCTION("""COMPUTED_VALUE"""),FALSE)</f>
        <v>0</v>
      </c>
      <c r="H3" s="11" t="str">
        <f>IFERROR(__xludf.DUMMYFUNCTION("""COMPUTED_VALUE"""),"PwC, Deloitte Digital, WPP, Dentsu, Droga5")</f>
        <v>PwC, Deloitte Digital, WPP, Dentsu, Droga5</v>
      </c>
      <c r="I3" s="11">
        <f>IFERROR(__xludf.DUMMYFUNCTION("""COMPUTED_VALUE"""),2.0)</f>
        <v>2</v>
      </c>
      <c r="J3" s="11">
        <f>IFERROR(__xludf.DUMMYFUNCTION("""COMPUTED_VALUE"""),0.0)</f>
        <v>0</v>
      </c>
      <c r="K3" s="11">
        <f>IFERROR(__xludf.DUMMYFUNCTION("""COMPUTED_VALUE"""),1.0)</f>
        <v>1</v>
      </c>
    </row>
    <row r="4" ht="15.75" customHeight="1">
      <c r="A4" s="10" t="str">
        <f>IFERROR(__xludf.DUMMYFUNCTION("""COMPUTED_VALUE"""),"https://en.wikipedia.org/wiki/Big_Six_advertising_agencies")</f>
        <v>https://en.wikipedia.org/wiki/Big_Six_advertising_agencies</v>
      </c>
      <c r="B4" s="11" t="str">
        <f>IFERROR(__xludf.DUMMYFUNCTION("""COMPUTED_VALUE"""),"Advertising agency - Wikipedia")</f>
        <v>Advertising agency - Wikipedia</v>
      </c>
      <c r="C4" s="10" t="str">
        <f>IFERROR(__xludf.DUMMYFUNCTION("""COMPUTED_VALUE"""),"wikipedia.org")</f>
        <v>wikipedia.org</v>
      </c>
      <c r="D4" s="11" t="str">
        <f>IFERROR(__xludf.DUMMYFUNCTION("""COMPUTED_VALUE"""),"ARTICLE")</f>
        <v>ARTICLE</v>
      </c>
      <c r="E4" s="11" t="str">
        <f>IFERROR(__xludf.DUMMYFUNCTION("""COMPUTED_VALUE"""),"REFERENCE")</f>
        <v>REFERENCE</v>
      </c>
      <c r="F4" s="11" t="str">
        <f>IFERROR(__xludf.DUMMYFUNCTION("""COMPUTED_VALUE"""),"Article")</f>
        <v>Article</v>
      </c>
      <c r="G4" s="11" t="b">
        <f>IFERROR(__xludf.DUMMYFUNCTION("""COMPUTED_VALUE"""),FALSE)</f>
        <v>0</v>
      </c>
      <c r="H4" s="11" t="str">
        <f>IFERROR(__xludf.DUMMYFUNCTION("""COMPUTED_VALUE"""),"PwC, Deloitte Digital, WPP, Dentsu, Droga5")</f>
        <v>PwC, Deloitte Digital, WPP, Dentsu, Droga5</v>
      </c>
      <c r="I4" s="11">
        <f>IFERROR(__xludf.DUMMYFUNCTION("""COMPUTED_VALUE"""),1.0)</f>
        <v>1</v>
      </c>
      <c r="J4" s="11">
        <f>IFERROR(__xludf.DUMMYFUNCTION("""COMPUTED_VALUE"""),0.0)</f>
        <v>0</v>
      </c>
      <c r="K4" s="11">
        <f>IFERROR(__xludf.DUMMYFUNCTION("""COMPUTED_VALUE"""),0.0)</f>
        <v>0</v>
      </c>
    </row>
    <row r="5" ht="15.75" customHeight="1">
      <c r="A5" s="10" t="str">
        <f>IFERROR(__xludf.DUMMYFUNCTION("""COMPUTED_VALUE"""),"https://en.wikipedia.org/wiki/Ogilvy_%28agency%29")</f>
        <v>https://en.wikipedia.org/wiki/Ogilvy_%28agency%29</v>
      </c>
      <c r="B5" s="11" t="str">
        <f>IFERROR(__xludf.DUMMYFUNCTION("""COMPUTED_VALUE"""),"Ogilvy (agency) - Wikipedia")</f>
        <v>Ogilvy (agency) - Wikipedia</v>
      </c>
      <c r="C5" s="10" t="str">
        <f>IFERROR(__xludf.DUMMYFUNCTION("""COMPUTED_VALUE"""),"wikipedia.org")</f>
        <v>wikipedia.org</v>
      </c>
      <c r="D5" s="11" t="str">
        <f>IFERROR(__xludf.DUMMYFUNCTION("""COMPUTED_VALUE"""),"PROFILE")</f>
        <v>PROFILE</v>
      </c>
      <c r="E5" s="11" t="str">
        <f>IFERROR(__xludf.DUMMYFUNCTION("""COMPUTED_VALUE"""),"REFERENCE")</f>
        <v>REFERENCE</v>
      </c>
      <c r="F5" s="11" t="str">
        <f>IFERROR(__xludf.DUMMYFUNCTION("""COMPUTED_VALUE"""),"Profile")</f>
        <v>Profile</v>
      </c>
      <c r="G5" s="11" t="b">
        <f>IFERROR(__xludf.DUMMYFUNCTION("""COMPUTED_VALUE"""),FALSE)</f>
        <v>0</v>
      </c>
      <c r="H5" s="11" t="str">
        <f>IFERROR(__xludf.DUMMYFUNCTION("""COMPUTED_VALUE"""),"Ogilvy, WPP, IBM, AKQA, Kantar, VML")</f>
        <v>Ogilvy, WPP, IBM, AKQA, Kantar, VML</v>
      </c>
      <c r="I5" s="11">
        <f>IFERROR(__xludf.DUMMYFUNCTION("""COMPUTED_VALUE"""),1.0)</f>
        <v>1</v>
      </c>
      <c r="J5" s="11">
        <f>IFERROR(__xludf.DUMMYFUNCTION("""COMPUTED_VALUE"""),0.0)</f>
        <v>0</v>
      </c>
      <c r="K5" s="11">
        <f>IFERROR(__xludf.DUMMYFUNCTION("""COMPUTED_VALUE"""),1.0)</f>
        <v>1</v>
      </c>
    </row>
    <row r="6" ht="15.75" customHeight="1">
      <c r="A6" s="10" t="str">
        <f>IFERROR(__xludf.DUMMYFUNCTION("""COMPUTED_VALUE"""),"https://en.wikipedia.org/wiki/Ogilvy_(agency)")</f>
        <v>https://en.wikipedia.org/wiki/Ogilvy_(agency)</v>
      </c>
      <c r="B6" s="11" t="str">
        <f>IFERROR(__xludf.DUMMYFUNCTION("""COMPUTED_VALUE"""),"Ogilvy (agency) - Wikipedia")</f>
        <v>Ogilvy (agency) - Wikipedia</v>
      </c>
      <c r="C6" s="10" t="str">
        <f>IFERROR(__xludf.DUMMYFUNCTION("""COMPUTED_VALUE"""),"wikipedia.org")</f>
        <v>wikipedia.org</v>
      </c>
      <c r="D6" s="11" t="str">
        <f>IFERROR(__xludf.DUMMYFUNCTION("""COMPUTED_VALUE"""),"PROFILE")</f>
        <v>PROFILE</v>
      </c>
      <c r="E6" s="11" t="str">
        <f>IFERROR(__xludf.DUMMYFUNCTION("""COMPUTED_VALUE"""),"REFERENCE")</f>
        <v>REFERENCE</v>
      </c>
      <c r="F6" s="11" t="str">
        <f>IFERROR(__xludf.DUMMYFUNCTION("""COMPUTED_VALUE"""),"Profile")</f>
        <v>Profile</v>
      </c>
      <c r="G6" s="11" t="b">
        <f>IFERROR(__xludf.DUMMYFUNCTION("""COMPUTED_VALUE"""),FALSE)</f>
        <v>0</v>
      </c>
      <c r="H6" s="11" t="str">
        <f>IFERROR(__xludf.DUMMYFUNCTION("""COMPUTED_VALUE"""),"Ogilvy, WPP, IBM, AKQA, Kantar, VML")</f>
        <v>Ogilvy, WPP, IBM, AKQA, Kantar, VML</v>
      </c>
      <c r="I6" s="11">
        <f>IFERROR(__xludf.DUMMYFUNCTION("""COMPUTED_VALUE"""),1.0)</f>
        <v>1</v>
      </c>
      <c r="J6" s="11">
        <f>IFERROR(__xludf.DUMMYFUNCTION("""COMPUTED_VALUE"""),0.0)</f>
        <v>0</v>
      </c>
      <c r="K6" s="11">
        <f>IFERROR(__xludf.DUMMYFUNCTION("""COMPUTED_VALUE"""),0.0)</f>
        <v>0</v>
      </c>
    </row>
    <row r="7" ht="15.75" customHeight="1">
      <c r="A7" s="10" t="str">
        <f>IFERROR(__xludf.DUMMYFUNCTION("""COMPUTED_VALUE"""),"https://en.wikipedia.org/wiki/The_Interpublic_Group_of_Companies")</f>
        <v>https://en.wikipedia.org/wiki/The_Interpublic_Group_of_Companies</v>
      </c>
      <c r="B7" s="11" t="str">
        <f>IFERROR(__xludf.DUMMYFUNCTION("""COMPUTED_VALUE"""),"The Interpublic Group of Companies - Wikipedia")</f>
        <v>The Interpublic Group of Companies - Wikipedia</v>
      </c>
      <c r="C7" s="10" t="str">
        <f>IFERROR(__xludf.DUMMYFUNCTION("""COMPUTED_VALUE"""),"wikipedia.org")</f>
        <v>wikipedia.org</v>
      </c>
      <c r="D7" s="11" t="str">
        <f>IFERROR(__xludf.DUMMYFUNCTION("""COMPUTED_VALUE"""),"ARTICLE")</f>
        <v>ARTICLE</v>
      </c>
      <c r="E7" s="11" t="str">
        <f>IFERROR(__xludf.DUMMYFUNCTION("""COMPUTED_VALUE"""),"REFERENCE")</f>
        <v>REFERENCE</v>
      </c>
      <c r="F7" s="11" t="str">
        <f>IFERROR(__xludf.DUMMYFUNCTION("""COMPUTED_VALUE"""),"Article")</f>
        <v>Article</v>
      </c>
      <c r="G7" s="11" t="b">
        <f>IFERROR(__xludf.DUMMYFUNCTION("""COMPUTED_VALUE"""),FALSE)</f>
        <v>0</v>
      </c>
      <c r="H7" s="11" t="str">
        <f>IFERROR(__xludf.DUMMYFUNCTION("""COMPUTED_VALUE"""),"WPP, Acxiom, Momentum, R/GA, Huge")</f>
        <v>WPP, Acxiom, Momentum, R/GA, Huge</v>
      </c>
      <c r="I7" s="11">
        <f>IFERROR(__xludf.DUMMYFUNCTION("""COMPUTED_VALUE"""),1.0)</f>
        <v>1</v>
      </c>
      <c r="J7" s="11">
        <f>IFERROR(__xludf.DUMMYFUNCTION("""COMPUTED_VALUE"""),0.0)</f>
        <v>0</v>
      </c>
      <c r="K7" s="11">
        <f>IFERROR(__xludf.DUMMYFUNCTION("""COMPUTED_VALUE"""),1.0)</f>
        <v>1</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s>
  <drawing r:id="rId1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All'!D2:D1000)))=""alternative""
  ),
  """"
)"),"https://segmentstream.com/blog/articles/measured-com-alternatives")</f>
        <v>https://segmentstream.com/blog/articles/measured-com-alternatives</v>
      </c>
      <c r="B2" s="11" t="str">
        <f>IFERROR(__xludf.DUMMYFUNCTION("""COMPUTED_VALUE"""),"9 Best Measured Alternatives &amp;amp; Competitors for Incrementality Testing in 2026 — SegmentStream")</f>
        <v>9 Best Measured Alternatives &amp;amp; Competitors for Incrementality Testing in 2026 — SegmentStream</v>
      </c>
      <c r="C2" s="10" t="str">
        <f>IFERROR(__xludf.DUMMYFUNCTION("""COMPUTED_VALUE"""),"segmentstream.com")</f>
        <v>segmentstream.com</v>
      </c>
      <c r="D2" s="11" t="str">
        <f>IFERROR(__xludf.DUMMYFUNCTION("""COMPUTED_VALUE"""),"ALTERNATIVE")</f>
        <v>ALTERNATIVE</v>
      </c>
      <c r="E2" s="11" t="str">
        <f>IFERROR(__xludf.DUMMYFUNCTION("""COMPUTED_VALUE"""),"COMPETITOR")</f>
        <v>COMPETITOR</v>
      </c>
      <c r="F2" s="11" t="str">
        <f>IFERROR(__xludf.DUMMYFUNCTION("""COMPUTED_VALUE"""),"Alternative")</f>
        <v>Alternative</v>
      </c>
      <c r="G2" s="11" t="b">
        <f>IFERROR(__xludf.DUMMYFUNCTION("""COMPUTED_VALUE"""),FALSE)</f>
        <v>0</v>
      </c>
      <c r="H2" s="11" t="str">
        <f>IFERROR(__xludf.DUMMYFUNCTION("""COMPUTED_VALUE"""),"SegmentStream, Measured, Haus, LifeSight, INCRMNTAL, Recast, LiftLab, Momentum, Sellforte")</f>
        <v>SegmentStream, Measured, Haus, LifeSight, INCRMNTAL, Recast, LiftLab, Momentum, Sellforte</v>
      </c>
      <c r="I2" s="11">
        <f>IFERROR(__xludf.DUMMYFUNCTION("""COMPUTED_VALUE"""),7.0)</f>
        <v>7</v>
      </c>
      <c r="J2" s="11">
        <f>IFERROR(__xludf.DUMMYFUNCTION("""COMPUTED_VALUE"""),0.01)</f>
        <v>0.01</v>
      </c>
      <c r="K2" s="11">
        <f>IFERROR(__xludf.DUMMYFUNCTION("""COMPUTED_VALUE"""),1.14)</f>
        <v>1.14</v>
      </c>
    </row>
    <row r="3" ht="15.75" customHeight="1">
      <c r="A3" s="10" t="str">
        <f>IFERROR(__xludf.DUMMYFUNCTION("""COMPUTED_VALUE"""),"https://segmentstream.com/blog/articles/top-haus-io-alternatives-for-geo-lift-incrementality-testing")</f>
        <v>https://segmentstream.com/blog/articles/top-haus-io-alternatives-for-geo-lift-incrementality-testing</v>
      </c>
      <c r="B3" s="11" t="str">
        <f>IFERROR(__xludf.DUMMYFUNCTION("""COMPUTED_VALUE"""),"5 Best Haus.io Alternatives (2026) — SegmentStream")</f>
        <v>5 Best Haus.io Alternatives (2026) — SegmentStream</v>
      </c>
      <c r="C3" s="10" t="str">
        <f>IFERROR(__xludf.DUMMYFUNCTION("""COMPUTED_VALUE"""),"segmentstream.com")</f>
        <v>segmentstream.com</v>
      </c>
      <c r="D3" s="11" t="str">
        <f>IFERROR(__xludf.DUMMYFUNCTION("""COMPUTED_VALUE"""),"ALTERNATIVE")</f>
        <v>ALTERNATIVE</v>
      </c>
      <c r="E3" s="11" t="str">
        <f>IFERROR(__xludf.DUMMYFUNCTION("""COMPUTED_VALUE"""),"COMPETITOR")</f>
        <v>COMPETITOR</v>
      </c>
      <c r="F3" s="11" t="str">
        <f>IFERROR(__xludf.DUMMYFUNCTION("""COMPUTED_VALUE"""),"Alternative")</f>
        <v>Alternative</v>
      </c>
      <c r="G3" s="11" t="b">
        <f>IFERROR(__xludf.DUMMYFUNCTION("""COMPUTED_VALUE"""),FALSE)</f>
        <v>0</v>
      </c>
      <c r="H3" s="11" t="str">
        <f>IFERROR(__xludf.DUMMYFUNCTION("""COMPUTED_VALUE"""),"SegmentStream, Haus, Measured, INCRMNTAL, Recast")</f>
        <v>SegmentStream, Haus, Measured, INCRMNTAL, Recast</v>
      </c>
      <c r="I3" s="11">
        <f>IFERROR(__xludf.DUMMYFUNCTION("""COMPUTED_VALUE"""),5.0)</f>
        <v>5</v>
      </c>
      <c r="J3" s="11">
        <f>IFERROR(__xludf.DUMMYFUNCTION("""COMPUTED_VALUE"""),0.0)</f>
        <v>0</v>
      </c>
      <c r="K3" s="11">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All'!D2:D1000)))=""article""
  ),
  """"
)"),"https://www.ie.edu/uncover-ie/the-big-six-agencies-marcom-ie-business-school/")</f>
        <v>https://www.ie.edu/uncover-ie/the-big-six-agencies-marcom-ie-business-school/</v>
      </c>
      <c r="B2" s="11" t="str">
        <f>IFERROR(__xludf.DUMMYFUNCTION("""COMPUTED_VALUE"""),"Big Six Agency Networks: Owners, Brands &amp;amp; Services (2026)")</f>
        <v>Big Six Agency Networks: Owners, Brands &amp;amp; Services (2026)</v>
      </c>
      <c r="C2" s="10" t="str">
        <f>IFERROR(__xludf.DUMMYFUNCTION("""COMPUTED_VALUE"""),"ie.edu")</f>
        <v>ie.edu</v>
      </c>
      <c r="D2" s="11" t="str">
        <f>IFERROR(__xludf.DUMMYFUNCTION("""COMPUTED_VALUE"""),"ARTICLE")</f>
        <v>ARTICLE</v>
      </c>
      <c r="E2" s="11" t="str">
        <f>IFERROR(__xludf.DUMMYFUNCTION("""COMPUTED_VALUE"""),"INSTITUTIONAL")</f>
        <v>INSTITUTIONAL</v>
      </c>
      <c r="F2" s="11" t="str">
        <f>IFERROR(__xludf.DUMMYFUNCTION("""COMPUTED_VALUE"""),"Article")</f>
        <v>Article</v>
      </c>
      <c r="G2" s="11" t="b">
        <f>IFERROR(__xludf.DUMMYFUNCTION("""COMPUTED_VALUE"""),FALSE)</f>
        <v>0</v>
      </c>
      <c r="H2" s="11" t="str">
        <f>IFERROR(__xludf.DUMMYFUNCTION("""COMPUTED_VALUE"""),"WPP, Dentsu, Ogilvy, VML, GroupM, BBDO, Publicis Groupe, Publicis Sapient, iProspect, Merkle")</f>
        <v>WPP, Dentsu, Ogilvy, VML, GroupM, BBDO, Publicis Groupe, Publicis Sapient, iProspect, Merkle</v>
      </c>
      <c r="I2" s="11">
        <f>IFERROR(__xludf.DUMMYFUNCTION("""COMPUTED_VALUE"""),17.0)</f>
        <v>17</v>
      </c>
      <c r="J2" s="11">
        <f>IFERROR(__xludf.DUMMYFUNCTION("""COMPUTED_VALUE"""),0.02)</f>
        <v>0.02</v>
      </c>
      <c r="K2" s="11">
        <f>IFERROR(__xludf.DUMMYFUNCTION("""COMPUTED_VALUE"""),0.65)</f>
        <v>0.65</v>
      </c>
    </row>
    <row r="3" ht="15.75" customHeight="1">
      <c r="A3" s="10" t="str">
        <f>IFERROR(__xludf.DUMMYFUNCTION("""COMPUTED_VALUE"""),"https://supermetrics.com/blog/incrementality-testing")</f>
        <v>https://supermetrics.com/blog/incrementality-testing</v>
      </c>
      <c r="B3" s="11" t="str">
        <f>IFERROR(__xludf.DUMMYFUNCTION("""COMPUTED_VALUE"""),"Incrementality Testing – The Only Guide You Need")</f>
        <v>Incrementality Testing – The Only Guide You Need</v>
      </c>
      <c r="C3" s="10" t="str">
        <f>IFERROR(__xludf.DUMMYFUNCTION("""COMPUTED_VALUE"""),"supermetrics.com")</f>
        <v>supermetrics.com</v>
      </c>
      <c r="D3" s="11" t="str">
        <f>IFERROR(__xludf.DUMMYFUNCTION("""COMPUTED_VALUE"""),"ARTICLE")</f>
        <v>ARTICLE</v>
      </c>
      <c r="E3" s="11" t="str">
        <f>IFERROR(__xludf.DUMMYFUNCTION("""COMPUTED_VALUE"""),"CORPORATE")</f>
        <v>CORPORATE</v>
      </c>
      <c r="F3" s="11" t="str">
        <f>IFERROR(__xludf.DUMMYFUNCTION("""COMPUTED_VALUE"""),"Article")</f>
        <v>Article</v>
      </c>
      <c r="G3" s="11" t="b">
        <f>IFERROR(__xludf.DUMMYFUNCTION("""COMPUTED_VALUE"""),FALSE)</f>
        <v>0</v>
      </c>
      <c r="H3" s="11" t="str">
        <f>IFERROR(__xludf.DUMMYFUNCTION("""COMPUTED_VALUE"""),"Haus, Measured")</f>
        <v>Haus, Measured</v>
      </c>
      <c r="I3" s="11">
        <f>IFERROR(__xludf.DUMMYFUNCTION("""COMPUTED_VALUE"""),15.0)</f>
        <v>15</v>
      </c>
      <c r="J3" s="11">
        <f>IFERROR(__xludf.DUMMYFUNCTION("""COMPUTED_VALUE"""),0.01)</f>
        <v>0.01</v>
      </c>
      <c r="K3" s="11">
        <f>IFERROR(__xludf.DUMMYFUNCTION("""COMPUTED_VALUE"""),0.2)</f>
        <v>0.2</v>
      </c>
    </row>
    <row r="4" ht="15.75" customHeight="1">
      <c r="A4" s="10" t="str">
        <f>IFERROR(__xludf.DUMMYFUNCTION("""COMPUTED_VALUE"""),"https://business.google.com/us/support/work-with-a-partner/")</f>
        <v>https://business.google.com/us/support/work-with-a-partner/</v>
      </c>
      <c r="B4" s="11" t="str">
        <f>IFERROR(__xludf.DUMMYFUNCTION("""COMPUTED_VALUE"""),"Get a Google Partner for a Successful Ad Campaign - Google Ads")</f>
        <v>Get a Google Partner for a Successful Ad Campaign - Google Ads</v>
      </c>
      <c r="C4" s="10" t="str">
        <f>IFERROR(__xludf.DUMMYFUNCTION("""COMPUTED_VALUE"""),"google.com")</f>
        <v>google.com</v>
      </c>
      <c r="D4" s="11" t="str">
        <f>IFERROR(__xludf.DUMMYFUNCTION("""COMPUTED_VALUE"""),"ARTICLE")</f>
        <v>ARTICLE</v>
      </c>
      <c r="E4" s="11" t="str">
        <f>IFERROR(__xludf.DUMMYFUNCTION("""COMPUTED_VALUE"""),"OTHER")</f>
        <v>OTHER</v>
      </c>
      <c r="F4" s="11" t="str">
        <f>IFERROR(__xludf.DUMMYFUNCTION("""COMPUTED_VALUE"""),"Article")</f>
        <v>Article</v>
      </c>
      <c r="G4" s="11" t="b">
        <f>IFERROR(__xludf.DUMMYFUNCTION("""COMPUTED_VALUE"""),FALSE)</f>
        <v>0</v>
      </c>
      <c r="H4" s="11" t="str">
        <f>IFERROR(__xludf.DUMMYFUNCTION("""COMPUTED_VALUE"""),"New Engen, Wpromote")</f>
        <v>New Engen, Wpromote</v>
      </c>
      <c r="I4" s="11">
        <f>IFERROR(__xludf.DUMMYFUNCTION("""COMPUTED_VALUE"""),13.0)</f>
        <v>13</v>
      </c>
      <c r="J4" s="11">
        <f>IFERROR(__xludf.DUMMYFUNCTION("""COMPUTED_VALUE"""),0.01)</f>
        <v>0.01</v>
      </c>
      <c r="K4" s="11">
        <f>IFERROR(__xludf.DUMMYFUNCTION("""COMPUTED_VALUE"""),0.0)</f>
        <v>0</v>
      </c>
    </row>
    <row r="5" ht="15.75" customHeight="1">
      <c r="A5" s="10" t="str">
        <f>IFERROR(__xludf.DUMMYFUNCTION("""COMPUTED_VALUE"""),"https://inbeat.agency/blog/incrementality-testing")</f>
        <v>https://inbeat.agency/blog/incrementality-testing</v>
      </c>
      <c r="B5" s="11" t="str">
        <f>IFERROR(__xludf.DUMMYFUNCTION("""COMPUTED_VALUE"""),"Incrementality Testing: Calculations, Examples, and More for 2025 - inBeat Agency")</f>
        <v>Incrementality Testing: Calculations, Examples, and More for 2025 - inBeat Agency</v>
      </c>
      <c r="C5" s="11" t="str">
        <f>IFERROR(__xludf.DUMMYFUNCTION("""COMPUTED_VALUE"""),"inbeat.agency")</f>
        <v>inbeat.agency</v>
      </c>
      <c r="D5" s="11" t="str">
        <f>IFERROR(__xludf.DUMMYFUNCTION("""COMPUTED_VALUE"""),"ARTICLE")</f>
        <v>ARTICLE</v>
      </c>
      <c r="E5" s="11" t="str">
        <f>IFERROR(__xludf.DUMMYFUNCTION("""COMPUTED_VALUE"""),"COMPETITOR")</f>
        <v>COMPETITOR</v>
      </c>
      <c r="F5" s="11" t="str">
        <f>IFERROR(__xludf.DUMMYFUNCTION("""COMPUTED_VALUE"""),"Article")</f>
        <v>Article</v>
      </c>
      <c r="G5" s="11" t="b">
        <f>IFERROR(__xludf.DUMMYFUNCTION("""COMPUTED_VALUE"""),FALSE)</f>
        <v>0</v>
      </c>
      <c r="H5" s="11" t="str">
        <f>IFERROR(__xludf.DUMMYFUNCTION("""COMPUTED_VALUE"""),"inBeat, Nielsen, Measured")</f>
        <v>inBeat, Nielsen, Measured</v>
      </c>
      <c r="I5" s="11">
        <f>IFERROR(__xludf.DUMMYFUNCTION("""COMPUTED_VALUE"""),12.0)</f>
        <v>12</v>
      </c>
      <c r="J5" s="11">
        <f>IFERROR(__xludf.DUMMYFUNCTION("""COMPUTED_VALUE"""),0.01)</f>
        <v>0.01</v>
      </c>
      <c r="K5" s="11">
        <f>IFERROR(__xludf.DUMMYFUNCTION("""COMPUTED_VALUE"""),0.17)</f>
        <v>0.17</v>
      </c>
    </row>
    <row r="6" ht="15.75" customHeight="1">
      <c r="A6" s="10" t="str">
        <f>IFERROR(__xludf.DUMMYFUNCTION("""COMPUTED_VALUE"""),"https://www.appsflyer.com/blog/tips-strategy/incrementality-testing-for-marketers/")</f>
        <v>https://www.appsflyer.com/blog/tips-strategy/incrementality-testing-for-marketers/</v>
      </c>
      <c r="B6" s="11" t="str">
        <f>IFERROR(__xludf.DUMMYFUNCTION("""COMPUTED_VALUE"""),"Incrementality testing 101: Marketers 2023 guide | AppsFlyer")</f>
        <v>Incrementality testing 101: Marketers 2023 guide | AppsFlyer</v>
      </c>
      <c r="C6" s="10" t="str">
        <f>IFERROR(__xludf.DUMMYFUNCTION("""COMPUTED_VALUE"""),"appsflyer.com")</f>
        <v>appsflyer.com</v>
      </c>
      <c r="D6" s="11" t="str">
        <f>IFERROR(__xludf.DUMMYFUNCTION("""COMPUTED_VALUE"""),"ARTICLE")</f>
        <v>ARTICLE</v>
      </c>
      <c r="E6" s="11" t="str">
        <f>IFERROR(__xludf.DUMMYFUNCTION("""COMPUTED_VALUE"""),"CORPORATE")</f>
        <v>CORPORATE</v>
      </c>
      <c r="F6" s="11" t="str">
        <f>IFERROR(__xludf.DUMMYFUNCTION("""COMPUTED_VALUE"""),"Article")</f>
        <v>Article</v>
      </c>
      <c r="G6" s="11" t="b">
        <f>IFERROR(__xludf.DUMMYFUNCTION("""COMPUTED_VALUE"""),FALSE)</f>
        <v>0</v>
      </c>
      <c r="H6" s="11"/>
      <c r="I6" s="11">
        <f>IFERROR(__xludf.DUMMYFUNCTION("""COMPUTED_VALUE"""),10.0)</f>
        <v>10</v>
      </c>
      <c r="J6" s="11">
        <f>IFERROR(__xludf.DUMMYFUNCTION("""COMPUTED_VALUE"""),0.01)</f>
        <v>0.01</v>
      </c>
      <c r="K6" s="11">
        <f>IFERROR(__xludf.DUMMYFUNCTION("""COMPUTED_VALUE"""),0.0)</f>
        <v>0</v>
      </c>
    </row>
    <row r="7" ht="15.75" customHeight="1">
      <c r="A7" s="10" t="str">
        <f>IFERROR(__xludf.DUMMYFUNCTION("""COMPUTED_VALUE"""),"https://xponent21.com/insights/10-leading-seo-companies-helping-brands-rank-in-ai-search-and-beyond/")</f>
        <v>https://xponent21.com/insights/10-leading-seo-companies-helping-brands-rank-in-ai-search-and-beyond/</v>
      </c>
      <c r="B7" s="11" t="str">
        <f>IFERROR(__xludf.DUMMYFUNCTION("""COMPUTED_VALUE"""),"10 Leading AI SEO Agencies in America - 2025 Guide")</f>
        <v>10 Leading AI SEO Agencies in America - 2025 Guide</v>
      </c>
      <c r="C7" s="10" t="str">
        <f>IFERROR(__xludf.DUMMYFUNCTION("""COMPUTED_VALUE"""),"xponent21.com")</f>
        <v>xponent21.com</v>
      </c>
      <c r="D7" s="11" t="str">
        <f>IFERROR(__xludf.DUMMYFUNCTION("""COMPUTED_VALUE"""),"ARTICLE")</f>
        <v>ARTICLE</v>
      </c>
      <c r="E7" s="11" t="str">
        <f>IFERROR(__xludf.DUMMYFUNCTION("""COMPUTED_VALUE"""),"OTHER")</f>
        <v>OTHER</v>
      </c>
      <c r="F7" s="11" t="str">
        <f>IFERROR(__xludf.DUMMYFUNCTION("""COMPUTED_VALUE"""),"Article")</f>
        <v>Article</v>
      </c>
      <c r="G7" s="11" t="b">
        <f>IFERROR(__xludf.DUMMYFUNCTION("""COMPUTED_VALUE"""),FALSE)</f>
        <v>0</v>
      </c>
      <c r="H7" s="11" t="str">
        <f>IFERROR(__xludf.DUMMYFUNCTION("""COMPUTED_VALUE"""),"Omniscient Digital, iPullRank, First Page Sage, WebFX, NoGood, Siege Media, NP Digital, Clutch, Huge")</f>
        <v>Omniscient Digital, iPullRank, First Page Sage, WebFX, NoGood, Siege Media, NP Digital, Clutch, Huge</v>
      </c>
      <c r="I7" s="11">
        <f>IFERROR(__xludf.DUMMYFUNCTION("""COMPUTED_VALUE"""),10.0)</f>
        <v>10</v>
      </c>
      <c r="J7" s="11">
        <f>IFERROR(__xludf.DUMMYFUNCTION("""COMPUTED_VALUE"""),0.01)</f>
        <v>0.01</v>
      </c>
      <c r="K7" s="11">
        <f>IFERROR(__xludf.DUMMYFUNCTION("""COMPUTED_VALUE"""),0.1)</f>
        <v>0.1</v>
      </c>
    </row>
    <row r="8" ht="15.75" customHeight="1">
      <c r="A8" s="10" t="str">
        <f>IFERROR(__xludf.DUMMYFUNCTION("""COMPUTED_VALUE"""),"https://www.forrester.com/press-newsroom/forrester-nine-in-10-us-marketing-agencies-use-ai-to-cut-costs-at-the-expense-of-creativity/")</f>
        <v>https://www.forrester.com/press-newsroom/forrester-nine-in-10-us-marketing-agencies-use-ai-to-cut-costs-at-the-expense-of-creativity/</v>
      </c>
      <c r="B8" s="11" t="str">
        <f>IFERROR(__xludf.DUMMYFUNCTION("""COMPUTED_VALUE"""),"Forrester: Nine In 10 US Marketing Agencies Use AI To Cut Costs At The Expense Of Creativity - Forrester")</f>
        <v>Forrester: Nine In 10 US Marketing Agencies Use AI To Cut Costs At The Expense Of Creativity - Forrester</v>
      </c>
      <c r="C8" s="10" t="str">
        <f>IFERROR(__xludf.DUMMYFUNCTION("""COMPUTED_VALUE"""),"forrester.com")</f>
        <v>forrester.com</v>
      </c>
      <c r="D8" s="11" t="str">
        <f>IFERROR(__xludf.DUMMYFUNCTION("""COMPUTED_VALUE"""),"ARTICLE")</f>
        <v>ARTICLE</v>
      </c>
      <c r="E8" s="11" t="str">
        <f>IFERROR(__xludf.DUMMYFUNCTION("""COMPUTED_VALUE"""),"CORPORATE")</f>
        <v>CORPORATE</v>
      </c>
      <c r="F8" s="11" t="str">
        <f>IFERROR(__xludf.DUMMYFUNCTION("""COMPUTED_VALUE"""),"Article")</f>
        <v>Article</v>
      </c>
      <c r="G8" s="11" t="b">
        <f>IFERROR(__xludf.DUMMYFUNCTION("""COMPUTED_VALUE"""),FALSE)</f>
        <v>0</v>
      </c>
      <c r="H8" s="11"/>
      <c r="I8" s="11">
        <f>IFERROR(__xludf.DUMMYFUNCTION("""COMPUTED_VALUE"""),9.0)</f>
        <v>9</v>
      </c>
      <c r="J8" s="11">
        <f>IFERROR(__xludf.DUMMYFUNCTION("""COMPUTED_VALUE"""),0.01)</f>
        <v>0.01</v>
      </c>
      <c r="K8" s="11">
        <f>IFERROR(__xludf.DUMMYFUNCTION("""COMPUTED_VALUE"""),1.89)</f>
        <v>1.89</v>
      </c>
    </row>
    <row r="9" ht="15.75" customHeight="1">
      <c r="A9" s="10" t="str">
        <f>IFERROR(__xludf.DUMMYFUNCTION("""COMPUTED_VALUE"""),"https://www.architecturaldigest.com/story/is-your-business-ready-for-the-ai-overview-era")</f>
        <v>https://www.architecturaldigest.com/story/is-your-business-ready-for-the-ai-overview-era</v>
      </c>
      <c r="B9" s="11" t="str">
        <f>IFERROR(__xludf.DUMMYFUNCTION("""COMPUTED_VALUE"""),"Is Your Business Ready for the AI Overview Era? | Architectural Digest")</f>
        <v>Is Your Business Ready for the AI Overview Era? | Architectural Digest</v>
      </c>
      <c r="C9" s="10" t="str">
        <f>IFERROR(__xludf.DUMMYFUNCTION("""COMPUTED_VALUE"""),"architecturaldigest.com")</f>
        <v>architecturaldigest.com</v>
      </c>
      <c r="D9" s="11" t="str">
        <f>IFERROR(__xludf.DUMMYFUNCTION("""COMPUTED_VALUE"""),"ARTICLE")</f>
        <v>ARTICLE</v>
      </c>
      <c r="E9" s="11" t="str">
        <f>IFERROR(__xludf.DUMMYFUNCTION("""COMPUTED_VALUE"""),"EDITORIAL")</f>
        <v>EDITORIAL</v>
      </c>
      <c r="F9" s="11" t="str">
        <f>IFERROR(__xludf.DUMMYFUNCTION("""COMPUTED_VALUE"""),"Article")</f>
        <v>Article</v>
      </c>
      <c r="G9" s="11" t="b">
        <f>IFERROR(__xludf.DUMMYFUNCTION("""COMPUTED_VALUE"""),FALSE)</f>
        <v>0</v>
      </c>
      <c r="H9" s="11"/>
      <c r="I9" s="11">
        <f>IFERROR(__xludf.DUMMYFUNCTION("""COMPUTED_VALUE"""),8.0)</f>
        <v>8</v>
      </c>
      <c r="J9" s="11">
        <f>IFERROR(__xludf.DUMMYFUNCTION("""COMPUTED_VALUE"""),0.01)</f>
        <v>0.01</v>
      </c>
      <c r="K9" s="11">
        <f>IFERROR(__xludf.DUMMYFUNCTION("""COMPUTED_VALUE"""),2.0)</f>
        <v>2</v>
      </c>
    </row>
    <row r="10" ht="15.75" customHeight="1">
      <c r="A10" s="10" t="str">
        <f>IFERROR(__xludf.DUMMYFUNCTION("""COMPUTED_VALUE"""),"https://www.ragan.com/press-releases/ragans-center-for-ai-strategy-launches-ai-team-readiness-assessment/")</f>
        <v>https://www.ragan.com/press-releases/ragans-center-for-ai-strategy-launches-ai-team-readiness-assessment/</v>
      </c>
      <c r="B10" s="11" t="str">
        <f>IFERROR(__xludf.DUMMYFUNCTION("""COMPUTED_VALUE"""),"Ragan’s Center for AI Strategy Launches AI Team Readiness Assessment - Ragan Communications")</f>
        <v>Ragan’s Center for AI Strategy Launches AI Team Readiness Assessment - Ragan Communications</v>
      </c>
      <c r="C10" s="10" t="str">
        <f>IFERROR(__xludf.DUMMYFUNCTION("""COMPUTED_VALUE"""),"ragan.com")</f>
        <v>ragan.com</v>
      </c>
      <c r="D10" s="11" t="str">
        <f>IFERROR(__xludf.DUMMYFUNCTION("""COMPUTED_VALUE"""),"ARTICLE")</f>
        <v>ARTICLE</v>
      </c>
      <c r="E10" s="11" t="str">
        <f>IFERROR(__xludf.DUMMYFUNCTION("""COMPUTED_VALUE"""),"EDITORIAL")</f>
        <v>EDITORIAL</v>
      </c>
      <c r="F10" s="11" t="str">
        <f>IFERROR(__xludf.DUMMYFUNCTION("""COMPUTED_VALUE"""),"Article")</f>
        <v>Article</v>
      </c>
      <c r="G10" s="11" t="b">
        <f>IFERROR(__xludf.DUMMYFUNCTION("""COMPUTED_VALUE"""),FALSE)</f>
        <v>0</v>
      </c>
      <c r="H10" s="11" t="str">
        <f>IFERROR(__xludf.DUMMYFUNCTION("""COMPUTED_VALUE"""),"IBM")</f>
        <v>IBM</v>
      </c>
      <c r="I10" s="11">
        <f>IFERROR(__xludf.DUMMYFUNCTION("""COMPUTED_VALUE"""),8.0)</f>
        <v>8</v>
      </c>
      <c r="J10" s="11">
        <f>IFERROR(__xludf.DUMMYFUNCTION("""COMPUTED_VALUE"""),0.01)</f>
        <v>0.01</v>
      </c>
      <c r="K10" s="11">
        <f>IFERROR(__xludf.DUMMYFUNCTION("""COMPUTED_VALUE"""),0.75)</f>
        <v>0.75</v>
      </c>
    </row>
    <row r="11" ht="15.75" customHeight="1">
      <c r="A11" s="10" t="str">
        <f>IFERROR(__xludf.DUMMYFUNCTION("""COMPUTED_VALUE"""),"https://www.designrush.com/agency/digital-marketing/trends/incrementality-testing")</f>
        <v>https://www.designrush.com/agency/digital-marketing/trends/incrementality-testing</v>
      </c>
      <c r="B11" s="11" t="str">
        <f>IFERROR(__xludf.DUMMYFUNCTION("""COMPUTED_VALUE"""),"Incrementality Testing: Measure True Marketing Impact")</f>
        <v>Incrementality Testing: Measure True Marketing Impact</v>
      </c>
      <c r="C11" s="10" t="str">
        <f>IFERROR(__xludf.DUMMYFUNCTION("""COMPUTED_VALUE"""),"designrush.com")</f>
        <v>designrush.com</v>
      </c>
      <c r="D11" s="11" t="str">
        <f>IFERROR(__xludf.DUMMYFUNCTION("""COMPUTED_VALUE"""),"ARTICLE")</f>
        <v>ARTICLE</v>
      </c>
      <c r="E11" s="11" t="str">
        <f>IFERROR(__xludf.DUMMYFUNCTION("""COMPUTED_VALUE"""),"CORPORATE")</f>
        <v>CORPORATE</v>
      </c>
      <c r="F11" s="11" t="str">
        <f>IFERROR(__xludf.DUMMYFUNCTION("""COMPUTED_VALUE"""),"Article")</f>
        <v>Article</v>
      </c>
      <c r="G11" s="11" t="b">
        <f>IFERROR(__xludf.DUMMYFUNCTION("""COMPUTED_VALUE"""),FALSE)</f>
        <v>0</v>
      </c>
      <c r="H11" s="11" t="str">
        <f>IFERROR(__xludf.DUMMYFUNCTION("""COMPUTED_VALUE"""),"Measured, Silverback Strategies, Power Digital")</f>
        <v>Measured, Silverback Strategies, Power Digital</v>
      </c>
      <c r="I11" s="11">
        <f>IFERROR(__xludf.DUMMYFUNCTION("""COMPUTED_VALUE"""),7.0)</f>
        <v>7</v>
      </c>
      <c r="J11" s="11">
        <f>IFERROR(__xludf.DUMMYFUNCTION("""COMPUTED_VALUE"""),0.01)</f>
        <v>0.01</v>
      </c>
      <c r="K11" s="11">
        <f>IFERROR(__xludf.DUMMYFUNCTION("""COMPUTED_VALUE"""),1.29)</f>
        <v>1.29</v>
      </c>
    </row>
    <row r="12" ht="15.75" customHeight="1">
      <c r="A12" s="10" t="str">
        <f>IFERROR(__xludf.DUMMYFUNCTION("""COMPUTED_VALUE"""),"https://www.einpresswire.com/article/845296836/digital-agency-network-s-comprehensive-ai-agency-directory-to-spotlight-the-future-of-marketing-in-the-usa")</f>
        <v>https://www.einpresswire.com/article/845296836/digital-agency-network-s-comprehensive-ai-agency-directory-to-spotlight-the-future-of-marketing-in-the-usa</v>
      </c>
      <c r="B12" s="11" t="str">
        <f>IFERROR(__xludf.DUMMYFUNCTION("""COMPUTED_VALUE"""),"Digital Agency Network’s Comprehensive AI Agency Directory to Spotlight the Future of Marketing in the USA")</f>
        <v>Digital Agency Network’s Comprehensive AI Agency Directory to Spotlight the Future of Marketing in the USA</v>
      </c>
      <c r="C12" s="10" t="str">
        <f>IFERROR(__xludf.DUMMYFUNCTION("""COMPUTED_VALUE"""),"einpresswire.com")</f>
        <v>einpresswire.com</v>
      </c>
      <c r="D12" s="11" t="str">
        <f>IFERROR(__xludf.DUMMYFUNCTION("""COMPUTED_VALUE"""),"ARTICLE")</f>
        <v>ARTICLE</v>
      </c>
      <c r="E12" s="11" t="str">
        <f>IFERROR(__xludf.DUMMYFUNCTION("""COMPUTED_VALUE"""),"EDITORIAL")</f>
        <v>EDITORIAL</v>
      </c>
      <c r="F12" s="11" t="str">
        <f>IFERROR(__xludf.DUMMYFUNCTION("""COMPUTED_VALUE"""),"Article")</f>
        <v>Article</v>
      </c>
      <c r="G12" s="11" t="b">
        <f>IFERROR(__xludf.DUMMYFUNCTION("""COMPUTED_VALUE"""),FALSE)</f>
        <v>0</v>
      </c>
      <c r="H12" s="11" t="str">
        <f>IFERROR(__xludf.DUMMYFUNCTION("""COMPUTED_VALUE"""),"Major Tom, NoGood, Clay, SmartSites")</f>
        <v>Major Tom, NoGood, Clay, SmartSites</v>
      </c>
      <c r="I12" s="11">
        <f>IFERROR(__xludf.DUMMYFUNCTION("""COMPUTED_VALUE"""),7.0)</f>
        <v>7</v>
      </c>
      <c r="J12" s="11">
        <f>IFERROR(__xludf.DUMMYFUNCTION("""COMPUTED_VALUE"""),0.01)</f>
        <v>0.01</v>
      </c>
      <c r="K12" s="11">
        <f>IFERROR(__xludf.DUMMYFUNCTION("""COMPUTED_VALUE"""),0.0)</f>
        <v>0</v>
      </c>
    </row>
    <row r="13" ht="15.75" customHeight="1">
      <c r="A13" s="10" t="str">
        <f>IFERROR(__xludf.DUMMYFUNCTION("""COMPUTED_VALUE"""),"https://www.theverge.com/tech/900302/ai-seo-industry-google-search-chatgpt-gemini-marketing")</f>
        <v>https://www.theverge.com/tech/900302/ai-seo-industry-google-search-chatgpt-gemini-marketing</v>
      </c>
      <c r="B13" s="11" t="str">
        <f>IFERROR(__xludf.DUMMYFUNCTION("""COMPUTED_VALUE"""),"Can AI responses be influenced? The SEO industry is trying | The Verge")</f>
        <v>Can AI responses be influenced? The SEO industry is trying | The Verge</v>
      </c>
      <c r="C13" s="10" t="str">
        <f>IFERROR(__xludf.DUMMYFUNCTION("""COMPUTED_VALUE"""),"theverge.com")</f>
        <v>theverge.com</v>
      </c>
      <c r="D13" s="11" t="str">
        <f>IFERROR(__xludf.DUMMYFUNCTION("""COMPUTED_VALUE"""),"ARTICLE")</f>
        <v>ARTICLE</v>
      </c>
      <c r="E13" s="11" t="str">
        <f>IFERROR(__xludf.DUMMYFUNCTION("""COMPUTED_VALUE"""),"EDITORIAL")</f>
        <v>EDITORIAL</v>
      </c>
      <c r="F13" s="11" t="str">
        <f>IFERROR(__xludf.DUMMYFUNCTION("""COMPUTED_VALUE"""),"Article")</f>
        <v>Article</v>
      </c>
      <c r="G13" s="11" t="b">
        <f>IFERROR(__xludf.DUMMYFUNCTION("""COMPUTED_VALUE"""),FALSE)</f>
        <v>0</v>
      </c>
      <c r="H13" s="11" t="str">
        <f>IFERROR(__xludf.DUMMYFUNCTION("""COMPUTED_VALUE"""),"Huge, Recast")</f>
        <v>Huge, Recast</v>
      </c>
      <c r="I13" s="11">
        <f>IFERROR(__xludf.DUMMYFUNCTION("""COMPUTED_VALUE"""),7.0)</f>
        <v>7</v>
      </c>
      <c r="J13" s="11">
        <f>IFERROR(__xludf.DUMMYFUNCTION("""COMPUTED_VALUE"""),0.01)</f>
        <v>0.01</v>
      </c>
      <c r="K13" s="11">
        <f>IFERROR(__xludf.DUMMYFUNCTION("""COMPUTED_VALUE"""),2.14)</f>
        <v>2.14</v>
      </c>
    </row>
    <row r="14" ht="15.75" customHeight="1">
      <c r="A14" s="10" t="str">
        <f>IFERROR(__xludf.DUMMYFUNCTION("""COMPUTED_VALUE"""),"https://arxiv.org/abs/2606.16878")</f>
        <v>https://arxiv.org/abs/2606.16878</v>
      </c>
      <c r="B14" s="11" t="str">
        <f>IFERROR(__xludf.DUMMYFUNCTION("""COMPUTED_VALUE"""),"[2606.16878] Integrated Marketing Attribution: A Bayesian Framework for Privacy-Safe Granular Measurement Anchored in MMM")</f>
        <v>[2606.16878] Integrated Marketing Attribution: A Bayesian Framework for Privacy-Safe Granular Measurement Anchored in MMM</v>
      </c>
      <c r="C14" s="10" t="str">
        <f>IFERROR(__xludf.DUMMYFUNCTION("""COMPUTED_VALUE"""),"arxiv.org")</f>
        <v>arxiv.org</v>
      </c>
      <c r="D14" s="11" t="str">
        <f>IFERROR(__xludf.DUMMYFUNCTION("""COMPUTED_VALUE"""),"ARTICLE")</f>
        <v>ARTICLE</v>
      </c>
      <c r="E14" s="11" t="str">
        <f>IFERROR(__xludf.DUMMYFUNCTION("""COMPUTED_VALUE"""),"REFERENCE")</f>
        <v>REFERENCE</v>
      </c>
      <c r="F14" s="11" t="str">
        <f>IFERROR(__xludf.DUMMYFUNCTION("""COMPUTED_VALUE"""),"Article")</f>
        <v>Article</v>
      </c>
      <c r="G14" s="11" t="b">
        <f>IFERROR(__xludf.DUMMYFUNCTION("""COMPUTED_VALUE"""),FALSE)</f>
        <v>0</v>
      </c>
      <c r="H14" s="11"/>
      <c r="I14" s="11">
        <f>IFERROR(__xludf.DUMMYFUNCTION("""COMPUTED_VALUE"""),6.0)</f>
        <v>6</v>
      </c>
      <c r="J14" s="11">
        <f>IFERROR(__xludf.DUMMYFUNCTION("""COMPUTED_VALUE"""),0.01)</f>
        <v>0.01</v>
      </c>
      <c r="K14" s="11">
        <f>IFERROR(__xludf.DUMMYFUNCTION("""COMPUTED_VALUE"""),2.33)</f>
        <v>2.33</v>
      </c>
    </row>
    <row r="15" ht="15.75" customHeight="1">
      <c r="A15" s="10" t="str">
        <f>IFERROR(__xludf.DUMMYFUNCTION("""COMPUTED_VALUE"""),"https://www.emarketer.com/content/faq-on-incrementality-how-prove-your-ads-actually-work-2026")</f>
        <v>https://www.emarketer.com/content/faq-on-incrementality-how-prove-your-ads-actually-work-2026</v>
      </c>
      <c r="B15" s="11" t="str">
        <f>IFERROR(__xludf.DUMMYFUNCTION("""COMPUTED_VALUE"""),"FAQ on incrementality: How to prove your ads actually work in 2026")</f>
        <v>FAQ on incrementality: How to prove your ads actually work in 2026</v>
      </c>
      <c r="C15" s="10" t="str">
        <f>IFERROR(__xludf.DUMMYFUNCTION("""COMPUTED_VALUE"""),"emarketer.com")</f>
        <v>emarketer.com</v>
      </c>
      <c r="D15" s="11" t="str">
        <f>IFERROR(__xludf.DUMMYFUNCTION("""COMPUTED_VALUE"""),"ARTICLE")</f>
        <v>ARTICLE</v>
      </c>
      <c r="E15" s="11" t="str">
        <f>IFERROR(__xludf.DUMMYFUNCTION("""COMPUTED_VALUE"""),"EDITORIAL")</f>
        <v>EDITORIAL</v>
      </c>
      <c r="F15" s="11" t="str">
        <f>IFERROR(__xludf.DUMMYFUNCTION("""COMPUTED_VALUE"""),"Article")</f>
        <v>Article</v>
      </c>
      <c r="G15" s="11" t="b">
        <f>IFERROR(__xludf.DUMMYFUNCTION("""COMPUTED_VALUE"""),FALSE)</f>
        <v>0</v>
      </c>
      <c r="H15" s="11" t="str">
        <f>IFERROR(__xludf.DUMMYFUNCTION("""COMPUTED_VALUE"""),"TransUnion, Haus")</f>
        <v>TransUnion, Haus</v>
      </c>
      <c r="I15" s="11">
        <f>IFERROR(__xludf.DUMMYFUNCTION("""COMPUTED_VALUE"""),6.0)</f>
        <v>6</v>
      </c>
      <c r="J15" s="11">
        <f>IFERROR(__xludf.DUMMYFUNCTION("""COMPUTED_VALUE"""),0.01)</f>
        <v>0.01</v>
      </c>
      <c r="K15" s="11">
        <f>IFERROR(__xludf.DUMMYFUNCTION("""COMPUTED_VALUE"""),1.17)</f>
        <v>1.17</v>
      </c>
    </row>
    <row r="16" ht="15.75" customHeight="1">
      <c r="A16" s="10" t="str">
        <f>IFERROR(__xludf.DUMMYFUNCTION("""COMPUTED_VALUE"""),"https://aismedia.com/global-100-awards-2026/")</f>
        <v>https://aismedia.com/global-100-awards-2026/</v>
      </c>
      <c r="B16" s="11" t="str">
        <f>IFERROR(__xludf.DUMMYFUNCTION("""COMPUTED_VALUE"""),"Global 100 Awards 2026 Winner \| AIS Media, Inc.")</f>
        <v>Global 100 Awards 2026 Winner \| AIS Media, Inc.</v>
      </c>
      <c r="C16" s="10" t="str">
        <f>IFERROR(__xludf.DUMMYFUNCTION("""COMPUTED_VALUE"""),"aismedia.com")</f>
        <v>aismedia.com</v>
      </c>
      <c r="D16" s="11" t="str">
        <f>IFERROR(__xludf.DUMMYFUNCTION("""COMPUTED_VALUE"""),"ARTICLE")</f>
        <v>ARTICLE</v>
      </c>
      <c r="E16" s="11" t="str">
        <f>IFERROR(__xludf.DUMMYFUNCTION("""COMPUTED_VALUE"""),"CORPORATE")</f>
        <v>CORPORATE</v>
      </c>
      <c r="F16" s="11" t="str">
        <f>IFERROR(__xludf.DUMMYFUNCTION("""COMPUTED_VALUE"""),"Article")</f>
        <v>Article</v>
      </c>
      <c r="G16" s="11" t="b">
        <f>IFERROR(__xludf.DUMMYFUNCTION("""COMPUTED_VALUE"""),FALSE)</f>
        <v>0</v>
      </c>
      <c r="H16" s="11"/>
      <c r="I16" s="11">
        <f>IFERROR(__xludf.DUMMYFUNCTION("""COMPUTED_VALUE"""),5.0)</f>
        <v>5</v>
      </c>
      <c r="J16" s="11">
        <f>IFERROR(__xludf.DUMMYFUNCTION("""COMPUTED_VALUE"""),0.0)</f>
        <v>0</v>
      </c>
      <c r="K16" s="11">
        <f>IFERROR(__xludf.DUMMYFUNCTION("""COMPUTED_VALUE"""),0.0)</f>
        <v>0</v>
      </c>
    </row>
    <row r="17" ht="15.75" customHeight="1">
      <c r="A17" s="10" t="str">
        <f>IFERROR(__xludf.DUMMYFUNCTION("""COMPUTED_VALUE"""),"https://arxiv.org/abs/2509.08919")</f>
        <v>https://arxiv.org/abs/2509.08919</v>
      </c>
      <c r="B17" s="11" t="str">
        <f>IFERROR(__xludf.DUMMYFUNCTION("""COMPUTED_VALUE"""),"[2509.08919] Generative Engine Optimization: How to Dominate AI Search")</f>
        <v>[2509.08919] Generative Engine Optimization: How to Dominate AI Search</v>
      </c>
      <c r="C17" s="10" t="str">
        <f>IFERROR(__xludf.DUMMYFUNCTION("""COMPUTED_VALUE"""),"arxiv.org")</f>
        <v>arxiv.org</v>
      </c>
      <c r="D17" s="11" t="str">
        <f>IFERROR(__xludf.DUMMYFUNCTION("""COMPUTED_VALUE"""),"ARTICLE")</f>
        <v>ARTICLE</v>
      </c>
      <c r="E17" s="11" t="str">
        <f>IFERROR(__xludf.DUMMYFUNCTION("""COMPUTED_VALUE"""),"REFERENCE")</f>
        <v>REFERENCE</v>
      </c>
      <c r="F17" s="11" t="str">
        <f>IFERROR(__xludf.DUMMYFUNCTION("""COMPUTED_VALUE"""),"Article")</f>
        <v>Article</v>
      </c>
      <c r="G17" s="11" t="b">
        <f>IFERROR(__xludf.DUMMYFUNCTION("""COMPUTED_VALUE"""),FALSE)</f>
        <v>0</v>
      </c>
      <c r="H17" s="11"/>
      <c r="I17" s="11">
        <f>IFERROR(__xludf.DUMMYFUNCTION("""COMPUTED_VALUE"""),5.0)</f>
        <v>5</v>
      </c>
      <c r="J17" s="11">
        <f>IFERROR(__xludf.DUMMYFUNCTION("""COMPUTED_VALUE"""),0.0)</f>
        <v>0</v>
      </c>
      <c r="K17" s="11">
        <f>IFERROR(__xludf.DUMMYFUNCTION("""COMPUTED_VALUE"""),2.0)</f>
        <v>2</v>
      </c>
    </row>
    <row r="18" ht="15.75" customHeight="1">
      <c r="A18" s="10" t="str">
        <f>IFERROR(__xludf.DUMMYFUNCTION("""COMPUTED_VALUE"""),"https://www.businessinsider.com/ai-adoption-strategies-companies-2026-7")</f>
        <v>https://www.businessinsider.com/ai-adoption-strategies-companies-2026-7</v>
      </c>
      <c r="B18" s="11" t="str">
        <f>IFERROR(__xludf.DUMMYFUNCTION("""COMPUTED_VALUE"""),"Adopting AI Is Easy. Using AI Effectively Is Hard. - Business Insider")</f>
        <v>Adopting AI Is Easy. Using AI Effectively Is Hard. - Business Insider</v>
      </c>
      <c r="C18" s="10" t="str">
        <f>IFERROR(__xludf.DUMMYFUNCTION("""COMPUTED_VALUE"""),"businessinsider.com")</f>
        <v>businessinsider.com</v>
      </c>
      <c r="D18" s="11" t="str">
        <f>IFERROR(__xludf.DUMMYFUNCTION("""COMPUTED_VALUE"""),"ARTICLE")</f>
        <v>ARTICLE</v>
      </c>
      <c r="E18" s="11" t="str">
        <f>IFERROR(__xludf.DUMMYFUNCTION("""COMPUTED_VALUE"""),"EDITORIAL")</f>
        <v>EDITORIAL</v>
      </c>
      <c r="F18" s="11" t="str">
        <f>IFERROR(__xludf.DUMMYFUNCTION("""COMPUTED_VALUE"""),"Article")</f>
        <v>Article</v>
      </c>
      <c r="G18" s="11" t="b">
        <f>IFERROR(__xludf.DUMMYFUNCTION("""COMPUTED_VALUE"""),FALSE)</f>
        <v>0</v>
      </c>
      <c r="H18" s="11" t="str">
        <f>IFERROR(__xludf.DUMMYFUNCTION("""COMPUTED_VALUE"""),"BCG, McKinsey, PwC")</f>
        <v>BCG, McKinsey, PwC</v>
      </c>
      <c r="I18" s="11">
        <f>IFERROR(__xludf.DUMMYFUNCTION("""COMPUTED_VALUE"""),5.0)</f>
        <v>5</v>
      </c>
      <c r="J18" s="11">
        <f>IFERROR(__xludf.DUMMYFUNCTION("""COMPUTED_VALUE"""),0.0)</f>
        <v>0</v>
      </c>
      <c r="K18" s="11">
        <f>IFERROR(__xludf.DUMMYFUNCTION("""COMPUTED_VALUE"""),2.6)</f>
        <v>2.6</v>
      </c>
    </row>
    <row r="19" ht="15.75" customHeight="1">
      <c r="A19" s="10" t="str">
        <f>IFERROR(__xludf.DUMMYFUNCTION("""COMPUTED_VALUE"""),"https://www.businessinsider.com/bain-cmo-erika-serow-cannes-lions-2026-7")</f>
        <v>https://www.businessinsider.com/bain-cmo-erika-serow-cannes-lions-2026-7</v>
      </c>
      <c r="B19" s="11" t="str">
        <f>IFERROR(__xludf.DUMMYFUNCTION("""COMPUTED_VALUE"""),"Bain's Erika Serow Says AI Strategy Has Evolved for the Better - Business Insider")</f>
        <v>Bain's Erika Serow Says AI Strategy Has Evolved for the Better - Business Insider</v>
      </c>
      <c r="C19" s="10" t="str">
        <f>IFERROR(__xludf.DUMMYFUNCTION("""COMPUTED_VALUE"""),"businessinsider.com")</f>
        <v>businessinsider.com</v>
      </c>
      <c r="D19" s="11" t="str">
        <f>IFERROR(__xludf.DUMMYFUNCTION("""COMPUTED_VALUE"""),"ARTICLE")</f>
        <v>ARTICLE</v>
      </c>
      <c r="E19" s="11" t="str">
        <f>IFERROR(__xludf.DUMMYFUNCTION("""COMPUTED_VALUE"""),"EDITORIAL")</f>
        <v>EDITORIAL</v>
      </c>
      <c r="F19" s="11" t="str">
        <f>IFERROR(__xludf.DUMMYFUNCTION("""COMPUTED_VALUE"""),"Article")</f>
        <v>Article</v>
      </c>
      <c r="G19" s="11" t="b">
        <f>IFERROR(__xludf.DUMMYFUNCTION("""COMPUTED_VALUE"""),FALSE)</f>
        <v>0</v>
      </c>
      <c r="H19" s="11"/>
      <c r="I19" s="11">
        <f>IFERROR(__xludf.DUMMYFUNCTION("""COMPUTED_VALUE"""),5.0)</f>
        <v>5</v>
      </c>
      <c r="J19" s="11">
        <f>IFERROR(__xludf.DUMMYFUNCTION("""COMPUTED_VALUE"""),0.0)</f>
        <v>0</v>
      </c>
      <c r="K19" s="11">
        <f>IFERROR(__xludf.DUMMYFUNCTION("""COMPUTED_VALUE"""),2.0)</f>
        <v>2</v>
      </c>
    </row>
    <row r="20" ht="15.75" customHeight="1">
      <c r="A20" s="10" t="str">
        <f>IFERROR(__xludf.DUMMYFUNCTION("""COMPUTED_VALUE"""),"https://www.reuters.com/business/publicis-raises-growth-target-ai-driven-marketing-demand-stays-strong-2026-07-16/")</f>
        <v>https://www.reuters.com/business/publicis-raises-growth-target-ai-driven-marketing-demand-stays-strong-2026-07-16/</v>
      </c>
      <c r="B20" s="11" t="str">
        <f>IFERROR(__xludf.DUMMYFUNCTION("""COMPUTED_VALUE"""),"Publicis raises growth target as AI-driven marketing demand stays strong \| Reuters")</f>
        <v>Publicis raises growth target as AI-driven marketing demand stays strong \| Reuters</v>
      </c>
      <c r="C20" s="10" t="str">
        <f>IFERROR(__xludf.DUMMYFUNCTION("""COMPUTED_VALUE"""),"reuters.com")</f>
        <v>reuters.com</v>
      </c>
      <c r="D20" s="11" t="str">
        <f>IFERROR(__xludf.DUMMYFUNCTION("""COMPUTED_VALUE"""),"ARTICLE")</f>
        <v>ARTICLE</v>
      </c>
      <c r="E20" s="11" t="str">
        <f>IFERROR(__xludf.DUMMYFUNCTION("""COMPUTED_VALUE"""),"EDITORIAL")</f>
        <v>EDITORIAL</v>
      </c>
      <c r="F20" s="11" t="str">
        <f>IFERROR(__xludf.DUMMYFUNCTION("""COMPUTED_VALUE"""),"Article")</f>
        <v>Article</v>
      </c>
      <c r="G20" s="11" t="b">
        <f>IFERROR(__xludf.DUMMYFUNCTION("""COMPUTED_VALUE"""),FALSE)</f>
        <v>0</v>
      </c>
      <c r="H20" s="11" t="str">
        <f>IFERROR(__xludf.DUMMYFUNCTION("""COMPUTED_VALUE"""),"Publicis Groupe")</f>
        <v>Publicis Groupe</v>
      </c>
      <c r="I20" s="11">
        <f>IFERROR(__xludf.DUMMYFUNCTION("""COMPUTED_VALUE"""),5.0)</f>
        <v>5</v>
      </c>
      <c r="J20" s="11">
        <f>IFERROR(__xludf.DUMMYFUNCTION("""COMPUTED_VALUE"""),0.0)</f>
        <v>0</v>
      </c>
      <c r="K20" s="11">
        <f>IFERROR(__xludf.DUMMYFUNCTION("""COMPUTED_VALUE"""),2.2)</f>
        <v>2.2</v>
      </c>
    </row>
    <row r="21" ht="15.75" customHeight="1">
      <c r="A21" s="10" t="str">
        <f>IFERROR(__xludf.DUMMYFUNCTION("""COMPUTED_VALUE"""),"https://www.techradar.com/pro/hubspot-increased-leads-by-1850-percent-and-we-asked-them-how-the-aeo-playbook")</f>
        <v>https://www.techradar.com/pro/hubspot-increased-leads-by-1850-percent-and-we-asked-them-how-the-aeo-playbook</v>
      </c>
      <c r="B21" s="11" t="str">
        <f>IFERROR(__xludf.DUMMYFUNCTION("""COMPUTED_VALUE"""),"HubSpot increased leads by 1850%, and we asked them how: The AEO playbook | TechRadar")</f>
        <v>HubSpot increased leads by 1850%, and we asked them how: The AEO playbook | TechRadar</v>
      </c>
      <c r="C21" s="10" t="str">
        <f>IFERROR(__xludf.DUMMYFUNCTION("""COMPUTED_VALUE"""),"techradar.com")</f>
        <v>techradar.com</v>
      </c>
      <c r="D21" s="11" t="str">
        <f>IFERROR(__xludf.DUMMYFUNCTION("""COMPUTED_VALUE"""),"ARTICLE")</f>
        <v>ARTICLE</v>
      </c>
      <c r="E21" s="11" t="str">
        <f>IFERROR(__xludf.DUMMYFUNCTION("""COMPUTED_VALUE"""),"EDITORIAL")</f>
        <v>EDITORIAL</v>
      </c>
      <c r="F21" s="11" t="str">
        <f>IFERROR(__xludf.DUMMYFUNCTION("""COMPUTED_VALUE"""),"Article")</f>
        <v>Article</v>
      </c>
      <c r="G21" s="11" t="b">
        <f>IFERROR(__xludf.DUMMYFUNCTION("""COMPUTED_VALUE"""),FALSE)</f>
        <v>0</v>
      </c>
      <c r="H21" s="11"/>
      <c r="I21" s="11">
        <f>IFERROR(__xludf.DUMMYFUNCTION("""COMPUTED_VALUE"""),5.0)</f>
        <v>5</v>
      </c>
      <c r="J21" s="11">
        <f>IFERROR(__xludf.DUMMYFUNCTION("""COMPUTED_VALUE"""),0.0)</f>
        <v>0</v>
      </c>
      <c r="K21" s="11">
        <f>IFERROR(__xludf.DUMMYFUNCTION("""COMPUTED_VALUE"""),1.8)</f>
        <v>1.8</v>
      </c>
    </row>
    <row r="22" ht="15.75" customHeight="1">
      <c r="A22" s="10" t="str">
        <f>IFERROR(__xludf.DUMMYFUNCTION("""COMPUTED_VALUE"""),"https://www.thedrum.com/news/world-creative-rankings-2023-the-top-holding-companies-and-networks-revealed")</f>
        <v>https://www.thedrum.com/news/world-creative-rankings-2023-the-top-holding-companies-and-networks-revealed</v>
      </c>
      <c r="B22" s="11" t="str">
        <f>IFERROR(__xludf.DUMMYFUNCTION("""COMPUTED_VALUE"""),"World Creative Rankings 2023: the top holding companies and networks revealed | The Drum")</f>
        <v>World Creative Rankings 2023: the top holding companies and networks revealed | The Drum</v>
      </c>
      <c r="C22" s="10" t="str">
        <f>IFERROR(__xludf.DUMMYFUNCTION("""COMPUTED_VALUE"""),"thedrum.com")</f>
        <v>thedrum.com</v>
      </c>
      <c r="D22" s="11" t="str">
        <f>IFERROR(__xludf.DUMMYFUNCTION("""COMPUTED_VALUE"""),"ARTICLE")</f>
        <v>ARTICLE</v>
      </c>
      <c r="E22" s="11" t="str">
        <f>IFERROR(__xludf.DUMMYFUNCTION("""COMPUTED_VALUE"""),"EDITORIAL")</f>
        <v>EDITORIAL</v>
      </c>
      <c r="F22" s="11" t="str">
        <f>IFERROR(__xludf.DUMMYFUNCTION("""COMPUTED_VALUE"""),"Article")</f>
        <v>Article</v>
      </c>
      <c r="G22" s="11" t="b">
        <f>IFERROR(__xludf.DUMMYFUNCTION("""COMPUTED_VALUE"""),FALSE)</f>
        <v>0</v>
      </c>
      <c r="H22" s="11" t="str">
        <f>IFERROR(__xludf.DUMMYFUNCTION("""COMPUTED_VALUE"""),"VML, WPP, Ogilvy, Publicis Groupe, Dentsu, BBDO, Droga5")</f>
        <v>VML, WPP, Ogilvy, Publicis Groupe, Dentsu, BBDO, Droga5</v>
      </c>
      <c r="I22" s="11">
        <f>IFERROR(__xludf.DUMMYFUNCTION("""COMPUTED_VALUE"""),5.0)</f>
        <v>5</v>
      </c>
      <c r="J22" s="11">
        <f>IFERROR(__xludf.DUMMYFUNCTION("""COMPUTED_VALUE"""),0.0)</f>
        <v>0</v>
      </c>
      <c r="K22" s="11">
        <f>IFERROR(__xludf.DUMMYFUNCTION("""COMPUTED_VALUE"""),1.6)</f>
        <v>1.6</v>
      </c>
    </row>
    <row r="23" ht="15.75" customHeight="1">
      <c r="A23" s="10" t="str">
        <f>IFERROR(__xludf.DUMMYFUNCTION("""COMPUTED_VALUE"""),"https://www.theverge.com/podcast/959792/digitas-ceo-amy-lanzi-cannes-ad-industry-marketing-ai-creators")</f>
        <v>https://www.theverge.com/podcast/959792/digitas-ceo-amy-lanzi-cannes-ad-industry-marketing-ai-creators</v>
      </c>
      <c r="B23" s="11" t="str">
        <f>IFERROR(__xludf.DUMMYFUNCTION("""COMPUTED_VALUE"""),"AI won’t save advertising, says Digitas’ Amy Lanzi | The Verge")</f>
        <v>AI won’t save advertising, says Digitas’ Amy Lanzi | The Verge</v>
      </c>
      <c r="C23" s="10" t="str">
        <f>IFERROR(__xludf.DUMMYFUNCTION("""COMPUTED_VALUE"""),"theverge.com")</f>
        <v>theverge.com</v>
      </c>
      <c r="D23" s="11" t="str">
        <f>IFERROR(__xludf.DUMMYFUNCTION("""COMPUTED_VALUE"""),"ARTICLE")</f>
        <v>ARTICLE</v>
      </c>
      <c r="E23" s="11" t="str">
        <f>IFERROR(__xludf.DUMMYFUNCTION("""COMPUTED_VALUE"""),"EDITORIAL")</f>
        <v>EDITORIAL</v>
      </c>
      <c r="F23" s="11" t="str">
        <f>IFERROR(__xludf.DUMMYFUNCTION("""COMPUTED_VALUE"""),"Article")</f>
        <v>Article</v>
      </c>
      <c r="G23" s="11" t="b">
        <f>IFERROR(__xludf.DUMMYFUNCTION("""COMPUTED_VALUE"""),FALSE)</f>
        <v>0</v>
      </c>
      <c r="H23" s="11" t="str">
        <f>IFERROR(__xludf.DUMMYFUNCTION("""COMPUTED_VALUE"""),"Digitas, Publicis Groupe, Huge, Recast")</f>
        <v>Digitas, Publicis Groupe, Huge, Recast</v>
      </c>
      <c r="I23" s="11">
        <f>IFERROR(__xludf.DUMMYFUNCTION("""COMPUTED_VALUE"""),5.0)</f>
        <v>5</v>
      </c>
      <c r="J23" s="11">
        <f>IFERROR(__xludf.DUMMYFUNCTION("""COMPUTED_VALUE"""),0.0)</f>
        <v>0</v>
      </c>
      <c r="K23" s="11">
        <f>IFERROR(__xludf.DUMMYFUNCTION("""COMPUTED_VALUE"""),2.0)</f>
        <v>2</v>
      </c>
    </row>
    <row r="24" ht="15.75" customHeight="1">
      <c r="A24" s="10" t="str">
        <f>IFERROR(__xludf.DUMMYFUNCTION("""COMPUTED_VALUE"""),"https://www.wsj.com/tech/ai/ai-what-is-geo-aeo-5c452500")</f>
        <v>https://www.wsj.com/tech/ai/ai-what-is-geo-aeo-5c452500</v>
      </c>
      <c r="B24" s="11" t="str">
        <f>IFERROR(__xludf.DUMMYFUNCTION("""COMPUTED_VALUE"""),"Your ChatGPT Answers Are Under the Influence of a New Kind of Marketing - WSJ")</f>
        <v>Your ChatGPT Answers Are Under the Influence of a New Kind of Marketing - WSJ</v>
      </c>
      <c r="C24" s="10" t="str">
        <f>IFERROR(__xludf.DUMMYFUNCTION("""COMPUTED_VALUE"""),"wsj.com")</f>
        <v>wsj.com</v>
      </c>
      <c r="D24" s="11" t="str">
        <f>IFERROR(__xludf.DUMMYFUNCTION("""COMPUTED_VALUE"""),"ARTICLE")</f>
        <v>ARTICLE</v>
      </c>
      <c r="E24" s="11" t="str">
        <f>IFERROR(__xludf.DUMMYFUNCTION("""COMPUTED_VALUE"""),"EDITORIAL")</f>
        <v>EDITORIAL</v>
      </c>
      <c r="F24" s="11" t="str">
        <f>IFERROR(__xludf.DUMMYFUNCTION("""COMPUTED_VALUE"""),"Article")</f>
        <v>Article</v>
      </c>
      <c r="G24" s="11" t="b">
        <f>IFERROR(__xludf.DUMMYFUNCTION("""COMPUTED_VALUE"""),FALSE)</f>
        <v>0</v>
      </c>
      <c r="H24" s="11"/>
      <c r="I24" s="11">
        <f>IFERROR(__xludf.DUMMYFUNCTION("""COMPUTED_VALUE"""),5.0)</f>
        <v>5</v>
      </c>
      <c r="J24" s="11">
        <f>IFERROR(__xludf.DUMMYFUNCTION("""COMPUTED_VALUE"""),0.0)</f>
        <v>0</v>
      </c>
      <c r="K24" s="11">
        <f>IFERROR(__xludf.DUMMYFUNCTION("""COMPUTED_VALUE"""),2.0)</f>
        <v>2</v>
      </c>
    </row>
    <row r="25" ht="15.75" customHeight="1">
      <c r="A25" s="10" t="str">
        <f>IFERROR(__xludf.DUMMYFUNCTION("""COMPUTED_VALUE"""),"https://www.aitworldwide.com/risk-management/authorized-economic-operator/")</f>
        <v>https://www.aitworldwide.com/risk-management/authorized-economic-operator/</v>
      </c>
      <c r="B25" s="11" t="str">
        <f>IFERROR(__xludf.DUMMYFUNCTION("""COMPUTED_VALUE"""),"What's an Authorized Economic Operator? | AIT Worldwide Logistics")</f>
        <v>What's an Authorized Economic Operator? | AIT Worldwide Logistics</v>
      </c>
      <c r="C25" s="10" t="str">
        <f>IFERROR(__xludf.DUMMYFUNCTION("""COMPUTED_VALUE"""),"aitworldwide.com")</f>
        <v>aitworldwide.com</v>
      </c>
      <c r="D25" s="11" t="str">
        <f>IFERROR(__xludf.DUMMYFUNCTION("""COMPUTED_VALUE"""),"ARTICLE")</f>
        <v>ARTICLE</v>
      </c>
      <c r="E25" s="11" t="str">
        <f>IFERROR(__xludf.DUMMYFUNCTION("""COMPUTED_VALUE"""),"CORPORATE")</f>
        <v>CORPORATE</v>
      </c>
      <c r="F25" s="11" t="str">
        <f>IFERROR(__xludf.DUMMYFUNCTION("""COMPUTED_VALUE"""),"Article")</f>
        <v>Article</v>
      </c>
      <c r="G25" s="11" t="b">
        <f>IFERROR(__xludf.DUMMYFUNCTION("""COMPUTED_VALUE"""),FALSE)</f>
        <v>0</v>
      </c>
      <c r="H25" s="11"/>
      <c r="I25" s="11">
        <f>IFERROR(__xludf.DUMMYFUNCTION("""COMPUTED_VALUE"""),4.0)</f>
        <v>4</v>
      </c>
      <c r="J25" s="11">
        <f>IFERROR(__xludf.DUMMYFUNCTION("""COMPUTED_VALUE"""),0.0)</f>
        <v>0</v>
      </c>
      <c r="K25" s="11">
        <f>IFERROR(__xludf.DUMMYFUNCTION("""COMPUTED_VALUE"""),1.0)</f>
        <v>1</v>
      </c>
    </row>
    <row r="26" ht="15.75" customHeight="1">
      <c r="A26" s="10" t="str">
        <f>IFERROR(__xludf.DUMMYFUNCTION("""COMPUTED_VALUE"""),"https://www.measured.com/faq/what-is-incrementality-testing/")</f>
        <v>https://www.measured.com/faq/what-is-incrementality-testing/</v>
      </c>
      <c r="B26" s="11" t="str">
        <f>IFERROR(__xludf.DUMMYFUNCTION("""COMPUTED_VALUE"""),"What is Incrementality Testing (w/ Calculations &amp;amp; Examples)")</f>
        <v>What is Incrementality Testing (w/ Calculations &amp;amp; Examples)</v>
      </c>
      <c r="C26" s="10" t="str">
        <f>IFERROR(__xludf.DUMMYFUNCTION("""COMPUTED_VALUE"""),"measured.com")</f>
        <v>measured.com</v>
      </c>
      <c r="D26" s="11" t="str">
        <f>IFERROR(__xludf.DUMMYFUNCTION("""COMPUTED_VALUE"""),"ARTICLE")</f>
        <v>ARTICLE</v>
      </c>
      <c r="E26" s="11" t="str">
        <f>IFERROR(__xludf.DUMMYFUNCTION("""COMPUTED_VALUE"""),"COMPETITOR")</f>
        <v>COMPETITOR</v>
      </c>
      <c r="F26" s="11" t="str">
        <f>IFERROR(__xludf.DUMMYFUNCTION("""COMPUTED_VALUE"""),"Article")</f>
        <v>Article</v>
      </c>
      <c r="G26" s="11" t="b">
        <f>IFERROR(__xludf.DUMMYFUNCTION("""COMPUTED_VALUE"""),FALSE)</f>
        <v>0</v>
      </c>
      <c r="H26" s="11" t="str">
        <f>IFERROR(__xludf.DUMMYFUNCTION("""COMPUTED_VALUE"""),"Measured")</f>
        <v>Measured</v>
      </c>
      <c r="I26" s="11">
        <f>IFERROR(__xludf.DUMMYFUNCTION("""COMPUTED_VALUE"""),4.0)</f>
        <v>4</v>
      </c>
      <c r="J26" s="11">
        <f>IFERROR(__xludf.DUMMYFUNCTION("""COMPUTED_VALUE"""),0.0)</f>
        <v>0</v>
      </c>
      <c r="K26" s="11">
        <f>IFERROR(__xludf.DUMMYFUNCTION("""COMPUTED_VALUE"""),1.25)</f>
        <v>1.25</v>
      </c>
    </row>
    <row r="27" ht="15.75" customHeight="1">
      <c r="A27" s="10" t="str">
        <f>IFERROR(__xludf.DUMMYFUNCTION("""COMPUTED_VALUE"""),"https://support.google.com/google-ads/answer/9029203?hl=en")</f>
        <v>https://support.google.com/google-ads/answer/9029203?hl=en</v>
      </c>
      <c r="B27" s="11" t="str">
        <f>IFERROR(__xludf.DUMMYFUNCTION("""COMPUTED_VALUE"""),"About the Google Partners program")</f>
        <v>About the Google Partners program</v>
      </c>
      <c r="C27" s="10" t="str">
        <f>IFERROR(__xludf.DUMMYFUNCTION("""COMPUTED_VALUE"""),"google.com")</f>
        <v>google.com</v>
      </c>
      <c r="D27" s="11" t="str">
        <f>IFERROR(__xludf.DUMMYFUNCTION("""COMPUTED_VALUE"""),"ARTICLE")</f>
        <v>ARTICLE</v>
      </c>
      <c r="E27" s="11" t="str">
        <f>IFERROR(__xludf.DUMMYFUNCTION("""COMPUTED_VALUE"""),"OTHER")</f>
        <v>OTHER</v>
      </c>
      <c r="F27" s="11" t="str">
        <f>IFERROR(__xludf.DUMMYFUNCTION("""COMPUTED_VALUE"""),"Article")</f>
        <v>Article</v>
      </c>
      <c r="G27" s="11" t="b">
        <f>IFERROR(__xludf.DUMMYFUNCTION("""COMPUTED_VALUE"""),FALSE)</f>
        <v>0</v>
      </c>
      <c r="H27" s="11"/>
      <c r="I27" s="11">
        <f>IFERROR(__xludf.DUMMYFUNCTION("""COMPUTED_VALUE"""),4.0)</f>
        <v>4</v>
      </c>
      <c r="J27" s="11">
        <f>IFERROR(__xludf.DUMMYFUNCTION("""COMPUTED_VALUE"""),0.0)</f>
        <v>0</v>
      </c>
      <c r="K27" s="11">
        <f>IFERROR(__xludf.DUMMYFUNCTION("""COMPUTED_VALUE"""),0.0)</f>
        <v>0</v>
      </c>
    </row>
    <row r="28" ht="15.75" customHeight="1">
      <c r="A28" s="10" t="str">
        <f>IFERROR(__xludf.DUMMYFUNCTION("""COMPUTED_VALUE"""),"https://transparent.partners/2023/03/15/unlock-revenue-with-incrementality-measurement-and-scale-testing/")</f>
        <v>https://transparent.partners/2023/03/15/unlock-revenue-with-incrementality-measurement-and-scale-testing/</v>
      </c>
      <c r="B28" s="11" t="str">
        <f>IFERROR(__xludf.DUMMYFUNCTION("""COMPUTED_VALUE"""),"Unlock Revenue with Incrementality Measurement and Scale Testing - Transparent Partners")</f>
        <v>Unlock Revenue with Incrementality Measurement and Scale Testing - Transparent Partners</v>
      </c>
      <c r="C28" s="11" t="str">
        <f>IFERROR(__xludf.DUMMYFUNCTION("""COMPUTED_VALUE"""),"transparent.partners")</f>
        <v>transparent.partners</v>
      </c>
      <c r="D28" s="11" t="str">
        <f>IFERROR(__xludf.DUMMYFUNCTION("""COMPUTED_VALUE"""),"ARTICLE")</f>
        <v>ARTICLE</v>
      </c>
      <c r="E28" s="11" t="str">
        <f>IFERROR(__xludf.DUMMYFUNCTION("""COMPUTED_VALUE"""),"CORPORATE")</f>
        <v>CORPORATE</v>
      </c>
      <c r="F28" s="11" t="str">
        <f>IFERROR(__xludf.DUMMYFUNCTION("""COMPUTED_VALUE"""),"Article")</f>
        <v>Article</v>
      </c>
      <c r="G28" s="11" t="b">
        <f>IFERROR(__xludf.DUMMYFUNCTION("""COMPUTED_VALUE"""),FALSE)</f>
        <v>0</v>
      </c>
      <c r="H28" s="11" t="str">
        <f>IFERROR(__xludf.DUMMYFUNCTION("""COMPUTED_VALUE"""),"Measured")</f>
        <v>Measured</v>
      </c>
      <c r="I28" s="11">
        <f>IFERROR(__xludf.DUMMYFUNCTION("""COMPUTED_VALUE"""),4.0)</f>
        <v>4</v>
      </c>
      <c r="J28" s="11">
        <f>IFERROR(__xludf.DUMMYFUNCTION("""COMPUTED_VALUE"""),0.0)</f>
        <v>0</v>
      </c>
      <c r="K28" s="11">
        <f>IFERROR(__xludf.DUMMYFUNCTION("""COMPUTED_VALUE"""),1.25)</f>
        <v>1.25</v>
      </c>
    </row>
    <row r="29" ht="15.75" customHeight="1">
      <c r="A29" s="10" t="str">
        <f>IFERROR(__xludf.DUMMYFUNCTION("""COMPUTED_VALUE"""),"https://indieagency.news/congratulations-to-our-member-adweek-agency-of-the-year-winners/")</f>
        <v>https://indieagency.news/congratulations-to-our-member-adweek-agency-of-the-year-winners/</v>
      </c>
      <c r="B29" s="11" t="str">
        <f>IFERROR(__xludf.DUMMYFUNCTION("""COMPUTED_VALUE"""),"Congratulations to Our Member Adweek Agency of the Year Winners - Indie Agency News")</f>
        <v>Congratulations to Our Member Adweek Agency of the Year Winners - Indie Agency News</v>
      </c>
      <c r="C29" s="11" t="str">
        <f>IFERROR(__xludf.DUMMYFUNCTION("""COMPUTED_VALUE"""),"indieagency.news")</f>
        <v>indieagency.news</v>
      </c>
      <c r="D29" s="11" t="str">
        <f>IFERROR(__xludf.DUMMYFUNCTION("""COMPUTED_VALUE"""),"ARTICLE")</f>
        <v>ARTICLE</v>
      </c>
      <c r="E29" s="11" t="str">
        <f>IFERROR(__xludf.DUMMYFUNCTION("""COMPUTED_VALUE"""),"EDITORIAL")</f>
        <v>EDITORIAL</v>
      </c>
      <c r="F29" s="11" t="str">
        <f>IFERROR(__xludf.DUMMYFUNCTION("""COMPUTED_VALUE"""),"Article")</f>
        <v>Article</v>
      </c>
      <c r="G29" s="11" t="b">
        <f>IFERROR(__xludf.DUMMYFUNCTION("""COMPUTED_VALUE"""),FALSE)</f>
        <v>0</v>
      </c>
      <c r="H29" s="11" t="str">
        <f>IFERROR(__xludf.DUMMYFUNCTION("""COMPUTED_VALUE"""),"Wieden+Kennedy")</f>
        <v>Wieden+Kennedy</v>
      </c>
      <c r="I29" s="11">
        <f>IFERROR(__xludf.DUMMYFUNCTION("""COMPUTED_VALUE"""),3.0)</f>
        <v>3</v>
      </c>
      <c r="J29" s="11">
        <f>IFERROR(__xludf.DUMMYFUNCTION("""COMPUTED_VALUE"""),0.0)</f>
        <v>0</v>
      </c>
      <c r="K29" s="11">
        <f>IFERROR(__xludf.DUMMYFUNCTION("""COMPUTED_VALUE"""),1.0)</f>
        <v>1</v>
      </c>
    </row>
    <row r="30" ht="15.75" customHeight="1">
      <c r="A30" s="10" t="str">
        <f>IFERROR(__xludf.DUMMYFUNCTION("""COMPUTED_VALUE"""),"https://www.itpro.com/business/business-strategy/ai-projects-are-stalling-at-mid-market-firms-google-cloud-and-accenture-want-to-solve-that")</f>
        <v>https://www.itpro.com/business/business-strategy/ai-projects-are-stalling-at-mid-market-firms-google-cloud-and-accenture-want-to-solve-that</v>
      </c>
      <c r="B30" s="11" t="str">
        <f>IFERROR(__xludf.DUMMYFUNCTION("""COMPUTED_VALUE"""),"AI projects are stalling at mid-market firms – Google Cloud and Accenture want to solve that | IT Pro")</f>
        <v>AI projects are stalling at mid-market firms – Google Cloud and Accenture want to solve that | IT Pro</v>
      </c>
      <c r="C30" s="10" t="str">
        <f>IFERROR(__xludf.DUMMYFUNCTION("""COMPUTED_VALUE"""),"itpro.com")</f>
        <v>itpro.com</v>
      </c>
      <c r="D30" s="11" t="str">
        <f>IFERROR(__xludf.DUMMYFUNCTION("""COMPUTED_VALUE"""),"ARTICLE")</f>
        <v>ARTICLE</v>
      </c>
      <c r="E30" s="11" t="str">
        <f>IFERROR(__xludf.DUMMYFUNCTION("""COMPUTED_VALUE"""),"EDITORIAL")</f>
        <v>EDITORIAL</v>
      </c>
      <c r="F30" s="11" t="str">
        <f>IFERROR(__xludf.DUMMYFUNCTION("""COMPUTED_VALUE"""),"Article")</f>
        <v>Article</v>
      </c>
      <c r="G30" s="11" t="b">
        <f>IFERROR(__xludf.DUMMYFUNCTION("""COMPUTED_VALUE"""),FALSE)</f>
        <v>0</v>
      </c>
      <c r="H30" s="11"/>
      <c r="I30" s="11">
        <f>IFERROR(__xludf.DUMMYFUNCTION("""COMPUTED_VALUE"""),3.0)</f>
        <v>3</v>
      </c>
      <c r="J30" s="11">
        <f>IFERROR(__xludf.DUMMYFUNCTION("""COMPUTED_VALUE"""),0.0)</f>
        <v>0</v>
      </c>
      <c r="K30" s="11">
        <f>IFERROR(__xludf.DUMMYFUNCTION("""COMPUTED_VALUE"""),2.33)</f>
        <v>2.33</v>
      </c>
    </row>
    <row r="31" ht="15.75" customHeight="1">
      <c r="A31" s="10" t="str">
        <f>IFERROR(__xludf.DUMMYFUNCTION("""COMPUTED_VALUE"""),"https://www.marketingdive.com/news/barkley-okrp-merger-big-indie-independent-agency-trend/709869/")</f>
        <v>https://www.marketingdive.com/news/barkley-okrp-merger-big-indie-independent-agency-trend/709869/</v>
      </c>
      <c r="B31" s="11" t="str">
        <f>IFERROR(__xludf.DUMMYFUNCTION("""COMPUTED_VALUE"""),"Barkley, OKRP merge to create ‘big indie’ agency | Marketing Dive")</f>
        <v>Barkley, OKRP merge to create ‘big indie’ agency | Marketing Dive</v>
      </c>
      <c r="C31" s="10" t="str">
        <f>IFERROR(__xludf.DUMMYFUNCTION("""COMPUTED_VALUE"""),"marketingdive.com")</f>
        <v>marketingdive.com</v>
      </c>
      <c r="D31" s="11" t="str">
        <f>IFERROR(__xludf.DUMMYFUNCTION("""COMPUTED_VALUE"""),"ARTICLE")</f>
        <v>ARTICLE</v>
      </c>
      <c r="E31" s="11" t="str">
        <f>IFERROR(__xludf.DUMMYFUNCTION("""COMPUTED_VALUE"""),"EDITORIAL")</f>
        <v>EDITORIAL</v>
      </c>
      <c r="F31" s="11" t="str">
        <f>IFERROR(__xludf.DUMMYFUNCTION("""COMPUTED_VALUE"""),"Article")</f>
        <v>Article</v>
      </c>
      <c r="G31" s="11" t="b">
        <f>IFERROR(__xludf.DUMMYFUNCTION("""COMPUTED_VALUE"""),FALSE)</f>
        <v>0</v>
      </c>
      <c r="H31" s="11"/>
      <c r="I31" s="11">
        <f>IFERROR(__xludf.DUMMYFUNCTION("""COMPUTED_VALUE"""),3.0)</f>
        <v>3</v>
      </c>
      <c r="J31" s="11">
        <f>IFERROR(__xludf.DUMMYFUNCTION("""COMPUTED_VALUE"""),0.0)</f>
        <v>0</v>
      </c>
      <c r="K31" s="11">
        <f>IFERROR(__xludf.DUMMYFUNCTION("""COMPUTED_VALUE"""),1.33)</f>
        <v>1.33</v>
      </c>
    </row>
    <row r="32" ht="15.75" customHeight="1">
      <c r="A32" s="10" t="str">
        <f>IFERROR(__xludf.DUMMYFUNCTION("""COMPUTED_VALUE"""),"https://www.thedrum.com/news/how-agencies-are-finding-power-the-middle-independent-networks-reshape-the-market")</f>
        <v>https://www.thedrum.com/news/how-agencies-are-finding-power-the-middle-independent-networks-reshape-the-market</v>
      </c>
      <c r="B32" s="11" t="str">
        <f>IFERROR(__xludf.DUMMYFUNCTION("""COMPUTED_VALUE"""),"How agencies are finding power in the middle as independent networks reshape the market | The Drum")</f>
        <v>How agencies are finding power in the middle as independent networks reshape the market | The Drum</v>
      </c>
      <c r="C32" s="10" t="str">
        <f>IFERROR(__xludf.DUMMYFUNCTION("""COMPUTED_VALUE"""),"thedrum.com")</f>
        <v>thedrum.com</v>
      </c>
      <c r="D32" s="11" t="str">
        <f>IFERROR(__xludf.DUMMYFUNCTION("""COMPUTED_VALUE"""),"ARTICLE")</f>
        <v>ARTICLE</v>
      </c>
      <c r="E32" s="11" t="str">
        <f>IFERROR(__xludf.DUMMYFUNCTION("""COMPUTED_VALUE"""),"EDITORIAL")</f>
        <v>EDITORIAL</v>
      </c>
      <c r="F32" s="11" t="str">
        <f>IFERROR(__xludf.DUMMYFUNCTION("""COMPUTED_VALUE"""),"Article")</f>
        <v>Article</v>
      </c>
      <c r="G32" s="11" t="b">
        <f>IFERROR(__xludf.DUMMYFUNCTION("""COMPUTED_VALUE"""),TRUE)</f>
        <v>1</v>
      </c>
      <c r="H32" s="11" t="str">
        <f>IFERROR(__xludf.DUMMYFUNCTION("""COMPUTED_VALUE"""),"WPP, Dentsu, Accenture Song, McKinsey, PwC, Brandtech, Incubeta, DEPT")</f>
        <v>WPP, Dentsu, Accenture Song, McKinsey, PwC, Brandtech, Incubeta, DEPT</v>
      </c>
      <c r="I32" s="11">
        <f>IFERROR(__xludf.DUMMYFUNCTION("""COMPUTED_VALUE"""),3.0)</f>
        <v>3</v>
      </c>
      <c r="J32" s="11">
        <f>IFERROR(__xludf.DUMMYFUNCTION("""COMPUTED_VALUE"""),0.0)</f>
        <v>0</v>
      </c>
      <c r="K32" s="11">
        <f>IFERROR(__xludf.DUMMYFUNCTION("""COMPUTED_VALUE"""),0.33)</f>
        <v>0.33</v>
      </c>
    </row>
    <row r="33" ht="15.75" customHeight="1">
      <c r="A33" s="10" t="str">
        <f>IFERROR(__xludf.DUMMYFUNCTION("""COMPUTED_VALUE"""),"https://www.wsj.com/business/earnings/publicis-raises-guidance-citing-new-business-wins-ad4f0d98")</f>
        <v>https://www.wsj.com/business/earnings/publicis-raises-guidance-citing-new-business-wins-ad4f0d98</v>
      </c>
      <c r="B33" s="11" t="str">
        <f>IFERROR(__xludf.DUMMYFUNCTION("""COMPUTED_VALUE"""),"Publicis Raises Guidance, Citing New Business Wins - WSJ")</f>
        <v>Publicis Raises Guidance, Citing New Business Wins - WSJ</v>
      </c>
      <c r="C33" s="10" t="str">
        <f>IFERROR(__xludf.DUMMYFUNCTION("""COMPUTED_VALUE"""),"wsj.com")</f>
        <v>wsj.com</v>
      </c>
      <c r="D33" s="11" t="str">
        <f>IFERROR(__xludf.DUMMYFUNCTION("""COMPUTED_VALUE"""),"ARTICLE")</f>
        <v>ARTICLE</v>
      </c>
      <c r="E33" s="11" t="str">
        <f>IFERROR(__xludf.DUMMYFUNCTION("""COMPUTED_VALUE"""),"EDITORIAL")</f>
        <v>EDITORIAL</v>
      </c>
      <c r="F33" s="11" t="str">
        <f>IFERROR(__xludf.DUMMYFUNCTION("""COMPUTED_VALUE"""),"Article")</f>
        <v>Article</v>
      </c>
      <c r="G33" s="11" t="b">
        <f>IFERROR(__xludf.DUMMYFUNCTION("""COMPUTED_VALUE"""),FALSE)</f>
        <v>0</v>
      </c>
      <c r="H33" s="11" t="str">
        <f>IFERROR(__xludf.DUMMYFUNCTION("""COMPUTED_VALUE"""),"Publicis Groupe, Momentum, IBM")</f>
        <v>Publicis Groupe, Momentum, IBM</v>
      </c>
      <c r="I33" s="11">
        <f>IFERROR(__xludf.DUMMYFUNCTION("""COMPUTED_VALUE"""),3.0)</f>
        <v>3</v>
      </c>
      <c r="J33" s="11">
        <f>IFERROR(__xludf.DUMMYFUNCTION("""COMPUTED_VALUE"""),0.0)</f>
        <v>0</v>
      </c>
      <c r="K33" s="11">
        <f>IFERROR(__xludf.DUMMYFUNCTION("""COMPUTED_VALUE"""),2.0)</f>
        <v>2</v>
      </c>
    </row>
    <row r="34" ht="15.75" customHeight="1">
      <c r="A34" s="10" t="str">
        <f>IFERROR(__xludf.DUMMYFUNCTION("""COMPUTED_VALUE"""),"https://arxiv.org/abs/2403.14674")</f>
        <v>https://arxiv.org/abs/2403.14674</v>
      </c>
      <c r="B34" s="11" t="str">
        <f>IFERROR(__xludf.DUMMYFUNCTION("""COMPUTED_VALUE"""),"[2403.14674] Packaging Up Media Mix Modeling: An Introduction to Robyn's Open-Source Approach")</f>
        <v>[2403.14674] Packaging Up Media Mix Modeling: An Introduction to Robyn's Open-Source Approach</v>
      </c>
      <c r="C34" s="10" t="str">
        <f>IFERROR(__xludf.DUMMYFUNCTION("""COMPUTED_VALUE"""),"arxiv.org")</f>
        <v>arxiv.org</v>
      </c>
      <c r="D34" s="11" t="str">
        <f>IFERROR(__xludf.DUMMYFUNCTION("""COMPUTED_VALUE"""),"ARTICLE")</f>
        <v>ARTICLE</v>
      </c>
      <c r="E34" s="11" t="str">
        <f>IFERROR(__xludf.DUMMYFUNCTION("""COMPUTED_VALUE"""),"REFERENCE")</f>
        <v>REFERENCE</v>
      </c>
      <c r="F34" s="11" t="str">
        <f>IFERROR(__xludf.DUMMYFUNCTION("""COMPUTED_VALUE"""),"Article")</f>
        <v>Article</v>
      </c>
      <c r="G34" s="11" t="b">
        <f>IFERROR(__xludf.DUMMYFUNCTION("""COMPUTED_VALUE"""),FALSE)</f>
        <v>0</v>
      </c>
      <c r="H34" s="11"/>
      <c r="I34" s="11">
        <f>IFERROR(__xludf.DUMMYFUNCTION("""COMPUTED_VALUE"""),2.0)</f>
        <v>2</v>
      </c>
      <c r="J34" s="11">
        <f>IFERROR(__xludf.DUMMYFUNCTION("""COMPUTED_VALUE"""),0.0)</f>
        <v>0</v>
      </c>
      <c r="K34" s="11">
        <f>IFERROR(__xludf.DUMMYFUNCTION("""COMPUTED_VALUE"""),2.0)</f>
        <v>2</v>
      </c>
    </row>
    <row r="35" ht="15.75" customHeight="1">
      <c r="A35" s="10" t="str">
        <f>IFERROR(__xludf.DUMMYFUNCTION("""COMPUTED_VALUE"""),"https://arxiv.org/abs/2604.16369")</f>
        <v>https://arxiv.org/abs/2604.16369</v>
      </c>
      <c r="B35" s="11" t="str">
        <f>IFERROR(__xludf.DUMMYFUNCTION("""COMPUTED_VALUE"""),"[2604.16369] Why AI Readiness Is an Organizational Learning Problem, Not a Technology Purchase")</f>
        <v>[2604.16369] Why AI Readiness Is an Organizational Learning Problem, Not a Technology Purchase</v>
      </c>
      <c r="C35" s="10" t="str">
        <f>IFERROR(__xludf.DUMMYFUNCTION("""COMPUTED_VALUE"""),"arxiv.org")</f>
        <v>arxiv.org</v>
      </c>
      <c r="D35" s="11" t="str">
        <f>IFERROR(__xludf.DUMMYFUNCTION("""COMPUTED_VALUE"""),"ARTICLE")</f>
        <v>ARTICLE</v>
      </c>
      <c r="E35" s="11" t="str">
        <f>IFERROR(__xludf.DUMMYFUNCTION("""COMPUTED_VALUE"""),"REFERENCE")</f>
        <v>REFERENCE</v>
      </c>
      <c r="F35" s="11" t="str">
        <f>IFERROR(__xludf.DUMMYFUNCTION("""COMPUTED_VALUE"""),"Article")</f>
        <v>Article</v>
      </c>
      <c r="G35" s="11" t="b">
        <f>IFERROR(__xludf.DUMMYFUNCTION("""COMPUTED_VALUE"""),FALSE)</f>
        <v>0</v>
      </c>
      <c r="H35" s="11"/>
      <c r="I35" s="11">
        <f>IFERROR(__xludf.DUMMYFUNCTION("""COMPUTED_VALUE"""),2.0)</f>
        <v>2</v>
      </c>
      <c r="J35" s="11">
        <f>IFERROR(__xludf.DUMMYFUNCTION("""COMPUTED_VALUE"""),0.0)</f>
        <v>0</v>
      </c>
      <c r="K35" s="11">
        <f>IFERROR(__xludf.DUMMYFUNCTION("""COMPUTED_VALUE"""),2.0)</f>
        <v>2</v>
      </c>
    </row>
    <row r="36" ht="15.75" customHeight="1">
      <c r="A36" s="10" t="str">
        <f>IFERROR(__xludf.DUMMYFUNCTION("""COMPUTED_VALUE"""),"https://blog.google/products/marketingplatform/360/introducing-google-marketing-platform-partners/")</f>
        <v>https://blog.google/products/marketingplatform/360/introducing-google-marketing-platform-partners/</v>
      </c>
      <c r="B36" s="11" t="str">
        <f>IFERROR(__xludf.DUMMYFUNCTION("""COMPUTED_VALUE"""),"From Basecamp to Summit: Achieving New Heights with Google Marketing Platform Partners")</f>
        <v>From Basecamp to Summit: Achieving New Heights with Google Marketing Platform Partners</v>
      </c>
      <c r="C36" s="11" t="str">
        <f>IFERROR(__xludf.DUMMYFUNCTION("""COMPUTED_VALUE"""),"blog.google")</f>
        <v>blog.google</v>
      </c>
      <c r="D36" s="11" t="str">
        <f>IFERROR(__xludf.DUMMYFUNCTION("""COMPUTED_VALUE"""),"ARTICLE")</f>
        <v>ARTICLE</v>
      </c>
      <c r="E36" s="11" t="str">
        <f>IFERROR(__xludf.DUMMYFUNCTION("""COMPUTED_VALUE"""),"EDITORIAL")</f>
        <v>EDITORIAL</v>
      </c>
      <c r="F36" s="11" t="str">
        <f>IFERROR(__xludf.DUMMYFUNCTION("""COMPUTED_VALUE"""),"Article")</f>
        <v>Article</v>
      </c>
      <c r="G36" s="11" t="b">
        <f>IFERROR(__xludf.DUMMYFUNCTION("""COMPUTED_VALUE"""),FALSE)</f>
        <v>0</v>
      </c>
      <c r="H36" s="11"/>
      <c r="I36" s="11">
        <f>IFERROR(__xludf.DUMMYFUNCTION("""COMPUTED_VALUE"""),2.0)</f>
        <v>2</v>
      </c>
      <c r="J36" s="11">
        <f>IFERROR(__xludf.DUMMYFUNCTION("""COMPUTED_VALUE"""),0.0)</f>
        <v>0</v>
      </c>
      <c r="K36" s="11">
        <f>IFERROR(__xludf.DUMMYFUNCTION("""COMPUTED_VALUE"""),0.0)</f>
        <v>0</v>
      </c>
    </row>
    <row r="37" ht="15.75" customHeight="1">
      <c r="A37" s="10" t="str">
        <f>IFERROR(__xludf.DUMMYFUNCTION("""COMPUTED_VALUE"""),"https://www.brafton.com/blog/paid-search-blog/programmatic-ad-mediation/")</f>
        <v>https://www.brafton.com/blog/paid-search-blog/programmatic-ad-mediation/</v>
      </c>
      <c r="B37" s="11" t="str">
        <f>IFERROR(__xludf.DUMMYFUNCTION("""COMPUTED_VALUE"""),"Top Programmatic Ad Mediation Platforms | Brafton")</f>
        <v>Top Programmatic Ad Mediation Platforms | Brafton</v>
      </c>
      <c r="C37" s="10" t="str">
        <f>IFERROR(__xludf.DUMMYFUNCTION("""COMPUTED_VALUE"""),"brafton.com")</f>
        <v>brafton.com</v>
      </c>
      <c r="D37" s="11" t="str">
        <f>IFERROR(__xludf.DUMMYFUNCTION("""COMPUTED_VALUE"""),"ARTICLE")</f>
        <v>ARTICLE</v>
      </c>
      <c r="E37" s="11" t="str">
        <f>IFERROR(__xludf.DUMMYFUNCTION("""COMPUTED_VALUE"""),"CORPORATE")</f>
        <v>CORPORATE</v>
      </c>
      <c r="F37" s="11" t="str">
        <f>IFERROR(__xludf.DUMMYFUNCTION("""COMPUTED_VALUE"""),"Article")</f>
        <v>Article</v>
      </c>
      <c r="G37" s="11" t="b">
        <f>IFERROR(__xludf.DUMMYFUNCTION("""COMPUTED_VALUE"""),FALSE)</f>
        <v>0</v>
      </c>
      <c r="H37" s="11" t="str">
        <f>IFERROR(__xludf.DUMMYFUNCTION("""COMPUTED_VALUE"""),"Momentum, Measured")</f>
        <v>Momentum, Measured</v>
      </c>
      <c r="I37" s="11">
        <f>IFERROR(__xludf.DUMMYFUNCTION("""COMPUTED_VALUE"""),2.0)</f>
        <v>2</v>
      </c>
      <c r="J37" s="11">
        <f>IFERROR(__xludf.DUMMYFUNCTION("""COMPUTED_VALUE"""),0.0)</f>
        <v>0</v>
      </c>
      <c r="K37" s="11">
        <f>IFERROR(__xludf.DUMMYFUNCTION("""COMPUTED_VALUE"""),1.0)</f>
        <v>1</v>
      </c>
    </row>
    <row r="38" ht="15.75" customHeight="1">
      <c r="A38" s="10" t="str">
        <f>IFERROR(__xludf.DUMMYFUNCTION("""COMPUTED_VALUE"""),"https://www.businesswire.com/news/home/20240307034583/en/Barkley-and-OKRP-to-Merge")</f>
        <v>https://www.businesswire.com/news/home/20240307034583/en/Barkley-and-OKRP-to-Merge</v>
      </c>
      <c r="B38" s="11" t="str">
        <f>IFERROR(__xludf.DUMMYFUNCTION("""COMPUTED_VALUE"""),"Barkley and OKRP to Merge")</f>
        <v>Barkley and OKRP to Merge</v>
      </c>
      <c r="C38" s="10" t="str">
        <f>IFERROR(__xludf.DUMMYFUNCTION("""COMPUTED_VALUE"""),"businesswire.com")</f>
        <v>businesswire.com</v>
      </c>
      <c r="D38" s="11" t="str">
        <f>IFERROR(__xludf.DUMMYFUNCTION("""COMPUTED_VALUE"""),"ARTICLE")</f>
        <v>ARTICLE</v>
      </c>
      <c r="E38" s="11" t="str">
        <f>IFERROR(__xludf.DUMMYFUNCTION("""COMPUTED_VALUE"""),"EDITORIAL")</f>
        <v>EDITORIAL</v>
      </c>
      <c r="F38" s="11" t="str">
        <f>IFERROR(__xludf.DUMMYFUNCTION("""COMPUTED_VALUE"""),"Article")</f>
        <v>Article</v>
      </c>
      <c r="G38" s="11" t="b">
        <f>IFERROR(__xludf.DUMMYFUNCTION("""COMPUTED_VALUE"""),FALSE)</f>
        <v>0</v>
      </c>
      <c r="H38" s="11"/>
      <c r="I38" s="11">
        <f>IFERROR(__xludf.DUMMYFUNCTION("""COMPUTED_VALUE"""),2.0)</f>
        <v>2</v>
      </c>
      <c r="J38" s="11">
        <f>IFERROR(__xludf.DUMMYFUNCTION("""COMPUTED_VALUE"""),0.0)</f>
        <v>0</v>
      </c>
      <c r="K38" s="11">
        <f>IFERROR(__xludf.DUMMYFUNCTION("""COMPUTED_VALUE"""),0.0)</f>
        <v>0</v>
      </c>
    </row>
    <row r="39" ht="15.75" customHeight="1">
      <c r="A39" s="10" t="str">
        <f>IFERROR(__xludf.DUMMYFUNCTION("""COMPUTED_VALUE"""),"https://www.campaignlive.com/article/agency-performance-review-2025-accenture-song/1913469")</f>
        <v>https://www.campaignlive.com/article/agency-performance-review-2025-accenture-song/1913469</v>
      </c>
      <c r="B39" s="11" t="str">
        <f>IFERROR(__xludf.DUMMYFUNCTION("""COMPUTED_VALUE"""),"Agency Performance Review 2025: Accenture Song | Campaign US")</f>
        <v>Agency Performance Review 2025: Accenture Song | Campaign US</v>
      </c>
      <c r="C39" s="10" t="str">
        <f>IFERROR(__xludf.DUMMYFUNCTION("""COMPUTED_VALUE"""),"campaignlive.com")</f>
        <v>campaignlive.com</v>
      </c>
      <c r="D39" s="11" t="str">
        <f>IFERROR(__xludf.DUMMYFUNCTION("""COMPUTED_VALUE"""),"ARTICLE")</f>
        <v>ARTICLE</v>
      </c>
      <c r="E39" s="11" t="str">
        <f>IFERROR(__xludf.DUMMYFUNCTION("""COMPUTED_VALUE"""),"EDITORIAL")</f>
        <v>EDITORIAL</v>
      </c>
      <c r="F39" s="11" t="str">
        <f>IFERROR(__xludf.DUMMYFUNCTION("""COMPUTED_VALUE"""),"Article")</f>
        <v>Article</v>
      </c>
      <c r="G39" s="11" t="b">
        <f>IFERROR(__xludf.DUMMYFUNCTION("""COMPUTED_VALUE"""),FALSE)</f>
        <v>0</v>
      </c>
      <c r="H39" s="11" t="str">
        <f>IFERROR(__xludf.DUMMYFUNCTION("""COMPUTED_VALUE"""),"Accenture Song, VML, PMG, Momentum, WPP")</f>
        <v>Accenture Song, VML, PMG, Momentum, WPP</v>
      </c>
      <c r="I39" s="11">
        <f>IFERROR(__xludf.DUMMYFUNCTION("""COMPUTED_VALUE"""),2.0)</f>
        <v>2</v>
      </c>
      <c r="J39" s="11">
        <f>IFERROR(__xludf.DUMMYFUNCTION("""COMPUTED_VALUE"""),0.0)</f>
        <v>0</v>
      </c>
      <c r="K39" s="11">
        <f>IFERROR(__xludf.DUMMYFUNCTION("""COMPUTED_VALUE"""),1.0)</f>
        <v>1</v>
      </c>
    </row>
    <row r="40" ht="15.75" customHeight="1">
      <c r="A40" s="10" t="str">
        <f>IFERROR(__xludf.DUMMYFUNCTION("""COMPUTED_VALUE"""),"https://www.campaignlive.com/article/digitas-phd-climb-us-agency-rankings-publicis-groupe-extends-holding-company-lead/1929569")</f>
        <v>https://www.campaignlive.com/article/digitas-phd-climb-us-agency-rankings-publicis-groupe-extends-holding-company-lead/1929569</v>
      </c>
      <c r="B40" s="11" t="str">
        <f>IFERROR(__xludf.DUMMYFUNCTION("""COMPUTED_VALUE"""),"Digitas and PHD climb US agency rankings while Publicis Groupe extends holding company lead | Campaign US")</f>
        <v>Digitas and PHD climb US agency rankings while Publicis Groupe extends holding company lead | Campaign US</v>
      </c>
      <c r="C40" s="10" t="str">
        <f>IFERROR(__xludf.DUMMYFUNCTION("""COMPUTED_VALUE"""),"campaignlive.com")</f>
        <v>campaignlive.com</v>
      </c>
      <c r="D40" s="11" t="str">
        <f>IFERROR(__xludf.DUMMYFUNCTION("""COMPUTED_VALUE"""),"ARTICLE")</f>
        <v>ARTICLE</v>
      </c>
      <c r="E40" s="11" t="str">
        <f>IFERROR(__xludf.DUMMYFUNCTION("""COMPUTED_VALUE"""),"EDITORIAL")</f>
        <v>EDITORIAL</v>
      </c>
      <c r="F40" s="11" t="str">
        <f>IFERROR(__xludf.DUMMYFUNCTION("""COMPUTED_VALUE"""),"Article")</f>
        <v>Article</v>
      </c>
      <c r="G40" s="11" t="b">
        <f>IFERROR(__xludf.DUMMYFUNCTION("""COMPUTED_VALUE"""),FALSE)</f>
        <v>0</v>
      </c>
      <c r="H40" s="11" t="str">
        <f>IFERROR(__xludf.DUMMYFUNCTION("""COMPUTED_VALUE"""),"Digitas, Publicis Groupe, Dentsu, Horizon Media, WPP, GroupM")</f>
        <v>Digitas, Publicis Groupe, Dentsu, Horizon Media, WPP, GroupM</v>
      </c>
      <c r="I40" s="11">
        <f>IFERROR(__xludf.DUMMYFUNCTION("""COMPUTED_VALUE"""),2.0)</f>
        <v>2</v>
      </c>
      <c r="J40" s="11">
        <f>IFERROR(__xludf.DUMMYFUNCTION("""COMPUTED_VALUE"""),0.0)</f>
        <v>0</v>
      </c>
      <c r="K40" s="11">
        <f>IFERROR(__xludf.DUMMYFUNCTION("""COMPUTED_VALUE"""),0.0)</f>
        <v>0</v>
      </c>
    </row>
    <row r="41" ht="15.75" customHeight="1">
      <c r="A41" s="10" t="str">
        <f>IFERROR(__xludf.DUMMYFUNCTION("""COMPUTED_VALUE"""),"https://collegian.com/sponsored/2025/09/top-10-geo-marketing-agencies-for-improving-ai-search-2025/")</f>
        <v>https://collegian.com/sponsored/2025/09/top-10-geo-marketing-agencies-for-improving-ai-search-2025/</v>
      </c>
      <c r="B41" s="11" t="str">
        <f>IFERROR(__xludf.DUMMYFUNCTION("""COMPUTED_VALUE"""),"Top 10 GEO Marketing Agencies for improving AI search [2025] - The Rocky Mountain Collegian")</f>
        <v>Top 10 GEO Marketing Agencies for improving AI search [2025] - The Rocky Mountain Collegian</v>
      </c>
      <c r="C41" s="10" t="str">
        <f>IFERROR(__xludf.DUMMYFUNCTION("""COMPUTED_VALUE"""),"collegian.com")</f>
        <v>collegian.com</v>
      </c>
      <c r="D41" s="11" t="str">
        <f>IFERROR(__xludf.DUMMYFUNCTION("""COMPUTED_VALUE"""),"ARTICLE")</f>
        <v>ARTICLE</v>
      </c>
      <c r="E41" s="11" t="str">
        <f>IFERROR(__xludf.DUMMYFUNCTION("""COMPUTED_VALUE"""),"EDITORIAL")</f>
        <v>EDITORIAL</v>
      </c>
      <c r="F41" s="11" t="str">
        <f>IFERROR(__xludf.DUMMYFUNCTION("""COMPUTED_VALUE"""),"Article")</f>
        <v>Article</v>
      </c>
      <c r="G41" s="11" t="b">
        <f>IFERROR(__xludf.DUMMYFUNCTION("""COMPUTED_VALUE"""),FALSE)</f>
        <v>0</v>
      </c>
      <c r="H41" s="11" t="str">
        <f>IFERROR(__xludf.DUMMYFUNCTION("""COMPUTED_VALUE"""),"Single Grain, RevenueZen, First Page Sage, WebFX, Omniscient Digital, iPullRank")</f>
        <v>Single Grain, RevenueZen, First Page Sage, WebFX, Omniscient Digital, iPullRank</v>
      </c>
      <c r="I41" s="11">
        <f>IFERROR(__xludf.DUMMYFUNCTION("""COMPUTED_VALUE"""),2.0)</f>
        <v>2</v>
      </c>
      <c r="J41" s="11">
        <f>IFERROR(__xludf.DUMMYFUNCTION("""COMPUTED_VALUE"""),0.0)</f>
        <v>0</v>
      </c>
      <c r="K41" s="11">
        <f>IFERROR(__xludf.DUMMYFUNCTION("""COMPUTED_VALUE"""),1.0)</f>
        <v>1</v>
      </c>
    </row>
    <row r="42" ht="15.75" customHeight="1">
      <c r="A42" s="10" t="str">
        <f>IFERROR(__xludf.DUMMYFUNCTION("""COMPUTED_VALUE"""),"https://www.dontpaniclondon.com/blog/what-is-a-creative-agency/")</f>
        <v>https://www.dontpaniclondon.com/blog/what-is-a-creative-agency/</v>
      </c>
      <c r="B42" s="11" t="str">
        <f>IFERROR(__xludf.DUMMYFUNCTION("""COMPUTED_VALUE"""),"What Is a Creative Agency? Meaning &amp;amp; What They Do (2025)")</f>
        <v>What Is a Creative Agency? Meaning &amp;amp; What They Do (2025)</v>
      </c>
      <c r="C42" s="10" t="str">
        <f>IFERROR(__xludf.DUMMYFUNCTION("""COMPUTED_VALUE"""),"dontpaniclondon.com")</f>
        <v>dontpaniclondon.com</v>
      </c>
      <c r="D42" s="11" t="str">
        <f>IFERROR(__xludf.DUMMYFUNCTION("""COMPUTED_VALUE"""),"ARTICLE")</f>
        <v>ARTICLE</v>
      </c>
      <c r="E42" s="11" t="str">
        <f>IFERROR(__xludf.DUMMYFUNCTION("""COMPUTED_VALUE"""),"CORPORATE")</f>
        <v>CORPORATE</v>
      </c>
      <c r="F42" s="11" t="str">
        <f>IFERROR(__xludf.DUMMYFUNCTION("""COMPUTED_VALUE"""),"Article")</f>
        <v>Article</v>
      </c>
      <c r="G42" s="11" t="b">
        <f>IFERROR(__xludf.DUMMYFUNCTION("""COMPUTED_VALUE"""),FALSE)</f>
        <v>0</v>
      </c>
      <c r="H42" s="11"/>
      <c r="I42" s="11">
        <f>IFERROR(__xludf.DUMMYFUNCTION("""COMPUTED_VALUE"""),2.0)</f>
        <v>2</v>
      </c>
      <c r="J42" s="11">
        <f>IFERROR(__xludf.DUMMYFUNCTION("""COMPUTED_VALUE"""),0.0)</f>
        <v>0</v>
      </c>
      <c r="K42" s="11">
        <f>IFERROR(__xludf.DUMMYFUNCTION("""COMPUTED_VALUE"""),1.0)</f>
        <v>1</v>
      </c>
    </row>
    <row r="43" ht="15.75" customHeight="1">
      <c r="A43" s="10" t="str">
        <f>IFERROR(__xludf.DUMMYFUNCTION("""COMPUTED_VALUE"""),"https://finance.yahoo.com/sectors/technology/articles/adswerve-named-north-american-partner-150000804.html")</f>
        <v>https://finance.yahoo.com/sectors/technology/articles/adswerve-named-north-american-partner-150000804.html</v>
      </c>
      <c r="B43" s="11" t="str">
        <f>IFERROR(__xludf.DUMMYFUNCTION("""COMPUTED_VALUE"""),"Adswerve Named North American Partner for Google’s New Data Strength Program, GIP")</f>
        <v>Adswerve Named North American Partner for Google’s New Data Strength Program, GIP</v>
      </c>
      <c r="C43" s="10" t="str">
        <f>IFERROR(__xludf.DUMMYFUNCTION("""COMPUTED_VALUE"""),"yahoo.com")</f>
        <v>yahoo.com</v>
      </c>
      <c r="D43" s="11" t="str">
        <f>IFERROR(__xludf.DUMMYFUNCTION("""COMPUTED_VALUE"""),"ARTICLE")</f>
        <v>ARTICLE</v>
      </c>
      <c r="E43" s="11" t="str">
        <f>IFERROR(__xludf.DUMMYFUNCTION("""COMPUTED_VALUE"""),"OTHER")</f>
        <v>OTHER</v>
      </c>
      <c r="F43" s="11" t="str">
        <f>IFERROR(__xludf.DUMMYFUNCTION("""COMPUTED_VALUE"""),"Article")</f>
        <v>Article</v>
      </c>
      <c r="G43" s="11" t="b">
        <f>IFERROR(__xludf.DUMMYFUNCTION("""COMPUTED_VALUE"""),FALSE)</f>
        <v>0</v>
      </c>
      <c r="H43" s="11" t="str">
        <f>IFERROR(__xludf.DUMMYFUNCTION("""COMPUTED_VALUE"""),"Adswerve")</f>
        <v>Adswerve</v>
      </c>
      <c r="I43" s="11">
        <f>IFERROR(__xludf.DUMMYFUNCTION("""COMPUTED_VALUE"""),2.0)</f>
        <v>2</v>
      </c>
      <c r="J43" s="11">
        <f>IFERROR(__xludf.DUMMYFUNCTION("""COMPUTED_VALUE"""),0.0)</f>
        <v>0</v>
      </c>
      <c r="K43" s="11">
        <f>IFERROR(__xludf.DUMMYFUNCTION("""COMPUTED_VALUE"""),1.0)</f>
        <v>1</v>
      </c>
    </row>
    <row r="44" ht="15.75" customHeight="1">
      <c r="A44" s="10" t="str">
        <f>IFERROR(__xludf.DUMMYFUNCTION("""COMPUTED_VALUE"""),"https://www.incrmntal.com/faq/what-is-incrementality-testing")</f>
        <v>https://www.incrmntal.com/faq/what-is-incrementality-testing</v>
      </c>
      <c r="B44" s="11" t="str">
        <f>IFERROR(__xludf.DUMMYFUNCTION("""COMPUTED_VALUE"""),"Understanding Incrementality Testing for Smarter Marketing")</f>
        <v>Understanding Incrementality Testing for Smarter Marketing</v>
      </c>
      <c r="C44" s="10" t="str">
        <f>IFERROR(__xludf.DUMMYFUNCTION("""COMPUTED_VALUE"""),"incrmntal.com")</f>
        <v>incrmntal.com</v>
      </c>
      <c r="D44" s="11" t="str">
        <f>IFERROR(__xludf.DUMMYFUNCTION("""COMPUTED_VALUE"""),"ARTICLE")</f>
        <v>ARTICLE</v>
      </c>
      <c r="E44" s="11" t="str">
        <f>IFERROR(__xludf.DUMMYFUNCTION("""COMPUTED_VALUE"""),"COMPETITOR")</f>
        <v>COMPETITOR</v>
      </c>
      <c r="F44" s="11" t="str">
        <f>IFERROR(__xludf.DUMMYFUNCTION("""COMPUTED_VALUE"""),"Article")</f>
        <v>Article</v>
      </c>
      <c r="G44" s="11" t="b">
        <f>IFERROR(__xludf.DUMMYFUNCTION("""COMPUTED_VALUE"""),FALSE)</f>
        <v>0</v>
      </c>
      <c r="H44" s="11" t="str">
        <f>IFERROR(__xludf.DUMMYFUNCTION("""COMPUTED_VALUE"""),"INCRMNTAL")</f>
        <v>INCRMNTAL</v>
      </c>
      <c r="I44" s="11">
        <f>IFERROR(__xludf.DUMMYFUNCTION("""COMPUTED_VALUE"""),2.0)</f>
        <v>2</v>
      </c>
      <c r="J44" s="11">
        <f>IFERROR(__xludf.DUMMYFUNCTION("""COMPUTED_VALUE"""),0.0)</f>
        <v>0</v>
      </c>
      <c r="K44" s="11">
        <f>IFERROR(__xludf.DUMMYFUNCTION("""COMPUTED_VALUE"""),2.0)</f>
        <v>2</v>
      </c>
    </row>
    <row r="45" ht="15.75" customHeight="1">
      <c r="A45" s="10" t="str">
        <f>IFERROR(__xludf.DUMMYFUNCTION("""COMPUTED_VALUE"""),"https://www.techradar.com/pro/agentic-search-optimization-reshapes-brand-visibility-in-ai-search")</f>
        <v>https://www.techradar.com/pro/agentic-search-optimization-reshapes-brand-visibility-in-ai-search</v>
      </c>
      <c r="B45" s="11" t="str">
        <f>IFERROR(__xludf.DUMMYFUNCTION("""COMPUTED_VALUE"""),"Agentic Search Optimization reshapes brand visibility in AI search | TechRadar")</f>
        <v>Agentic Search Optimization reshapes brand visibility in AI search | TechRadar</v>
      </c>
      <c r="C45" s="10" t="str">
        <f>IFERROR(__xludf.DUMMYFUNCTION("""COMPUTED_VALUE"""),"techradar.com")</f>
        <v>techradar.com</v>
      </c>
      <c r="D45" s="11" t="str">
        <f>IFERROR(__xludf.DUMMYFUNCTION("""COMPUTED_VALUE"""),"ARTICLE")</f>
        <v>ARTICLE</v>
      </c>
      <c r="E45" s="11" t="str">
        <f>IFERROR(__xludf.DUMMYFUNCTION("""COMPUTED_VALUE"""),"EDITORIAL")</f>
        <v>EDITORIAL</v>
      </c>
      <c r="F45" s="11" t="str">
        <f>IFERROR(__xludf.DUMMYFUNCTION("""COMPUTED_VALUE"""),"Article")</f>
        <v>Article</v>
      </c>
      <c r="G45" s="11" t="b">
        <f>IFERROR(__xludf.DUMMYFUNCTION("""COMPUTED_VALUE"""),FALSE)</f>
        <v>0</v>
      </c>
      <c r="H45" s="11"/>
      <c r="I45" s="11">
        <f>IFERROR(__xludf.DUMMYFUNCTION("""COMPUTED_VALUE"""),2.0)</f>
        <v>2</v>
      </c>
      <c r="J45" s="11">
        <f>IFERROR(__xludf.DUMMYFUNCTION("""COMPUTED_VALUE"""),0.0)</f>
        <v>0</v>
      </c>
      <c r="K45" s="11">
        <f>IFERROR(__xludf.DUMMYFUNCTION("""COMPUTED_VALUE"""),2.0)</f>
        <v>2</v>
      </c>
    </row>
    <row r="46" ht="15.75" customHeight="1">
      <c r="A46" s="10" t="str">
        <f>IFERROR(__xludf.DUMMYFUNCTION("""COMPUTED_VALUE"""),"https://www.techradar.com/pro/the-gap-between-ai-potential-and-ai-reality-is-a-leadership-problem")</f>
        <v>https://www.techradar.com/pro/the-gap-between-ai-potential-and-ai-reality-is-a-leadership-problem</v>
      </c>
      <c r="B46" s="11" t="str">
        <f>IFERROR(__xludf.DUMMYFUNCTION("""COMPUTED_VALUE"""),"The gap between AI potential and AI reality Is a leadership problem | TechRadar")</f>
        <v>The gap between AI potential and AI reality Is a leadership problem | TechRadar</v>
      </c>
      <c r="C46" s="10" t="str">
        <f>IFERROR(__xludf.DUMMYFUNCTION("""COMPUTED_VALUE"""),"techradar.com")</f>
        <v>techradar.com</v>
      </c>
      <c r="D46" s="11" t="str">
        <f>IFERROR(__xludf.DUMMYFUNCTION("""COMPUTED_VALUE"""),"ARTICLE")</f>
        <v>ARTICLE</v>
      </c>
      <c r="E46" s="11" t="str">
        <f>IFERROR(__xludf.DUMMYFUNCTION("""COMPUTED_VALUE"""),"EDITORIAL")</f>
        <v>EDITORIAL</v>
      </c>
      <c r="F46" s="11" t="str">
        <f>IFERROR(__xludf.DUMMYFUNCTION("""COMPUTED_VALUE"""),"Article")</f>
        <v>Article</v>
      </c>
      <c r="G46" s="11" t="b">
        <f>IFERROR(__xludf.DUMMYFUNCTION("""COMPUTED_VALUE"""),FALSE)</f>
        <v>0</v>
      </c>
      <c r="H46" s="11" t="str">
        <f>IFERROR(__xludf.DUMMYFUNCTION("""COMPUTED_VALUE"""),"IBM, BCG")</f>
        <v>IBM, BCG</v>
      </c>
      <c r="I46" s="11">
        <f>IFERROR(__xludf.DUMMYFUNCTION("""COMPUTED_VALUE"""),2.0)</f>
        <v>2</v>
      </c>
      <c r="J46" s="11">
        <f>IFERROR(__xludf.DUMMYFUNCTION("""COMPUTED_VALUE"""),0.0)</f>
        <v>0</v>
      </c>
      <c r="K46" s="11">
        <f>IFERROR(__xludf.DUMMYFUNCTION("""COMPUTED_VALUE"""),2.0)</f>
        <v>2</v>
      </c>
    </row>
    <row r="47" ht="15.75" customHeight="1">
      <c r="A47" s="10" t="str">
        <f>IFERROR(__xludf.DUMMYFUNCTION("""COMPUTED_VALUE"""),"https://www.thedrum.com/news/as-holdcos-reinvent-themselves-here-are-the-notes-indies-should-be-taking")</f>
        <v>https://www.thedrum.com/news/as-holdcos-reinvent-themselves-here-are-the-notes-indies-should-be-taking</v>
      </c>
      <c r="B47" s="11" t="str">
        <f>IFERROR(__xludf.DUMMYFUNCTION("""COMPUTED_VALUE"""),"As holdcos reinvent themselves, here are the notes indies should be taking | The Drum")</f>
        <v>As holdcos reinvent themselves, here are the notes indies should be taking | The Drum</v>
      </c>
      <c r="C47" s="10" t="str">
        <f>IFERROR(__xludf.DUMMYFUNCTION("""COMPUTED_VALUE"""),"thedrum.com")</f>
        <v>thedrum.com</v>
      </c>
      <c r="D47" s="11" t="str">
        <f>IFERROR(__xludf.DUMMYFUNCTION("""COMPUTED_VALUE"""),"ARTICLE")</f>
        <v>ARTICLE</v>
      </c>
      <c r="E47" s="11" t="str">
        <f>IFERROR(__xludf.DUMMYFUNCTION("""COMPUTED_VALUE"""),"EDITORIAL")</f>
        <v>EDITORIAL</v>
      </c>
      <c r="F47" s="11" t="str">
        <f>IFERROR(__xludf.DUMMYFUNCTION("""COMPUTED_VALUE"""),"Article")</f>
        <v>Article</v>
      </c>
      <c r="G47" s="11" t="b">
        <f>IFERROR(__xludf.DUMMYFUNCTION("""COMPUTED_VALUE"""),FALSE)</f>
        <v>0</v>
      </c>
      <c r="H47" s="11" t="str">
        <f>IFERROR(__xludf.DUMMYFUNCTION("""COMPUTED_VALUE"""),"WPP")</f>
        <v>WPP</v>
      </c>
      <c r="I47" s="11">
        <f>IFERROR(__xludf.DUMMYFUNCTION("""COMPUTED_VALUE"""),2.0)</f>
        <v>2</v>
      </c>
      <c r="J47" s="11">
        <f>IFERROR(__xludf.DUMMYFUNCTION("""COMPUTED_VALUE"""),0.0)</f>
        <v>0</v>
      </c>
      <c r="K47" s="11">
        <f>IFERROR(__xludf.DUMMYFUNCTION("""COMPUTED_VALUE"""),0.0)</f>
        <v>0</v>
      </c>
    </row>
    <row r="48" ht="15.75" customHeight="1">
      <c r="A48" s="10" t="str">
        <f>IFERROR(__xludf.DUMMYFUNCTION("""COMPUTED_VALUE"""),"https://www.wsj.com/cio-journal/the-ai-superfans-companies-count-on-to-convert-the-skeptics-5b301a90")</f>
        <v>https://www.wsj.com/cio-journal/the-ai-superfans-companies-count-on-to-convert-the-skeptics-5b301a90</v>
      </c>
      <c r="B48" s="11" t="str">
        <f>IFERROR(__xludf.DUMMYFUNCTION("""COMPUTED_VALUE"""),"The AI Superfans Companies Count On to Convert the Skeptics - WSJ")</f>
        <v>The AI Superfans Companies Count On to Convert the Skeptics - WSJ</v>
      </c>
      <c r="C48" s="10" t="str">
        <f>IFERROR(__xludf.DUMMYFUNCTION("""COMPUTED_VALUE"""),"wsj.com")</f>
        <v>wsj.com</v>
      </c>
      <c r="D48" s="11" t="str">
        <f>IFERROR(__xludf.DUMMYFUNCTION("""COMPUTED_VALUE"""),"ARTICLE")</f>
        <v>ARTICLE</v>
      </c>
      <c r="E48" s="11" t="str">
        <f>IFERROR(__xludf.DUMMYFUNCTION("""COMPUTED_VALUE"""),"EDITORIAL")</f>
        <v>EDITORIAL</v>
      </c>
      <c r="F48" s="11" t="str">
        <f>IFERROR(__xludf.DUMMYFUNCTION("""COMPUTED_VALUE"""),"Article")</f>
        <v>Article</v>
      </c>
      <c r="G48" s="11" t="b">
        <f>IFERROR(__xludf.DUMMYFUNCTION("""COMPUTED_VALUE"""),FALSE)</f>
        <v>0</v>
      </c>
      <c r="H48" s="11"/>
      <c r="I48" s="11">
        <f>IFERROR(__xludf.DUMMYFUNCTION("""COMPUTED_VALUE"""),2.0)</f>
        <v>2</v>
      </c>
      <c r="J48" s="11">
        <f>IFERROR(__xludf.DUMMYFUNCTION("""COMPUTED_VALUE"""),0.0)</f>
        <v>0</v>
      </c>
      <c r="K48" s="11">
        <f>IFERROR(__xludf.DUMMYFUNCTION("""COMPUTED_VALUE"""),1.5)</f>
        <v>1.5</v>
      </c>
    </row>
    <row r="49" ht="15.75" customHeight="1">
      <c r="A49" s="10" t="str">
        <f>IFERROR(__xludf.DUMMYFUNCTION("""COMPUTED_VALUE"""),"https://www.wsj.com/tech/ai/ai-needs-management-consultants-after-all-bd28ecb9")</f>
        <v>https://www.wsj.com/tech/ai/ai-needs-management-consultants-after-all-bd28ecb9</v>
      </c>
      <c r="B49" s="11" t="str">
        <f>IFERROR(__xludf.DUMMYFUNCTION("""COMPUTED_VALUE"""),"AI Needs Management Consultants After All - WSJ")</f>
        <v>AI Needs Management Consultants After All - WSJ</v>
      </c>
      <c r="C49" s="10" t="str">
        <f>IFERROR(__xludf.DUMMYFUNCTION("""COMPUTED_VALUE"""),"wsj.com")</f>
        <v>wsj.com</v>
      </c>
      <c r="D49" s="11" t="str">
        <f>IFERROR(__xludf.DUMMYFUNCTION("""COMPUTED_VALUE"""),"ARTICLE")</f>
        <v>ARTICLE</v>
      </c>
      <c r="E49" s="11" t="str">
        <f>IFERROR(__xludf.DUMMYFUNCTION("""COMPUTED_VALUE"""),"EDITORIAL")</f>
        <v>EDITORIAL</v>
      </c>
      <c r="F49" s="11" t="str">
        <f>IFERROR(__xludf.DUMMYFUNCTION("""COMPUTED_VALUE"""),"Article")</f>
        <v>Article</v>
      </c>
      <c r="G49" s="11" t="b">
        <f>IFERROR(__xludf.DUMMYFUNCTION("""COMPUTED_VALUE"""),FALSE)</f>
        <v>0</v>
      </c>
      <c r="H49" s="11" t="str">
        <f>IFERROR(__xludf.DUMMYFUNCTION("""COMPUTED_VALUE"""),"McKinsey, BCG")</f>
        <v>McKinsey, BCG</v>
      </c>
      <c r="I49" s="11">
        <f>IFERROR(__xludf.DUMMYFUNCTION("""COMPUTED_VALUE"""),2.0)</f>
        <v>2</v>
      </c>
      <c r="J49" s="11">
        <f>IFERROR(__xludf.DUMMYFUNCTION("""COMPUTED_VALUE"""),0.0)</f>
        <v>0</v>
      </c>
      <c r="K49" s="11">
        <f>IFERROR(__xludf.DUMMYFUNCTION("""COMPUTED_VALUE"""),2.0)</f>
        <v>2</v>
      </c>
    </row>
    <row r="50" ht="15.75" customHeight="1">
      <c r="A50" s="10" t="str">
        <f>IFERROR(__xludf.DUMMYFUNCTION("""COMPUTED_VALUE"""),"https://www.zymr.com/blog/how-to-choose-the-right-ai-consulting-company-in-the-usa")</f>
        <v>https://www.zymr.com/blog/how-to-choose-the-right-ai-consulting-company-in-the-usa</v>
      </c>
      <c r="B50" s="11" t="str">
        <f>IFERROR(__xludf.DUMMYFUNCTION("""COMPUTED_VALUE"""),"How to Choose the Right AI Consulting Company in the USA? ( 2026)")</f>
        <v>How to Choose the Right AI Consulting Company in the USA? ( 2026)</v>
      </c>
      <c r="C50" s="10" t="str">
        <f>IFERROR(__xludf.DUMMYFUNCTION("""COMPUTED_VALUE"""),"zymr.com")</f>
        <v>zymr.com</v>
      </c>
      <c r="D50" s="11" t="str">
        <f>IFERROR(__xludf.DUMMYFUNCTION("""COMPUTED_VALUE"""),"ARTICLE")</f>
        <v>ARTICLE</v>
      </c>
      <c r="E50" s="11" t="str">
        <f>IFERROR(__xludf.DUMMYFUNCTION("""COMPUTED_VALUE"""),"CORPORATE")</f>
        <v>CORPORATE</v>
      </c>
      <c r="F50" s="11" t="str">
        <f>IFERROR(__xludf.DUMMYFUNCTION("""COMPUTED_VALUE"""),"Article")</f>
        <v>Article</v>
      </c>
      <c r="G50" s="11" t="b">
        <f>IFERROR(__xludf.DUMMYFUNCTION("""COMPUTED_VALUE"""),FALSE)</f>
        <v>0</v>
      </c>
      <c r="H50" s="11" t="str">
        <f>IFERROR(__xludf.DUMMYFUNCTION("""COMPUTED_VALUE"""),"McKinsey, Bain &amp; Company, Measured")</f>
        <v>McKinsey, Bain &amp; Company, Measured</v>
      </c>
      <c r="I50" s="11">
        <f>IFERROR(__xludf.DUMMYFUNCTION("""COMPUTED_VALUE"""),2.0)</f>
        <v>2</v>
      </c>
      <c r="J50" s="11">
        <f>IFERROR(__xludf.DUMMYFUNCTION("""COMPUTED_VALUE"""),0.0)</f>
        <v>0</v>
      </c>
      <c r="K50" s="11">
        <f>IFERROR(__xludf.DUMMYFUNCTION("""COMPUTED_VALUE"""),1.0)</f>
        <v>1</v>
      </c>
    </row>
    <row r="51" ht="15.75" customHeight="1">
      <c r="A51" s="10" t="str">
        <f>IFERROR(__xludf.DUMMYFUNCTION("""COMPUTED_VALUE"""),"https://abry.com/news-article/abry-partners-backed-adswerve-acquires-analytics-pros/")</f>
        <v>https://abry.com/news-article/abry-partners-backed-adswerve-acquires-analytics-pros/</v>
      </c>
      <c r="B51" s="11" t="str">
        <f>IFERROR(__xludf.DUMMYFUNCTION("""COMPUTED_VALUE"""),"Abry Partners-backed AdSwerve Acquires Analytics Pros - Abry Partners")</f>
        <v>Abry Partners-backed AdSwerve Acquires Analytics Pros - Abry Partners</v>
      </c>
      <c r="C51" s="10" t="str">
        <f>IFERROR(__xludf.DUMMYFUNCTION("""COMPUTED_VALUE"""),"abry.com")</f>
        <v>abry.com</v>
      </c>
      <c r="D51" s="11" t="str">
        <f>IFERROR(__xludf.DUMMYFUNCTION("""COMPUTED_VALUE"""),"ARTICLE")</f>
        <v>ARTICLE</v>
      </c>
      <c r="E51" s="11" t="str">
        <f>IFERROR(__xludf.DUMMYFUNCTION("""COMPUTED_VALUE"""),"CORPORATE")</f>
        <v>CORPORATE</v>
      </c>
      <c r="F51" s="11" t="str">
        <f>IFERROR(__xludf.DUMMYFUNCTION("""COMPUTED_VALUE"""),"Article")</f>
        <v>Article</v>
      </c>
      <c r="G51" s="11" t="b">
        <f>IFERROR(__xludf.DUMMYFUNCTION("""COMPUTED_VALUE"""),FALSE)</f>
        <v>0</v>
      </c>
      <c r="H51" s="11" t="str">
        <f>IFERROR(__xludf.DUMMYFUNCTION("""COMPUTED_VALUE"""),"Adswerve")</f>
        <v>Adswerve</v>
      </c>
      <c r="I51" s="11">
        <f>IFERROR(__xludf.DUMMYFUNCTION("""COMPUTED_VALUE"""),1.0)</f>
        <v>1</v>
      </c>
      <c r="J51" s="11">
        <f>IFERROR(__xludf.DUMMYFUNCTION("""COMPUTED_VALUE"""),0.0)</f>
        <v>0</v>
      </c>
      <c r="K51" s="11">
        <f>IFERROR(__xludf.DUMMYFUNCTION("""COMPUTED_VALUE"""),1.0)</f>
        <v>1</v>
      </c>
    </row>
    <row r="52" ht="15.75" customHeight="1">
      <c r="A52" s="10" t="str">
        <f>IFERROR(__xludf.DUMMYFUNCTION("""COMPUTED_VALUE"""),"https://www.aidigital.com/blog/unified-marketing-measurement")</f>
        <v>https://www.aidigital.com/blog/unified-marketing-measurement</v>
      </c>
      <c r="B52" s="11" t="str">
        <f>IFERROR(__xludf.DUMMYFUNCTION("""COMPUTED_VALUE"""),"What Is Unified Marketing Measurement? A Business Guide")</f>
        <v>What Is Unified Marketing Measurement? A Business Guide</v>
      </c>
      <c r="C52" s="10" t="str">
        <f>IFERROR(__xludf.DUMMYFUNCTION("""COMPUTED_VALUE"""),"aidigital.com")</f>
        <v>aidigital.com</v>
      </c>
      <c r="D52" s="11" t="str">
        <f>IFERROR(__xludf.DUMMYFUNCTION("""COMPUTED_VALUE"""),"ARTICLE")</f>
        <v>ARTICLE</v>
      </c>
      <c r="E52" s="11" t="str">
        <f>IFERROR(__xludf.DUMMYFUNCTION("""COMPUTED_VALUE"""),"CORPORATE")</f>
        <v>CORPORATE</v>
      </c>
      <c r="F52" s="11" t="str">
        <f>IFERROR(__xludf.DUMMYFUNCTION("""COMPUTED_VALUE"""),"Article")</f>
        <v>Article</v>
      </c>
      <c r="G52" s="11" t="b">
        <f>IFERROR(__xludf.DUMMYFUNCTION("""COMPUTED_VALUE"""),FALSE)</f>
        <v>0</v>
      </c>
      <c r="H52" s="11" t="str">
        <f>IFERROR(__xludf.DUMMYFUNCTION("""COMPUTED_VALUE"""),"TransUnion, Analytic Partners, Measured, Triple Whale, LifeSight, Haus")</f>
        <v>TransUnion, Analytic Partners, Measured, Triple Whale, LifeSight, Haus</v>
      </c>
      <c r="I52" s="11">
        <f>IFERROR(__xludf.DUMMYFUNCTION("""COMPUTED_VALUE"""),1.0)</f>
        <v>1</v>
      </c>
      <c r="J52" s="11">
        <f>IFERROR(__xludf.DUMMYFUNCTION("""COMPUTED_VALUE"""),0.0)</f>
        <v>0</v>
      </c>
      <c r="K52" s="11">
        <f>IFERROR(__xludf.DUMMYFUNCTION("""COMPUTED_VALUE"""),0.0)</f>
        <v>0</v>
      </c>
    </row>
    <row r="53" ht="15.75" customHeight="1">
      <c r="A53" s="10" t="str">
        <f>IFERROR(__xludf.DUMMYFUNCTION("""COMPUTED_VALUE"""),"https://www.aidigital.com/blog/what-is-incrementality-testing-in-marketing")</f>
        <v>https://www.aidigital.com/blog/what-is-incrementality-testing-in-marketing</v>
      </c>
      <c r="B53" s="11" t="str">
        <f>IFERROR(__xludf.DUMMYFUNCTION("""COMPUTED_VALUE"""),"What Is Incrementality Testing in Marketing Measurement")</f>
        <v>What Is Incrementality Testing in Marketing Measurement</v>
      </c>
      <c r="C53" s="10" t="str">
        <f>IFERROR(__xludf.DUMMYFUNCTION("""COMPUTED_VALUE"""),"aidigital.com")</f>
        <v>aidigital.com</v>
      </c>
      <c r="D53" s="11" t="str">
        <f>IFERROR(__xludf.DUMMYFUNCTION("""COMPUTED_VALUE"""),"ARTICLE")</f>
        <v>ARTICLE</v>
      </c>
      <c r="E53" s="11" t="str">
        <f>IFERROR(__xludf.DUMMYFUNCTION("""COMPUTED_VALUE"""),"CORPORATE")</f>
        <v>CORPORATE</v>
      </c>
      <c r="F53" s="11" t="str">
        <f>IFERROR(__xludf.DUMMYFUNCTION("""COMPUTED_VALUE"""),"Article")</f>
        <v>Article</v>
      </c>
      <c r="G53" s="11" t="b">
        <f>IFERROR(__xludf.DUMMYFUNCTION("""COMPUTED_VALUE"""),FALSE)</f>
        <v>0</v>
      </c>
      <c r="H53" s="11" t="str">
        <f>IFERROR(__xludf.DUMMYFUNCTION("""COMPUTED_VALUE"""),"Haus, Measured")</f>
        <v>Haus, Measured</v>
      </c>
      <c r="I53" s="11">
        <f>IFERROR(__xludf.DUMMYFUNCTION("""COMPUTED_VALUE"""),1.0)</f>
        <v>1</v>
      </c>
      <c r="J53" s="11">
        <f>IFERROR(__xludf.DUMMYFUNCTION("""COMPUTED_VALUE"""),0.0)</f>
        <v>0</v>
      </c>
      <c r="K53" s="11">
        <f>IFERROR(__xludf.DUMMYFUNCTION("""COMPUTED_VALUE"""),1.0)</f>
        <v>1</v>
      </c>
    </row>
    <row r="54" ht="15.75" customHeight="1">
      <c r="A54" s="10" t="str">
        <f>IFERROR(__xludf.DUMMYFUNCTION("""COMPUTED_VALUE"""),"https://www.aimediagroup.com/post/how-ai-is-revolutionizing-media-buying-smarter-bids-better-results")</f>
        <v>https://www.aimediagroup.com/post/how-ai-is-revolutionizing-media-buying-smarter-bids-better-results</v>
      </c>
      <c r="B54" s="11" t="str">
        <f>IFERROR(__xludf.DUMMYFUNCTION("""COMPUTED_VALUE"""),"How AI is Revolutionizing Media Buying | Ai Media Group")</f>
        <v>How AI is Revolutionizing Media Buying | Ai Media Group</v>
      </c>
      <c r="C54" s="10" t="str">
        <f>IFERROR(__xludf.DUMMYFUNCTION("""COMPUTED_VALUE"""),"aimediagroup.com")</f>
        <v>aimediagroup.com</v>
      </c>
      <c r="D54" s="11" t="str">
        <f>IFERROR(__xludf.DUMMYFUNCTION("""COMPUTED_VALUE"""),"ARTICLE")</f>
        <v>ARTICLE</v>
      </c>
      <c r="E54" s="11" t="str">
        <f>IFERROR(__xludf.DUMMYFUNCTION("""COMPUTED_VALUE"""),"CORPORATE")</f>
        <v>CORPORATE</v>
      </c>
      <c r="F54" s="11" t="str">
        <f>IFERROR(__xludf.DUMMYFUNCTION("""COMPUTED_VALUE"""),"Article")</f>
        <v>Article</v>
      </c>
      <c r="G54" s="11" t="b">
        <f>IFERROR(__xludf.DUMMYFUNCTION("""COMPUTED_VALUE"""),FALSE)</f>
        <v>0</v>
      </c>
      <c r="H54" s="11"/>
      <c r="I54" s="11">
        <f>IFERROR(__xludf.DUMMYFUNCTION("""COMPUTED_VALUE"""),1.0)</f>
        <v>1</v>
      </c>
      <c r="J54" s="11">
        <f>IFERROR(__xludf.DUMMYFUNCTION("""COMPUTED_VALUE"""),0.0)</f>
        <v>0</v>
      </c>
      <c r="K54" s="11">
        <f>IFERROR(__xludf.DUMMYFUNCTION("""COMPUTED_VALUE"""),1.0)</f>
        <v>1</v>
      </c>
    </row>
    <row r="55" ht="15.75" customHeight="1">
      <c r="A55" s="10" t="str">
        <f>IFERROR(__xludf.DUMMYFUNCTION("""COMPUTED_VALUE"""),"https://www.als-cs.com/glossary/a/authorized-economic-operator-aeo-trusted-trader-programs/")</f>
        <v>https://www.als-cs.com/glossary/a/authorized-economic-operator-aeo-trusted-trader-programs/</v>
      </c>
      <c r="B55" s="11" t="str">
        <f>IFERROR(__xludf.DUMMYFUNCTION("""COMPUTED_VALUE"""),"Authorized Economic Operator (AEO) &amp;amp; Trusted Trader Programs")</f>
        <v>Authorized Economic Operator (AEO) &amp;amp; Trusted Trader Programs</v>
      </c>
      <c r="C55" s="10" t="str">
        <f>IFERROR(__xludf.DUMMYFUNCTION("""COMPUTED_VALUE"""),"als-cs.com")</f>
        <v>als-cs.com</v>
      </c>
      <c r="D55" s="11" t="str">
        <f>IFERROR(__xludf.DUMMYFUNCTION("""COMPUTED_VALUE"""),"ARTICLE")</f>
        <v>ARTICLE</v>
      </c>
      <c r="E55" s="11" t="str">
        <f>IFERROR(__xludf.DUMMYFUNCTION("""COMPUTED_VALUE"""),"CORPORATE")</f>
        <v>CORPORATE</v>
      </c>
      <c r="F55" s="11" t="str">
        <f>IFERROR(__xludf.DUMMYFUNCTION("""COMPUTED_VALUE"""),"Article")</f>
        <v>Article</v>
      </c>
      <c r="G55" s="11" t="b">
        <f>IFERROR(__xludf.DUMMYFUNCTION("""COMPUTED_VALUE"""),FALSE)</f>
        <v>0</v>
      </c>
      <c r="H55" s="11"/>
      <c r="I55" s="11">
        <f>IFERROR(__xludf.DUMMYFUNCTION("""COMPUTED_VALUE"""),1.0)</f>
        <v>1</v>
      </c>
      <c r="J55" s="11">
        <f>IFERROR(__xludf.DUMMYFUNCTION("""COMPUTED_VALUE"""),0.0)</f>
        <v>0</v>
      </c>
      <c r="K55" s="11">
        <f>IFERROR(__xludf.DUMMYFUNCTION("""COMPUTED_VALUE"""),1.0)</f>
        <v>1</v>
      </c>
    </row>
    <row r="56" ht="15.75" customHeight="1">
      <c r="A56" s="10" t="str">
        <f>IFERROR(__xludf.DUMMYFUNCTION("""COMPUTED_VALUE"""),"https://arxiv.org/abs/2201.07055")</f>
        <v>https://arxiv.org/abs/2201.07055</v>
      </c>
      <c r="B56" s="11" t="str">
        <f>IFERROR(__xludf.DUMMYFUNCTION("""COMPUTED_VALUE"""),"[2201.07055] Close Enough? A Large-Scale Exploration of Non-Experimental Approaches to Advertising Measurement")</f>
        <v>[2201.07055] Close Enough? A Large-Scale Exploration of Non-Experimental Approaches to Advertising Measurement</v>
      </c>
      <c r="C56" s="10" t="str">
        <f>IFERROR(__xludf.DUMMYFUNCTION("""COMPUTED_VALUE"""),"arxiv.org")</f>
        <v>arxiv.org</v>
      </c>
      <c r="D56" s="11" t="str">
        <f>IFERROR(__xludf.DUMMYFUNCTION("""COMPUTED_VALUE"""),"ARTICLE")</f>
        <v>ARTICLE</v>
      </c>
      <c r="E56" s="11" t="str">
        <f>IFERROR(__xludf.DUMMYFUNCTION("""COMPUTED_VALUE"""),"REFERENCE")</f>
        <v>REFERENCE</v>
      </c>
      <c r="F56" s="11" t="str">
        <f>IFERROR(__xludf.DUMMYFUNCTION("""COMPUTED_VALUE"""),"Article")</f>
        <v>Article</v>
      </c>
      <c r="G56" s="11" t="b">
        <f>IFERROR(__xludf.DUMMYFUNCTION("""COMPUTED_VALUE"""),FALSE)</f>
        <v>0</v>
      </c>
      <c r="H56" s="11"/>
      <c r="I56" s="11">
        <f>IFERROR(__xludf.DUMMYFUNCTION("""COMPUTED_VALUE"""),1.0)</f>
        <v>1</v>
      </c>
      <c r="J56" s="11">
        <f>IFERROR(__xludf.DUMMYFUNCTION("""COMPUTED_VALUE"""),0.0)</f>
        <v>0</v>
      </c>
      <c r="K56" s="11">
        <f>IFERROR(__xludf.DUMMYFUNCTION("""COMPUTED_VALUE"""),2.0)</f>
        <v>2</v>
      </c>
    </row>
    <row r="57" ht="15.75" customHeight="1">
      <c r="A57" s="10" t="str">
        <f>IFERROR(__xludf.DUMMYFUNCTION("""COMPUTED_VALUE"""),"https://arxiv.org/abs/2605.25517")</f>
        <v>https://arxiv.org/abs/2605.25517</v>
      </c>
      <c r="B57" s="11" t="str">
        <f>IFERROR(__xludf.DUMMYFUNCTION("""COMPUTED_VALUE"""),"[2605.25517] What Gets Cited: Competitive GEO in AI Answer Engines")</f>
        <v>[2605.25517] What Gets Cited: Competitive GEO in AI Answer Engines</v>
      </c>
      <c r="C57" s="10" t="str">
        <f>IFERROR(__xludf.DUMMYFUNCTION("""COMPUTED_VALUE"""),"arxiv.org")</f>
        <v>arxiv.org</v>
      </c>
      <c r="D57" s="11" t="str">
        <f>IFERROR(__xludf.DUMMYFUNCTION("""COMPUTED_VALUE"""),"ARTICLE")</f>
        <v>ARTICLE</v>
      </c>
      <c r="E57" s="11" t="str">
        <f>IFERROR(__xludf.DUMMYFUNCTION("""COMPUTED_VALUE"""),"REFERENCE")</f>
        <v>REFERENCE</v>
      </c>
      <c r="F57" s="11" t="str">
        <f>IFERROR(__xludf.DUMMYFUNCTION("""COMPUTED_VALUE"""),"Article")</f>
        <v>Article</v>
      </c>
      <c r="G57" s="11" t="b">
        <f>IFERROR(__xludf.DUMMYFUNCTION("""COMPUTED_VALUE"""),FALSE)</f>
        <v>0</v>
      </c>
      <c r="H57" s="11"/>
      <c r="I57" s="11">
        <f>IFERROR(__xludf.DUMMYFUNCTION("""COMPUTED_VALUE"""),1.0)</f>
        <v>1</v>
      </c>
      <c r="J57" s="11">
        <f>IFERROR(__xludf.DUMMYFUNCTION("""COMPUTED_VALUE"""),0.0)</f>
        <v>0</v>
      </c>
      <c r="K57" s="11">
        <f>IFERROR(__xludf.DUMMYFUNCTION("""COMPUTED_VALUE"""),2.0)</f>
        <v>2</v>
      </c>
    </row>
    <row r="58" ht="15.75" customHeight="1">
      <c r="A58" s="10" t="str">
        <f>IFERROR(__xludf.DUMMYFUNCTION("""COMPUTED_VALUE"""),"https://arxiv.org/abs/2607.14035")</f>
        <v>https://arxiv.org/abs/2607.14035</v>
      </c>
      <c r="B58" s="11" t="str">
        <f>IFERROR(__xludf.DUMMYFUNCTION("""COMPUTED_VALUE"""),"[2607.14035] Optimizing Visibility in Generative Engines: A Critical Survey of Generative Engine Optimization (2023-2026)")</f>
        <v>[2607.14035] Optimizing Visibility in Generative Engines: A Critical Survey of Generative Engine Optimization (2023-2026)</v>
      </c>
      <c r="C58" s="10" t="str">
        <f>IFERROR(__xludf.DUMMYFUNCTION("""COMPUTED_VALUE"""),"arxiv.org")</f>
        <v>arxiv.org</v>
      </c>
      <c r="D58" s="11" t="str">
        <f>IFERROR(__xludf.DUMMYFUNCTION("""COMPUTED_VALUE"""),"ARTICLE")</f>
        <v>ARTICLE</v>
      </c>
      <c r="E58" s="11" t="str">
        <f>IFERROR(__xludf.DUMMYFUNCTION("""COMPUTED_VALUE"""),"REFERENCE")</f>
        <v>REFERENCE</v>
      </c>
      <c r="F58" s="11" t="str">
        <f>IFERROR(__xludf.DUMMYFUNCTION("""COMPUTED_VALUE"""),"Article")</f>
        <v>Article</v>
      </c>
      <c r="G58" s="11" t="b">
        <f>IFERROR(__xludf.DUMMYFUNCTION("""COMPUTED_VALUE"""),FALSE)</f>
        <v>0</v>
      </c>
      <c r="H58" s="11"/>
      <c r="I58" s="11">
        <f>IFERROR(__xludf.DUMMYFUNCTION("""COMPUTED_VALUE"""),1.0)</f>
        <v>1</v>
      </c>
      <c r="J58" s="11">
        <f>IFERROR(__xludf.DUMMYFUNCTION("""COMPUTED_VALUE"""),0.0)</f>
        <v>0</v>
      </c>
      <c r="K58" s="11">
        <f>IFERROR(__xludf.DUMMYFUNCTION("""COMPUTED_VALUE"""),2.0)</f>
        <v>2</v>
      </c>
    </row>
    <row r="59" ht="15.75" customHeight="1">
      <c r="A59" s="10" t="str">
        <f>IFERROR(__xludf.DUMMYFUNCTION("""COMPUTED_VALUE"""),"https://aspiremarketers.com/top-performance-marketing-companies/")</f>
        <v>https://aspiremarketers.com/top-performance-marketing-companies/</v>
      </c>
      <c r="B59" s="11" t="str">
        <f>IFERROR(__xludf.DUMMYFUNCTION("""COMPUTED_VALUE"""),"Top Performance Marketing Companies for Business Growth")</f>
        <v>Top Performance Marketing Companies for Business Growth</v>
      </c>
      <c r="C59" s="10" t="str">
        <f>IFERROR(__xludf.DUMMYFUNCTION("""COMPUTED_VALUE"""),"aspiremarketers.com")</f>
        <v>aspiremarketers.com</v>
      </c>
      <c r="D59" s="11" t="str">
        <f>IFERROR(__xludf.DUMMYFUNCTION("""COMPUTED_VALUE"""),"ARTICLE")</f>
        <v>ARTICLE</v>
      </c>
      <c r="E59" s="11" t="str">
        <f>IFERROR(__xludf.DUMMYFUNCTION("""COMPUTED_VALUE"""),"CORPORATE")</f>
        <v>CORPORATE</v>
      </c>
      <c r="F59" s="11" t="str">
        <f>IFERROR(__xludf.DUMMYFUNCTION("""COMPUTED_VALUE"""),"Article")</f>
        <v>Article</v>
      </c>
      <c r="G59" s="11" t="b">
        <f>IFERROR(__xludf.DUMMYFUNCTION("""COMPUTED_VALUE"""),FALSE)</f>
        <v>0</v>
      </c>
      <c r="H59" s="11"/>
      <c r="I59" s="11">
        <f>IFERROR(__xludf.DUMMYFUNCTION("""COMPUTED_VALUE"""),1.0)</f>
        <v>1</v>
      </c>
      <c r="J59" s="11">
        <f>IFERROR(__xludf.DUMMYFUNCTION("""COMPUTED_VALUE"""),0.0)</f>
        <v>0</v>
      </c>
      <c r="K59" s="11">
        <f>IFERROR(__xludf.DUMMYFUNCTION("""COMPUTED_VALUE"""),1.0)</f>
        <v>1</v>
      </c>
    </row>
    <row r="60" ht="15.75" customHeight="1">
      <c r="A60" s="10" t="str">
        <f>IFERROR(__xludf.DUMMYFUNCTION("""COMPUTED_VALUE"""),"https://barkleyokrp.com/barkleyokrps-adlucent-are-now-google-marketing-platform-certified-partners/")</f>
        <v>https://barkleyokrp.com/barkleyokrps-adlucent-are-now-google-marketing-platform-certified-partners/</v>
      </c>
      <c r="B60" s="11" t="str">
        <f>IFERROR(__xludf.DUMMYFUNCTION("""COMPUTED_VALUE"""),"BarkleyOKRP's Adlucent are now Google Marketing Platform Certified Partners. - BarkleyOKRP")</f>
        <v>BarkleyOKRP's Adlucent are now Google Marketing Platform Certified Partners. - BarkleyOKRP</v>
      </c>
      <c r="C60" s="10" t="str">
        <f>IFERROR(__xludf.DUMMYFUNCTION("""COMPUTED_VALUE"""),"barkleyokrp.com")</f>
        <v>barkleyokrp.com</v>
      </c>
      <c r="D60" s="11" t="str">
        <f>IFERROR(__xludf.DUMMYFUNCTION("""COMPUTED_VALUE"""),"ARTICLE")</f>
        <v>ARTICLE</v>
      </c>
      <c r="E60" s="11" t="str">
        <f>IFERROR(__xludf.DUMMYFUNCTION("""COMPUTED_VALUE"""),"CORPORATE")</f>
        <v>CORPORATE</v>
      </c>
      <c r="F60" s="11" t="str">
        <f>IFERROR(__xludf.DUMMYFUNCTION("""COMPUTED_VALUE"""),"Article")</f>
        <v>Article</v>
      </c>
      <c r="G60" s="11" t="b">
        <f>IFERROR(__xludf.DUMMYFUNCTION("""COMPUTED_VALUE"""),FALSE)</f>
        <v>0</v>
      </c>
      <c r="H60" s="11"/>
      <c r="I60" s="11">
        <f>IFERROR(__xludf.DUMMYFUNCTION("""COMPUTED_VALUE"""),1.0)</f>
        <v>1</v>
      </c>
      <c r="J60" s="11">
        <f>IFERROR(__xludf.DUMMYFUNCTION("""COMPUTED_VALUE"""),0.0)</f>
        <v>0</v>
      </c>
      <c r="K60" s="11">
        <f>IFERROR(__xludf.DUMMYFUNCTION("""COMPUTED_VALUE"""),2.0)</f>
        <v>2</v>
      </c>
    </row>
    <row r="61" ht="15.75" customHeight="1">
      <c r="A61" s="10" t="str">
        <f>IFERROR(__xludf.DUMMYFUNCTION("""COMPUTED_VALUE"""),"https://business.adobe.com/blog/basics/marketing-attribution")</f>
        <v>https://business.adobe.com/blog/basics/marketing-attribution</v>
      </c>
      <c r="B61" s="11" t="str">
        <f>IFERROR(__xludf.DUMMYFUNCTION("""COMPUTED_VALUE"""),"Marketing attribution — models and best practices")</f>
        <v>Marketing attribution — models and best practices</v>
      </c>
      <c r="C61" s="10" t="str">
        <f>IFERROR(__xludf.DUMMYFUNCTION("""COMPUTED_VALUE"""),"adobe.com")</f>
        <v>adobe.com</v>
      </c>
      <c r="D61" s="11" t="str">
        <f>IFERROR(__xludf.DUMMYFUNCTION("""COMPUTED_VALUE"""),"ARTICLE")</f>
        <v>ARTICLE</v>
      </c>
      <c r="E61" s="11" t="str">
        <f>IFERROR(__xludf.DUMMYFUNCTION("""COMPUTED_VALUE"""),"CORPORATE")</f>
        <v>CORPORATE</v>
      </c>
      <c r="F61" s="11" t="str">
        <f>IFERROR(__xludf.DUMMYFUNCTION("""COMPUTED_VALUE"""),"Article")</f>
        <v>Article</v>
      </c>
      <c r="G61" s="11" t="b">
        <f>IFERROR(__xludf.DUMMYFUNCTION("""COMPUTED_VALUE"""),FALSE)</f>
        <v>0</v>
      </c>
      <c r="H61" s="11"/>
      <c r="I61" s="11">
        <f>IFERROR(__xludf.DUMMYFUNCTION("""COMPUTED_VALUE"""),1.0)</f>
        <v>1</v>
      </c>
      <c r="J61" s="11">
        <f>IFERROR(__xludf.DUMMYFUNCTION("""COMPUTED_VALUE"""),0.0)</f>
        <v>0</v>
      </c>
      <c r="K61" s="11">
        <f>IFERROR(__xludf.DUMMYFUNCTION("""COMPUTED_VALUE"""),2.0)</f>
        <v>2</v>
      </c>
    </row>
    <row r="62" ht="15.75" customHeight="1">
      <c r="A62" s="10" t="str">
        <f>IFERROR(__xludf.DUMMYFUNCTION("""COMPUTED_VALUE"""),"https://business.google.com/us/think/measurement/incrementality-testing/")</f>
        <v>https://business.google.com/us/think/measurement/incrementality-testing/</v>
      </c>
      <c r="B62" s="11" t="str">
        <f>IFERROR(__xludf.DUMMYFUNCTION("""COMPUTED_VALUE"""),"Use incrementality testing for effective marketing measurement")</f>
        <v>Use incrementality testing for effective marketing measurement</v>
      </c>
      <c r="C62" s="10" t="str">
        <f>IFERROR(__xludf.DUMMYFUNCTION("""COMPUTED_VALUE"""),"google.com")</f>
        <v>google.com</v>
      </c>
      <c r="D62" s="11" t="str">
        <f>IFERROR(__xludf.DUMMYFUNCTION("""COMPUTED_VALUE"""),"ARTICLE")</f>
        <v>ARTICLE</v>
      </c>
      <c r="E62" s="11" t="str">
        <f>IFERROR(__xludf.DUMMYFUNCTION("""COMPUTED_VALUE"""),"OTHER")</f>
        <v>OTHER</v>
      </c>
      <c r="F62" s="11" t="str">
        <f>IFERROR(__xludf.DUMMYFUNCTION("""COMPUTED_VALUE"""),"Article")</f>
        <v>Article</v>
      </c>
      <c r="G62" s="11" t="b">
        <f>IFERROR(__xludf.DUMMYFUNCTION("""COMPUTED_VALUE"""),FALSE)</f>
        <v>0</v>
      </c>
      <c r="H62" s="11"/>
      <c r="I62" s="11">
        <f>IFERROR(__xludf.DUMMYFUNCTION("""COMPUTED_VALUE"""),1.0)</f>
        <v>1</v>
      </c>
      <c r="J62" s="11">
        <f>IFERROR(__xludf.DUMMYFUNCTION("""COMPUTED_VALUE"""),0.0)</f>
        <v>0</v>
      </c>
      <c r="K62" s="11">
        <f>IFERROR(__xludf.DUMMYFUNCTION("""COMPUTED_VALUE"""),0.0)</f>
        <v>0</v>
      </c>
    </row>
    <row r="63" ht="15.75" customHeight="1">
      <c r="A63" s="10" t="str">
        <f>IFERROR(__xludf.DUMMYFUNCTION("""COMPUTED_VALUE"""),"https://www.businessinsider.com/how-ai-is-changing-consulting-talent-at-mckinsey-pwc-deloitte-2025-12")</f>
        <v>https://www.businessinsider.com/how-ai-is-changing-consulting-talent-at-mckinsey-pwc-deloitte-2025-12</v>
      </c>
      <c r="B63" s="11" t="str">
        <f>IFERROR(__xludf.DUMMYFUNCTION("""COMPUTED_VALUE"""),"How Elite Consulting Firms Are Changing Hiring and Training in the AI Age - Business Insider")</f>
        <v>How Elite Consulting Firms Are Changing Hiring and Training in the AI Age - Business Insider</v>
      </c>
      <c r="C63" s="10" t="str">
        <f>IFERROR(__xludf.DUMMYFUNCTION("""COMPUTED_VALUE"""),"businessinsider.com")</f>
        <v>businessinsider.com</v>
      </c>
      <c r="D63" s="11" t="str">
        <f>IFERROR(__xludf.DUMMYFUNCTION("""COMPUTED_VALUE"""),"ARTICLE")</f>
        <v>ARTICLE</v>
      </c>
      <c r="E63" s="11" t="str">
        <f>IFERROR(__xludf.DUMMYFUNCTION("""COMPUTED_VALUE"""),"EDITORIAL")</f>
        <v>EDITORIAL</v>
      </c>
      <c r="F63" s="11" t="str">
        <f>IFERROR(__xludf.DUMMYFUNCTION("""COMPUTED_VALUE"""),"Article")</f>
        <v>Article</v>
      </c>
      <c r="G63" s="11" t="b">
        <f>IFERROR(__xludf.DUMMYFUNCTION("""COMPUTED_VALUE"""),FALSE)</f>
        <v>0</v>
      </c>
      <c r="H63" s="11" t="str">
        <f>IFERROR(__xludf.DUMMYFUNCTION("""COMPUTED_VALUE"""),"McKinsey, PwC, BCG, QuantumBlack")</f>
        <v>McKinsey, PwC, BCG, QuantumBlack</v>
      </c>
      <c r="I63" s="11">
        <f>IFERROR(__xludf.DUMMYFUNCTION("""COMPUTED_VALUE"""),1.0)</f>
        <v>1</v>
      </c>
      <c r="J63" s="11">
        <f>IFERROR(__xludf.DUMMYFUNCTION("""COMPUTED_VALUE"""),0.0)</f>
        <v>0</v>
      </c>
      <c r="K63" s="11">
        <f>IFERROR(__xludf.DUMMYFUNCTION("""COMPUTED_VALUE"""),2.0)</f>
        <v>2</v>
      </c>
    </row>
    <row r="64" ht="15.75" customHeight="1">
      <c r="A64" s="10" t="str">
        <f>IFERROR(__xludf.DUMMYFUNCTION("""COMPUTED_VALUE"""),"https://www.businessinsider.com/top-geo-tips-ai-search-google-microsoft-perplexity-2025-12")</f>
        <v>https://www.businessinsider.com/top-geo-tips-ai-search-google-microsoft-perplexity-2025-12</v>
      </c>
      <c r="B64" s="11" t="str">
        <f>IFERROR(__xludf.DUMMYFUNCTION("""COMPUTED_VALUE"""),"Top GEO Tips for AI Search From Google, Microsoft, Perplexity - Business Insider")</f>
        <v>Top GEO Tips for AI Search From Google, Microsoft, Perplexity - Business Insider</v>
      </c>
      <c r="C64" s="10" t="str">
        <f>IFERROR(__xludf.DUMMYFUNCTION("""COMPUTED_VALUE"""),"businessinsider.com")</f>
        <v>businessinsider.com</v>
      </c>
      <c r="D64" s="11" t="str">
        <f>IFERROR(__xludf.DUMMYFUNCTION("""COMPUTED_VALUE"""),"ARTICLE")</f>
        <v>ARTICLE</v>
      </c>
      <c r="E64" s="11" t="str">
        <f>IFERROR(__xludf.DUMMYFUNCTION("""COMPUTED_VALUE"""),"EDITORIAL")</f>
        <v>EDITORIAL</v>
      </c>
      <c r="F64" s="11" t="str">
        <f>IFERROR(__xludf.DUMMYFUNCTION("""COMPUTED_VALUE"""),"Article")</f>
        <v>Article</v>
      </c>
      <c r="G64" s="11" t="b">
        <f>IFERROR(__xludf.DUMMYFUNCTION("""COMPUTED_VALUE"""),FALSE)</f>
        <v>0</v>
      </c>
      <c r="H64" s="11" t="str">
        <f>IFERROR(__xludf.DUMMYFUNCTION("""COMPUTED_VALUE"""),"McKinsey, WPP")</f>
        <v>McKinsey, WPP</v>
      </c>
      <c r="I64" s="11">
        <f>IFERROR(__xludf.DUMMYFUNCTION("""COMPUTED_VALUE"""),1.0)</f>
        <v>1</v>
      </c>
      <c r="J64" s="11">
        <f>IFERROR(__xludf.DUMMYFUNCTION("""COMPUTED_VALUE"""),0.0)</f>
        <v>0</v>
      </c>
      <c r="K64" s="11">
        <f>IFERROR(__xludf.DUMMYFUNCTION("""COMPUTED_VALUE"""),2.0)</f>
        <v>2</v>
      </c>
    </row>
    <row r="65" ht="15.75" customHeight="1">
      <c r="A65" s="10" t="str">
        <f>IFERROR(__xludf.DUMMYFUNCTION("""COMPUTED_VALUE"""),"https://www.campaignlive.com/article/final-2024-us-media-agency-rankings-in-claimed-top-spot/1907166")</f>
        <v>https://www.campaignlive.com/article/final-2024-us-media-agency-rankings-in-claimed-top-spot/1907166</v>
      </c>
      <c r="B65" s="11" t="str">
        <f>IFERROR(__xludf.DUMMYFUNCTION("""COMPUTED_VALUE"""),"Final 2024 US media agency rankings are in: Who claimed the top spot? | Campaign US")</f>
        <v>Final 2024 US media agency rankings are in: Who claimed the top spot? | Campaign US</v>
      </c>
      <c r="C65" s="10" t="str">
        <f>IFERROR(__xludf.DUMMYFUNCTION("""COMPUTED_VALUE"""),"campaignlive.com")</f>
        <v>campaignlive.com</v>
      </c>
      <c r="D65" s="11" t="str">
        <f>IFERROR(__xludf.DUMMYFUNCTION("""COMPUTED_VALUE"""),"ARTICLE")</f>
        <v>ARTICLE</v>
      </c>
      <c r="E65" s="11" t="str">
        <f>IFERROR(__xludf.DUMMYFUNCTION("""COMPUTED_VALUE"""),"EDITORIAL")</f>
        <v>EDITORIAL</v>
      </c>
      <c r="F65" s="11" t="str">
        <f>IFERROR(__xludf.DUMMYFUNCTION("""COMPUTED_VALUE"""),"Article")</f>
        <v>Article</v>
      </c>
      <c r="G65" s="11" t="b">
        <f>IFERROR(__xludf.DUMMYFUNCTION("""COMPUTED_VALUE"""),FALSE)</f>
        <v>0</v>
      </c>
      <c r="H65" s="11" t="str">
        <f>IFERROR(__xludf.DUMMYFUNCTION("""COMPUTED_VALUE"""),"Omnicom Media Group, iProspect, Dentsu, WPP, GroupM, Horizon Media, Publicis Groupe")</f>
        <v>Omnicom Media Group, iProspect, Dentsu, WPP, GroupM, Horizon Media, Publicis Groupe</v>
      </c>
      <c r="I65" s="11">
        <f>IFERROR(__xludf.DUMMYFUNCTION("""COMPUTED_VALUE"""),1.0)</f>
        <v>1</v>
      </c>
      <c r="J65" s="11">
        <f>IFERROR(__xludf.DUMMYFUNCTION("""COMPUTED_VALUE"""),0.0)</f>
        <v>0</v>
      </c>
      <c r="K65" s="11">
        <f>IFERROR(__xludf.DUMMYFUNCTION("""COMPUTED_VALUE"""),3.0)</f>
        <v>3</v>
      </c>
    </row>
    <row r="66" ht="15.75" customHeight="1">
      <c r="A66" s="10" t="str">
        <f>IFERROR(__xludf.DUMMYFUNCTION("""COMPUTED_VALUE"""),"https://www.capitala.co/uncategorized/20506/futureproofing-the-power-of-digital-marking-agency-investments/")</f>
        <v>https://www.capitala.co/uncategorized/20506/futureproofing-the-power-of-digital-marking-agency-investments/</v>
      </c>
      <c r="B66" s="11" t="str">
        <f>IFERROR(__xludf.DUMMYFUNCTION("""COMPUTED_VALUE"""),"Futureproofing: The Power of Digital Marking Agency Investments | Capital A")</f>
        <v>Futureproofing: The Power of Digital Marking Agency Investments | Capital A</v>
      </c>
      <c r="C66" s="10" t="str">
        <f>IFERROR(__xludf.DUMMYFUNCTION("""COMPUTED_VALUE"""),"capitala.co")</f>
        <v>capitala.co</v>
      </c>
      <c r="D66" s="11" t="str">
        <f>IFERROR(__xludf.DUMMYFUNCTION("""COMPUTED_VALUE"""),"ARTICLE")</f>
        <v>ARTICLE</v>
      </c>
      <c r="E66" s="11" t="str">
        <f>IFERROR(__xludf.DUMMYFUNCTION("""COMPUTED_VALUE"""),"CORPORATE")</f>
        <v>CORPORATE</v>
      </c>
      <c r="F66" s="11" t="str">
        <f>IFERROR(__xludf.DUMMYFUNCTION("""COMPUTED_VALUE"""),"Article")</f>
        <v>Article</v>
      </c>
      <c r="G66" s="11" t="b">
        <f>IFERROR(__xludf.DUMMYFUNCTION("""COMPUTED_VALUE"""),FALSE)</f>
        <v>0</v>
      </c>
      <c r="H66" s="11"/>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IFERROR(__xludf.DUMMYFUNCTION("""COMPUTED_VALUE"""),"https://cimm-us.org/comprehensive-comparison-of-attribution-measurement-providers-unveiled-at-7th-annual-cimm-summit/")</f>
        <v>https://cimm-us.org/comprehensive-comparison-of-attribution-measurement-providers-unveiled-at-7th-annual-cimm-summit/</v>
      </c>
      <c r="B67" s="11" t="str">
        <f>IFERROR(__xludf.DUMMYFUNCTION("""COMPUTED_VALUE"""),"Comprehensive Comparison of Attribution Measurement Providers Unveiled at 7th Annual CIMM Summit – CIMM: Coalition for Innovative Media Measurement")</f>
        <v>Comprehensive Comparison of Attribution Measurement Providers Unveiled at 7th Annual CIMM Summit – CIMM: Coalition for Innovative Media Measurement</v>
      </c>
      <c r="C67" s="10" t="str">
        <f>IFERROR(__xludf.DUMMYFUNCTION("""COMPUTED_VALUE"""),"cimm-us.org")</f>
        <v>cimm-us.org</v>
      </c>
      <c r="D67" s="11" t="str">
        <f>IFERROR(__xludf.DUMMYFUNCTION("""COMPUTED_VALUE"""),"ARTICLE")</f>
        <v>ARTICLE</v>
      </c>
      <c r="E67" s="11" t="str">
        <f>IFERROR(__xludf.DUMMYFUNCTION("""COMPUTED_VALUE"""),"INSTITUTIONAL")</f>
        <v>INSTITUTIONAL</v>
      </c>
      <c r="F67" s="11" t="str">
        <f>IFERROR(__xludf.DUMMYFUNCTION("""COMPUTED_VALUE"""),"Article")</f>
        <v>Article</v>
      </c>
      <c r="G67" s="11" t="b">
        <f>IFERROR(__xludf.DUMMYFUNCTION("""COMPUTED_VALUE"""),FALSE)</f>
        <v>0</v>
      </c>
      <c r="H67" s="11"/>
      <c r="I67" s="11">
        <f>IFERROR(__xludf.DUMMYFUNCTION("""COMPUTED_VALUE"""),1.0)</f>
        <v>1</v>
      </c>
      <c r="J67" s="11">
        <f>IFERROR(__xludf.DUMMYFUNCTION("""COMPUTED_VALUE"""),0.0)</f>
        <v>0</v>
      </c>
      <c r="K67" s="11">
        <f>IFERROR(__xludf.DUMMYFUNCTION("""COMPUTED_VALUE"""),0.0)</f>
        <v>0</v>
      </c>
    </row>
    <row r="68" ht="15.75" customHeight="1">
      <c r="A68" s="10" t="str">
        <f>IFERROR(__xludf.DUMMYFUNCTION("""COMPUTED_VALUE"""),"https://www.cmswire.com/customer-experience/what-is-customer-journey-analytics-software/")</f>
        <v>https://www.cmswire.com/customer-experience/what-is-customer-journey-analytics-software/</v>
      </c>
      <c r="B68" s="11" t="str">
        <f>IFERROR(__xludf.DUMMYFUNCTION("""COMPUTED_VALUE"""),"The Skinny on Customer Journey Analytics Software in 2025")</f>
        <v>The Skinny on Customer Journey Analytics Software in 2025</v>
      </c>
      <c r="C68" s="10" t="str">
        <f>IFERROR(__xludf.DUMMYFUNCTION("""COMPUTED_VALUE"""),"cmswire.com")</f>
        <v>cmswire.com</v>
      </c>
      <c r="D68" s="11" t="str">
        <f>IFERROR(__xludf.DUMMYFUNCTION("""COMPUTED_VALUE"""),"ARTICLE")</f>
        <v>ARTICLE</v>
      </c>
      <c r="E68" s="11" t="str">
        <f>IFERROR(__xludf.DUMMYFUNCTION("""COMPUTED_VALUE"""),"UGC")</f>
        <v>UGC</v>
      </c>
      <c r="F68" s="11" t="str">
        <f>IFERROR(__xludf.DUMMYFUNCTION("""COMPUTED_VALUE"""),"Article")</f>
        <v>Article</v>
      </c>
      <c r="G68" s="11" t="b">
        <f>IFERROR(__xludf.DUMMYFUNCTION("""COMPUTED_VALUE"""),FALSE)</f>
        <v>0</v>
      </c>
      <c r="H68" s="11" t="str">
        <f>IFERROR(__xludf.DUMMYFUNCTION("""COMPUTED_VALUE"""),"Measured, Momentum")</f>
        <v>Measured, Momentum</v>
      </c>
      <c r="I68" s="11">
        <f>IFERROR(__xludf.DUMMYFUNCTION("""COMPUTED_VALUE"""),1.0)</f>
        <v>1</v>
      </c>
      <c r="J68" s="11">
        <f>IFERROR(__xludf.DUMMYFUNCTION("""COMPUTED_VALUE"""),0.0)</f>
        <v>0</v>
      </c>
      <c r="K68" s="11">
        <f>IFERROR(__xludf.DUMMYFUNCTION("""COMPUTED_VALUE"""),1.0)</f>
        <v>1</v>
      </c>
    </row>
    <row r="69" ht="15.75" customHeight="1">
      <c r="A69" s="10" t="str">
        <f>IFERROR(__xludf.DUMMYFUNCTION("""COMPUTED_VALUE"""),"https://coolnerdsmarketing.com/marketing-agencies-usa/")</f>
        <v>https://coolnerdsmarketing.com/marketing-agencies-usa/</v>
      </c>
      <c r="B69" s="11" t="str">
        <f>IFERROR(__xludf.DUMMYFUNCTION("""COMPUTED_VALUE"""),"Top Marketing Agencies in the USA (January 2026)")</f>
        <v>Top Marketing Agencies in the USA (January 2026)</v>
      </c>
      <c r="C69" s="10" t="str">
        <f>IFERROR(__xludf.DUMMYFUNCTION("""COMPUTED_VALUE"""),"coolnerdsmarketing.com")</f>
        <v>coolnerdsmarketing.com</v>
      </c>
      <c r="D69" s="11" t="str">
        <f>IFERROR(__xludf.DUMMYFUNCTION("""COMPUTED_VALUE"""),"ARTICLE")</f>
        <v>ARTICLE</v>
      </c>
      <c r="E69" s="11" t="str">
        <f>IFERROR(__xludf.DUMMYFUNCTION("""COMPUTED_VALUE"""),"CORPORATE")</f>
        <v>CORPORATE</v>
      </c>
      <c r="F69" s="11" t="str">
        <f>IFERROR(__xludf.DUMMYFUNCTION("""COMPUTED_VALUE"""),"Article")</f>
        <v>Article</v>
      </c>
      <c r="G69" s="11" t="b">
        <f>IFERROR(__xludf.DUMMYFUNCTION("""COMPUTED_VALUE"""),FALSE)</f>
        <v>0</v>
      </c>
      <c r="H69" s="11" t="str">
        <f>IFERROR(__xludf.DUMMYFUNCTION("""COMPUTED_VALUE"""),"Wieden+Kennedy, Droga5, R/GA, AKQA, Publicis Groupe, 72andSunny, Huge, Ogilvy, VML")</f>
        <v>Wieden+Kennedy, Droga5, R/GA, AKQA, Publicis Groupe, 72andSunny, Huge, Ogilvy, VML</v>
      </c>
      <c r="I69" s="11">
        <f>IFERROR(__xludf.DUMMYFUNCTION("""COMPUTED_VALUE"""),1.0)</f>
        <v>1</v>
      </c>
      <c r="J69" s="11">
        <f>IFERROR(__xludf.DUMMYFUNCTION("""COMPUTED_VALUE"""),0.0)</f>
        <v>0</v>
      </c>
      <c r="K69" s="11">
        <f>IFERROR(__xludf.DUMMYFUNCTION("""COMPUTED_VALUE"""),1.0)</f>
        <v>1</v>
      </c>
    </row>
    <row r="70" ht="15.75" customHeight="1">
      <c r="A70" s="10" t="str">
        <f>IFERROR(__xludf.DUMMYFUNCTION("""COMPUTED_VALUE"""),"https://www.crowley.com/oea-recertification/")</f>
        <v>https://www.crowley.com/oea-recertification/</v>
      </c>
      <c r="B70" s="11" t="str">
        <f>IFERROR(__xludf.DUMMYFUNCTION("""COMPUTED_VALUE"""),"Crowley’s Commitment to Safety Earns Recertification as an Authorized Economic Operator in Guatemala | Crowley")</f>
        <v>Crowley’s Commitment to Safety Earns Recertification as an Authorized Economic Operator in Guatemala | Crowley</v>
      </c>
      <c r="C70" s="10" t="str">
        <f>IFERROR(__xludf.DUMMYFUNCTION("""COMPUTED_VALUE"""),"crowley.com")</f>
        <v>crowley.com</v>
      </c>
      <c r="D70" s="11" t="str">
        <f>IFERROR(__xludf.DUMMYFUNCTION("""COMPUTED_VALUE"""),"ARTICLE")</f>
        <v>ARTICLE</v>
      </c>
      <c r="E70" s="11" t="str">
        <f>IFERROR(__xludf.DUMMYFUNCTION("""COMPUTED_VALUE"""),"CORPORATE")</f>
        <v>CORPORATE</v>
      </c>
      <c r="F70" s="11" t="str">
        <f>IFERROR(__xludf.DUMMYFUNCTION("""COMPUTED_VALUE"""),"Article")</f>
        <v>Article</v>
      </c>
      <c r="G70" s="11" t="b">
        <f>IFERROR(__xludf.DUMMYFUNCTION("""COMPUTED_VALUE"""),FALSE)</f>
        <v>0</v>
      </c>
      <c r="H70" s="11"/>
      <c r="I70" s="11">
        <f>IFERROR(__xludf.DUMMYFUNCTION("""COMPUTED_VALUE"""),1.0)</f>
        <v>1</v>
      </c>
      <c r="J70" s="11">
        <f>IFERROR(__xludf.DUMMYFUNCTION("""COMPUTED_VALUE"""),0.0)</f>
        <v>0</v>
      </c>
      <c r="K70" s="11">
        <f>IFERROR(__xludf.DUMMYFUNCTION("""COMPUTED_VALUE"""),1.0)</f>
        <v>1</v>
      </c>
    </row>
    <row r="71" ht="15.75" customHeight="1">
      <c r="A71" s="10" t="str">
        <f>IFERROR(__xludf.DUMMYFUNCTION("""COMPUTED_VALUE"""),"https://www.customssupport.com/everything-you-need-know-about-getting-aeo-certified/")</f>
        <v>https://www.customssupport.com/everything-you-need-know-about-getting-aeo-certified/</v>
      </c>
      <c r="B71" s="11" t="str">
        <f>IFERROR(__xludf.DUMMYFUNCTION("""COMPUTED_VALUE"""),"Everything You Need to Know About Getting AEO Certified - Customs Support Group")</f>
        <v>Everything You Need to Know About Getting AEO Certified - Customs Support Group</v>
      </c>
      <c r="C71" s="10" t="str">
        <f>IFERROR(__xludf.DUMMYFUNCTION("""COMPUTED_VALUE"""),"customssupport.com")</f>
        <v>customssupport.com</v>
      </c>
      <c r="D71" s="11" t="str">
        <f>IFERROR(__xludf.DUMMYFUNCTION("""COMPUTED_VALUE"""),"ARTICLE")</f>
        <v>ARTICLE</v>
      </c>
      <c r="E71" s="11" t="str">
        <f>IFERROR(__xludf.DUMMYFUNCTION("""COMPUTED_VALUE"""),"CORPORATE")</f>
        <v>CORPORATE</v>
      </c>
      <c r="F71" s="11" t="str">
        <f>IFERROR(__xludf.DUMMYFUNCTION("""COMPUTED_VALUE"""),"Article")</f>
        <v>Article</v>
      </c>
      <c r="G71" s="11" t="b">
        <f>IFERROR(__xludf.DUMMYFUNCTION("""COMPUTED_VALUE"""),FALSE)</f>
        <v>0</v>
      </c>
      <c r="H71" s="11"/>
      <c r="I71" s="11">
        <f>IFERROR(__xludf.DUMMYFUNCTION("""COMPUTED_VALUE"""),1.0)</f>
        <v>1</v>
      </c>
      <c r="J71" s="11">
        <f>IFERROR(__xludf.DUMMYFUNCTION("""COMPUTED_VALUE"""),0.0)</f>
        <v>0</v>
      </c>
      <c r="K71" s="11">
        <f>IFERROR(__xludf.DUMMYFUNCTION("""COMPUTED_VALUE"""),1.0)</f>
        <v>1</v>
      </c>
    </row>
    <row r="72" ht="15.75" customHeight="1">
      <c r="A72" s="10" t="str">
        <f>IFERROR(__xludf.DUMMYFUNCTION("""COMPUTED_VALUE"""),"https://www.datafeedwatch.com/blog/cross-channel-attribution")</f>
        <v>https://www.datafeedwatch.com/blog/cross-channel-attribution</v>
      </c>
      <c r="B72" s="11" t="str">
        <f>IFERROR(__xludf.DUMMYFUNCTION("""COMPUTED_VALUE"""),"How to Master Cross-Channel Attribution?")</f>
        <v>How to Master Cross-Channel Attribution?</v>
      </c>
      <c r="C72" s="10" t="str">
        <f>IFERROR(__xludf.DUMMYFUNCTION("""COMPUTED_VALUE"""),"datafeedwatch.com")</f>
        <v>datafeedwatch.com</v>
      </c>
      <c r="D72" s="11" t="str">
        <f>IFERROR(__xludf.DUMMYFUNCTION("""COMPUTED_VALUE"""),"ARTICLE")</f>
        <v>ARTICLE</v>
      </c>
      <c r="E72" s="11" t="str">
        <f>IFERROR(__xludf.DUMMYFUNCTION("""COMPUTED_VALUE"""),"CORPORATE")</f>
        <v>CORPORATE</v>
      </c>
      <c r="F72" s="11" t="str">
        <f>IFERROR(__xludf.DUMMYFUNCTION("""COMPUTED_VALUE"""),"Article")</f>
        <v>Article</v>
      </c>
      <c r="G72" s="11" t="b">
        <f>IFERROR(__xludf.DUMMYFUNCTION("""COMPUTED_VALUE"""),FALSE)</f>
        <v>0</v>
      </c>
      <c r="H72" s="11"/>
      <c r="I72" s="11">
        <f>IFERROR(__xludf.DUMMYFUNCTION("""COMPUTED_VALUE"""),1.0)</f>
        <v>1</v>
      </c>
      <c r="J72" s="11">
        <f>IFERROR(__xludf.DUMMYFUNCTION("""COMPUTED_VALUE"""),0.0)</f>
        <v>0</v>
      </c>
      <c r="K72" s="11">
        <f>IFERROR(__xludf.DUMMYFUNCTION("""COMPUTED_VALUE"""),1.0)</f>
        <v>1</v>
      </c>
    </row>
    <row r="73" ht="15.75" customHeight="1">
      <c r="A73" s="10" t="str">
        <f>IFERROR(__xludf.DUMMYFUNCTION("""COMPUTED_VALUE"""),"https://deloitte.wsj.com/cmo/is-your-customer-data-ai-ready-5e75b9ac")</f>
        <v>https://deloitte.wsj.com/cmo/is-your-customer-data-ai-ready-5e75b9ac</v>
      </c>
      <c r="B73" s="11" t="str">
        <f>IFERROR(__xludf.DUMMYFUNCTION("""COMPUTED_VALUE"""),"Is Your Customer Data AI-Ready? - WSJ")</f>
        <v>Is Your Customer Data AI-Ready? - WSJ</v>
      </c>
      <c r="C73" s="10" t="str">
        <f>IFERROR(__xludf.DUMMYFUNCTION("""COMPUTED_VALUE"""),"wsj.com")</f>
        <v>wsj.com</v>
      </c>
      <c r="D73" s="11" t="str">
        <f>IFERROR(__xludf.DUMMYFUNCTION("""COMPUTED_VALUE"""),"ARTICLE")</f>
        <v>ARTICLE</v>
      </c>
      <c r="E73" s="11" t="str">
        <f>IFERROR(__xludf.DUMMYFUNCTION("""COMPUTED_VALUE"""),"EDITORIAL")</f>
        <v>EDITORIAL</v>
      </c>
      <c r="F73" s="11" t="str">
        <f>IFERROR(__xludf.DUMMYFUNCTION("""COMPUTED_VALUE"""),"Article")</f>
        <v>Article</v>
      </c>
      <c r="G73" s="11" t="b">
        <f>IFERROR(__xludf.DUMMYFUNCTION("""COMPUTED_VALUE"""),FALSE)</f>
        <v>0</v>
      </c>
      <c r="H73" s="11" t="str">
        <f>IFERROR(__xludf.DUMMYFUNCTION("""COMPUTED_VALUE"""),"Deloitte Digital")</f>
        <v>Deloitte Digital</v>
      </c>
      <c r="I73" s="11">
        <f>IFERROR(__xludf.DUMMYFUNCTION("""COMPUTED_VALUE"""),1.0)</f>
        <v>1</v>
      </c>
      <c r="J73" s="11">
        <f>IFERROR(__xludf.DUMMYFUNCTION("""COMPUTED_VALUE"""),0.0)</f>
        <v>0</v>
      </c>
      <c r="K73" s="11">
        <f>IFERROR(__xludf.DUMMYFUNCTION("""COMPUTED_VALUE"""),2.0)</f>
        <v>2</v>
      </c>
    </row>
    <row r="74" ht="15.75" customHeight="1">
      <c r="A74" s="10" t="str">
        <f>IFERROR(__xludf.DUMMYFUNCTION("""COMPUTED_VALUE"""),"https://deloitte.wsj.com/cmo/the-ai-ready-marketing-organization-4-pillars-for-transformation-b859dc67")</f>
        <v>https://deloitte.wsj.com/cmo/the-ai-ready-marketing-organization-4-pillars-for-transformation-b859dc67</v>
      </c>
      <c r="B74" s="11" t="str">
        <f>IFERROR(__xludf.DUMMYFUNCTION("""COMPUTED_VALUE"""),"The AI-Ready Marketing Organization: 4 Pillars for Transformation - WSJ")</f>
        <v>The AI-Ready Marketing Organization: 4 Pillars for Transformation - WSJ</v>
      </c>
      <c r="C74" s="10" t="str">
        <f>IFERROR(__xludf.DUMMYFUNCTION("""COMPUTED_VALUE"""),"wsj.com")</f>
        <v>wsj.com</v>
      </c>
      <c r="D74" s="11" t="str">
        <f>IFERROR(__xludf.DUMMYFUNCTION("""COMPUTED_VALUE"""),"ARTICLE")</f>
        <v>ARTICLE</v>
      </c>
      <c r="E74" s="11" t="str">
        <f>IFERROR(__xludf.DUMMYFUNCTION("""COMPUTED_VALUE"""),"EDITORIAL")</f>
        <v>EDITORIAL</v>
      </c>
      <c r="F74" s="11" t="str">
        <f>IFERROR(__xludf.DUMMYFUNCTION("""COMPUTED_VALUE"""),"Article")</f>
        <v>Article</v>
      </c>
      <c r="G74" s="11" t="b">
        <f>IFERROR(__xludf.DUMMYFUNCTION("""COMPUTED_VALUE"""),FALSE)</f>
        <v>0</v>
      </c>
      <c r="H74" s="11" t="str">
        <f>IFERROR(__xludf.DUMMYFUNCTION("""COMPUTED_VALUE"""),"Deloitte Digital")</f>
        <v>Deloitte Digital</v>
      </c>
      <c r="I74" s="11">
        <f>IFERROR(__xludf.DUMMYFUNCTION("""COMPUTED_VALUE"""),1.0)</f>
        <v>1</v>
      </c>
      <c r="J74" s="11">
        <f>IFERROR(__xludf.DUMMYFUNCTION("""COMPUTED_VALUE"""),0.0)</f>
        <v>0</v>
      </c>
      <c r="K74" s="11">
        <f>IFERROR(__xludf.DUMMYFUNCTION("""COMPUTED_VALUE"""),1.0)</f>
        <v>1</v>
      </c>
    </row>
    <row r="75" ht="15.75" customHeight="1">
      <c r="A75" s="10" t="str">
        <f>IFERROR(__xludf.DUMMYFUNCTION("""COMPUTED_VALUE"""),"https://digitalagencynetwork.com/geo-agency/")</f>
        <v>https://digitalagencynetwork.com/geo-agency/</v>
      </c>
      <c r="B75" s="11" t="str">
        <f>IFERROR(__xludf.DUMMYFUNCTION("""COMPUTED_VALUE"""),"What is a GEO Agency? Top 10 GEO Agencies Leading AI Search Optimization")</f>
        <v>What is a GEO Agency? Top 10 GEO Agencies Leading AI Search Optimization</v>
      </c>
      <c r="C75" s="10" t="str">
        <f>IFERROR(__xludf.DUMMYFUNCTION("""COMPUTED_VALUE"""),"digitalagencynetwork.com")</f>
        <v>digitalagencynetwork.com</v>
      </c>
      <c r="D75" s="11" t="str">
        <f>IFERROR(__xludf.DUMMYFUNCTION("""COMPUTED_VALUE"""),"ARTICLE")</f>
        <v>ARTICLE</v>
      </c>
      <c r="E75" s="11" t="str">
        <f>IFERROR(__xludf.DUMMYFUNCTION("""COMPUTED_VALUE"""),"REFERENCE")</f>
        <v>REFERENCE</v>
      </c>
      <c r="F75" s="11" t="str">
        <f>IFERROR(__xludf.DUMMYFUNCTION("""COMPUTED_VALUE"""),"Article")</f>
        <v>Article</v>
      </c>
      <c r="G75" s="11" t="b">
        <f>IFERROR(__xludf.DUMMYFUNCTION("""COMPUTED_VALUE"""),FALSE)</f>
        <v>0</v>
      </c>
      <c r="H75" s="11" t="str">
        <f>IFERROR(__xludf.DUMMYFUNCTION("""COMPUTED_VALUE"""),"McKinsey, QuantumBlack, BCG, Major Tom, SmartSites, The SEO Works")</f>
        <v>McKinsey, QuantumBlack, BCG, Major Tom, SmartSites, The SEO Works</v>
      </c>
      <c r="I75" s="11">
        <f>IFERROR(__xludf.DUMMYFUNCTION("""COMPUTED_VALUE"""),1.0)</f>
        <v>1</v>
      </c>
      <c r="J75" s="11">
        <f>IFERROR(__xludf.DUMMYFUNCTION("""COMPUTED_VALUE"""),0.0)</f>
        <v>0</v>
      </c>
      <c r="K75" s="11">
        <f>IFERROR(__xludf.DUMMYFUNCTION("""COMPUTED_VALUE"""),2.0)</f>
        <v>2</v>
      </c>
    </row>
    <row r="76" ht="15.75" customHeight="1">
      <c r="A76" s="10" t="str">
        <f>IFERROR(__xludf.DUMMYFUNCTION("""COMPUTED_VALUE"""),"https://www.effy.ai/faq/who-are-the-big-4-ai-agents")</f>
        <v>https://www.effy.ai/faq/who-are-the-big-4-ai-agents</v>
      </c>
      <c r="B76" s="11" t="str">
        <f>IFERROR(__xludf.DUMMYFUNCTION("""COMPUTED_VALUE"""),"Who are the Big 4 AI agents?")</f>
        <v>Who are the Big 4 AI agents?</v>
      </c>
      <c r="C76" s="10" t="str">
        <f>IFERROR(__xludf.DUMMYFUNCTION("""COMPUTED_VALUE"""),"effy.ai")</f>
        <v>effy.ai</v>
      </c>
      <c r="D76" s="11" t="str">
        <f>IFERROR(__xludf.DUMMYFUNCTION("""COMPUTED_VALUE"""),"ARTICLE")</f>
        <v>ARTICLE</v>
      </c>
      <c r="E76" s="11" t="str">
        <f>IFERROR(__xludf.DUMMYFUNCTION("""COMPUTED_VALUE"""),"CORPORATE")</f>
        <v>CORPORATE</v>
      </c>
      <c r="F76" s="11" t="str">
        <f>IFERROR(__xludf.DUMMYFUNCTION("""COMPUTED_VALUE"""),"Article")</f>
        <v>Article</v>
      </c>
      <c r="G76" s="11" t="b">
        <f>IFERROR(__xludf.DUMMYFUNCTION("""COMPUTED_VALUE"""),FALSE)</f>
        <v>0</v>
      </c>
      <c r="H76" s="11"/>
      <c r="I76" s="11">
        <f>IFERROR(__xludf.DUMMYFUNCTION("""COMPUTED_VALUE"""),1.0)</f>
        <v>1</v>
      </c>
      <c r="J76" s="11">
        <f>IFERROR(__xludf.DUMMYFUNCTION("""COMPUTED_VALUE"""),0.0)</f>
        <v>0</v>
      </c>
      <c r="K76" s="11">
        <f>IFERROR(__xludf.DUMMYFUNCTION("""COMPUTED_VALUE"""),1.0)</f>
        <v>1</v>
      </c>
    </row>
    <row r="77" ht="15.75" customHeight="1">
      <c r="A77" s="10" t="str">
        <f>IFERROR(__xludf.DUMMYFUNCTION("""COMPUTED_VALUE"""),"https://en.wikipedia.org/wiki/Big_Six_advertising_agencies")</f>
        <v>https://en.wikipedia.org/wiki/Big_Six_advertising_agencies</v>
      </c>
      <c r="B77" s="11" t="str">
        <f>IFERROR(__xludf.DUMMYFUNCTION("""COMPUTED_VALUE"""),"Advertising agency - Wikipedia")</f>
        <v>Advertising agency - Wikipedia</v>
      </c>
      <c r="C77" s="10" t="str">
        <f>IFERROR(__xludf.DUMMYFUNCTION("""COMPUTED_VALUE"""),"wikipedia.org")</f>
        <v>wikipedia.org</v>
      </c>
      <c r="D77" s="11" t="str">
        <f>IFERROR(__xludf.DUMMYFUNCTION("""COMPUTED_VALUE"""),"ARTICLE")</f>
        <v>ARTICLE</v>
      </c>
      <c r="E77" s="11" t="str">
        <f>IFERROR(__xludf.DUMMYFUNCTION("""COMPUTED_VALUE"""),"REFERENCE")</f>
        <v>REFERENCE</v>
      </c>
      <c r="F77" s="11" t="str">
        <f>IFERROR(__xludf.DUMMYFUNCTION("""COMPUTED_VALUE"""),"Article")</f>
        <v>Article</v>
      </c>
      <c r="G77" s="11" t="b">
        <f>IFERROR(__xludf.DUMMYFUNCTION("""COMPUTED_VALUE"""),FALSE)</f>
        <v>0</v>
      </c>
      <c r="H77" s="11" t="str">
        <f>IFERROR(__xludf.DUMMYFUNCTION("""COMPUTED_VALUE"""),"PwC, Deloitte Digital, WPP, Dentsu, Droga5")</f>
        <v>PwC, Deloitte Digital, WPP, Dentsu, Droga5</v>
      </c>
      <c r="I77" s="11">
        <f>IFERROR(__xludf.DUMMYFUNCTION("""COMPUTED_VALUE"""),1.0)</f>
        <v>1</v>
      </c>
      <c r="J77" s="11">
        <f>IFERROR(__xludf.DUMMYFUNCTION("""COMPUTED_VALUE"""),0.0)</f>
        <v>0</v>
      </c>
      <c r="K77" s="11">
        <f>IFERROR(__xludf.DUMMYFUNCTION("""COMPUTED_VALUE"""),0.0)</f>
        <v>0</v>
      </c>
    </row>
    <row r="78" ht="15.75" customHeight="1">
      <c r="A78" s="10" t="str">
        <f>IFERROR(__xludf.DUMMYFUNCTION("""COMPUTED_VALUE"""),"https://en.wikipedia.org/wiki/The_Interpublic_Group_of_Companies")</f>
        <v>https://en.wikipedia.org/wiki/The_Interpublic_Group_of_Companies</v>
      </c>
      <c r="B78" s="11" t="str">
        <f>IFERROR(__xludf.DUMMYFUNCTION("""COMPUTED_VALUE"""),"The Interpublic Group of Companies - Wikipedia")</f>
        <v>The Interpublic Group of Companies - Wikipedia</v>
      </c>
      <c r="C78" s="10" t="str">
        <f>IFERROR(__xludf.DUMMYFUNCTION("""COMPUTED_VALUE"""),"wikipedia.org")</f>
        <v>wikipedia.org</v>
      </c>
      <c r="D78" s="11" t="str">
        <f>IFERROR(__xludf.DUMMYFUNCTION("""COMPUTED_VALUE"""),"ARTICLE")</f>
        <v>ARTICLE</v>
      </c>
      <c r="E78" s="11" t="str">
        <f>IFERROR(__xludf.DUMMYFUNCTION("""COMPUTED_VALUE"""),"REFERENCE")</f>
        <v>REFERENCE</v>
      </c>
      <c r="F78" s="11" t="str">
        <f>IFERROR(__xludf.DUMMYFUNCTION("""COMPUTED_VALUE"""),"Article")</f>
        <v>Article</v>
      </c>
      <c r="G78" s="11" t="b">
        <f>IFERROR(__xludf.DUMMYFUNCTION("""COMPUTED_VALUE"""),FALSE)</f>
        <v>0</v>
      </c>
      <c r="H78" s="11" t="str">
        <f>IFERROR(__xludf.DUMMYFUNCTION("""COMPUTED_VALUE"""),"WPP, Acxiom, Momentum, R/GA, Huge")</f>
        <v>WPP, Acxiom, Momentum, R/GA, Huge</v>
      </c>
      <c r="I78" s="11">
        <f>IFERROR(__xludf.DUMMYFUNCTION("""COMPUTED_VALUE"""),1.0)</f>
        <v>1</v>
      </c>
      <c r="J78" s="11">
        <f>IFERROR(__xludf.DUMMYFUNCTION("""COMPUTED_VALUE"""),0.0)</f>
        <v>0</v>
      </c>
      <c r="K78" s="11">
        <f>IFERROR(__xludf.DUMMYFUNCTION("""COMPUTED_VALUE"""),1.0)</f>
        <v>1</v>
      </c>
    </row>
    <row r="79" ht="15.75" customHeight="1">
      <c r="A79" s="10" t="str">
        <f>IFERROR(__xludf.DUMMYFUNCTION("""COMPUTED_VALUE"""),"https://www.experian.com/blogs/marketing-forward/first-party-data-activation-2026/")</f>
        <v>https://www.experian.com/blogs/marketing-forward/first-party-data-activation-2026/</v>
      </c>
      <c r="B79" s="11" t="str">
        <f>IFERROR(__xludf.DUMMYFUNCTION("""COMPUTED_VALUE"""),"How activation drives first-party value | Experian Marketing")</f>
        <v>How activation drives first-party value | Experian Marketing</v>
      </c>
      <c r="C79" s="10" t="str">
        <f>IFERROR(__xludf.DUMMYFUNCTION("""COMPUTED_VALUE"""),"experian.com")</f>
        <v>experian.com</v>
      </c>
      <c r="D79" s="11" t="str">
        <f>IFERROR(__xludf.DUMMYFUNCTION("""COMPUTED_VALUE"""),"ARTICLE")</f>
        <v>ARTICLE</v>
      </c>
      <c r="E79" s="11" t="str">
        <f>IFERROR(__xludf.DUMMYFUNCTION("""COMPUTED_VALUE"""),"CORPORATE")</f>
        <v>CORPORATE</v>
      </c>
      <c r="F79" s="11" t="str">
        <f>IFERROR(__xludf.DUMMYFUNCTION("""COMPUTED_VALUE"""),"Article")</f>
        <v>Article</v>
      </c>
      <c r="G79" s="11" t="b">
        <f>IFERROR(__xludf.DUMMYFUNCTION("""COMPUTED_VALUE"""),FALSE)</f>
        <v>0</v>
      </c>
      <c r="H79" s="11"/>
      <c r="I79" s="11">
        <f>IFERROR(__xludf.DUMMYFUNCTION("""COMPUTED_VALUE"""),1.0)</f>
        <v>1</v>
      </c>
      <c r="J79" s="11">
        <f>IFERROR(__xludf.DUMMYFUNCTION("""COMPUTED_VALUE"""),0.0)</f>
        <v>0</v>
      </c>
      <c r="K79" s="11">
        <f>IFERROR(__xludf.DUMMYFUNCTION("""COMPUTED_VALUE"""),1.0)</f>
        <v>1</v>
      </c>
    </row>
    <row r="80" ht="15.75" customHeight="1">
      <c r="A80" s="10" t="str">
        <f>IFERROR(__xludf.DUMMYFUNCTION("""COMPUTED_VALUE"""),"https://www.fortismedia.com/en/articles/roi-marketing-agency/")</f>
        <v>https://www.fortismedia.com/en/articles/roi-marketing-agency/</v>
      </c>
      <c r="B80" s="11" t="str">
        <f>IFERROR(__xludf.DUMMYFUNCTION("""COMPUTED_VALUE"""),"Articles - Fortis Media")</f>
        <v>Articles - Fortis Media</v>
      </c>
      <c r="C80" s="10" t="str">
        <f>IFERROR(__xludf.DUMMYFUNCTION("""COMPUTED_VALUE"""),"fortismedia.com")</f>
        <v>fortismedia.com</v>
      </c>
      <c r="D80" s="11" t="str">
        <f>IFERROR(__xludf.DUMMYFUNCTION("""COMPUTED_VALUE"""),"ARTICLE")</f>
        <v>ARTICLE</v>
      </c>
      <c r="E80" s="11" t="str">
        <f>IFERROR(__xludf.DUMMYFUNCTION("""COMPUTED_VALUE"""),"CORPORATE")</f>
        <v>CORPORATE</v>
      </c>
      <c r="F80" s="11" t="str">
        <f>IFERROR(__xludf.DUMMYFUNCTION("""COMPUTED_VALUE"""),"Article")</f>
        <v>Article</v>
      </c>
      <c r="G80" s="11" t="b">
        <f>IFERROR(__xludf.DUMMYFUNCTION("""COMPUTED_VALUE"""),FALSE)</f>
        <v>0</v>
      </c>
      <c r="H80" s="11" t="str">
        <f>IFERROR(__xludf.DUMMYFUNCTION("""COMPUTED_VALUE"""),"Clutch")</f>
        <v>Clutch</v>
      </c>
      <c r="I80" s="11">
        <f>IFERROR(__xludf.DUMMYFUNCTION("""COMPUTED_VALUE"""),1.0)</f>
        <v>1</v>
      </c>
      <c r="J80" s="11">
        <f>IFERROR(__xludf.DUMMYFUNCTION("""COMPUTED_VALUE"""),0.0)</f>
        <v>0</v>
      </c>
      <c r="K80" s="11">
        <f>IFERROR(__xludf.DUMMYFUNCTION("""COMPUTED_VALUE"""),0.0)</f>
        <v>0</v>
      </c>
    </row>
    <row r="81" ht="15.75" customHeight="1">
      <c r="A81" s="10" t="str">
        <f>IFERROR(__xludf.DUMMYFUNCTION("""COMPUTED_VALUE"""),"https://getcredo.com/roi-for-marketing/")</f>
        <v>https://getcredo.com/roi-for-marketing/</v>
      </c>
      <c r="B81" s="11" t="str">
        <f>IFERROR(__xludf.DUMMYFUNCTION("""COMPUTED_VALUE"""),"What’s a Good ROI for Marketing? How to Evaluate Efforts | Credo")</f>
        <v>What’s a Good ROI for Marketing? How to Evaluate Efforts | Credo</v>
      </c>
      <c r="C81" s="10" t="str">
        <f>IFERROR(__xludf.DUMMYFUNCTION("""COMPUTED_VALUE"""),"getcredo.com")</f>
        <v>getcredo.com</v>
      </c>
      <c r="D81" s="11" t="str">
        <f>IFERROR(__xludf.DUMMYFUNCTION("""COMPUTED_VALUE"""),"ARTICLE")</f>
        <v>ARTICLE</v>
      </c>
      <c r="E81" s="11" t="str">
        <f>IFERROR(__xludf.DUMMYFUNCTION("""COMPUTED_VALUE"""),"CORPORATE")</f>
        <v>CORPORATE</v>
      </c>
      <c r="F81" s="11" t="str">
        <f>IFERROR(__xludf.DUMMYFUNCTION("""COMPUTED_VALUE"""),"Article")</f>
        <v>Article</v>
      </c>
      <c r="G81" s="11" t="b">
        <f>IFERROR(__xludf.DUMMYFUNCTION("""COMPUTED_VALUE"""),FALSE)</f>
        <v>0</v>
      </c>
      <c r="H81" s="11"/>
      <c r="I81" s="11">
        <f>IFERROR(__xludf.DUMMYFUNCTION("""COMPUTED_VALUE"""),1.0)</f>
        <v>1</v>
      </c>
      <c r="J81" s="11">
        <f>IFERROR(__xludf.DUMMYFUNCTION("""COMPUTED_VALUE"""),0.0)</f>
        <v>0</v>
      </c>
      <c r="K81" s="11">
        <f>IFERROR(__xludf.DUMMYFUNCTION("""COMPUTED_VALUE"""),1.0)</f>
        <v>1</v>
      </c>
    </row>
    <row r="82" ht="15.75" customHeight="1">
      <c r="A82" s="10" t="str">
        <f>IFERROR(__xludf.DUMMYFUNCTION("""COMPUTED_VALUE"""),"https://www.haus.io/blog/incrementality-fundamentals")</f>
        <v>https://www.haus.io/blog/incrementality-fundamentals</v>
      </c>
      <c r="B82" s="11" t="str">
        <f>IFERROR(__xludf.DUMMYFUNCTION("""COMPUTED_VALUE"""),"Incrementality: The fundamentals")</f>
        <v>Incrementality: The fundamentals</v>
      </c>
      <c r="C82" s="10" t="str">
        <f>IFERROR(__xludf.DUMMYFUNCTION("""COMPUTED_VALUE"""),"haus.io")</f>
        <v>haus.io</v>
      </c>
      <c r="D82" s="11" t="str">
        <f>IFERROR(__xludf.DUMMYFUNCTION("""COMPUTED_VALUE"""),"ARTICLE")</f>
        <v>ARTICLE</v>
      </c>
      <c r="E82" s="11" t="str">
        <f>IFERROR(__xludf.DUMMYFUNCTION("""COMPUTED_VALUE"""),"COMPETITOR")</f>
        <v>COMPETITOR</v>
      </c>
      <c r="F82" s="11" t="str">
        <f>IFERROR(__xludf.DUMMYFUNCTION("""COMPUTED_VALUE"""),"Article")</f>
        <v>Article</v>
      </c>
      <c r="G82" s="11" t="b">
        <f>IFERROR(__xludf.DUMMYFUNCTION("""COMPUTED_VALUE"""),FALSE)</f>
        <v>0</v>
      </c>
      <c r="H82" s="11" t="str">
        <f>IFERROR(__xludf.DUMMYFUNCTION("""COMPUTED_VALUE"""),"Haus")</f>
        <v>Haus</v>
      </c>
      <c r="I82" s="11">
        <f>IFERROR(__xludf.DUMMYFUNCTION("""COMPUTED_VALUE"""),1.0)</f>
        <v>1</v>
      </c>
      <c r="J82" s="11">
        <f>IFERROR(__xludf.DUMMYFUNCTION("""COMPUTED_VALUE"""),0.0)</f>
        <v>0</v>
      </c>
      <c r="K82" s="11">
        <f>IFERROR(__xludf.DUMMYFUNCTION("""COMPUTED_VALUE"""),1.0)</f>
        <v>1</v>
      </c>
    </row>
    <row r="83" ht="15.75" customHeight="1">
      <c r="A83" s="10" t="str">
        <f>IFERROR(__xludf.DUMMYFUNCTION("""COMPUTED_VALUE"""),"https://www.haus.io/customer/tally")</f>
        <v>https://www.haus.io/customer/tally</v>
      </c>
      <c r="B83" s="11" t="str">
        <f>IFERROR(__xludf.DUMMYFUNCTION("""COMPUTED_VALUE"""),"Tally Finds An Incrementality Platform They Can Trust")</f>
        <v>Tally Finds An Incrementality Platform They Can Trust</v>
      </c>
      <c r="C83" s="10" t="str">
        <f>IFERROR(__xludf.DUMMYFUNCTION("""COMPUTED_VALUE"""),"haus.io")</f>
        <v>haus.io</v>
      </c>
      <c r="D83" s="11" t="str">
        <f>IFERROR(__xludf.DUMMYFUNCTION("""COMPUTED_VALUE"""),"ARTICLE")</f>
        <v>ARTICLE</v>
      </c>
      <c r="E83" s="11" t="str">
        <f>IFERROR(__xludf.DUMMYFUNCTION("""COMPUTED_VALUE"""),"COMPETITOR")</f>
        <v>COMPETITOR</v>
      </c>
      <c r="F83" s="11" t="str">
        <f>IFERROR(__xludf.DUMMYFUNCTION("""COMPUTED_VALUE"""),"Article")</f>
        <v>Article</v>
      </c>
      <c r="G83" s="11" t="b">
        <f>IFERROR(__xludf.DUMMYFUNCTION("""COMPUTED_VALUE"""),FALSE)</f>
        <v>0</v>
      </c>
      <c r="H83" s="11" t="str">
        <f>IFERROR(__xludf.DUMMYFUNCTION("""COMPUTED_VALUE"""),"Haus")</f>
        <v>Haus</v>
      </c>
      <c r="I83" s="11">
        <f>IFERROR(__xludf.DUMMYFUNCTION("""COMPUTED_VALUE"""),1.0)</f>
        <v>1</v>
      </c>
      <c r="J83" s="11">
        <f>IFERROR(__xludf.DUMMYFUNCTION("""COMPUTED_VALUE"""),0.0)</f>
        <v>0</v>
      </c>
      <c r="K83" s="11">
        <f>IFERROR(__xludf.DUMMYFUNCTION("""COMPUTED_VALUE"""),1.0)</f>
        <v>1</v>
      </c>
    </row>
    <row r="84" ht="15.75" customHeight="1">
      <c r="A84" s="10" t="str">
        <f>IFERROR(__xludf.DUMMYFUNCTION("""COMPUTED_VALUE"""),"https://www.impressiondigital.com/blog/incrementality-testing/")</f>
        <v>https://www.impressiondigital.com/blog/incrementality-testing/</v>
      </c>
      <c r="B84" s="11" t="str">
        <f>IFERROR(__xludf.DUMMYFUNCTION("""COMPUTED_VALUE"""),"The Ultimate Guide to Incrementality Testing | Impression")</f>
        <v>The Ultimate Guide to Incrementality Testing | Impression</v>
      </c>
      <c r="C84" s="10" t="str">
        <f>IFERROR(__xludf.DUMMYFUNCTION("""COMPUTED_VALUE"""),"impressiondigital.com")</f>
        <v>impressiondigital.com</v>
      </c>
      <c r="D84" s="11" t="str">
        <f>IFERROR(__xludf.DUMMYFUNCTION("""COMPUTED_VALUE"""),"ARTICLE")</f>
        <v>ARTICLE</v>
      </c>
      <c r="E84" s="11" t="str">
        <f>IFERROR(__xludf.DUMMYFUNCTION("""COMPUTED_VALUE"""),"CORPORATE")</f>
        <v>CORPORATE</v>
      </c>
      <c r="F84" s="11" t="str">
        <f>IFERROR(__xludf.DUMMYFUNCTION("""COMPUTED_VALUE"""),"Article")</f>
        <v>Article</v>
      </c>
      <c r="G84" s="11" t="b">
        <f>IFERROR(__xludf.DUMMYFUNCTION("""COMPUTED_VALUE"""),FALSE)</f>
        <v>0</v>
      </c>
      <c r="H84" s="11" t="str">
        <f>IFERROR(__xludf.DUMMYFUNCTION("""COMPUTED_VALUE"""),"Measured, IBM")</f>
        <v>Measured, IBM</v>
      </c>
      <c r="I84" s="11">
        <f>IFERROR(__xludf.DUMMYFUNCTION("""COMPUTED_VALUE"""),1.0)</f>
        <v>1</v>
      </c>
      <c r="J84" s="11">
        <f>IFERROR(__xludf.DUMMYFUNCTION("""COMPUTED_VALUE"""),0.0)</f>
        <v>0</v>
      </c>
      <c r="K84" s="11">
        <f>IFERROR(__xludf.DUMMYFUNCTION("""COMPUTED_VALUE"""),1.0)</f>
        <v>1</v>
      </c>
    </row>
    <row r="85" ht="15.75" customHeight="1">
      <c r="A85" s="10" t="str">
        <f>IFERROR(__xludf.DUMMYFUNCTION("""COMPUTED_VALUE"""),"https://investor.choicehotels.com/news/news-details/2024/Choice-Hotels-International-Engages-Top-Tier-Agencies-72andSunny-New-York-for-Creative-and-dentsu-X-for-Digital-Media-to-Continue-Taking-Its-Consumer-Marketing-to-the-Next-Level/default.aspx")</f>
        <v>https://investor.choicehotels.com/news/news-details/2024/Choice-Hotels-International-Engages-Top-Tier-Agencies-72andSunny-New-York-for-Creative-and-dentsu-X-for-Digital-Media-to-Continue-Taking-Its-Consumer-Marketing-to-the-Next-Level/default.aspx</v>
      </c>
      <c r="B85" s="11" t="str">
        <f>IFERROR(__xludf.DUMMYFUNCTION("""COMPUTED_VALUE"""),"Choice Hotels International, Inc. - Choice Hotels International Engages Top-Tier Agencies, 72andSunny New York for Creative and dentsu X for Digital Media, to Continue Taking Its Consumer Marketing to the Next Level")</f>
        <v>Choice Hotels International, Inc. - Choice Hotels International Engages Top-Tier Agencies, 72andSunny New York for Creative and dentsu X for Digital Media, to Continue Taking Its Consumer Marketing to the Next Level</v>
      </c>
      <c r="C85" s="10" t="str">
        <f>IFERROR(__xludf.DUMMYFUNCTION("""COMPUTED_VALUE"""),"choicehotels.com")</f>
        <v>choicehotels.com</v>
      </c>
      <c r="D85" s="11" t="str">
        <f>IFERROR(__xludf.DUMMYFUNCTION("""COMPUTED_VALUE"""),"ARTICLE")</f>
        <v>ARTICLE</v>
      </c>
      <c r="E85" s="11" t="str">
        <f>IFERROR(__xludf.DUMMYFUNCTION("""COMPUTED_VALUE"""),"CORPORATE")</f>
        <v>CORPORATE</v>
      </c>
      <c r="F85" s="11" t="str">
        <f>IFERROR(__xludf.DUMMYFUNCTION("""COMPUTED_VALUE"""),"Article")</f>
        <v>Article</v>
      </c>
      <c r="G85" s="11" t="b">
        <f>IFERROR(__xludf.DUMMYFUNCTION("""COMPUTED_VALUE"""),FALSE)</f>
        <v>0</v>
      </c>
      <c r="H85" s="11" t="str">
        <f>IFERROR(__xludf.DUMMYFUNCTION("""COMPUTED_VALUE"""),"72andSunny, Dentsu, Momentum")</f>
        <v>72andSunny, Dentsu, Momentum</v>
      </c>
      <c r="I85" s="11">
        <f>IFERROR(__xludf.DUMMYFUNCTION("""COMPUTED_VALUE"""),1.0)</f>
        <v>1</v>
      </c>
      <c r="J85" s="11">
        <f>IFERROR(__xludf.DUMMYFUNCTION("""COMPUTED_VALUE"""),0.0)</f>
        <v>0</v>
      </c>
      <c r="K85" s="11">
        <f>IFERROR(__xludf.DUMMYFUNCTION("""COMPUTED_VALUE"""),1.0)</f>
        <v>1</v>
      </c>
    </row>
    <row r="86" ht="15.75" customHeight="1">
      <c r="A86" s="10" t="str">
        <f>IFERROR(__xludf.DUMMYFUNCTION("""COMPUTED_VALUE"""),"https://www.ipsos.com/en-us/leader-mmos-q1-2026-forrester-wave-announcement")</f>
        <v>https://www.ipsos.com/en-us/leader-mmos-q1-2026-forrester-wave-announcement</v>
      </c>
      <c r="B86" s="11" t="str">
        <f>IFERROR(__xludf.DUMMYFUNCTION("""COMPUTED_VALUE"""),"Ipsos MMA Named a Leader in Marketing Measurement and Optimization Services, Q1 2026 Report by Independent Research Firm | Ipsos")</f>
        <v>Ipsos MMA Named a Leader in Marketing Measurement and Optimization Services, Q1 2026 Report by Independent Research Firm | Ipsos</v>
      </c>
      <c r="C86" s="10" t="str">
        <f>IFERROR(__xludf.DUMMYFUNCTION("""COMPUTED_VALUE"""),"ipsos.com")</f>
        <v>ipsos.com</v>
      </c>
      <c r="D86" s="11" t="str">
        <f>IFERROR(__xludf.DUMMYFUNCTION("""COMPUTED_VALUE"""),"ARTICLE")</f>
        <v>ARTICLE</v>
      </c>
      <c r="E86" s="11" t="str">
        <f>IFERROR(__xludf.DUMMYFUNCTION("""COMPUTED_VALUE"""),"CORPORATE")</f>
        <v>CORPORATE</v>
      </c>
      <c r="F86" s="11" t="str">
        <f>IFERROR(__xludf.DUMMYFUNCTION("""COMPUTED_VALUE"""),"Article")</f>
        <v>Article</v>
      </c>
      <c r="G86" s="11" t="b">
        <f>IFERROR(__xludf.DUMMYFUNCTION("""COMPUTED_VALUE"""),FALSE)</f>
        <v>0</v>
      </c>
      <c r="H86" s="11"/>
      <c r="I86" s="11">
        <f>IFERROR(__xludf.DUMMYFUNCTION("""COMPUTED_VALUE"""),1.0)</f>
        <v>1</v>
      </c>
      <c r="J86" s="11">
        <f>IFERROR(__xludf.DUMMYFUNCTION("""COMPUTED_VALUE"""),0.0)</f>
        <v>0</v>
      </c>
      <c r="K86" s="11">
        <f>IFERROR(__xludf.DUMMYFUNCTION("""COMPUTED_VALUE"""),0.0)</f>
        <v>0</v>
      </c>
    </row>
    <row r="87" ht="15.75" customHeight="1">
      <c r="A87" s="10" t="str">
        <f>IFERROR(__xludf.DUMMYFUNCTION("""COMPUTED_VALUE"""),"https://www.justuno.com/case-studies/mutesix-powers-full-funnel-marketing/")</f>
        <v>https://www.justuno.com/case-studies/mutesix-powers-full-funnel-marketing/</v>
      </c>
      <c r="B87" s="11" t="str">
        <f>IFERROR(__xludf.DUMMYFUNCTION("""COMPUTED_VALUE"""),"MuteSix Agency - Justuno")</f>
        <v>MuteSix Agency - Justuno</v>
      </c>
      <c r="C87" s="10" t="str">
        <f>IFERROR(__xludf.DUMMYFUNCTION("""COMPUTED_VALUE"""),"justuno.com")</f>
        <v>justuno.com</v>
      </c>
      <c r="D87" s="11" t="str">
        <f>IFERROR(__xludf.DUMMYFUNCTION("""COMPUTED_VALUE"""),"ARTICLE")</f>
        <v>ARTICLE</v>
      </c>
      <c r="E87" s="11" t="str">
        <f>IFERROR(__xludf.DUMMYFUNCTION("""COMPUTED_VALUE"""),"CORPORATE")</f>
        <v>CORPORATE</v>
      </c>
      <c r="F87" s="11" t="str">
        <f>IFERROR(__xludf.DUMMYFUNCTION("""COMPUTED_VALUE"""),"Article")</f>
        <v>Article</v>
      </c>
      <c r="G87" s="11" t="b">
        <f>IFERROR(__xludf.DUMMYFUNCTION("""COMPUTED_VALUE"""),FALSE)</f>
        <v>0</v>
      </c>
      <c r="H87" s="11" t="str">
        <f>IFERROR(__xludf.DUMMYFUNCTION("""COMPUTED_VALUE"""),"MuteSix")</f>
        <v>MuteSix</v>
      </c>
      <c r="I87" s="11">
        <f>IFERROR(__xludf.DUMMYFUNCTION("""COMPUTED_VALUE"""),1.0)</f>
        <v>1</v>
      </c>
      <c r="J87" s="11">
        <f>IFERROR(__xludf.DUMMYFUNCTION("""COMPUTED_VALUE"""),0.0)</f>
        <v>0</v>
      </c>
      <c r="K87" s="11">
        <f>IFERROR(__xludf.DUMMYFUNCTION("""COMPUTED_VALUE"""),2.0)</f>
        <v>2</v>
      </c>
    </row>
    <row r="88" ht="15.75" customHeight="1">
      <c r="A88" s="10" t="str">
        <f>IFERROR(__xludf.DUMMYFUNCTION("""COMPUTED_VALUE"""),"https://lineardesign.com/blog/pay-per-click-advertising-company/")</f>
        <v>https://lineardesign.com/blog/pay-per-click-advertising-company/</v>
      </c>
      <c r="B88" s="11" t="str">
        <f>IFERROR(__xludf.DUMMYFUNCTION("""COMPUTED_VALUE"""),"Pay Per Click Advertising Company: 10 Best Powerful Picks 2025")</f>
        <v>Pay Per Click Advertising Company: 10 Best Powerful Picks 2025</v>
      </c>
      <c r="C88" s="10" t="str">
        <f>IFERROR(__xludf.DUMMYFUNCTION("""COMPUTED_VALUE"""),"lineardesign.com")</f>
        <v>lineardesign.com</v>
      </c>
      <c r="D88" s="11" t="str">
        <f>IFERROR(__xludf.DUMMYFUNCTION("""COMPUTED_VALUE"""),"ARTICLE")</f>
        <v>ARTICLE</v>
      </c>
      <c r="E88" s="11" t="str">
        <f>IFERROR(__xludf.DUMMYFUNCTION("""COMPUTED_VALUE"""),"CORPORATE")</f>
        <v>CORPORATE</v>
      </c>
      <c r="F88" s="11" t="str">
        <f>IFERROR(__xludf.DUMMYFUNCTION("""COMPUTED_VALUE"""),"Article")</f>
        <v>Article</v>
      </c>
      <c r="G88" s="11" t="b">
        <f>IFERROR(__xludf.DUMMYFUNCTION("""COMPUTED_VALUE"""),FALSE)</f>
        <v>0</v>
      </c>
      <c r="H88" s="11"/>
      <c r="I88" s="11">
        <f>IFERROR(__xludf.DUMMYFUNCTION("""COMPUTED_VALUE"""),1.0)</f>
        <v>1</v>
      </c>
      <c r="J88" s="11">
        <f>IFERROR(__xludf.DUMMYFUNCTION("""COMPUTED_VALUE"""),0.0)</f>
        <v>0</v>
      </c>
      <c r="K88" s="11">
        <f>IFERROR(__xludf.DUMMYFUNCTION("""COMPUTED_VALUE"""),1.0)</f>
        <v>1</v>
      </c>
    </row>
    <row r="89" ht="15.75" customHeight="1">
      <c r="A89" s="10" t="str">
        <f>IFERROR(__xludf.DUMMYFUNCTION("""COMPUTED_VALUE"""),"https://www.linkedin.com/pulse/deconstructing-common-solutions-first-party-data-pierre-cholet-booce")</f>
        <v>https://www.linkedin.com/pulse/deconstructing-common-solutions-first-party-data-pierre-cholet-booce</v>
      </c>
      <c r="B89" s="11" t="str">
        <f>IFERROR(__xludf.DUMMYFUNCTION("""COMPUTED_VALUE"""),"Deconstructing common solutions for first-party data activation")</f>
        <v>Deconstructing common solutions for first-party data activation</v>
      </c>
      <c r="C89" s="10" t="str">
        <f>IFERROR(__xludf.DUMMYFUNCTION("""COMPUTED_VALUE"""),"linkedin.com")</f>
        <v>linkedin.com</v>
      </c>
      <c r="D89" s="11" t="str">
        <f>IFERROR(__xludf.DUMMYFUNCTION("""COMPUTED_VALUE"""),"ARTICLE")</f>
        <v>ARTICLE</v>
      </c>
      <c r="E89" s="11" t="str">
        <f>IFERROR(__xludf.DUMMYFUNCTION("""COMPUTED_VALUE"""),"UGC")</f>
        <v>UGC</v>
      </c>
      <c r="F89" s="11" t="str">
        <f>IFERROR(__xludf.DUMMYFUNCTION("""COMPUTED_VALUE"""),"Article")</f>
        <v>Article</v>
      </c>
      <c r="G89" s="11" t="b">
        <f>IFERROR(__xludf.DUMMYFUNCTION("""COMPUTED_VALUE"""),FALSE)</f>
        <v>0</v>
      </c>
      <c r="H89" s="11" t="str">
        <f>IFERROR(__xludf.DUMMYFUNCTION("""COMPUTED_VALUE"""),"Epsilon")</f>
        <v>Epsilon</v>
      </c>
      <c r="I89" s="11">
        <f>IFERROR(__xludf.DUMMYFUNCTION("""COMPUTED_VALUE"""),1.0)</f>
        <v>1</v>
      </c>
      <c r="J89" s="11">
        <f>IFERROR(__xludf.DUMMYFUNCTION("""COMPUTED_VALUE"""),0.0)</f>
        <v>0</v>
      </c>
      <c r="K89" s="11">
        <f>IFERROR(__xludf.DUMMYFUNCTION("""COMPUTED_VALUE"""),0.0)</f>
        <v>0</v>
      </c>
    </row>
    <row r="90" ht="15.75" customHeight="1">
      <c r="A90" s="10" t="str">
        <f>IFERROR(__xludf.DUMMYFUNCTION("""COMPUTED_VALUE"""),"https://m.economictimes.com/industry/services/advertising/bcg-sees-wider-ai-execution-gap-in-india-as-marketers-prepare-for-agentic-ai/articleshow/132398248.cms")</f>
        <v>https://m.economictimes.com/industry/services/advertising/bcg-sees-wider-ai-execution-gap-in-india-as-marketers-prepare-for-agentic-ai/articleshow/132398248.cms</v>
      </c>
      <c r="B90" s="11" t="str">
        <f>IFERROR(__xludf.DUMMYFUNCTION("""COMPUTED_VALUE"""),"BCG sees wider AI execution gap in India as marketers prepare for agentic AI - The Economic Times")</f>
        <v>BCG sees wider AI execution gap in India as marketers prepare for agentic AI - The Economic Times</v>
      </c>
      <c r="C90" s="10" t="str">
        <f>IFERROR(__xludf.DUMMYFUNCTION("""COMPUTED_VALUE"""),"economictimes.com")</f>
        <v>economictimes.com</v>
      </c>
      <c r="D90" s="11" t="str">
        <f>IFERROR(__xludf.DUMMYFUNCTION("""COMPUTED_VALUE"""),"ARTICLE")</f>
        <v>ARTICLE</v>
      </c>
      <c r="E90" s="11" t="str">
        <f>IFERROR(__xludf.DUMMYFUNCTION("""COMPUTED_VALUE"""),"EDITORIAL")</f>
        <v>EDITORIAL</v>
      </c>
      <c r="F90" s="11" t="str">
        <f>IFERROR(__xludf.DUMMYFUNCTION("""COMPUTED_VALUE"""),"Article")</f>
        <v>Article</v>
      </c>
      <c r="G90" s="11" t="b">
        <f>IFERROR(__xludf.DUMMYFUNCTION("""COMPUTED_VALUE"""),FALSE)</f>
        <v>0</v>
      </c>
      <c r="H90" s="11" t="str">
        <f>IFERROR(__xludf.DUMMYFUNCTION("""COMPUTED_VALUE"""),"BCG, Kantar, Publicis Sapient, WPP, IBM, Momentum")</f>
        <v>BCG, Kantar, Publicis Sapient, WPP, IBM, Momentum</v>
      </c>
      <c r="I90" s="11">
        <f>IFERROR(__xludf.DUMMYFUNCTION("""COMPUTED_VALUE"""),1.0)</f>
        <v>1</v>
      </c>
      <c r="J90" s="11">
        <f>IFERROR(__xludf.DUMMYFUNCTION("""COMPUTED_VALUE"""),0.0)</f>
        <v>0</v>
      </c>
      <c r="K90" s="11">
        <f>IFERROR(__xludf.DUMMYFUNCTION("""COMPUTED_VALUE"""),2.0)</f>
        <v>2</v>
      </c>
    </row>
    <row r="91" ht="15.75" customHeight="1">
      <c r="A91" s="10" t="str">
        <f>IFERROR(__xludf.DUMMYFUNCTION("""COMPUTED_VALUE"""),"https://www.makingscience.com/blog/making-science-expands-us-service-offerings-with-new-google-marketing-platform-sales-partner-certification/")</f>
        <v>https://www.makingscience.com/blog/making-science-expands-us-service-offerings-with-new-google-marketing-platform-sales-partner-certification/</v>
      </c>
      <c r="B91" s="11" t="str">
        <f>IFERROR(__xludf.DUMMYFUNCTION("""COMPUTED_VALUE"""),"Making Science expands US service offerings with new Google Marketing Platform Sales Partner Certification - Making Science")</f>
        <v>Making Science expands US service offerings with new Google Marketing Platform Sales Partner Certification - Making Science</v>
      </c>
      <c r="C91" s="10" t="str">
        <f>IFERROR(__xludf.DUMMYFUNCTION("""COMPUTED_VALUE"""),"makingscience.com")</f>
        <v>makingscience.com</v>
      </c>
      <c r="D91" s="11" t="str">
        <f>IFERROR(__xludf.DUMMYFUNCTION("""COMPUTED_VALUE"""),"ARTICLE")</f>
        <v>ARTICLE</v>
      </c>
      <c r="E91" s="11" t="str">
        <f>IFERROR(__xludf.DUMMYFUNCTION("""COMPUTED_VALUE"""),"COMPETITOR")</f>
        <v>COMPETITOR</v>
      </c>
      <c r="F91" s="11" t="str">
        <f>IFERROR(__xludf.DUMMYFUNCTION("""COMPUTED_VALUE"""),"Article")</f>
        <v>Article</v>
      </c>
      <c r="G91" s="11" t="b">
        <f>IFERROR(__xludf.DUMMYFUNCTION("""COMPUTED_VALUE"""),FALSE)</f>
        <v>0</v>
      </c>
      <c r="H91" s="11" t="str">
        <f>IFERROR(__xludf.DUMMYFUNCTION("""COMPUTED_VALUE"""),"Making Science")</f>
        <v>Making Science</v>
      </c>
      <c r="I91" s="11">
        <f>IFERROR(__xludf.DUMMYFUNCTION("""COMPUTED_VALUE"""),1.0)</f>
        <v>1</v>
      </c>
      <c r="J91" s="11">
        <f>IFERROR(__xludf.DUMMYFUNCTION("""COMPUTED_VALUE"""),0.0)</f>
        <v>0</v>
      </c>
      <c r="K91" s="11">
        <f>IFERROR(__xludf.DUMMYFUNCTION("""COMPUTED_VALUE"""),2.0)</f>
        <v>2</v>
      </c>
    </row>
    <row r="92" ht="15.75" customHeight="1">
      <c r="A92" s="10" t="str">
        <f>IFERROR(__xludf.DUMMYFUNCTION("""COMPUTED_VALUE"""),"https://www.manilatimes.net/2026/07/15/tmt-newswire/globenewswire/avalon-globocare-expands-ai-product-portfolio-with-planned-launch-of-beacon-an-agentic-generative-engine-optimization-platform-for-small-businesses/2385137")</f>
        <v>https://www.manilatimes.net/2026/07/15/tmt-newswire/globenewswire/avalon-globocare-expands-ai-product-portfolio-with-planned-launch-of-beacon-an-agentic-generative-engine-optimization-platform-for-small-businesses/2385137</v>
      </c>
      <c r="B92" s="11" t="str">
        <f>IFERROR(__xludf.DUMMYFUNCTION("""COMPUTED_VALUE"""),"Avalon GloboCare Expands AI Product Portfolio with Planned Launch of Beacon, an Agentic Generative Engine Optimization Platform for Small Businesses | The Manila Times")</f>
        <v>Avalon GloboCare Expands AI Product Portfolio with Planned Launch of Beacon, an Agentic Generative Engine Optimization Platform for Small Businesses | The Manila Times</v>
      </c>
      <c r="C92" s="10" t="str">
        <f>IFERROR(__xludf.DUMMYFUNCTION("""COMPUTED_VALUE"""),"manilatimes.net")</f>
        <v>manilatimes.net</v>
      </c>
      <c r="D92" s="11" t="str">
        <f>IFERROR(__xludf.DUMMYFUNCTION("""COMPUTED_VALUE"""),"ARTICLE")</f>
        <v>ARTICLE</v>
      </c>
      <c r="E92" s="11" t="str">
        <f>IFERROR(__xludf.DUMMYFUNCTION("""COMPUTED_VALUE"""),"EDITORIAL")</f>
        <v>EDITORIAL</v>
      </c>
      <c r="F92" s="11" t="str">
        <f>IFERROR(__xludf.DUMMYFUNCTION("""COMPUTED_VALUE"""),"Article")</f>
        <v>Article</v>
      </c>
      <c r="G92" s="11" t="b">
        <f>IFERROR(__xludf.DUMMYFUNCTION("""COMPUTED_VALUE"""),FALSE)</f>
        <v>0</v>
      </c>
      <c r="H92" s="11" t="str">
        <f>IFERROR(__xludf.DUMMYFUNCTION("""COMPUTED_VALUE"""),"McKinsey")</f>
        <v>McKinsey</v>
      </c>
      <c r="I92" s="11">
        <f>IFERROR(__xludf.DUMMYFUNCTION("""COMPUTED_VALUE"""),1.0)</f>
        <v>1</v>
      </c>
      <c r="J92" s="11">
        <f>IFERROR(__xludf.DUMMYFUNCTION("""COMPUTED_VALUE"""),0.0)</f>
        <v>0</v>
      </c>
      <c r="K92" s="11">
        <f>IFERROR(__xludf.DUMMYFUNCTION("""COMPUTED_VALUE"""),1.0)</f>
        <v>1</v>
      </c>
    </row>
    <row r="93" ht="15.75" customHeight="1">
      <c r="A93" s="10" t="str">
        <f>IFERROR(__xludf.DUMMYFUNCTION("""COMPUTED_VALUE"""),"https://www.marketingdive.com/news/barkleyokrp-acquires-adlucent-performance-marketing-capabilities/715249/")</f>
        <v>https://www.marketingdive.com/news/barkleyokrp-acquires-adlucent-performance-marketing-capabilities/715249/</v>
      </c>
      <c r="B93" s="11" t="str">
        <f>IFERROR(__xludf.DUMMYFUNCTION("""COMPUTED_VALUE"""),"BarkleyOKRP acquires Adlucent to boost performance marketing capabilities | Marketing Dive")</f>
        <v>BarkleyOKRP acquires Adlucent to boost performance marketing capabilities | Marketing Dive</v>
      </c>
      <c r="C93" s="10" t="str">
        <f>IFERROR(__xludf.DUMMYFUNCTION("""COMPUTED_VALUE"""),"marketingdive.com")</f>
        <v>marketingdive.com</v>
      </c>
      <c r="D93" s="11" t="str">
        <f>IFERROR(__xludf.DUMMYFUNCTION("""COMPUTED_VALUE"""),"ARTICLE")</f>
        <v>ARTICLE</v>
      </c>
      <c r="E93" s="11" t="str">
        <f>IFERROR(__xludf.DUMMYFUNCTION("""COMPUTED_VALUE"""),"EDITORIAL")</f>
        <v>EDITORIAL</v>
      </c>
      <c r="F93" s="11" t="str">
        <f>IFERROR(__xludf.DUMMYFUNCTION("""COMPUTED_VALUE"""),"Article")</f>
        <v>Article</v>
      </c>
      <c r="G93" s="11" t="b">
        <f>IFERROR(__xludf.DUMMYFUNCTION("""COMPUTED_VALUE"""),FALSE)</f>
        <v>0</v>
      </c>
      <c r="H93" s="11"/>
      <c r="I93" s="11">
        <f>IFERROR(__xludf.DUMMYFUNCTION("""COMPUTED_VALUE"""),1.0)</f>
        <v>1</v>
      </c>
      <c r="J93" s="11">
        <f>IFERROR(__xludf.DUMMYFUNCTION("""COMPUTED_VALUE"""),0.0)</f>
        <v>0</v>
      </c>
      <c r="K93" s="11">
        <f>IFERROR(__xludf.DUMMYFUNCTION("""COMPUTED_VALUE"""),1.0)</f>
        <v>1</v>
      </c>
    </row>
    <row r="94" ht="15.75" customHeight="1">
      <c r="A94" s="10" t="str">
        <f>IFERROR(__xludf.DUMMYFUNCTION("""COMPUTED_VALUE"""),"https://www.measured.com/faq/ad-measurement-the-complete-2026-guide-to-accurate-actionable-marketing-analytics/")</f>
        <v>https://www.measured.com/faq/ad-measurement-the-complete-2026-guide-to-accurate-actionable-marketing-analytics/</v>
      </c>
      <c r="B94" s="11" t="str">
        <f>IFERROR(__xludf.DUMMYFUNCTION("""COMPUTED_VALUE"""),"Ad Measurement: The Complete 2026 Guide to Accurate, Actionable Marketing Analytics | Measured®")</f>
        <v>Ad Measurement: The Complete 2026 Guide to Accurate, Actionable Marketing Analytics | Measured®</v>
      </c>
      <c r="C94" s="10" t="str">
        <f>IFERROR(__xludf.DUMMYFUNCTION("""COMPUTED_VALUE"""),"measured.com")</f>
        <v>measured.com</v>
      </c>
      <c r="D94" s="11" t="str">
        <f>IFERROR(__xludf.DUMMYFUNCTION("""COMPUTED_VALUE"""),"ARTICLE")</f>
        <v>ARTICLE</v>
      </c>
      <c r="E94" s="11" t="str">
        <f>IFERROR(__xludf.DUMMYFUNCTION("""COMPUTED_VALUE"""),"COMPETITOR")</f>
        <v>COMPETITOR</v>
      </c>
      <c r="F94" s="11" t="str">
        <f>IFERROR(__xludf.DUMMYFUNCTION("""COMPUTED_VALUE"""),"Article")</f>
        <v>Article</v>
      </c>
      <c r="G94" s="11" t="b">
        <f>IFERROR(__xludf.DUMMYFUNCTION("""COMPUTED_VALUE"""),FALSE)</f>
        <v>0</v>
      </c>
      <c r="H94" s="11" t="str">
        <f>IFERROR(__xludf.DUMMYFUNCTION("""COMPUTED_VALUE"""),"Measured, Clay, Nielsen, Kantar, Anomaly")</f>
        <v>Measured, Clay, Nielsen, Kantar, Anomaly</v>
      </c>
      <c r="I94" s="11">
        <f>IFERROR(__xludf.DUMMYFUNCTION("""COMPUTED_VALUE"""),1.0)</f>
        <v>1</v>
      </c>
      <c r="J94" s="11">
        <f>IFERROR(__xludf.DUMMYFUNCTION("""COMPUTED_VALUE"""),0.0)</f>
        <v>0</v>
      </c>
      <c r="K94" s="11">
        <f>IFERROR(__xludf.DUMMYFUNCTION("""COMPUTED_VALUE"""),1.0)</f>
        <v>1</v>
      </c>
    </row>
    <row r="95" ht="15.75" customHeight="1">
      <c r="A95" s="10" t="str">
        <f>IFERROR(__xludf.DUMMYFUNCTION("""COMPUTED_VALUE"""),"https://www.mediapost.com/publications/article/407384/omd-repeats-as-top-ranked-us-media-agency-by-billi.html")</f>
        <v>https://www.mediapost.com/publications/article/407384/omd-repeats-as-top-ranked-us-media-agency-by-billi.html</v>
      </c>
      <c r="B95" s="11" t="str">
        <f>IFERROR(__xludf.DUMMYFUNCTION("""COMPUTED_VALUE"""),"OMD Repeats As Top-Ranked US Media Agency By Billings 07/15/2025")</f>
        <v>OMD Repeats As Top-Ranked US Media Agency By Billings 07/15/2025</v>
      </c>
      <c r="C95" s="10" t="str">
        <f>IFERROR(__xludf.DUMMYFUNCTION("""COMPUTED_VALUE"""),"mediapost.com")</f>
        <v>mediapost.com</v>
      </c>
      <c r="D95" s="11" t="str">
        <f>IFERROR(__xludf.DUMMYFUNCTION("""COMPUTED_VALUE"""),"ARTICLE")</f>
        <v>ARTICLE</v>
      </c>
      <c r="E95" s="11" t="str">
        <f>IFERROR(__xludf.DUMMYFUNCTION("""COMPUTED_VALUE"""),"EDITORIAL")</f>
        <v>EDITORIAL</v>
      </c>
      <c r="F95" s="11" t="str">
        <f>IFERROR(__xludf.DUMMYFUNCTION("""COMPUTED_VALUE"""),"Article")</f>
        <v>Article</v>
      </c>
      <c r="G95" s="11" t="b">
        <f>IFERROR(__xludf.DUMMYFUNCTION("""COMPUTED_VALUE"""),FALSE)</f>
        <v>0</v>
      </c>
      <c r="H95" s="11" t="str">
        <f>IFERROR(__xludf.DUMMYFUNCTION("""COMPUTED_VALUE"""),"Horizon Media, Omnicom Media Group, WPP, Measured")</f>
        <v>Horizon Media, Omnicom Media Group, WPP, Measured</v>
      </c>
      <c r="I95" s="11">
        <f>IFERROR(__xludf.DUMMYFUNCTION("""COMPUTED_VALUE"""),1.0)</f>
        <v>1</v>
      </c>
      <c r="J95" s="11">
        <f>IFERROR(__xludf.DUMMYFUNCTION("""COMPUTED_VALUE"""),0.0)</f>
        <v>0</v>
      </c>
      <c r="K95" s="11">
        <f>IFERROR(__xludf.DUMMYFUNCTION("""COMPUTED_VALUE"""),2.0)</f>
        <v>2</v>
      </c>
    </row>
    <row r="96" ht="15.75" customHeight="1">
      <c r="A96" s="10" t="str">
        <f>IFERROR(__xludf.DUMMYFUNCTION("""COMPUTED_VALUE"""),"https://www.merkle.com/en/merkle-now/press-releases/2023/merkle-launches-uk-s-largest-and-first-ai-enabled-google-technol.html")</f>
        <v>https://www.merkle.com/en/merkle-now/press-releases/2023/merkle-launches-uk-s-largest-and-first-ai-enabled-google-technol.html</v>
      </c>
      <c r="B96" s="11" t="str">
        <f>IFERROR(__xludf.DUMMYFUNCTION("""COMPUTED_VALUE"""),"Merkle Launches UK’s Largest and First AI-Enabled Google Technology Practice")</f>
        <v>Merkle Launches UK’s Largest and First AI-Enabled Google Technology Practice</v>
      </c>
      <c r="C96" s="10" t="str">
        <f>IFERROR(__xludf.DUMMYFUNCTION("""COMPUTED_VALUE"""),"merkle.com")</f>
        <v>merkle.com</v>
      </c>
      <c r="D96" s="11" t="str">
        <f>IFERROR(__xludf.DUMMYFUNCTION("""COMPUTED_VALUE"""),"ARTICLE")</f>
        <v>ARTICLE</v>
      </c>
      <c r="E96" s="11" t="str">
        <f>IFERROR(__xludf.DUMMYFUNCTION("""COMPUTED_VALUE"""),"COMPETITOR")</f>
        <v>COMPETITOR</v>
      </c>
      <c r="F96" s="11" t="str">
        <f>IFERROR(__xludf.DUMMYFUNCTION("""COMPUTED_VALUE"""),"Article")</f>
        <v>Article</v>
      </c>
      <c r="G96" s="11" t="b">
        <f>IFERROR(__xludf.DUMMYFUNCTION("""COMPUTED_VALUE"""),FALSE)</f>
        <v>0</v>
      </c>
      <c r="H96" s="11" t="str">
        <f>IFERROR(__xludf.DUMMYFUNCTION("""COMPUTED_VALUE"""),"Merkle, Dentsu, Huge, iProspect")</f>
        <v>Merkle, Dentsu, Huge, iProspect</v>
      </c>
      <c r="I96" s="11">
        <f>IFERROR(__xludf.DUMMYFUNCTION("""COMPUTED_VALUE"""),1.0)</f>
        <v>1</v>
      </c>
      <c r="J96" s="11">
        <f>IFERROR(__xludf.DUMMYFUNCTION("""COMPUTED_VALUE"""),0.0)</f>
        <v>0</v>
      </c>
      <c r="K96" s="11">
        <f>IFERROR(__xludf.DUMMYFUNCTION("""COMPUTED_VALUE"""),1.0)</f>
        <v>1</v>
      </c>
    </row>
    <row r="97" ht="15.75" customHeight="1">
      <c r="A97" s="10" t="str">
        <f>IFERROR(__xludf.DUMMYFUNCTION("""COMPUTED_VALUE"""),"https://mikekhorev.com/ai-seo-agency-for-software")</f>
        <v>https://mikekhorev.com/ai-seo-agency-for-software</v>
      </c>
      <c r="B97" s="11" t="str">
        <f>IFERROR(__xludf.DUMMYFUNCTION("""COMPUTED_VALUE"""),"How to Hire an AI SEO Agency That Gets Real Results for Software Companies")</f>
        <v>How to Hire an AI SEO Agency That Gets Real Results for Software Companies</v>
      </c>
      <c r="C97" s="10" t="str">
        <f>IFERROR(__xludf.DUMMYFUNCTION("""COMPUTED_VALUE"""),"mikekhorev.com")</f>
        <v>mikekhorev.com</v>
      </c>
      <c r="D97" s="11" t="str">
        <f>IFERROR(__xludf.DUMMYFUNCTION("""COMPUTED_VALUE"""),"ARTICLE")</f>
        <v>ARTICLE</v>
      </c>
      <c r="E97" s="11" t="str">
        <f>IFERROR(__xludf.DUMMYFUNCTION("""COMPUTED_VALUE"""),"CORPORATE")</f>
        <v>CORPORATE</v>
      </c>
      <c r="F97" s="11" t="str">
        <f>IFERROR(__xludf.DUMMYFUNCTION("""COMPUTED_VALUE"""),"Article")</f>
        <v>Article</v>
      </c>
      <c r="G97" s="11" t="b">
        <f>IFERROR(__xludf.DUMMYFUNCTION("""COMPUTED_VALUE"""),FALSE)</f>
        <v>0</v>
      </c>
      <c r="H97" s="11"/>
      <c r="I97" s="11">
        <f>IFERROR(__xludf.DUMMYFUNCTION("""COMPUTED_VALUE"""),1.0)</f>
        <v>1</v>
      </c>
      <c r="J97" s="11">
        <f>IFERROR(__xludf.DUMMYFUNCTION("""COMPUTED_VALUE"""),0.0)</f>
        <v>0</v>
      </c>
      <c r="K97" s="11">
        <f>IFERROR(__xludf.DUMMYFUNCTION("""COMPUTED_VALUE"""),1.0)</f>
        <v>1</v>
      </c>
    </row>
    <row r="98" ht="15.75" customHeight="1">
      <c r="A98" s="10" t="str">
        <f>IFERROR(__xludf.DUMMYFUNCTION("""COMPUTED_VALUE"""),"https://neilpatel.com/blog/challenge-of-marketing-attribution/")</f>
        <v>https://neilpatel.com/blog/challenge-of-marketing-attribution/</v>
      </c>
      <c r="B98" s="11" t="str">
        <f>IFERROR(__xludf.DUMMYFUNCTION("""COMPUTED_VALUE"""),"How High-Growth Companies Actually Measure Marketing")</f>
        <v>How High-Growth Companies Actually Measure Marketing</v>
      </c>
      <c r="C98" s="10" t="str">
        <f>IFERROR(__xludf.DUMMYFUNCTION("""COMPUTED_VALUE"""),"neilpatel.com")</f>
        <v>neilpatel.com</v>
      </c>
      <c r="D98" s="11" t="str">
        <f>IFERROR(__xludf.DUMMYFUNCTION("""COMPUTED_VALUE"""),"ARTICLE")</f>
        <v>ARTICLE</v>
      </c>
      <c r="E98" s="11" t="str">
        <f>IFERROR(__xludf.DUMMYFUNCTION("""COMPUTED_VALUE"""),"CORPORATE")</f>
        <v>CORPORATE</v>
      </c>
      <c r="F98" s="11" t="str">
        <f>IFERROR(__xludf.DUMMYFUNCTION("""COMPUTED_VALUE"""),"Article")</f>
        <v>Article</v>
      </c>
      <c r="G98" s="11" t="b">
        <f>IFERROR(__xludf.DUMMYFUNCTION("""COMPUTED_VALUE"""),FALSE)</f>
        <v>0</v>
      </c>
      <c r="H98" s="11" t="str">
        <f>IFERROR(__xludf.DUMMYFUNCTION("""COMPUTED_VALUE"""),"NP Digital, Measured, Northbeam, Triple Whale, Rockerbox")</f>
        <v>NP Digital, Measured, Northbeam, Triple Whale, Rockerbox</v>
      </c>
      <c r="I98" s="11">
        <f>IFERROR(__xludf.DUMMYFUNCTION("""COMPUTED_VALUE"""),1.0)</f>
        <v>1</v>
      </c>
      <c r="J98" s="11">
        <f>IFERROR(__xludf.DUMMYFUNCTION("""COMPUTED_VALUE"""),0.0)</f>
        <v>0</v>
      </c>
      <c r="K98" s="11">
        <f>IFERROR(__xludf.DUMMYFUNCTION("""COMPUTED_VALUE"""),1.0)</f>
        <v>1</v>
      </c>
    </row>
    <row r="99" ht="15.75" customHeight="1">
      <c r="A99" s="10" t="str">
        <f>IFERROR(__xludf.DUMMYFUNCTION("""COMPUTED_VALUE"""),"https://netpeak.us/cases/")</f>
        <v>https://netpeak.us/cases/</v>
      </c>
      <c r="B99" s="11" t="str">
        <f>IFERROR(__xludf.DUMMYFUNCTION("""COMPUTED_VALUE"""),"Case Studies ▷ Real Results from 8,500+ Digital Marketing Projects | Netpeak Agency US")</f>
        <v>Case Studies ▷ Real Results from 8,500+ Digital Marketing Projects | Netpeak Agency US</v>
      </c>
      <c r="C99" s="10" t="str">
        <f>IFERROR(__xludf.DUMMYFUNCTION("""COMPUTED_VALUE"""),"netpeak.us")</f>
        <v>netpeak.us</v>
      </c>
      <c r="D99" s="11" t="str">
        <f>IFERROR(__xludf.DUMMYFUNCTION("""COMPUTED_VALUE"""),"ARTICLE")</f>
        <v>ARTICLE</v>
      </c>
      <c r="E99" s="11" t="str">
        <f>IFERROR(__xludf.DUMMYFUNCTION("""COMPUTED_VALUE"""),"CORPORATE")</f>
        <v>CORPORATE</v>
      </c>
      <c r="F99" s="11" t="str">
        <f>IFERROR(__xludf.DUMMYFUNCTION("""COMPUTED_VALUE"""),"Article")</f>
        <v>Article</v>
      </c>
      <c r="G99" s="11" t="b">
        <f>IFERROR(__xludf.DUMMYFUNCTION("""COMPUTED_VALUE"""),FALSE)</f>
        <v>0</v>
      </c>
      <c r="H99" s="11" t="str">
        <f>IFERROR(__xludf.DUMMYFUNCTION("""COMPUTED_VALUE"""),"Clutch")</f>
        <v>Clutch</v>
      </c>
      <c r="I99" s="11">
        <f>IFERROR(__xludf.DUMMYFUNCTION("""COMPUTED_VALUE"""),1.0)</f>
        <v>1</v>
      </c>
      <c r="J99" s="11">
        <f>IFERROR(__xludf.DUMMYFUNCTION("""COMPUTED_VALUE"""),0.0)</f>
        <v>0</v>
      </c>
      <c r="K99" s="11">
        <f>IFERROR(__xludf.DUMMYFUNCTION("""COMPUTED_VALUE"""),0.0)</f>
        <v>0</v>
      </c>
    </row>
    <row r="100" ht="15.75" customHeight="1">
      <c r="A100" s="10" t="str">
        <f>IFERROR(__xludf.DUMMYFUNCTION("""COMPUTED_VALUE"""),"https://www.ogilvy.com/ideas/ogilvy-recognized-worlds-most-creative-agency-network-warc-5th-consecutive-year")</f>
        <v>https://www.ogilvy.com/ideas/ogilvy-recognized-worlds-most-creative-agency-network-warc-5th-consecutive-year</v>
      </c>
      <c r="B100" s="11" t="str">
        <f>IFERROR(__xludf.DUMMYFUNCTION("""COMPUTED_VALUE"""),"Ogilvy Recognized as World’s Most Creative Agency Network by WARC for 5th Consecutive Year | Ogilvy")</f>
        <v>Ogilvy Recognized as World’s Most Creative Agency Network by WARC for 5th Consecutive Year | Ogilvy</v>
      </c>
      <c r="C100" s="10" t="str">
        <f>IFERROR(__xludf.DUMMYFUNCTION("""COMPUTED_VALUE"""),"ogilvy.com")</f>
        <v>ogilvy.com</v>
      </c>
      <c r="D100" s="11" t="str">
        <f>IFERROR(__xludf.DUMMYFUNCTION("""COMPUTED_VALUE"""),"ARTICLE")</f>
        <v>ARTICLE</v>
      </c>
      <c r="E100" s="11" t="str">
        <f>IFERROR(__xludf.DUMMYFUNCTION("""COMPUTED_VALUE"""),"COMPETITOR")</f>
        <v>COMPETITOR</v>
      </c>
      <c r="F100" s="11" t="str">
        <f>IFERROR(__xludf.DUMMYFUNCTION("""COMPUTED_VALUE"""),"Article")</f>
        <v>Article</v>
      </c>
      <c r="G100" s="11" t="b">
        <f>IFERROR(__xludf.DUMMYFUNCTION("""COMPUTED_VALUE"""),FALSE)</f>
        <v>0</v>
      </c>
      <c r="H100" s="11" t="str">
        <f>IFERROR(__xludf.DUMMYFUNCTION("""COMPUTED_VALUE"""),"Ogilvy, WPP, Graphite, Momentum, IBM, Deloitte Digital, Huge, Victorious")</f>
        <v>Ogilvy, WPP, Graphite, Momentum, IBM, Deloitte Digital, Huge, Victorious</v>
      </c>
      <c r="I100" s="11">
        <f>IFERROR(__xludf.DUMMYFUNCTION("""COMPUTED_VALUE"""),1.0)</f>
        <v>1</v>
      </c>
      <c r="J100" s="11">
        <f>IFERROR(__xludf.DUMMYFUNCTION("""COMPUTED_VALUE"""),0.0)</f>
        <v>0</v>
      </c>
      <c r="K100" s="11">
        <f>IFERROR(__xludf.DUMMYFUNCTION("""COMPUTED_VALUE"""),0.0)</f>
        <v>0</v>
      </c>
    </row>
    <row r="101" ht="15.75" customHeight="1">
      <c r="A101" s="10" t="str">
        <f>IFERROR(__xludf.DUMMYFUNCTION("""COMPUTED_VALUE"""),"https://www.prnewswire.com/news-releases/measured-announces-2-million-finance-facility-from-timia-capital-corporation-301036413.html")</f>
        <v>https://www.prnewswire.com/news-releases/measured-announces-2-million-finance-facility-from-timia-capital-corporation-301036413.html</v>
      </c>
      <c r="B101" s="11" t="str">
        <f>IFERROR(__xludf.DUMMYFUNCTION("""COMPUTED_VALUE"""),"Measured Announces $2 Million Finance Facility from TIMIA Capital Corporation")</f>
        <v>Measured Announces $2 Million Finance Facility from TIMIA Capital Corporation</v>
      </c>
      <c r="C101" s="10" t="str">
        <f>IFERROR(__xludf.DUMMYFUNCTION("""COMPUTED_VALUE"""),"prnewswire.com")</f>
        <v>prnewswire.com</v>
      </c>
      <c r="D101" s="11" t="str">
        <f>IFERROR(__xludf.DUMMYFUNCTION("""COMPUTED_VALUE"""),"ARTICLE")</f>
        <v>ARTICLE</v>
      </c>
      <c r="E101" s="11" t="str">
        <f>IFERROR(__xludf.DUMMYFUNCTION("""COMPUTED_VALUE"""),"EDITORIAL")</f>
        <v>EDITORIAL</v>
      </c>
      <c r="F101" s="11" t="str">
        <f>IFERROR(__xludf.DUMMYFUNCTION("""COMPUTED_VALUE"""),"Article")</f>
        <v>Article</v>
      </c>
      <c r="G101" s="11" t="b">
        <f>IFERROR(__xludf.DUMMYFUNCTION("""COMPUTED_VALUE"""),FALSE)</f>
        <v>0</v>
      </c>
      <c r="H101" s="11" t="str">
        <f>IFERROR(__xludf.DUMMYFUNCTION("""COMPUTED_VALUE"""),"Measured")</f>
        <v>Measured</v>
      </c>
      <c r="I101" s="11">
        <f>IFERROR(__xludf.DUMMYFUNCTION("""COMPUTED_VALUE"""),1.0)</f>
        <v>1</v>
      </c>
      <c r="J101" s="11">
        <f>IFERROR(__xludf.DUMMYFUNCTION("""COMPUTED_VALUE"""),0.0)</f>
        <v>0</v>
      </c>
      <c r="K101" s="11">
        <f>IFERROR(__xludf.DUMMYFUNCTION("""COMPUTED_VALUE"""),1.0)</f>
        <v>1</v>
      </c>
    </row>
    <row r="102" ht="15.75" customHeight="1">
      <c r="A102" s="10" t="str">
        <f>IFERROR(__xludf.DUMMYFUNCTION("""COMPUTED_VALUE"""),"https://puremarketing.ai/aeo-agency-montclair/")</f>
        <v>https://puremarketing.ai/aeo-agency-montclair/</v>
      </c>
      <c r="B102" s="11" t="str">
        <f>IFERROR(__xludf.DUMMYFUNCTION("""COMPUTED_VALUE"""),"Best AEO Agency for AI Search Visibility (Complete Guide)")</f>
        <v>Best AEO Agency for AI Search Visibility (Complete Guide)</v>
      </c>
      <c r="C102" s="10" t="str">
        <f>IFERROR(__xludf.DUMMYFUNCTION("""COMPUTED_VALUE"""),"puremarketing.ai")</f>
        <v>puremarketing.ai</v>
      </c>
      <c r="D102" s="11" t="str">
        <f>IFERROR(__xludf.DUMMYFUNCTION("""COMPUTED_VALUE"""),"ARTICLE")</f>
        <v>ARTICLE</v>
      </c>
      <c r="E102" s="11" t="str">
        <f>IFERROR(__xludf.DUMMYFUNCTION("""COMPUTED_VALUE"""),"CORPORATE")</f>
        <v>CORPORATE</v>
      </c>
      <c r="F102" s="11" t="str">
        <f>IFERROR(__xludf.DUMMYFUNCTION("""COMPUTED_VALUE"""),"Article")</f>
        <v>Article</v>
      </c>
      <c r="G102" s="11" t="b">
        <f>IFERROR(__xludf.DUMMYFUNCTION("""COMPUTED_VALUE"""),FALSE)</f>
        <v>0</v>
      </c>
      <c r="H102" s="11" t="str">
        <f>IFERROR(__xludf.DUMMYFUNCTION("""COMPUTED_VALUE"""),"PMG")</f>
        <v>PMG</v>
      </c>
      <c r="I102" s="11">
        <f>IFERROR(__xludf.DUMMYFUNCTION("""COMPUTED_VALUE"""),1.0)</f>
        <v>1</v>
      </c>
      <c r="J102" s="11">
        <f>IFERROR(__xludf.DUMMYFUNCTION("""COMPUTED_VALUE"""),0.0)</f>
        <v>0</v>
      </c>
      <c r="K102" s="11">
        <f>IFERROR(__xludf.DUMMYFUNCTION("""COMPUTED_VALUE"""),1.0)</f>
        <v>1</v>
      </c>
    </row>
    <row r="103" ht="15.75" customHeight="1">
      <c r="A103" s="10" t="str">
        <f>IFERROR(__xludf.DUMMYFUNCTION("""COMPUTED_VALUE"""),"https://www.reuters.com/business/openai-deepens-partnerships-with-consulting-giants-push-enterprise-ai-beyond-2026-02-23/")</f>
        <v>https://www.reuters.com/business/openai-deepens-partnerships-with-consulting-giants-push-enterprise-ai-beyond-2026-02-23/</v>
      </c>
      <c r="B103" s="11" t="str">
        <f>IFERROR(__xludf.DUMMYFUNCTION("""COMPUTED_VALUE"""),"OpenAI deepens partnerships with consulting giants to push enterprise AI beyond pilot \| Reuters")</f>
        <v>OpenAI deepens partnerships with consulting giants to push enterprise AI beyond pilot \| Reuters</v>
      </c>
      <c r="C103" s="10" t="str">
        <f>IFERROR(__xludf.DUMMYFUNCTION("""COMPUTED_VALUE"""),"reuters.com")</f>
        <v>reuters.com</v>
      </c>
      <c r="D103" s="11" t="str">
        <f>IFERROR(__xludf.DUMMYFUNCTION("""COMPUTED_VALUE"""),"ARTICLE")</f>
        <v>ARTICLE</v>
      </c>
      <c r="E103" s="11" t="str">
        <f>IFERROR(__xludf.DUMMYFUNCTION("""COMPUTED_VALUE"""),"EDITORIAL")</f>
        <v>EDITORIAL</v>
      </c>
      <c r="F103" s="11" t="str">
        <f>IFERROR(__xludf.DUMMYFUNCTION("""COMPUTED_VALUE"""),"Article")</f>
        <v>Article</v>
      </c>
      <c r="G103" s="11" t="b">
        <f>IFERROR(__xludf.DUMMYFUNCTION("""COMPUTED_VALUE"""),FALSE)</f>
        <v>0</v>
      </c>
      <c r="H103" s="11" t="str">
        <f>IFERROR(__xludf.DUMMYFUNCTION("""COMPUTED_VALUE"""),"BCG, McKinsey, Huge")</f>
        <v>BCG, McKinsey, Huge</v>
      </c>
      <c r="I103" s="11">
        <f>IFERROR(__xludf.DUMMYFUNCTION("""COMPUTED_VALUE"""),1.0)</f>
        <v>1</v>
      </c>
      <c r="J103" s="11">
        <f>IFERROR(__xludf.DUMMYFUNCTION("""COMPUTED_VALUE"""),0.0)</f>
        <v>0</v>
      </c>
      <c r="K103" s="11">
        <f>IFERROR(__xludf.DUMMYFUNCTION("""COMPUTED_VALUE"""),1.0)</f>
        <v>1</v>
      </c>
    </row>
    <row r="104" ht="15.75" customHeight="1">
      <c r="A104" s="10" t="str">
        <f>IFERROR(__xludf.DUMMYFUNCTION("""COMPUTED_VALUE"""),"https://www.rockerbox.com/faq/what-is-incrementality-analysis")</f>
        <v>https://www.rockerbox.com/faq/what-is-incrementality-analysis</v>
      </c>
      <c r="B104" s="11" t="str">
        <f>IFERROR(__xludf.DUMMYFUNCTION("""COMPUTED_VALUE"""),"What is Incrementality Analysis? | Rockerbox")</f>
        <v>What is Incrementality Analysis? | Rockerbox</v>
      </c>
      <c r="C104" s="10" t="str">
        <f>IFERROR(__xludf.DUMMYFUNCTION("""COMPUTED_VALUE"""),"rockerbox.com")</f>
        <v>rockerbox.com</v>
      </c>
      <c r="D104" s="11" t="str">
        <f>IFERROR(__xludf.DUMMYFUNCTION("""COMPUTED_VALUE"""),"ARTICLE")</f>
        <v>ARTICLE</v>
      </c>
      <c r="E104" s="11" t="str">
        <f>IFERROR(__xludf.DUMMYFUNCTION("""COMPUTED_VALUE"""),"COMPETITOR")</f>
        <v>COMPETITOR</v>
      </c>
      <c r="F104" s="11" t="str">
        <f>IFERROR(__xludf.DUMMYFUNCTION("""COMPUTED_VALUE"""),"Article")</f>
        <v>Article</v>
      </c>
      <c r="G104" s="11" t="b">
        <f>IFERROR(__xludf.DUMMYFUNCTION("""COMPUTED_VALUE"""),FALSE)</f>
        <v>0</v>
      </c>
      <c r="H104" s="11" t="str">
        <f>IFERROR(__xludf.DUMMYFUNCTION("""COMPUTED_VALUE"""),"Rockerbox")</f>
        <v>Rockerbox</v>
      </c>
      <c r="I104" s="11">
        <f>IFERROR(__xludf.DUMMYFUNCTION("""COMPUTED_VALUE"""),1.0)</f>
        <v>1</v>
      </c>
      <c r="J104" s="11">
        <f>IFERROR(__xludf.DUMMYFUNCTION("""COMPUTED_VALUE"""),0.0)</f>
        <v>0</v>
      </c>
      <c r="K104" s="11">
        <f>IFERROR(__xludf.DUMMYFUNCTION("""COMPUTED_VALUE"""),1.0)</f>
        <v>1</v>
      </c>
    </row>
    <row r="105" ht="15.75" customHeight="1">
      <c r="A105" s="10" t="str">
        <f>IFERROR(__xludf.DUMMYFUNCTION("""COMPUTED_VALUE"""),"https://www.rokt.com/blog/incrementality-performance-standard-rokt-haus-transaction-moment")</f>
        <v>https://www.rokt.com/blog/incrementality-performance-standard-rokt-haus-transaction-moment</v>
      </c>
      <c r="B105" s="11" t="str">
        <f>IFERROR(__xludf.DUMMYFUNCTION("""COMPUTED_VALUE"""),"Incrementality Is The Performance Standard | Rokt")</f>
        <v>Incrementality Is The Performance Standard | Rokt</v>
      </c>
      <c r="C105" s="10" t="str">
        <f>IFERROR(__xludf.DUMMYFUNCTION("""COMPUTED_VALUE"""),"rokt.com")</f>
        <v>rokt.com</v>
      </c>
      <c r="D105" s="11" t="str">
        <f>IFERROR(__xludf.DUMMYFUNCTION("""COMPUTED_VALUE"""),"ARTICLE")</f>
        <v>ARTICLE</v>
      </c>
      <c r="E105" s="11" t="str">
        <f>IFERROR(__xludf.DUMMYFUNCTION("""COMPUTED_VALUE"""),"CORPORATE")</f>
        <v>CORPORATE</v>
      </c>
      <c r="F105" s="11" t="str">
        <f>IFERROR(__xludf.DUMMYFUNCTION("""COMPUTED_VALUE"""),"Article")</f>
        <v>Article</v>
      </c>
      <c r="G105" s="11" t="b">
        <f>IFERROR(__xludf.DUMMYFUNCTION("""COMPUTED_VALUE"""),FALSE)</f>
        <v>0</v>
      </c>
      <c r="H105" s="11" t="str">
        <f>IFERROR(__xludf.DUMMYFUNCTION("""COMPUTED_VALUE"""),"Haus, TransUnion, Measured")</f>
        <v>Haus, TransUnion, Measured</v>
      </c>
      <c r="I105" s="11">
        <f>IFERROR(__xludf.DUMMYFUNCTION("""COMPUTED_VALUE"""),1.0)</f>
        <v>1</v>
      </c>
      <c r="J105" s="11">
        <f>IFERROR(__xludf.DUMMYFUNCTION("""COMPUTED_VALUE"""),0.0)</f>
        <v>0</v>
      </c>
      <c r="K105" s="11">
        <f>IFERROR(__xludf.DUMMYFUNCTION("""COMPUTED_VALUE"""),1.0)</f>
        <v>1</v>
      </c>
    </row>
    <row r="106" ht="15.75" customHeight="1">
      <c r="A106" s="10" t="str">
        <f>IFERROR(__xludf.DUMMYFUNCTION("""COMPUTED_VALUE"""),"https://www.seerinteractive.com/news/seer-interactive-named-a-2026-google-premier-partner")</f>
        <v>https://www.seerinteractive.com/news/seer-interactive-named-a-2026-google-premier-partner</v>
      </c>
      <c r="B106" s="11" t="str">
        <f>IFERROR(__xludf.DUMMYFUNCTION("""COMPUTED_VALUE"""),"Seer Interactive Named a 2026 Google Premier Partner")</f>
        <v>Seer Interactive Named a 2026 Google Premier Partner</v>
      </c>
      <c r="C106" s="10" t="str">
        <f>IFERROR(__xludf.DUMMYFUNCTION("""COMPUTED_VALUE"""),"seerinteractive.com")</f>
        <v>seerinteractive.com</v>
      </c>
      <c r="D106" s="11" t="str">
        <f>IFERROR(__xludf.DUMMYFUNCTION("""COMPUTED_VALUE"""),"ARTICLE")</f>
        <v>ARTICLE</v>
      </c>
      <c r="E106" s="11" t="str">
        <f>IFERROR(__xludf.DUMMYFUNCTION("""COMPUTED_VALUE"""),"COMPETITOR")</f>
        <v>COMPETITOR</v>
      </c>
      <c r="F106" s="11" t="str">
        <f>IFERROR(__xludf.DUMMYFUNCTION("""COMPUTED_VALUE"""),"Article")</f>
        <v>Article</v>
      </c>
      <c r="G106" s="11" t="b">
        <f>IFERROR(__xludf.DUMMYFUNCTION("""COMPUTED_VALUE"""),FALSE)</f>
        <v>0</v>
      </c>
      <c r="H106" s="11" t="str">
        <f>IFERROR(__xludf.DUMMYFUNCTION("""COMPUTED_VALUE"""),"Seer Interactive")</f>
        <v>Seer Interactive</v>
      </c>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IFERROR(__xludf.DUMMYFUNCTION("""COMPUTED_VALUE"""),"https://setupad.com/blog/display-advertising-guide/")</f>
        <v>https://setupad.com/blog/display-advertising-guide/</v>
      </c>
      <c r="B107" s="11" t="str">
        <f>IFERROR(__xludf.DUMMYFUNCTION("""COMPUTED_VALUE"""),"What is Display Advertising &amp;amp; How to Monetize Your Content?")</f>
        <v>What is Display Advertising &amp;amp; How to Monetize Your Content?</v>
      </c>
      <c r="C107" s="10" t="str">
        <f>IFERROR(__xludf.DUMMYFUNCTION("""COMPUTED_VALUE"""),"setupad.com")</f>
        <v>setupad.com</v>
      </c>
      <c r="D107" s="11" t="str">
        <f>IFERROR(__xludf.DUMMYFUNCTION("""COMPUTED_VALUE"""),"ARTICLE")</f>
        <v>ARTICLE</v>
      </c>
      <c r="E107" s="11" t="str">
        <f>IFERROR(__xludf.DUMMYFUNCTION("""COMPUTED_VALUE"""),"CORPORATE")</f>
        <v>CORPORATE</v>
      </c>
      <c r="F107" s="11" t="str">
        <f>IFERROR(__xludf.DUMMYFUNCTION("""COMPUTED_VALUE"""),"Article")</f>
        <v>Article</v>
      </c>
      <c r="G107" s="11" t="b">
        <f>IFERROR(__xludf.DUMMYFUNCTION("""COMPUTED_VALUE"""),FALSE)</f>
        <v>0</v>
      </c>
      <c r="H107" s="11" t="str">
        <f>IFERROR(__xludf.DUMMYFUNCTION("""COMPUTED_VALUE"""),"Measured, Superside")</f>
        <v>Measured, Superside</v>
      </c>
      <c r="I107" s="11">
        <f>IFERROR(__xludf.DUMMYFUNCTION("""COMPUTED_VALUE"""),1.0)</f>
        <v>1</v>
      </c>
      <c r="J107" s="11">
        <f>IFERROR(__xludf.DUMMYFUNCTION("""COMPUTED_VALUE"""),0.0)</f>
        <v>0</v>
      </c>
      <c r="K107" s="11">
        <f>IFERROR(__xludf.DUMMYFUNCTION("""COMPUTED_VALUE"""),0.0)</f>
        <v>0</v>
      </c>
    </row>
    <row r="108" ht="15.75" customHeight="1">
      <c r="A108" s="10" t="str">
        <f>IFERROR(__xludf.DUMMYFUNCTION("""COMPUTED_VALUE"""),"https://www.smartosc.com/10-best-ai-services-in-japan/")</f>
        <v>https://www.smartosc.com/10-best-ai-services-in-japan/</v>
      </c>
      <c r="B108" s="11" t="str">
        <f>IFERROR(__xludf.DUMMYFUNCTION("""COMPUTED_VALUE"""),"10 Best AI Services Solutions for Japanese Organisations - SmartOSC")</f>
        <v>10 Best AI Services Solutions for Japanese Organisations - SmartOSC</v>
      </c>
      <c r="C108" s="10" t="str">
        <f>IFERROR(__xludf.DUMMYFUNCTION("""COMPUTED_VALUE"""),"smartosc.com")</f>
        <v>smartosc.com</v>
      </c>
      <c r="D108" s="11" t="str">
        <f>IFERROR(__xludf.DUMMYFUNCTION("""COMPUTED_VALUE"""),"ARTICLE")</f>
        <v>ARTICLE</v>
      </c>
      <c r="E108" s="11" t="str">
        <f>IFERROR(__xludf.DUMMYFUNCTION("""COMPUTED_VALUE"""),"CORPORATE")</f>
        <v>CORPORATE</v>
      </c>
      <c r="F108" s="11" t="str">
        <f>IFERROR(__xludf.DUMMYFUNCTION("""COMPUTED_VALUE"""),"Article")</f>
        <v>Article</v>
      </c>
      <c r="G108" s="11" t="b">
        <f>IFERROR(__xludf.DUMMYFUNCTION("""COMPUTED_VALUE"""),FALSE)</f>
        <v>0</v>
      </c>
      <c r="H108" s="11" t="str">
        <f>IFERROR(__xludf.DUMMYFUNCTION("""COMPUTED_VALUE"""),"McKinsey, Anomaly, Measured")</f>
        <v>McKinsey, Anomaly, Measured</v>
      </c>
      <c r="I108" s="11">
        <f>IFERROR(__xludf.DUMMYFUNCTION("""COMPUTED_VALUE"""),1.0)</f>
        <v>1</v>
      </c>
      <c r="J108" s="11">
        <f>IFERROR(__xludf.DUMMYFUNCTION("""COMPUTED_VALUE"""),0.0)</f>
        <v>0</v>
      </c>
      <c r="K108" s="11">
        <f>IFERROR(__xludf.DUMMYFUNCTION("""COMPUTED_VALUE"""),1.0)</f>
        <v>1</v>
      </c>
    </row>
    <row r="109" ht="15.75" customHeight="1">
      <c r="A109" s="10" t="str">
        <f>IFERROR(__xludf.DUMMYFUNCTION("""COMPUTED_VALUE"""),"https://www.superside.com/blog/creative-at-scale")</f>
        <v>https://www.superside.com/blog/creative-at-scale</v>
      </c>
      <c r="B109" s="11" t="str">
        <f>IFERROR(__xludf.DUMMYFUNCTION("""COMPUTED_VALUE"""),"Driving Creative at Scale for Brands To Achieve Success (Services &amp;amp; Tips)")</f>
        <v>Driving Creative at Scale for Brands To Achieve Success (Services &amp;amp; Tips)</v>
      </c>
      <c r="C109" s="10" t="str">
        <f>IFERROR(__xludf.DUMMYFUNCTION("""COMPUTED_VALUE"""),"superside.com")</f>
        <v>superside.com</v>
      </c>
      <c r="D109" s="11" t="str">
        <f>IFERROR(__xludf.DUMMYFUNCTION("""COMPUTED_VALUE"""),"ARTICLE")</f>
        <v>ARTICLE</v>
      </c>
      <c r="E109" s="11" t="str">
        <f>IFERROR(__xludf.DUMMYFUNCTION("""COMPUTED_VALUE"""),"COMPETITOR")</f>
        <v>COMPETITOR</v>
      </c>
      <c r="F109" s="11" t="str">
        <f>IFERROR(__xludf.DUMMYFUNCTION("""COMPUTED_VALUE"""),"Article")</f>
        <v>Article</v>
      </c>
      <c r="G109" s="11" t="b">
        <f>IFERROR(__xludf.DUMMYFUNCTION("""COMPUTED_VALUE"""),FALSE)</f>
        <v>0</v>
      </c>
      <c r="H109" s="11" t="str">
        <f>IFERROR(__xludf.DUMMYFUNCTION("""COMPUTED_VALUE"""),"Superside, GroupM, WPP, Publicis Groupe, Accenture Song, Deloitte Digital")</f>
        <v>Superside, GroupM, WPP, Publicis Groupe, Accenture Song, Deloitte Digital</v>
      </c>
      <c r="I109" s="11">
        <f>IFERROR(__xludf.DUMMYFUNCTION("""COMPUTED_VALUE"""),1.0)</f>
        <v>1</v>
      </c>
      <c r="J109" s="11">
        <f>IFERROR(__xludf.DUMMYFUNCTION("""COMPUTED_VALUE"""),0.0)</f>
        <v>0</v>
      </c>
      <c r="K109" s="11">
        <f>IFERROR(__xludf.DUMMYFUNCTION("""COMPUTED_VALUE"""),1.0)</f>
        <v>1</v>
      </c>
    </row>
    <row r="110" ht="15.75" customHeight="1">
      <c r="A110" s="10" t="str">
        <f>IFERROR(__xludf.DUMMYFUNCTION("""COMPUTED_VALUE"""),"https://www.theaustralian.com.au/sponsored-content/beyond-ai-pilots-the-organisations-turning-ai-ambition-into-action/news-story/415e261ad0bf616e51c3b7b79b17a86f")</f>
        <v>https://www.theaustralian.com.au/sponsored-content/beyond-ai-pilots-the-organisations-turning-ai-ambition-into-action/news-story/415e261ad0bf616e51c3b7b79b17a86f</v>
      </c>
      <c r="B110" s="11" t="str">
        <f>IFERROR(__xludf.DUMMYFUNCTION("""COMPUTED_VALUE"""),"Beyond AI pilots, the organisations turning AI ambition into action \| The Australian")</f>
        <v>Beyond AI pilots, the organisations turning AI ambition into action \| The Australian</v>
      </c>
      <c r="C110" s="10" t="str">
        <f>IFERROR(__xludf.DUMMYFUNCTION("""COMPUTED_VALUE"""),"theaustralian.com.au")</f>
        <v>theaustralian.com.au</v>
      </c>
      <c r="D110" s="11" t="str">
        <f>IFERROR(__xludf.DUMMYFUNCTION("""COMPUTED_VALUE"""),"ARTICLE")</f>
        <v>ARTICLE</v>
      </c>
      <c r="E110" s="11" t="str">
        <f>IFERROR(__xludf.DUMMYFUNCTION("""COMPUTED_VALUE"""),"EDITORIAL")</f>
        <v>EDITORIAL</v>
      </c>
      <c r="F110" s="11" t="str">
        <f>IFERROR(__xludf.DUMMYFUNCTION("""COMPUTED_VALUE"""),"Article")</f>
        <v>Article</v>
      </c>
      <c r="G110" s="11" t="b">
        <f>IFERROR(__xludf.DUMMYFUNCTION("""COMPUTED_VALUE"""),FALSE)</f>
        <v>0</v>
      </c>
      <c r="H110" s="11" t="str">
        <f>IFERROR(__xludf.DUMMYFUNCTION("""COMPUTED_VALUE"""),"Momentum, Deloitte Digital")</f>
        <v>Momentum, Deloitte Digital</v>
      </c>
      <c r="I110" s="11">
        <f>IFERROR(__xludf.DUMMYFUNCTION("""COMPUTED_VALUE"""),1.0)</f>
        <v>1</v>
      </c>
      <c r="J110" s="11">
        <f>IFERROR(__xludf.DUMMYFUNCTION("""COMPUTED_VALUE"""),0.0)</f>
        <v>0</v>
      </c>
      <c r="K110" s="11">
        <f>IFERROR(__xludf.DUMMYFUNCTION("""COMPUTED_VALUE"""),2.0)</f>
        <v>2</v>
      </c>
    </row>
    <row r="111" ht="15.75" customHeight="1">
      <c r="A111" s="10" t="str">
        <f>IFERROR(__xludf.DUMMYFUNCTION("""COMPUTED_VALUE"""),"https://www.thegutenberg.com/blog/measuring-marketing-roi-in-the-tech-industry-key-metrics-and-tools/")</f>
        <v>https://www.thegutenberg.com/blog/measuring-marketing-roi-in-the-tech-industry-key-metrics-and-tools/</v>
      </c>
      <c r="B111" s="11" t="str">
        <f>IFERROR(__xludf.DUMMYFUNCTION("""COMPUTED_VALUE"""),"Measuring Marketing ROI in Tech Brands: Metrics that Matter")</f>
        <v>Measuring Marketing ROI in Tech Brands: Metrics that Matter</v>
      </c>
      <c r="C111" s="10" t="str">
        <f>IFERROR(__xludf.DUMMYFUNCTION("""COMPUTED_VALUE"""),"thegutenberg.com")</f>
        <v>thegutenberg.com</v>
      </c>
      <c r="D111" s="11" t="str">
        <f>IFERROR(__xludf.DUMMYFUNCTION("""COMPUTED_VALUE"""),"ARTICLE")</f>
        <v>ARTICLE</v>
      </c>
      <c r="E111" s="11" t="str">
        <f>IFERROR(__xludf.DUMMYFUNCTION("""COMPUTED_VALUE"""),"OTHER")</f>
        <v>OTHER</v>
      </c>
      <c r="F111" s="11" t="str">
        <f>IFERROR(__xludf.DUMMYFUNCTION("""COMPUTED_VALUE"""),"Article")</f>
        <v>Article</v>
      </c>
      <c r="G111" s="11" t="b">
        <f>IFERROR(__xludf.DUMMYFUNCTION("""COMPUTED_VALUE"""),FALSE)</f>
        <v>0</v>
      </c>
      <c r="H111" s="11"/>
      <c r="I111" s="11">
        <f>IFERROR(__xludf.DUMMYFUNCTION("""COMPUTED_VALUE"""),1.0)</f>
        <v>1</v>
      </c>
      <c r="J111" s="11">
        <f>IFERROR(__xludf.DUMMYFUNCTION("""COMPUTED_VALUE"""),0.0)</f>
        <v>0</v>
      </c>
      <c r="K111" s="11">
        <f>IFERROR(__xludf.DUMMYFUNCTION("""COMPUTED_VALUE"""),1.0)</f>
        <v>1</v>
      </c>
    </row>
    <row r="112" ht="15.75" customHeight="1">
      <c r="A112" s="10" t="str">
        <f>IFERROR(__xludf.DUMMYFUNCTION("""COMPUTED_VALUE"""),"https://www.tradingview.com/news/zacks:213c37a79094b:0-ai-powered-earth-observation-drives-planet-labs-growth/")</f>
        <v>https://www.tradingview.com/news/zacks:213c37a79094b:0-ai-powered-earth-observation-drives-planet-labs-growth/</v>
      </c>
      <c r="B112" s="11" t="str">
        <f>IFERROR(__xludf.DUMMYFUNCTION("""COMPUTED_VALUE"""),"AI-Powered Earth Observation Drives Planet Labs' Growth? — TradingView News")</f>
        <v>AI-Powered Earth Observation Drives Planet Labs' Growth? — TradingView News</v>
      </c>
      <c r="C112" s="10" t="str">
        <f>IFERROR(__xludf.DUMMYFUNCTION("""COMPUTED_VALUE"""),"tradingview.com")</f>
        <v>tradingview.com</v>
      </c>
      <c r="D112" s="11" t="str">
        <f>IFERROR(__xludf.DUMMYFUNCTION("""COMPUTED_VALUE"""),"ARTICLE")</f>
        <v>ARTICLE</v>
      </c>
      <c r="E112" s="11" t="str">
        <f>IFERROR(__xludf.DUMMYFUNCTION("""COMPUTED_VALUE"""),"UGC")</f>
        <v>UGC</v>
      </c>
      <c r="F112" s="11" t="str">
        <f>IFERROR(__xludf.DUMMYFUNCTION("""COMPUTED_VALUE"""),"Article")</f>
        <v>Article</v>
      </c>
      <c r="G112" s="11" t="b">
        <f>IFERROR(__xludf.DUMMYFUNCTION("""COMPUTED_VALUE"""),FALSE)</f>
        <v>0</v>
      </c>
      <c r="H112" s="11" t="str">
        <f>IFERROR(__xludf.DUMMYFUNCTION("""COMPUTED_VALUE"""),"Momentum")</f>
        <v>Momentum</v>
      </c>
      <c r="I112" s="11">
        <f>IFERROR(__xludf.DUMMYFUNCTION("""COMPUTED_VALUE"""),1.0)</f>
        <v>1</v>
      </c>
      <c r="J112" s="11">
        <f>IFERROR(__xludf.DUMMYFUNCTION("""COMPUTED_VALUE"""),0.0)</f>
        <v>0</v>
      </c>
      <c r="K112" s="11">
        <f>IFERROR(__xludf.DUMMYFUNCTION("""COMPUTED_VALUE"""),2.0)</f>
        <v>2</v>
      </c>
    </row>
    <row r="113" ht="15.75" customHeight="1">
      <c r="A113" s="10" t="str">
        <f>IFERROR(__xludf.DUMMYFUNCTION("""COMPUTED_VALUE"""),"https://transform.omnicommedia.com/report-confirms-omnicom-media-leads-global-media-management-following-omg-mediabrands-integration/")</f>
        <v>https://transform.omnicommedia.com/report-confirms-omnicom-media-leads-global-media-management-following-omg-mediabrands-integration/</v>
      </c>
      <c r="B113" s="11" t="str">
        <f>IFERROR(__xludf.DUMMYFUNCTION("""COMPUTED_VALUE"""),"Home - Omnicom Media Transform")</f>
        <v>Home - Omnicom Media Transform</v>
      </c>
      <c r="C113" s="10" t="str">
        <f>IFERROR(__xludf.DUMMYFUNCTION("""COMPUTED_VALUE"""),"omnicommedia.com")</f>
        <v>omnicommedia.com</v>
      </c>
      <c r="D113" s="11" t="str">
        <f>IFERROR(__xludf.DUMMYFUNCTION("""COMPUTED_VALUE"""),"ARTICLE")</f>
        <v>ARTICLE</v>
      </c>
      <c r="E113" s="11" t="str">
        <f>IFERROR(__xludf.DUMMYFUNCTION("""COMPUTED_VALUE"""),"CORPORATE")</f>
        <v>CORPORATE</v>
      </c>
      <c r="F113" s="11" t="str">
        <f>IFERROR(__xludf.DUMMYFUNCTION("""COMPUTED_VALUE"""),"Article")</f>
        <v>Article</v>
      </c>
      <c r="G113" s="11" t="b">
        <f>IFERROR(__xludf.DUMMYFUNCTION("""COMPUTED_VALUE"""),FALSE)</f>
        <v>0</v>
      </c>
      <c r="H113" s="11" t="str">
        <f>IFERROR(__xludf.DUMMYFUNCTION("""COMPUTED_VALUE"""),"IBM, Acxiom, Omnicom Media Group")</f>
        <v>IBM, Acxiom, Omnicom Media Group</v>
      </c>
      <c r="I113" s="11">
        <f>IFERROR(__xludf.DUMMYFUNCTION("""COMPUTED_VALUE"""),1.0)</f>
        <v>1</v>
      </c>
      <c r="J113" s="11">
        <f>IFERROR(__xludf.DUMMYFUNCTION("""COMPUTED_VALUE"""),0.0)</f>
        <v>0</v>
      </c>
      <c r="K113" s="11">
        <f>IFERROR(__xludf.DUMMYFUNCTION("""COMPUTED_VALUE"""),0.0)</f>
        <v>0</v>
      </c>
    </row>
    <row r="114" ht="15.75" customHeight="1">
      <c r="A114" s="10" t="str">
        <f>IFERROR(__xludf.DUMMYFUNCTION("""COMPUTED_VALUE"""),"https://www.vdigitalservices.com/press-releases/v-digital-services-earns-google-premier-partner-status-for-fifth-consecutive-year/")</f>
        <v>https://www.vdigitalservices.com/press-releases/v-digital-services-earns-google-premier-partner-status-for-fifth-consecutive-year/</v>
      </c>
      <c r="B114" s="11" t="str">
        <f>IFERROR(__xludf.DUMMYFUNCTION("""COMPUTED_VALUE"""),"V Digital Services Earns Google Premier Partner Status for Fifth Consecutive Year - V Digital Services")</f>
        <v>V Digital Services Earns Google Premier Partner Status for Fifth Consecutive Year - V Digital Services</v>
      </c>
      <c r="C114" s="10" t="str">
        <f>IFERROR(__xludf.DUMMYFUNCTION("""COMPUTED_VALUE"""),"vdigitalservices.com")</f>
        <v>vdigitalservices.com</v>
      </c>
      <c r="D114" s="11" t="str">
        <f>IFERROR(__xludf.DUMMYFUNCTION("""COMPUTED_VALUE"""),"ARTICLE")</f>
        <v>ARTICLE</v>
      </c>
      <c r="E114" s="11" t="str">
        <f>IFERROR(__xludf.DUMMYFUNCTION("""COMPUTED_VALUE"""),"CORPORATE")</f>
        <v>CORPORATE</v>
      </c>
      <c r="F114" s="11" t="str">
        <f>IFERROR(__xludf.DUMMYFUNCTION("""COMPUTED_VALUE"""),"Article")</f>
        <v>Article</v>
      </c>
      <c r="G114" s="11" t="b">
        <f>IFERROR(__xludf.DUMMYFUNCTION("""COMPUTED_VALUE"""),FALSE)</f>
        <v>0</v>
      </c>
      <c r="H114" s="11"/>
      <c r="I114" s="11">
        <f>IFERROR(__xludf.DUMMYFUNCTION("""COMPUTED_VALUE"""),1.0)</f>
        <v>1</v>
      </c>
      <c r="J114" s="11">
        <f>IFERROR(__xludf.DUMMYFUNCTION("""COMPUTED_VALUE"""),0.0)</f>
        <v>0</v>
      </c>
      <c r="K114" s="11">
        <f>IFERROR(__xludf.DUMMYFUNCTION("""COMPUTED_VALUE"""),0.0)</f>
        <v>0</v>
      </c>
    </row>
    <row r="115" ht="15.75" customHeight="1">
      <c r="A115" s="10" t="str">
        <f>IFERROR(__xludf.DUMMYFUNCTION("""COMPUTED_VALUE"""),"https://whitehat-seo.co.uk/blog/ai-impact-on-consulting#:~:text=Deloitte%20leads%20on%20investment%20scale%20at%20%243,with%20outcomes%2Dbased%20billing%20models%20for%20AI%2Denabled%20engagements.")</f>
        <v>https://whitehat-seo.co.uk/blog/ai-impact-on-consulting#:~:text=Deloitte%20leads%20on%20investment%20scale%20at%20%243,with%20outcomes%2Dbased%20billing%20models%20for%20AI%2Denabled%20engagements.</v>
      </c>
      <c r="B115" s="11" t="str">
        <f>IFERROR(__xludf.DUMMYFUNCTION("""COMPUTED_VALUE"""),"How AI Is Reshaping Consulting in 2026 | Whitehat")</f>
        <v>How AI Is Reshaping Consulting in 2026 | Whitehat</v>
      </c>
      <c r="C115" s="10" t="str">
        <f>IFERROR(__xludf.DUMMYFUNCTION("""COMPUTED_VALUE"""),"whitehat-seo.co.uk")</f>
        <v>whitehat-seo.co.uk</v>
      </c>
      <c r="D115" s="11" t="str">
        <f>IFERROR(__xludf.DUMMYFUNCTION("""COMPUTED_VALUE"""),"ARTICLE")</f>
        <v>ARTICLE</v>
      </c>
      <c r="E115" s="11" t="str">
        <f>IFERROR(__xludf.DUMMYFUNCTION("""COMPUTED_VALUE"""),"CORPORATE")</f>
        <v>CORPORATE</v>
      </c>
      <c r="F115" s="11" t="str">
        <f>IFERROR(__xludf.DUMMYFUNCTION("""COMPUTED_VALUE"""),"Article")</f>
        <v>Article</v>
      </c>
      <c r="G115" s="11" t="b">
        <f>IFERROR(__xludf.DUMMYFUNCTION("""COMPUTED_VALUE"""),FALSE)</f>
        <v>0</v>
      </c>
      <c r="H115" s="11" t="str">
        <f>IFERROR(__xludf.DUMMYFUNCTION("""COMPUTED_VALUE"""),"McKinsey, BCG, PwC, QuantumBlack, Measured")</f>
        <v>McKinsey, BCG, PwC, QuantumBlack, Measured</v>
      </c>
      <c r="I115" s="11">
        <f>IFERROR(__xludf.DUMMYFUNCTION("""COMPUTED_VALUE"""),1.0)</f>
        <v>1</v>
      </c>
      <c r="J115" s="11">
        <f>IFERROR(__xludf.DUMMYFUNCTION("""COMPUTED_VALUE"""),0.0)</f>
        <v>0</v>
      </c>
      <c r="K115" s="11">
        <f>IFERROR(__xludf.DUMMYFUNCTION("""COMPUTED_VALUE"""),1.0)</f>
        <v>1</v>
      </c>
    </row>
    <row r="116" ht="15.75" customHeight="1">
      <c r="A116" s="10" t="str">
        <f>IFERROR(__xludf.DUMMYFUNCTION("""COMPUTED_VALUE"""),"https://worldcomgroup.com/insights/ai-visibility-and-new-era-of-pr/")</f>
        <v>https://worldcomgroup.com/insights/ai-visibility-and-new-era-of-pr/</v>
      </c>
      <c r="B116" s="11" t="str">
        <f>IFERROR(__xludf.DUMMYFUNCTION("""COMPUTED_VALUE"""),"How AI &amp;amp; Generative Engine Optimization is Transforming Public Relations")</f>
        <v>How AI &amp;amp; Generative Engine Optimization is Transforming Public Relations</v>
      </c>
      <c r="C116" s="10" t="str">
        <f>IFERROR(__xludf.DUMMYFUNCTION("""COMPUTED_VALUE"""),"worldcomgroup.com")</f>
        <v>worldcomgroup.com</v>
      </c>
      <c r="D116" s="11" t="str">
        <f>IFERROR(__xludf.DUMMYFUNCTION("""COMPUTED_VALUE"""),"ARTICLE")</f>
        <v>ARTICLE</v>
      </c>
      <c r="E116" s="11" t="str">
        <f>IFERROR(__xludf.DUMMYFUNCTION("""COMPUTED_VALUE"""),"CORPORATE")</f>
        <v>CORPORATE</v>
      </c>
      <c r="F116" s="11" t="str">
        <f>IFERROR(__xludf.DUMMYFUNCTION("""COMPUTED_VALUE"""),"Article")</f>
        <v>Article</v>
      </c>
      <c r="G116" s="11" t="b">
        <f>IFERROR(__xludf.DUMMYFUNCTION("""COMPUTED_VALUE"""),FALSE)</f>
        <v>0</v>
      </c>
      <c r="H116" s="11"/>
      <c r="I116" s="11">
        <f>IFERROR(__xludf.DUMMYFUNCTION("""COMPUTED_VALUE"""),1.0)</f>
        <v>1</v>
      </c>
      <c r="J116" s="11">
        <f>IFERROR(__xludf.DUMMYFUNCTION("""COMPUTED_VALUE"""),0.0)</f>
        <v>0</v>
      </c>
      <c r="K116" s="11">
        <f>IFERROR(__xludf.DUMMYFUNCTION("""COMPUTED_VALUE"""),1.0)</f>
        <v>1</v>
      </c>
    </row>
    <row r="117" ht="15.75" customHeight="1">
      <c r="A117" s="10" t="str">
        <f>IFERROR(__xludf.DUMMYFUNCTION("""COMPUTED_VALUE"""),"https://www.wsj.com/articles/big-ad-agencies-hope-to-gain-edge-by-buying-data-companies-11560823201")</f>
        <v>https://www.wsj.com/articles/big-ad-agencies-hope-to-gain-edge-by-buying-data-companies-11560823201</v>
      </c>
      <c r="B117" s="11" t="str">
        <f>IFERROR(__xludf.DUMMYFUNCTION("""COMPUTED_VALUE"""),"Big Ad Agencies Hope to Gain Edge by Buying Data Companies - WSJ")</f>
        <v>Big Ad Agencies Hope to Gain Edge by Buying Data Companies - WSJ</v>
      </c>
      <c r="C117" s="10" t="str">
        <f>IFERROR(__xludf.DUMMYFUNCTION("""COMPUTED_VALUE"""),"wsj.com")</f>
        <v>wsj.com</v>
      </c>
      <c r="D117" s="11" t="str">
        <f>IFERROR(__xludf.DUMMYFUNCTION("""COMPUTED_VALUE"""),"ARTICLE")</f>
        <v>ARTICLE</v>
      </c>
      <c r="E117" s="11" t="str">
        <f>IFERROR(__xludf.DUMMYFUNCTION("""COMPUTED_VALUE"""),"EDITORIAL")</f>
        <v>EDITORIAL</v>
      </c>
      <c r="F117" s="11" t="str">
        <f>IFERROR(__xludf.DUMMYFUNCTION("""COMPUTED_VALUE"""),"Article")</f>
        <v>Article</v>
      </c>
      <c r="G117" s="11" t="b">
        <f>IFERROR(__xludf.DUMMYFUNCTION("""COMPUTED_VALUE"""),FALSE)</f>
        <v>0</v>
      </c>
      <c r="H117" s="11" t="str">
        <f>IFERROR(__xludf.DUMMYFUNCTION("""COMPUTED_VALUE"""),"Epsilon, Publicis Groupe")</f>
        <v>Epsilon, Publicis Groupe</v>
      </c>
      <c r="I117" s="11">
        <f>IFERROR(__xludf.DUMMYFUNCTION("""COMPUTED_VALUE"""),1.0)</f>
        <v>1</v>
      </c>
      <c r="J117" s="11">
        <f>IFERROR(__xludf.DUMMYFUNCTION("""COMPUTED_VALUE"""),0.0)</f>
        <v>0</v>
      </c>
      <c r="K117" s="11">
        <f>IFERROR(__xludf.DUMMYFUNCTION("""COMPUTED_VALUE"""),1.0)</f>
        <v>1</v>
      </c>
    </row>
    <row r="118" ht="15.75" customHeight="1">
      <c r="A118" s="10" t="str">
        <f>IFERROR(__xludf.DUMMYFUNCTION("""COMPUTED_VALUE"""),"https://www.youtube.com/watch?v=LPvRUxJ5J1E")</f>
        <v>https://www.youtube.com/watch?v=LPvRUxJ5J1E</v>
      </c>
      <c r="B118" s="11" t="str">
        <f>IFERROR(__xludf.DUMMYFUNCTION("""COMPUTED_VALUE"""),"Incrementality Testing and Marketing ROI with Aleksandra Semenenko - Data Coffee")</f>
        <v>Incrementality Testing and Marketing ROI with Aleksandra Semenenko - Data Coffee</v>
      </c>
      <c r="C118" s="10" t="str">
        <f>IFERROR(__xludf.DUMMYFUNCTION("""COMPUTED_VALUE"""),"youtube.com")</f>
        <v>youtube.com</v>
      </c>
      <c r="D118" s="11" t="str">
        <f>IFERROR(__xludf.DUMMYFUNCTION("""COMPUTED_VALUE"""),"ARTICLE")</f>
        <v>ARTICLE</v>
      </c>
      <c r="E118" s="11" t="str">
        <f>IFERROR(__xludf.DUMMYFUNCTION("""COMPUTED_VALUE"""),"UGC")</f>
        <v>UGC</v>
      </c>
      <c r="F118" s="11" t="str">
        <f>IFERROR(__xludf.DUMMYFUNCTION("""COMPUTED_VALUE"""),"Article")</f>
        <v>Article</v>
      </c>
      <c r="G118" s="11" t="b">
        <f>IFERROR(__xludf.DUMMYFUNCTION("""COMPUTED_VALUE"""),FALSE)</f>
        <v>0</v>
      </c>
      <c r="H118" s="11" t="str">
        <f>IFERROR(__xludf.DUMMYFUNCTION("""COMPUTED_VALUE"""),"Huge")</f>
        <v>Huge</v>
      </c>
      <c r="I118" s="11">
        <f>IFERROR(__xludf.DUMMYFUNCTION("""COMPUTED_VALUE"""),1.0)</f>
        <v>1</v>
      </c>
      <c r="J118" s="11">
        <f>IFERROR(__xludf.DUMMYFUNCTION("""COMPUTED_VALUE"""),0.0)</f>
        <v>0</v>
      </c>
      <c r="K118" s="11">
        <f>IFERROR(__xludf.DUMMYFUNCTION("""COMPUTED_VALUE"""),1.0)</f>
        <v>1</v>
      </c>
    </row>
    <row r="119" ht="15.75" customHeight="1">
      <c r="A119" s="10" t="str">
        <f>IFERROR(__xludf.DUMMYFUNCTION("""COMPUTED_VALUE"""),"https://www.youtube.com/watch?v=OvrST0uq8uk")</f>
        <v>https://www.youtube.com/watch?v=OvrST0uq8uk</v>
      </c>
      <c r="B119" s="11" t="str">
        <f>IFERROR(__xludf.DUMMYFUNCTION("""COMPUTED_VALUE"""),"How Mejuri Used Incrementality Testing to Unlock a 13% Lift in New Customer Revenue | Haus")</f>
        <v>How Mejuri Used Incrementality Testing to Unlock a 13% Lift in New Customer Revenue | Haus</v>
      </c>
      <c r="C119" s="10" t="str">
        <f>IFERROR(__xludf.DUMMYFUNCTION("""COMPUTED_VALUE"""),"youtube.com")</f>
        <v>youtube.com</v>
      </c>
      <c r="D119" s="11" t="str">
        <f>IFERROR(__xludf.DUMMYFUNCTION("""COMPUTED_VALUE"""),"ARTICLE")</f>
        <v>ARTICLE</v>
      </c>
      <c r="E119" s="11" t="str">
        <f>IFERROR(__xludf.DUMMYFUNCTION("""COMPUTED_VALUE"""),"UGC")</f>
        <v>UGC</v>
      </c>
      <c r="F119" s="11" t="str">
        <f>IFERROR(__xludf.DUMMYFUNCTION("""COMPUTED_VALUE"""),"Article")</f>
        <v>Article</v>
      </c>
      <c r="G119" s="11" t="b">
        <f>IFERROR(__xludf.DUMMYFUNCTION("""COMPUTED_VALUE"""),FALSE)</f>
        <v>0</v>
      </c>
      <c r="H119" s="11" t="str">
        <f>IFERROR(__xludf.DUMMYFUNCTION("""COMPUTED_VALUE"""),"Measured, Haus")</f>
        <v>Measured, Haus</v>
      </c>
      <c r="I119" s="11">
        <f>IFERROR(__xludf.DUMMYFUNCTION("""COMPUTED_VALUE"""),1.0)</f>
        <v>1</v>
      </c>
      <c r="J119" s="11">
        <f>IFERROR(__xludf.DUMMYFUNCTION("""COMPUTED_VALUE"""),0.0)</f>
        <v>0</v>
      </c>
      <c r="K119" s="11">
        <f>IFERROR(__xludf.DUMMYFUNCTION("""COMPUTED_VALUE"""),1.0)</f>
        <v>1</v>
      </c>
    </row>
    <row r="120" ht="15.75" customHeight="1">
      <c r="A120" s="10" t="str">
        <f>IFERROR(__xludf.DUMMYFUNCTION("""COMPUTED_VALUE"""),"https://www.youtube.com/watch?v=XhMbeN7cH34&amp;t=707")</f>
        <v>https://www.youtube.com/watch?v=XhMbeN7cH34&amp;t=707</v>
      </c>
      <c r="B120" s="11" t="str">
        <f>IFERROR(__xludf.DUMMYFUNCTION("""COMPUTED_VALUE"""),"Incrementality Testing: How to Actually Measure Marketing Effectiveness (2026)")</f>
        <v>Incrementality Testing: How to Actually Measure Marketing Effectiveness (2026)</v>
      </c>
      <c r="C120" s="10" t="str">
        <f>IFERROR(__xludf.DUMMYFUNCTION("""COMPUTED_VALUE"""),"youtube.com")</f>
        <v>youtube.com</v>
      </c>
      <c r="D120" s="11" t="str">
        <f>IFERROR(__xludf.DUMMYFUNCTION("""COMPUTED_VALUE"""),"ARTICLE")</f>
        <v>ARTICLE</v>
      </c>
      <c r="E120" s="11" t="str">
        <f>IFERROR(__xludf.DUMMYFUNCTION("""COMPUTED_VALUE"""),"UGC")</f>
        <v>UGC</v>
      </c>
      <c r="F120" s="11" t="str">
        <f>IFERROR(__xludf.DUMMYFUNCTION("""COMPUTED_VALUE"""),"Article")</f>
        <v>Article</v>
      </c>
      <c r="G120" s="11" t="b">
        <f>IFERROR(__xludf.DUMMYFUNCTION("""COMPUTED_VALUE"""),FALSE)</f>
        <v>0</v>
      </c>
      <c r="H120" s="11" t="str">
        <f>IFERROR(__xludf.DUMMYFUNCTION("""COMPUTED_VALUE"""),"Recast")</f>
        <v>Recast</v>
      </c>
      <c r="I120" s="11">
        <f>IFERROR(__xludf.DUMMYFUNCTION("""COMPUTED_VALUE"""),1.0)</f>
        <v>1</v>
      </c>
      <c r="J120" s="11">
        <f>IFERROR(__xludf.DUMMYFUNCTION("""COMPUTED_VALUE"""),0.0)</f>
        <v>0</v>
      </c>
      <c r="K120" s="11">
        <f>IFERROR(__xludf.DUMMYFUNCTION("""COMPUTED_VALUE"""),1.0)</f>
        <v>1</v>
      </c>
    </row>
    <row r="121" ht="15.75" customHeight="1">
      <c r="A121" s="10" t="str">
        <f>IFERROR(__xludf.DUMMYFUNCTION("""COMPUTED_VALUE"""),"https://www.youtube.com/watch?v=XuM7q15_u04")</f>
        <v>https://www.youtube.com/watch?v=XuM7q15_u04</v>
      </c>
      <c r="B121" s="11" t="str">
        <f>IFERROR(__xludf.DUMMYFUNCTION("""COMPUTED_VALUE"""),"How Incrementality Cuts Waste + What and Where to Test in Ecommerce")</f>
        <v>How Incrementality Cuts Waste + What and Where to Test in Ecommerce</v>
      </c>
      <c r="C121" s="10" t="str">
        <f>IFERROR(__xludf.DUMMYFUNCTION("""COMPUTED_VALUE"""),"youtube.com")</f>
        <v>youtube.com</v>
      </c>
      <c r="D121" s="11" t="str">
        <f>IFERROR(__xludf.DUMMYFUNCTION("""COMPUTED_VALUE"""),"ARTICLE")</f>
        <v>ARTICLE</v>
      </c>
      <c r="E121" s="11" t="str">
        <f>IFERROR(__xludf.DUMMYFUNCTION("""COMPUTED_VALUE"""),"UGC")</f>
        <v>UGC</v>
      </c>
      <c r="F121" s="11" t="str">
        <f>IFERROR(__xludf.DUMMYFUNCTION("""COMPUTED_VALUE"""),"Article")</f>
        <v>Article</v>
      </c>
      <c r="G121" s="11" t="b">
        <f>IFERROR(__xludf.DUMMYFUNCTION("""COMPUTED_VALUE"""),FALSE)</f>
        <v>0</v>
      </c>
      <c r="H121" s="11" t="str">
        <f>IFERROR(__xludf.DUMMYFUNCTION("""COMPUTED_VALUE"""),"Northbeam, Measured, Huge")</f>
        <v>Northbeam, Measured, Huge</v>
      </c>
      <c r="I121" s="11">
        <f>IFERROR(__xludf.DUMMYFUNCTION("""COMPUTED_VALUE"""),1.0)</f>
        <v>1</v>
      </c>
      <c r="J121" s="11">
        <f>IFERROR(__xludf.DUMMYFUNCTION("""COMPUTED_VALUE"""),0.0)</f>
        <v>0</v>
      </c>
      <c r="K121" s="11">
        <f>IFERROR(__xludf.DUMMYFUNCTION("""COMPUTED_VALUE"""),1.0)</f>
        <v>1</v>
      </c>
    </row>
    <row r="122" ht="15.75" customHeight="1">
      <c r="A122" s="10" t="str">
        <f>IFERROR(__xludf.DUMMYFUNCTION("""COMPUTED_VALUE"""),"https://www.youtube.com/watch?v=YVG_HfB0Dpw&amp;t=604")</f>
        <v>https://www.youtube.com/watch?v=YVG_HfB0Dpw&amp;t=604</v>
      </c>
      <c r="B122" s="11" t="str">
        <f>IFERROR(__xludf.DUMMYFUNCTION("""COMPUTED_VALUE"""),"3 Best AI Marketing Agencies To Start in 2025")</f>
        <v>3 Best AI Marketing Agencies To Start in 2025</v>
      </c>
      <c r="C122" s="10" t="str">
        <f>IFERROR(__xludf.DUMMYFUNCTION("""COMPUTED_VALUE"""),"youtube.com")</f>
        <v>youtube.com</v>
      </c>
      <c r="D122" s="11" t="str">
        <f>IFERROR(__xludf.DUMMYFUNCTION("""COMPUTED_VALUE"""),"ARTICLE")</f>
        <v>ARTICLE</v>
      </c>
      <c r="E122" s="11" t="str">
        <f>IFERROR(__xludf.DUMMYFUNCTION("""COMPUTED_VALUE"""),"UGC")</f>
        <v>UGC</v>
      </c>
      <c r="F122" s="11" t="str">
        <f>IFERROR(__xludf.DUMMYFUNCTION("""COMPUTED_VALUE"""),"Article")</f>
        <v>Article</v>
      </c>
      <c r="G122" s="11" t="b">
        <f>IFERROR(__xludf.DUMMYFUNCTION("""COMPUTED_VALUE"""),FALSE)</f>
        <v>0</v>
      </c>
      <c r="H122" s="11"/>
      <c r="I122" s="11">
        <f>IFERROR(__xludf.DUMMYFUNCTION("""COMPUTED_VALUE"""),1.0)</f>
        <v>1</v>
      </c>
      <c r="J122" s="11">
        <f>IFERROR(__xludf.DUMMYFUNCTION("""COMPUTED_VALUE"""),0.0)</f>
        <v>0</v>
      </c>
      <c r="K122" s="11">
        <f>IFERROR(__xludf.DUMMYFUNCTION("""COMPUTED_VALUE"""),1.0)</f>
        <v>1</v>
      </c>
    </row>
    <row r="123" ht="15.75" customHeight="1">
      <c r="A123" s="10" t="str">
        <f>IFERROR(__xludf.DUMMYFUNCTION("""COMPUTED_VALUE"""),"https://www.youtube.com/watch?v=a_Q3LpltO8I&amp;t=2")</f>
        <v>https://www.youtube.com/watch?v=a_Q3LpltO8I&amp;t=2</v>
      </c>
      <c r="B123" s="11" t="str">
        <f>IFERROR(__xludf.DUMMYFUNCTION("""COMPUTED_VALUE"""),"Top Marketing Attribution Software")</f>
        <v>Top Marketing Attribution Software</v>
      </c>
      <c r="C123" s="10" t="str">
        <f>IFERROR(__xludf.DUMMYFUNCTION("""COMPUTED_VALUE"""),"youtube.com")</f>
        <v>youtube.com</v>
      </c>
      <c r="D123" s="11" t="str">
        <f>IFERROR(__xludf.DUMMYFUNCTION("""COMPUTED_VALUE"""),"ARTICLE")</f>
        <v>ARTICLE</v>
      </c>
      <c r="E123" s="11" t="str">
        <f>IFERROR(__xludf.DUMMYFUNCTION("""COMPUTED_VALUE"""),"UGC")</f>
        <v>UGC</v>
      </c>
      <c r="F123" s="11" t="str">
        <f>IFERROR(__xludf.DUMMYFUNCTION("""COMPUTED_VALUE"""),"Article")</f>
        <v>Article</v>
      </c>
      <c r="G123" s="11" t="b">
        <f>IFERROR(__xludf.DUMMYFUNCTION("""COMPUTED_VALUE"""),FALSE)</f>
        <v>0</v>
      </c>
      <c r="H123" s="11" t="str">
        <f>IFERROR(__xludf.DUMMYFUNCTION("""COMPUTED_VALUE"""),"Cometly")</f>
        <v>Cometly</v>
      </c>
      <c r="I123" s="11">
        <f>IFERROR(__xludf.DUMMYFUNCTION("""COMPUTED_VALUE"""),1.0)</f>
        <v>1</v>
      </c>
      <c r="J123" s="11">
        <f>IFERROR(__xludf.DUMMYFUNCTION("""COMPUTED_VALUE"""),0.0)</f>
        <v>0</v>
      </c>
      <c r="K123" s="11">
        <f>IFERROR(__xludf.DUMMYFUNCTION("""COMPUTED_VALUE"""),1.0)</f>
        <v>1</v>
      </c>
    </row>
    <row r="124" ht="15.75" customHeight="1">
      <c r="A124" s="10" t="str">
        <f>IFERROR(__xludf.DUMMYFUNCTION("""COMPUTED_VALUE"""),"https://www.youtube.com/watch?v=ytsrFDab4QQ")</f>
        <v>https://www.youtube.com/watch?v=ytsrFDab4QQ</v>
      </c>
      <c r="B124" s="11" t="str">
        <f>IFERROR(__xludf.DUMMYFUNCTION("""COMPUTED_VALUE"""),"E123: The Meta Incrementality Report: Lessons from 640 Haus Experiments")</f>
        <v>E123: The Meta Incrementality Report: Lessons from 640 Haus Experiments</v>
      </c>
      <c r="C124" s="10" t="str">
        <f>IFERROR(__xludf.DUMMYFUNCTION("""COMPUTED_VALUE"""),"youtube.com")</f>
        <v>youtube.com</v>
      </c>
      <c r="D124" s="11" t="str">
        <f>IFERROR(__xludf.DUMMYFUNCTION("""COMPUTED_VALUE"""),"ARTICLE")</f>
        <v>ARTICLE</v>
      </c>
      <c r="E124" s="11" t="str">
        <f>IFERROR(__xludf.DUMMYFUNCTION("""COMPUTED_VALUE"""),"UGC")</f>
        <v>UGC</v>
      </c>
      <c r="F124" s="11" t="str">
        <f>IFERROR(__xludf.DUMMYFUNCTION("""COMPUTED_VALUE"""),"Article")</f>
        <v>Article</v>
      </c>
      <c r="G124" s="11" t="b">
        <f>IFERROR(__xludf.DUMMYFUNCTION("""COMPUTED_VALUE"""),FALSE)</f>
        <v>0</v>
      </c>
      <c r="H124" s="11" t="str">
        <f>IFERROR(__xludf.DUMMYFUNCTION("""COMPUTED_VALUE"""),"Haus, Northbeam, Measured, Huge")</f>
        <v>Haus, Northbeam, Measured, Huge</v>
      </c>
      <c r="I124" s="11">
        <f>IFERROR(__xludf.DUMMYFUNCTION("""COMPUTED_VALUE"""),1.0)</f>
        <v>1</v>
      </c>
      <c r="J124" s="11">
        <f>IFERROR(__xludf.DUMMYFUNCTION("""COMPUTED_VALUE"""),0.0)</f>
        <v>0</v>
      </c>
      <c r="K124" s="11">
        <f>IFERROR(__xludf.DUMMYFUNCTION("""COMPUTED_VALUE"""),1.0)</f>
        <v>1</v>
      </c>
    </row>
    <row r="125" ht="15.75" customHeight="1">
      <c r="A125" s="10" t="str">
        <f>IFERROR(__xludf.DUMMYFUNCTION("""COMPUTED_VALUE"""),"https://zetaglobal.com/resource-center/ai-first-party-data-agency-growth/")</f>
        <v>https://zetaglobal.com/resource-center/ai-first-party-data-agency-growth/</v>
      </c>
      <c r="B125" s="11" t="str">
        <f>IFERROR(__xludf.DUMMYFUNCTION("""COMPUTED_VALUE"""),"AI-Powered First-Party Data for Agency Growth | Zeta")</f>
        <v>AI-Powered First-Party Data for Agency Growth | Zeta</v>
      </c>
      <c r="C125" s="10" t="str">
        <f>IFERROR(__xludf.DUMMYFUNCTION("""COMPUTED_VALUE"""),"zetaglobal.com")</f>
        <v>zetaglobal.com</v>
      </c>
      <c r="D125" s="11" t="str">
        <f>IFERROR(__xludf.DUMMYFUNCTION("""COMPUTED_VALUE"""),"ARTICLE")</f>
        <v>ARTICLE</v>
      </c>
      <c r="E125" s="11" t="str">
        <f>IFERROR(__xludf.DUMMYFUNCTION("""COMPUTED_VALUE"""),"CORPORATE")</f>
        <v>CORPORATE</v>
      </c>
      <c r="F125" s="11" t="str">
        <f>IFERROR(__xludf.DUMMYFUNCTION("""COMPUTED_VALUE"""),"Article")</f>
        <v>Article</v>
      </c>
      <c r="G125" s="11" t="b">
        <f>IFERROR(__xludf.DUMMYFUNCTION("""COMPUTED_VALUE"""),FALSE)</f>
        <v>0</v>
      </c>
      <c r="H125" s="11" t="str">
        <f>IFERROR(__xludf.DUMMYFUNCTION("""COMPUTED_VALUE"""),"Measured")</f>
        <v>Measured</v>
      </c>
      <c r="I125" s="11">
        <f>IFERROR(__xludf.DUMMYFUNCTION("""COMPUTED_VALUE"""),1.0)</f>
        <v>1</v>
      </c>
      <c r="J125" s="11">
        <f>IFERROR(__xludf.DUMMYFUNCTION("""COMPUTED_VALUE"""),0.0)</f>
        <v>0</v>
      </c>
      <c r="K125" s="11">
        <f>IFERROR(__xludf.DUMMYFUNCTION("""COMPUTED_VALUE"""),3.0)</f>
        <v>3</v>
      </c>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A6"/>
    <hyperlink r:id="rId8" ref="C6"/>
    <hyperlink r:id="rId9" ref="A7"/>
    <hyperlink r:id="rId10" ref="C7"/>
    <hyperlink r:id="rId11" ref="A8"/>
    <hyperlink r:id="rId12" ref="C8"/>
    <hyperlink r:id="rId13" ref="A9"/>
    <hyperlink r:id="rId14" ref="C9"/>
    <hyperlink r:id="rId15" ref="A10"/>
    <hyperlink r:id="rId16" ref="C10"/>
    <hyperlink r:id="rId17" ref="A11"/>
    <hyperlink r:id="rId18" ref="C11"/>
    <hyperlink r:id="rId19" ref="A12"/>
    <hyperlink r:id="rId20" ref="C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A29"/>
    <hyperlink r:id="rId53" ref="A30"/>
    <hyperlink r:id="rId54" ref="C30"/>
    <hyperlink r:id="rId55" ref="A31"/>
    <hyperlink r:id="rId56" ref="C31"/>
    <hyperlink r:id="rId57" ref="A32"/>
    <hyperlink r:id="rId58" ref="C32"/>
    <hyperlink r:id="rId59" ref="A33"/>
    <hyperlink r:id="rId60" ref="C33"/>
    <hyperlink r:id="rId61" ref="A34"/>
    <hyperlink r:id="rId62" ref="C34"/>
    <hyperlink r:id="rId63" ref="A35"/>
    <hyperlink r:id="rId64" ref="C35"/>
    <hyperlink r:id="rId65" ref="A36"/>
    <hyperlink r:id="rId66" ref="A37"/>
    <hyperlink r:id="rId67" ref="C37"/>
    <hyperlink r:id="rId68" ref="A38"/>
    <hyperlink r:id="rId69" ref="C38"/>
    <hyperlink r:id="rId70" ref="A39"/>
    <hyperlink r:id="rId71" ref="C39"/>
    <hyperlink r:id="rId72" ref="A40"/>
    <hyperlink r:id="rId73" ref="C40"/>
    <hyperlink r:id="rId74" ref="A41"/>
    <hyperlink r:id="rId75" ref="C41"/>
    <hyperlink r:id="rId76" ref="A42"/>
    <hyperlink r:id="rId77" ref="C42"/>
    <hyperlink r:id="rId78" ref="A43"/>
    <hyperlink r:id="rId79" ref="C43"/>
    <hyperlink r:id="rId80" ref="A44"/>
    <hyperlink r:id="rId81" ref="C44"/>
    <hyperlink r:id="rId82" ref="A45"/>
    <hyperlink r:id="rId83" ref="C45"/>
    <hyperlink r:id="rId84" ref="A46"/>
    <hyperlink r:id="rId85" ref="C46"/>
    <hyperlink r:id="rId86" ref="A47"/>
    <hyperlink r:id="rId87" ref="C47"/>
    <hyperlink r:id="rId88" ref="A48"/>
    <hyperlink r:id="rId89" ref="C48"/>
    <hyperlink r:id="rId90" ref="A49"/>
    <hyperlink r:id="rId91" ref="C49"/>
    <hyperlink r:id="rId92" ref="A50"/>
    <hyperlink r:id="rId93" ref="C50"/>
    <hyperlink r:id="rId94" ref="A51"/>
    <hyperlink r:id="rId95" ref="C51"/>
    <hyperlink r:id="rId96" ref="A52"/>
    <hyperlink r:id="rId97" ref="C52"/>
    <hyperlink r:id="rId98" ref="A53"/>
    <hyperlink r:id="rId99" ref="C53"/>
    <hyperlink r:id="rId100" ref="A54"/>
    <hyperlink r:id="rId101" ref="C54"/>
    <hyperlink r:id="rId102" ref="A55"/>
    <hyperlink r:id="rId103" ref="C55"/>
    <hyperlink r:id="rId104" ref="A56"/>
    <hyperlink r:id="rId105" ref="C56"/>
    <hyperlink r:id="rId106" ref="A57"/>
    <hyperlink r:id="rId107" ref="C57"/>
    <hyperlink r:id="rId108" ref="A58"/>
    <hyperlink r:id="rId109" ref="C58"/>
    <hyperlink r:id="rId110" ref="A59"/>
    <hyperlink r:id="rId111" ref="C59"/>
    <hyperlink r:id="rId112" ref="A60"/>
    <hyperlink r:id="rId113" ref="C60"/>
    <hyperlink r:id="rId114" ref="A61"/>
    <hyperlink r:id="rId115" ref="C61"/>
    <hyperlink r:id="rId116" ref="A62"/>
    <hyperlink r:id="rId117" ref="C62"/>
    <hyperlink r:id="rId118" ref="A63"/>
    <hyperlink r:id="rId119" ref="C63"/>
    <hyperlink r:id="rId120" ref="A64"/>
    <hyperlink r:id="rId121" ref="C64"/>
    <hyperlink r:id="rId122" ref="A65"/>
    <hyperlink r:id="rId123" ref="C65"/>
    <hyperlink r:id="rId124" ref="A66"/>
    <hyperlink r:id="rId125" ref="C66"/>
    <hyperlink r:id="rId126" ref="A67"/>
    <hyperlink r:id="rId127" ref="C67"/>
    <hyperlink r:id="rId128" ref="A68"/>
    <hyperlink r:id="rId129" ref="C68"/>
    <hyperlink r:id="rId130" ref="A69"/>
    <hyperlink r:id="rId131" ref="C69"/>
    <hyperlink r:id="rId132" ref="A70"/>
    <hyperlink r:id="rId133" ref="C70"/>
    <hyperlink r:id="rId134" ref="A71"/>
    <hyperlink r:id="rId135" ref="C71"/>
    <hyperlink r:id="rId136" ref="A72"/>
    <hyperlink r:id="rId137" ref="C72"/>
    <hyperlink r:id="rId138" ref="A73"/>
    <hyperlink r:id="rId139" ref="C73"/>
    <hyperlink r:id="rId140" ref="A74"/>
    <hyperlink r:id="rId141" ref="C74"/>
    <hyperlink r:id="rId142" ref="A75"/>
    <hyperlink r:id="rId143" ref="C75"/>
    <hyperlink r:id="rId144" ref="A76"/>
    <hyperlink r:id="rId145" ref="C76"/>
    <hyperlink r:id="rId146"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C102"/>
    <hyperlink r:id="rId198" ref="A103"/>
    <hyperlink r:id="rId199" ref="C103"/>
    <hyperlink r:id="rId200" ref="A104"/>
    <hyperlink r:id="rId201" ref="C104"/>
    <hyperlink r:id="rId202" ref="A105"/>
    <hyperlink r:id="rId203" ref="C105"/>
    <hyperlink r:id="rId204" ref="A106"/>
    <hyperlink r:id="rId205" ref="C106"/>
    <hyperlink r:id="rId206" ref="A107"/>
    <hyperlink r:id="rId207" ref="C107"/>
    <hyperlink r:id="rId208" ref="A108"/>
    <hyperlink r:id="rId209" ref="C108"/>
    <hyperlink r:id="rId210" ref="A109"/>
    <hyperlink r:id="rId211" ref="C109"/>
    <hyperlink r:id="rId212" ref="A110"/>
    <hyperlink r:id="rId213" ref="C110"/>
    <hyperlink r:id="rId214" ref="A111"/>
    <hyperlink r:id="rId215" ref="C111"/>
    <hyperlink r:id="rId216" ref="A112"/>
    <hyperlink r:id="rId217" ref="C112"/>
    <hyperlink r:id="rId218" ref="A113"/>
    <hyperlink r:id="rId219" ref="C113"/>
    <hyperlink r:id="rId220" ref="A114"/>
    <hyperlink r:id="rId221" ref="C114"/>
    <hyperlink r:id="rId222" location=":~:text=Deloitte%20leads%20on%20investment%20scale%20at%20%243,with%20outcomes%2Dbased%20billing%20models%20for%20AI%2Denabled%20engagements." ref="A115"/>
    <hyperlink r:id="rId223" ref="C115"/>
    <hyperlink r:id="rId224" ref="A116"/>
    <hyperlink r:id="rId225" ref="C116"/>
    <hyperlink r:id="rId226" ref="A117"/>
    <hyperlink r:id="rId227" ref="C117"/>
    <hyperlink r:id="rId228" ref="A118"/>
    <hyperlink r:id="rId229" ref="C118"/>
    <hyperlink r:id="rId230" ref="A119"/>
    <hyperlink r:id="rId231" ref="C119"/>
    <hyperlink r:id="rId232" ref="A120"/>
    <hyperlink r:id="rId233" ref="C120"/>
    <hyperlink r:id="rId234" ref="A121"/>
    <hyperlink r:id="rId235" ref="C121"/>
    <hyperlink r:id="rId236" ref="A122"/>
    <hyperlink r:id="rId237" ref="C122"/>
    <hyperlink r:id="rId238" ref="A123"/>
    <hyperlink r:id="rId239" ref="C123"/>
    <hyperlink r:id="rId240" ref="A124"/>
    <hyperlink r:id="rId241" ref="C124"/>
    <hyperlink r:id="rId242" ref="A125"/>
    <hyperlink r:id="rId243" ref="C125"/>
  </hyperlinks>
  <drawing r:id="rId24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All'!D2:D1000)))=""category_page""
  ),
  """"
)"),"https://clutch.co/us/agencies")</f>
        <v>https://clutch.co/us/agencies</v>
      </c>
      <c r="B2" s="11" t="str">
        <f>IFERROR(__xludf.DUMMYFUNCTION("""COMPUTED_VALUE"""),"Top Advertising Agencies in the United States - Jul 2026 Rankings \| Clutch.co")</f>
        <v>Top Advertising Agencies in the United States - Jul 2026 Rankings \| Clutch.co</v>
      </c>
      <c r="C2" s="10" t="str">
        <f>IFERROR(__xludf.DUMMYFUNCTION("""COMPUTED_VALUE"""),"clutch.co")</f>
        <v>clutch.co</v>
      </c>
      <c r="D2" s="11" t="str">
        <f>IFERROR(__xludf.DUMMYFUNCTION("""COMPUTED_VALUE"""),"CATEGORY_PAGE")</f>
        <v>CATEGORY_PAGE</v>
      </c>
      <c r="E2" s="11" t="str">
        <f>IFERROR(__xludf.DUMMYFUNCTION("""COMPUTED_VALUE"""),"COMPETITOR")</f>
        <v>COMPETITOR</v>
      </c>
      <c r="F2" s="11" t="str">
        <f>IFERROR(__xludf.DUMMYFUNCTION("""COMPUTED_VALUE"""),"Category Page")</f>
        <v>Category Page</v>
      </c>
      <c r="G2" s="11" t="b">
        <f>IFERROR(__xludf.DUMMYFUNCTION("""COMPUTED_VALUE"""),FALSE)</f>
        <v>0</v>
      </c>
      <c r="H2" s="11" t="str">
        <f>IFERROR(__xludf.DUMMYFUNCTION("""COMPUTED_VALUE"""),"Clutch, SmartSites, WebFX, Ignite Visibility, Momentum, NinjaPromo, KlientBoost, AdVenture Media, Sociallyin, Funnel Boost Media")</f>
        <v>Clutch, SmartSites, WebFX, Ignite Visibility, Momentum, NinjaPromo, KlientBoost, AdVenture Media, Sociallyin, Funnel Boost Media</v>
      </c>
      <c r="I2" s="11">
        <f>IFERROR(__xludf.DUMMYFUNCTION("""COMPUTED_VALUE"""),87.0)</f>
        <v>87</v>
      </c>
      <c r="J2" s="11">
        <f>IFERROR(__xludf.DUMMYFUNCTION("""COMPUTED_VALUE"""),0.09)</f>
        <v>0.09</v>
      </c>
      <c r="K2" s="11">
        <f>IFERROR(__xludf.DUMMYFUNCTION("""COMPUTED_VALUE"""),0.26)</f>
        <v>0.26</v>
      </c>
    </row>
    <row r="3" ht="15.75" customHeight="1">
      <c r="A3" s="10" t="str">
        <f>IFERROR(__xludf.DUMMYFUNCTION("""COMPUTED_VALUE"""),"https://clutch.co/us/agencies/digital-marketing")</f>
        <v>https://clutch.co/us/agencies/digital-marketing</v>
      </c>
      <c r="B3" s="11" t="str">
        <f>IFERROR(__xludf.DUMMYFUNCTION("""COMPUTED_VALUE"""),"Top Digital Marketing Agencies in the United States - Jul 2026 Rankings \| Clutch.co")</f>
        <v>Top Digital Marketing Agencies in the United States - Jul 2026 Rankings \| Clutch.co</v>
      </c>
      <c r="C3" s="10" t="str">
        <f>IFERROR(__xludf.DUMMYFUNCTION("""COMPUTED_VALUE"""),"clutch.co")</f>
        <v>clutch.co</v>
      </c>
      <c r="D3" s="11" t="str">
        <f>IFERROR(__xludf.DUMMYFUNCTION("""COMPUTED_VALUE"""),"CATEGORY_PAGE")</f>
        <v>CATEGORY_PAGE</v>
      </c>
      <c r="E3" s="11" t="str">
        <f>IFERROR(__xludf.DUMMYFUNCTION("""COMPUTED_VALUE"""),"COMPETITOR")</f>
        <v>COMPETITOR</v>
      </c>
      <c r="F3" s="11" t="str">
        <f>IFERROR(__xludf.DUMMYFUNCTION("""COMPUTED_VALUE"""),"Category Page")</f>
        <v>Category Page</v>
      </c>
      <c r="G3" s="11" t="b">
        <f>IFERROR(__xludf.DUMMYFUNCTION("""COMPUTED_VALUE"""),FALSE)</f>
        <v>0</v>
      </c>
      <c r="H3"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3" s="11">
        <f>IFERROR(__xludf.DUMMYFUNCTION("""COMPUTED_VALUE"""),86.0)</f>
        <v>86</v>
      </c>
      <c r="J3" s="11">
        <f>IFERROR(__xludf.DUMMYFUNCTION("""COMPUTED_VALUE"""),0.08)</f>
        <v>0.08</v>
      </c>
      <c r="K3" s="11">
        <f>IFERROR(__xludf.DUMMYFUNCTION("""COMPUTED_VALUE"""),0.78)</f>
        <v>0.78</v>
      </c>
    </row>
    <row r="4" ht="15.75" customHeight="1">
      <c r="A4" s="10" t="str">
        <f>IFERROR(__xludf.DUMMYFUNCTION("""COMPUTED_VALUE"""),"https://www.sortlist.com/s/paid-media/united-states-us")</f>
        <v>https://www.sortlist.com/s/paid-media/united-states-us</v>
      </c>
      <c r="B4" s="11" t="str">
        <f>IFERROR(__xludf.DUMMYFUNCTION("""COMPUTED_VALUE"""),"The 10 Best Paid Media Agencies in the United States - 2026 Reviews")</f>
        <v>The 10 Best Paid Media Agencies in the United States - 2026 Reviews</v>
      </c>
      <c r="C4" s="10" t="str">
        <f>IFERROR(__xludf.DUMMYFUNCTION("""COMPUTED_VALUE"""),"sortlist.com")</f>
        <v>sortlist.com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IFERROR(__xludf.DUMMYFUNCTION("""COMPUTED_VALUE"""),"NinjaPromo, Triple Whale, Northbeam, HockeyStack, Clutch")</f>
        <v>NinjaPromo, Triple Whale, Northbeam, HockeyStack, Clutch</v>
      </c>
      <c r="I4" s="11">
        <f>IFERROR(__xludf.DUMMYFUNCTION("""COMPUTED_VALUE"""),44.0)</f>
        <v>44</v>
      </c>
      <c r="J4" s="11">
        <f>IFERROR(__xludf.DUMMYFUNCTION("""COMPUTED_VALUE"""),0.04)</f>
        <v>0.04</v>
      </c>
      <c r="K4" s="11">
        <f>IFERROR(__xludf.DUMMYFUNCTION("""COMPUTED_VALUE"""),0.0)</f>
        <v>0</v>
      </c>
    </row>
    <row r="5" ht="15.75" customHeight="1">
      <c r="A5" s="10" t="str">
        <f>IFERROR(__xludf.DUMMYFUNCTION("""COMPUTED_VALUE"""),"https://agencies.semrush.com/list/display-advertising/united-states/")</f>
        <v>https://agencies.semrush.com/list/display-advertising/united-states/</v>
      </c>
      <c r="B5" s="11" t="str">
        <f>IFERROR(__xludf.DUMMYFUNCTION("""COMPUTED_VALUE"""),"Best Display Ads Agencies in United States 2026 | Semrush")</f>
        <v>Best Display Ads Agencies in United States 2026 | Semrush</v>
      </c>
      <c r="C5" s="10"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IFERROR(__xludf.DUMMYFUNCTION("""COMPUTED_VALUE"""),"SmartSites, Elit-Web, Brighter Click")</f>
        <v>SmartSites, Elit-Web, Brighter Click</v>
      </c>
      <c r="I5" s="11">
        <f>IFERROR(__xludf.DUMMYFUNCTION("""COMPUTED_VALUE"""),42.0)</f>
        <v>42</v>
      </c>
      <c r="J5" s="11">
        <f>IFERROR(__xludf.DUMMYFUNCTION("""COMPUTED_VALUE"""),0.04)</f>
        <v>0.04</v>
      </c>
      <c r="K5" s="11">
        <f>IFERROR(__xludf.DUMMYFUNCTION("""COMPUTED_VALUE"""),0.17)</f>
        <v>0.17</v>
      </c>
    </row>
    <row r="6" ht="15.75" customHeight="1">
      <c r="A6" s="10" t="str">
        <f>IFERROR(__xludf.DUMMYFUNCTION("""COMPUTED_VALUE"""),"https://clutch.co/us/agencies/creative")</f>
        <v>https://clutch.co/us/agencies/creative</v>
      </c>
      <c r="B6" s="11" t="str">
        <f>IFERROR(__xludf.DUMMYFUNCTION("""COMPUTED_VALUE"""),"Top Creative Agencies in the United States - Jul 2026 Rankings | Clutch.co")</f>
        <v>Top Creative Agencies in the United States - Jul 2026 Rankings | Clutch.co</v>
      </c>
      <c r="C6" s="10" t="str">
        <f>IFERROR(__xludf.DUMMYFUNCTION("""COMPUTED_VALUE"""),"clutch.co")</f>
        <v>clutch.co</v>
      </c>
      <c r="D6" s="11" t="str">
        <f>IFERROR(__xludf.DUMMYFUNCTION("""COMPUTED_VALUE"""),"CATEGORY_PAGE")</f>
        <v>CATEGORY_PAGE</v>
      </c>
      <c r="E6" s="11" t="str">
        <f>IFERROR(__xludf.DUMMYFUNCTION("""COMPUTED_VALUE"""),"COMPETITOR")</f>
        <v>COMPETITOR</v>
      </c>
      <c r="F6" s="11" t="str">
        <f>IFERROR(__xludf.DUMMYFUNCTION("""COMPUTED_VALUE"""),"Category Page")</f>
        <v>Category Page</v>
      </c>
      <c r="G6" s="11" t="b">
        <f>IFERROR(__xludf.DUMMYFUNCTION("""COMPUTED_VALUE"""),FALSE)</f>
        <v>0</v>
      </c>
      <c r="H6" s="11" t="str">
        <f>IFERROR(__xludf.DUMMYFUNCTION("""COMPUTED_VALUE"""),"Clutch, Clay, Huge")</f>
        <v>Clutch, Clay, Huge</v>
      </c>
      <c r="I6" s="11">
        <f>IFERROR(__xludf.DUMMYFUNCTION("""COMPUTED_VALUE"""),39.0)</f>
        <v>39</v>
      </c>
      <c r="J6" s="11">
        <f>IFERROR(__xludf.DUMMYFUNCTION("""COMPUTED_VALUE"""),0.04)</f>
        <v>0.04</v>
      </c>
      <c r="K6" s="11">
        <f>IFERROR(__xludf.DUMMYFUNCTION("""COMPUTED_VALUE"""),0.54)</f>
        <v>0.54</v>
      </c>
    </row>
    <row r="7" ht="15.75" customHeight="1">
      <c r="A7" s="10" t="str">
        <f>IFERROR(__xludf.DUMMYFUNCTION("""COMPUTED_VALUE"""),"https://www.designrush.com/agency/digital-marketing/analytics/us")</f>
        <v>https://www.designrush.com/agency/digital-marketing/analytics/us</v>
      </c>
      <c r="B7" s="11" t="str">
        <f>IFERROR(__xludf.DUMMYFUNCTION("""COMPUTED_VALUE"""),"Top United States Marketing Analytics Companies | 2026")</f>
        <v>Top United States Marketing Analytics Companies | 2026</v>
      </c>
      <c r="C7" s="10" t="str">
        <f>IFERROR(__xludf.DUMMYFUNCTION("""COMPUTED_VALUE"""),"designrush.com")</f>
        <v>designrush.com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IFERROR(__xludf.DUMMYFUNCTION("""COMPUTED_VALUE"""),"SmartSites, Huge, KlientBoost, Funnel Boost Media, Elit-Web, AdVenture Media, Monks, Ignite Visibility, IBM, Measured")</f>
        <v>SmartSites, Huge, KlientBoost, Funnel Boost Media, Elit-Web, AdVenture Media, Monks, Ignite Visibility, IBM, Measured</v>
      </c>
      <c r="I7" s="11">
        <f>IFERROR(__xludf.DUMMYFUNCTION("""COMPUTED_VALUE"""),37.0)</f>
        <v>37</v>
      </c>
      <c r="J7" s="11">
        <f>IFERROR(__xludf.DUMMYFUNCTION("""COMPUTED_VALUE"""),0.04)</f>
        <v>0.04</v>
      </c>
      <c r="K7" s="11">
        <f>IFERROR(__xludf.DUMMYFUNCTION("""COMPUTED_VALUE"""),0.54)</f>
        <v>0.54</v>
      </c>
    </row>
    <row r="8" ht="15.75" customHeight="1">
      <c r="A8" s="10" t="str">
        <f>IFERROR(__xludf.DUMMYFUNCTION("""COMPUTED_VALUE"""),"https://www.agencycluster.com/top-50/ppc-performance-marketing-agencies")</f>
        <v>https://www.agencycluster.com/top-50/ppc-performance-marketing-agencies</v>
      </c>
      <c r="B8" s="11" t="str">
        <f>IFERROR(__xludf.DUMMYFUNCTION("""COMPUTED_VALUE"""),"Top 50 PPC &amp;amp; Performance Marketing Agencies in the USA (2026) | AgencyCluster")</f>
        <v>Top 50 PPC &amp;amp; Performance Marketing Agencies in the USA (2026) | AgencyCluster</v>
      </c>
      <c r="C8" s="10" t="str">
        <f>IFERROR(__xludf.DUMMYFUNCTION("""COMPUTED_VALUE"""),"agencycluster.com")</f>
        <v>agencycluster.com</v>
      </c>
      <c r="D8" s="11" t="str">
        <f>IFERROR(__xludf.DUMMYFUNCTION("""COMPUTED_VALUE"""),"CATEGORY_PAGE")</f>
        <v>CATEGORY_PAGE</v>
      </c>
      <c r="E8" s="11" t="str">
        <f>IFERROR(__xludf.DUMMYFUNCTION("""COMPUTED_VALUE"""),"REFERENCE")</f>
        <v>REFERENCE</v>
      </c>
      <c r="F8" s="11" t="str">
        <f>IFERROR(__xludf.DUMMYFUNCTION("""COMPUTED_VALUE"""),"Category Page")</f>
        <v>Category Page</v>
      </c>
      <c r="G8" s="11" t="b">
        <f>IFERROR(__xludf.DUMMYFUNCTION("""COMPUTED_VALUE"""),FALSE)</f>
        <v>0</v>
      </c>
      <c r="H8" s="11" t="str">
        <f>IFERROR(__xludf.DUMMYFUNCTION("""COMPUTED_VALUE"""),"Disruptive Advertising, Ignite Visibility, KlientBoost, NP Digital, Power Digital, SmartSites, Tinuiti, WebFX, Wpromote, Amsive, HawkSEM, Intero Digital, Kobe Digital, New Engen, NoGood, Seer Interactive, Thrive Internet Marketing Agency, AdVenture Media,"&amp;" Digital Authority Partners, MuteSix")</f>
        <v>Disruptive Advertising, Ignite Visibility, KlientBoost, NP Digital, Power Digital, SmartSites, Tinuiti, WebFX, Wpromote, Amsive, HawkSEM, Intero Digital, Kobe Digital, New Engen, NoGood, Seer Interactive, Thrive Internet Marketing Agency, AdVenture Media, Digital Authority Partners, MuteSix</v>
      </c>
      <c r="I8" s="11">
        <f>IFERROR(__xludf.DUMMYFUNCTION("""COMPUTED_VALUE"""),34.0)</f>
        <v>34</v>
      </c>
      <c r="J8" s="11">
        <f>IFERROR(__xludf.DUMMYFUNCTION("""COMPUTED_VALUE"""),0.03)</f>
        <v>0.03</v>
      </c>
      <c r="K8" s="11">
        <f>IFERROR(__xludf.DUMMYFUNCTION("""COMPUTED_VALUE"""),0.76)</f>
        <v>0.76</v>
      </c>
    </row>
    <row r="9" ht="15.75" customHeight="1">
      <c r="A9" s="10" t="str">
        <f>IFERROR(__xludf.DUMMYFUNCTION("""COMPUTED_VALUE"""),"https://clutch.co/us/agencies/ppc")</f>
        <v>https://clutch.co/us/agencies/ppc</v>
      </c>
      <c r="B9" s="11" t="str">
        <f>IFERROR(__xludf.DUMMYFUNCTION("""COMPUTED_VALUE"""),"Top PPC Companies in the United States - Jul 2026 Rankings | Clutch.co")</f>
        <v>Top PPC Companies in the United States - Jul 2026 Rankings | Clutch.co</v>
      </c>
      <c r="C9" s="10" t="str">
        <f>IFERROR(__xludf.DUMMYFUNCTION("""COMPUTED_VALUE"""),"clutch.co")</f>
        <v>clutch.co</v>
      </c>
      <c r="D9" s="11" t="str">
        <f>IFERROR(__xludf.DUMMYFUNCTION("""COMPUTED_VALUE"""),"CATEGORY_PAGE")</f>
        <v>CATEGORY_PAGE</v>
      </c>
      <c r="E9" s="11" t="str">
        <f>IFERROR(__xludf.DUMMYFUNCTION("""COMPUTED_VALUE"""),"COMPETITOR")</f>
        <v>COMPETITOR</v>
      </c>
      <c r="F9" s="11" t="str">
        <f>IFERROR(__xludf.DUMMYFUNCTION("""COMPUTED_VALUE"""),"Category Page")</f>
        <v>Category Page</v>
      </c>
      <c r="G9" s="11" t="b">
        <f>IFERROR(__xludf.DUMMYFUNCTION("""COMPUTED_VALUE"""),FALSE)</f>
        <v>0</v>
      </c>
      <c r="H9" s="11" t="str">
        <f>IFERROR(__xludf.DUMMYFUNCTION("""COMPUTED_VALUE"""),"Clutch, KlientBoost, Disruptive Advertising, AdVenture Media, HawkSEM, SmartSites, Intero Digital, Elit-Web, Searchbloom, Acadia, Ignite Visibility, Storm Brain, Funnel Boost Media")</f>
        <v>Clutch, KlientBoost, Disruptive Advertising, AdVenture Media, HawkSEM, SmartSites, Intero Digital, Elit-Web, Searchbloom, Acadia, Ignite Visibility, Storm Brain, Funnel Boost Media</v>
      </c>
      <c r="I9" s="11">
        <f>IFERROR(__xludf.DUMMYFUNCTION("""COMPUTED_VALUE"""),31.0)</f>
        <v>31</v>
      </c>
      <c r="J9" s="11">
        <f>IFERROR(__xludf.DUMMYFUNCTION("""COMPUTED_VALUE"""),0.03)</f>
        <v>0.03</v>
      </c>
      <c r="K9" s="11">
        <f>IFERROR(__xludf.DUMMYFUNCTION("""COMPUTED_VALUE"""),1.03)</f>
        <v>1.03</v>
      </c>
    </row>
    <row r="10" ht="15.75" customHeight="1">
      <c r="A10" s="10" t="str">
        <f>IFERROR(__xludf.DUMMYFUNCTION("""COMPUTED_VALUE"""),"https://www.goodfirms.co/directory/country/top-digital-marketing-companies/us")</f>
        <v>https://www.goodfirms.co/directory/country/top-digital-marketing-companies/us</v>
      </c>
      <c r="B10" s="11" t="str">
        <f>IFERROR(__xludf.DUMMYFUNCTION("""COMPUTED_VALUE"""),"Top Digital Marketing Agencies in USA - 2026 Reviews | Goodfirms")</f>
        <v>Top Digital Marketing Agencies in USA - 2026 Reviews | Goodfirms</v>
      </c>
      <c r="C10" s="10" t="str">
        <f>IFERROR(__xludf.DUMMYFUNCTION("""COMPUTED_VALUE"""),"goodfirms.co")</f>
        <v>goodfirms.co</v>
      </c>
      <c r="D10" s="11" t="str">
        <f>IFERROR(__xludf.DUMMYFUNCTION("""COMPUTED_VALUE"""),"CATEGORY_PAGE")</f>
        <v>CATEGORY_PAGE</v>
      </c>
      <c r="E10" s="11" t="str">
        <f>IFERROR(__xludf.DUMMYFUNCTION("""COMPUTED_VALUE"""),"UGC")</f>
        <v>UGC</v>
      </c>
      <c r="F10" s="11" t="str">
        <f>IFERROR(__xludf.DUMMYFUNCTION("""COMPUTED_VALUE"""),"Category Page")</f>
        <v>Category Page</v>
      </c>
      <c r="G10" s="11" t="b">
        <f>IFERROR(__xludf.DUMMYFUNCTION("""COMPUTED_VALUE"""),FALSE)</f>
        <v>0</v>
      </c>
      <c r="H10" s="11" t="str">
        <f>IFERROR(__xludf.DUMMYFUNCTION("""COMPUTED_VALUE"""),"WebFX, Searchbloom, SmartSites, Funnel Boost Media, Elit-Web, Storm Brain, Go Fish Digital")</f>
        <v>WebFX, Searchbloom, SmartSites, Funnel Boost Media, Elit-Web, Storm Brain, Go Fish Digital</v>
      </c>
      <c r="I10" s="11">
        <f>IFERROR(__xludf.DUMMYFUNCTION("""COMPUTED_VALUE"""),31.0)</f>
        <v>31</v>
      </c>
      <c r="J10" s="11">
        <f>IFERROR(__xludf.DUMMYFUNCTION("""COMPUTED_VALUE"""),0.03)</f>
        <v>0.03</v>
      </c>
      <c r="K10" s="11">
        <f>IFERROR(__xludf.DUMMYFUNCTION("""COMPUTED_VALUE"""),0.55)</f>
        <v>0.55</v>
      </c>
    </row>
    <row r="11" ht="15.75" customHeight="1">
      <c r="A11" s="10" t="str">
        <f>IFERROR(__xludf.DUMMYFUNCTION("""COMPUTED_VALUE"""),"https://clutch.co/us/agencies/social-media-marketing")</f>
        <v>https://clutch.co/us/agencies/social-media-marketing</v>
      </c>
      <c r="B11" s="11" t="str">
        <f>IFERROR(__xludf.DUMMYFUNCTION("""COMPUTED_VALUE"""),"Top Social Media Marketing Companies in the United States - Jul 2026 Rankings \| Clutch.co")</f>
        <v>Top Social Media Marketing Companies in the United States - Jul 2026 Rankings \| Clutch.co</v>
      </c>
      <c r="C11" s="10" t="str">
        <f>IFERROR(__xludf.DUMMYFUNCTION("""COMPUTED_VALUE"""),"clutch.co")</f>
        <v>clutch.co</v>
      </c>
      <c r="D11" s="11" t="str">
        <f>IFERROR(__xludf.DUMMYFUNCTION("""COMPUTED_VALUE"""),"CATEGORY_PAGE")</f>
        <v>CATEGORY_PAGE</v>
      </c>
      <c r="E11" s="11" t="str">
        <f>IFERROR(__xludf.DUMMYFUNCTION("""COMPUTED_VALUE"""),"COMPETITOR")</f>
        <v>COMPETITOR</v>
      </c>
      <c r="F11" s="11" t="str">
        <f>IFERROR(__xludf.DUMMYFUNCTION("""COMPUTED_VALUE"""),"Category Page")</f>
        <v>Category Page</v>
      </c>
      <c r="G11" s="11" t="b">
        <f>IFERROR(__xludf.DUMMYFUNCTION("""COMPUTED_VALUE"""),FALSE)</f>
        <v>0</v>
      </c>
      <c r="H11" s="11" t="str">
        <f>IFERROR(__xludf.DUMMYFUNCTION("""COMPUTED_VALUE"""),"Clutch, Sociallyin, LYFE Marketing, SmartSites, Ignite Visibility, Elit-Web, KlientBoost, Disruptive Advertising, AdVenture Media, HawkSEM")</f>
        <v>Clutch, Sociallyin, LYFE Marketing, SmartSites, Ignite Visibility, Elit-Web, KlientBoost, Disruptive Advertising, AdVenture Media, HawkSEM</v>
      </c>
      <c r="I11" s="11">
        <f>IFERROR(__xludf.DUMMYFUNCTION("""COMPUTED_VALUE"""),29.0)</f>
        <v>29</v>
      </c>
      <c r="J11" s="11">
        <f>IFERROR(__xludf.DUMMYFUNCTION("""COMPUTED_VALUE"""),0.03)</f>
        <v>0.03</v>
      </c>
      <c r="K11" s="11">
        <f>IFERROR(__xludf.DUMMYFUNCTION("""COMPUTED_VALUE"""),0.93)</f>
        <v>0.93</v>
      </c>
    </row>
    <row r="12" ht="15.75" customHeight="1">
      <c r="A12" s="10" t="str">
        <f>IFERROR(__xludf.DUMMYFUNCTION("""COMPUTED_VALUE"""),"https://clutch.co/us/agencies/ppc/advertising-industry")</f>
        <v>https://clutch.co/us/agencies/ppc/advertising-industry</v>
      </c>
      <c r="B12" s="11" t="str">
        <f>IFERROR(__xludf.DUMMYFUNCTION("""COMPUTED_VALUE"""),"Top PPC Agencies for Ad Agencies in the United States - Jul 2026 Rankings \| Clutch.co")</f>
        <v>Top PPC Agencies for Ad Agencies in the United States - Jul 2026 Rankings \| Clutch.co</v>
      </c>
      <c r="C12" s="10" t="str">
        <f>IFERROR(__xludf.DUMMYFUNCTION("""COMPUTED_VALUE"""),"clutch.co")</f>
        <v>clutch.co</v>
      </c>
      <c r="D12" s="11" t="str">
        <f>IFERROR(__xludf.DUMMYFUNCTION("""COMPUTED_VALUE"""),"CATEGORY_PAGE")</f>
        <v>CATEGORY_PAGE</v>
      </c>
      <c r="E12" s="11" t="str">
        <f>IFERROR(__xludf.DUMMYFUNCTION("""COMPUTED_VALUE"""),"COMPETITOR")</f>
        <v>COMPETITOR</v>
      </c>
      <c r="F12" s="11" t="str">
        <f>IFERROR(__xludf.DUMMYFUNCTION("""COMPUTED_VALUE"""),"Category Page")</f>
        <v>Category Page</v>
      </c>
      <c r="G12" s="11" t="b">
        <f>IFERROR(__xludf.DUMMYFUNCTION("""COMPUTED_VALUE"""),FALSE)</f>
        <v>0</v>
      </c>
      <c r="H12" s="11" t="str">
        <f>IFERROR(__xludf.DUMMYFUNCTION("""COMPUTED_VALUE"""),"Clutch, AdVenture Media, Disruptive Advertising, KlientBoost, LYFE Marketing")</f>
        <v>Clutch, AdVenture Media, Disruptive Advertising, KlientBoost, LYFE Marketing</v>
      </c>
      <c r="I12" s="11">
        <f>IFERROR(__xludf.DUMMYFUNCTION("""COMPUTED_VALUE"""),28.0)</f>
        <v>28</v>
      </c>
      <c r="J12" s="11">
        <f>IFERROR(__xludf.DUMMYFUNCTION("""COMPUTED_VALUE"""),0.03)</f>
        <v>0.03</v>
      </c>
      <c r="K12" s="11">
        <f>IFERROR(__xludf.DUMMYFUNCTION("""COMPUTED_VALUE"""),0.21)</f>
        <v>0.21</v>
      </c>
    </row>
    <row r="13" ht="15.75" customHeight="1">
      <c r="A13" s="10" t="str">
        <f>IFERROR(__xludf.DUMMYFUNCTION("""COMPUTED_VALUE"""),"https://www.sortlist.com/s/display-advertising/united-states-us")</f>
        <v>https://www.sortlist.com/s/display-advertising/united-states-us</v>
      </c>
      <c r="B13" s="11" t="str">
        <f>IFERROR(__xludf.DUMMYFUNCTION("""COMPUTED_VALUE"""),"The 10 Best Display Advertising Agencies in the United States - 2026 Reviews")</f>
        <v>The 10 Best Display Advertising Agencies in the United States - 2026 Reviews</v>
      </c>
      <c r="C13" s="10"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IFERROR(__xludf.DUMMYFUNCTION("""COMPUTED_VALUE"""),"Triple Whale, Northbeam, HockeyStack, NinjaPromo, Clutch, IBM")</f>
        <v>Triple Whale, Northbeam, HockeyStack, NinjaPromo, Clutch, IBM</v>
      </c>
      <c r="I13" s="11">
        <f>IFERROR(__xludf.DUMMYFUNCTION("""COMPUTED_VALUE"""),27.0)</f>
        <v>27</v>
      </c>
      <c r="J13" s="11">
        <f>IFERROR(__xludf.DUMMYFUNCTION("""COMPUTED_VALUE"""),0.03)</f>
        <v>0.03</v>
      </c>
      <c r="K13" s="11">
        <f>IFERROR(__xludf.DUMMYFUNCTION("""COMPUTED_VALUE"""),0.0)</f>
        <v>0</v>
      </c>
    </row>
    <row r="14" ht="15.75" customHeight="1">
      <c r="A14" s="10" t="str">
        <f>IFERROR(__xludf.DUMMYFUNCTION("""COMPUTED_VALUE"""),"https://www.agencycluster.com/top-50/branding-creative-agencies")</f>
        <v>https://www.agencycluster.com/top-50/branding-creative-agencies</v>
      </c>
      <c r="B14" s="11" t="str">
        <f>IFERROR(__xludf.DUMMYFUNCTION("""COMPUTED_VALUE"""),"Top 50 Branding &amp;amp; Creative Design Agencies in the USA (2026) | AgencyCluster")</f>
        <v>Top 50 Branding &amp;amp; Creative Design Agencies in the USA (2026) | AgencyCluster</v>
      </c>
      <c r="C14" s="10" t="str">
        <f>IFERROR(__xludf.DUMMYFUNCTION("""COMPUTED_VALUE"""),"agencycluster.com")</f>
        <v>agencycluster.com</v>
      </c>
      <c r="D14" s="11" t="str">
        <f>IFERROR(__xludf.DUMMYFUNCTION("""COMPUTED_VALUE"""),"CATEGORY_PAGE")</f>
        <v>CATEGORY_PAGE</v>
      </c>
      <c r="E14" s="11" t="str">
        <f>IFERROR(__xludf.DUMMYFUNCTION("""COMPUTED_VALUE"""),"REFERENCE")</f>
        <v>REFERENCE</v>
      </c>
      <c r="F14" s="11" t="str">
        <f>IFERROR(__xludf.DUMMYFUNCTION("""COMPUTED_VALUE"""),"Category Page")</f>
        <v>Category Page</v>
      </c>
      <c r="G14" s="11" t="b">
        <f>IFERROR(__xludf.DUMMYFUNCTION("""COMPUTED_VALUE"""),FALSE)</f>
        <v>0</v>
      </c>
      <c r="H14" s="11" t="str">
        <f>IFERROR(__xludf.DUMMYFUNCTION("""COMPUTED_VALUE"""),"Clay, Pentagram, R/GA, Wolff Olins, Wieden+Kennedy, Avenue Z, Momentum")</f>
        <v>Clay, Pentagram, R/GA, Wolff Olins, Wieden+Kennedy, Avenue Z, Momentum</v>
      </c>
      <c r="I14" s="11">
        <f>IFERROR(__xludf.DUMMYFUNCTION("""COMPUTED_VALUE"""),26.0)</f>
        <v>26</v>
      </c>
      <c r="J14" s="11">
        <f>IFERROR(__xludf.DUMMYFUNCTION("""COMPUTED_VALUE"""),0.03)</f>
        <v>0.03</v>
      </c>
      <c r="K14" s="11">
        <f>IFERROR(__xludf.DUMMYFUNCTION("""COMPUTED_VALUE"""),0.5)</f>
        <v>0.5</v>
      </c>
    </row>
    <row r="15" ht="15.75" customHeight="1">
      <c r="A15" s="10" t="str">
        <f>IFERROR(__xludf.DUMMYFUNCTION("""COMPUTED_VALUE"""),"https://clutch.co/agencies")</f>
        <v>https://clutch.co/agencies</v>
      </c>
      <c r="B15" s="11" t="str">
        <f>IFERROR(__xludf.DUMMYFUNCTION("""COMPUTED_VALUE"""),"Top Advertising Agencies &amp;amp; Marketing Companies - Jul 2026 Rankings | Clutch.co")</f>
        <v>Top Advertising Agencies &amp;amp; Marketing Companies - Jul 2026 Rankings | Clutch.co</v>
      </c>
      <c r="C15" s="10" t="str">
        <f>IFERROR(__xludf.DUMMYFUNCTION("""COMPUTED_VALUE"""),"clutch.co")</f>
        <v>clutch.co</v>
      </c>
      <c r="D15" s="11" t="str">
        <f>IFERROR(__xludf.DUMMYFUNCTION("""COMPUTED_VALUE"""),"CATEGORY_PAGE")</f>
        <v>CATEGORY_PAGE</v>
      </c>
      <c r="E15" s="11" t="str">
        <f>IFERROR(__xludf.DUMMYFUNCTION("""COMPUTED_VALUE"""),"COMPETITOR")</f>
        <v>COMPETITOR</v>
      </c>
      <c r="F15" s="11" t="str">
        <f>IFERROR(__xludf.DUMMYFUNCTION("""COMPUTED_VALUE"""),"Category Page")</f>
        <v>Category Page</v>
      </c>
      <c r="G15" s="11" t="b">
        <f>IFERROR(__xludf.DUMMYFUNCTION("""COMPUTED_VALUE"""),FALSE)</f>
        <v>0</v>
      </c>
      <c r="H15" s="11" t="str">
        <f>IFERROR(__xludf.DUMMYFUNCTION("""COMPUTED_VALUE"""),"Clutch, Power Digital, Ignite Visibility, SmartSites, LYFE Marketing, NinjaPromo, WebFX, KlientBoost, AdVenture Media, Sociallyin, Funnel Boost Media, The SEO Works")</f>
        <v>Clutch, Power Digital, Ignite Visibility, SmartSites, LYFE Marketing, NinjaPromo, WebFX, KlientBoost, AdVenture Media, Sociallyin, Funnel Boost Media, The SEO Works</v>
      </c>
      <c r="I15" s="11">
        <f>IFERROR(__xludf.DUMMYFUNCTION("""COMPUTED_VALUE"""),26.0)</f>
        <v>26</v>
      </c>
      <c r="J15" s="11">
        <f>IFERROR(__xludf.DUMMYFUNCTION("""COMPUTED_VALUE"""),0.03)</f>
        <v>0.03</v>
      </c>
      <c r="K15" s="11">
        <f>IFERROR(__xludf.DUMMYFUNCTION("""COMPUTED_VALUE"""),0.12)</f>
        <v>0.12</v>
      </c>
    </row>
    <row r="16" ht="15.75" customHeight="1">
      <c r="A16" s="10" t="str">
        <f>IFERROR(__xludf.DUMMYFUNCTION("""COMPUTED_VALUE"""),"https://digitalagencynetwork.com/agencies/usa/creative/")</f>
        <v>https://digitalagencynetwork.com/agencies/usa/creative/</v>
      </c>
      <c r="B16" s="11" t="str">
        <f>IFERROR(__xludf.DUMMYFUNCTION("""COMPUTED_VALUE"""),"Top Creative Agencies in USA (2026)")</f>
        <v>Top Creative Agencies in USA (2026)</v>
      </c>
      <c r="C16" s="10" t="str">
        <f>IFERROR(__xludf.DUMMYFUNCTION("""COMPUTED_VALUE"""),"digitalagencynetwork.com")</f>
        <v>digitalagencynetwork.com</v>
      </c>
      <c r="D16" s="11" t="str">
        <f>IFERROR(__xludf.DUMMYFUNCTION("""COMPUTED_VALUE"""),"CATEGORY_PAGE")</f>
        <v>CATEGORY_PAGE</v>
      </c>
      <c r="E16" s="11" t="str">
        <f>IFERROR(__xludf.DUMMYFUNCTION("""COMPUTED_VALUE"""),"REFERENCE")</f>
        <v>REFERENCE</v>
      </c>
      <c r="F16" s="11" t="str">
        <f>IFERROR(__xludf.DUMMYFUNCTION("""COMPUTED_VALUE"""),"Category Page")</f>
        <v>Category Page</v>
      </c>
      <c r="G16" s="11" t="b">
        <f>IFERROR(__xludf.DUMMYFUNCTION("""COMPUTED_VALUE"""),FALSE)</f>
        <v>0</v>
      </c>
      <c r="H16" s="11" t="str">
        <f>IFERROR(__xludf.DUMMYFUNCTION("""COMPUTED_VALUE"""),"Major Tom, Momentum, Clay, Brighter Click, PwC, NoGood, Forthea")</f>
        <v>Major Tom, Momentum, Clay, Brighter Click, PwC, NoGood, Forthea</v>
      </c>
      <c r="I16" s="11">
        <f>IFERROR(__xludf.DUMMYFUNCTION("""COMPUTED_VALUE"""),26.0)</f>
        <v>26</v>
      </c>
      <c r="J16" s="11">
        <f>IFERROR(__xludf.DUMMYFUNCTION("""COMPUTED_VALUE"""),0.03)</f>
        <v>0.03</v>
      </c>
      <c r="K16" s="11">
        <f>IFERROR(__xludf.DUMMYFUNCTION("""COMPUTED_VALUE"""),0.12)</f>
        <v>0.12</v>
      </c>
    </row>
    <row r="17" ht="15.75" customHeight="1">
      <c r="A17" s="10" t="str">
        <f>IFERROR(__xludf.DUMMYFUNCTION("""COMPUTED_VALUE"""),"https://agencyvista.com/lists/google-marketing-platform-sales-partners/")</f>
        <v>https://agencyvista.com/lists/google-marketing-platform-sales-partners/</v>
      </c>
      <c r="B17" s="11" t="str">
        <f>IFERROR(__xludf.DUMMYFUNCTION("""COMPUTED_VALUE"""),"Google Marketing Platform Sales Partners. May 2025 Reviews. | Agency Vista")</f>
        <v>Google Marketing Platform Sales Partners. May 2025 Reviews. | Agency Vista</v>
      </c>
      <c r="C17" s="10" t="str">
        <f>IFERROR(__xludf.DUMMYFUNCTION("""COMPUTED_VALUE"""),"agencyvista.com")</f>
        <v>agencyvista.com</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IFERROR(__xludf.DUMMYFUNCTION("""COMPUTED_VALUE"""),"AKQA, Seer Interactive, Brainlabs, Artefact, Merkle, Cardinal Path, Jellyfish, Publicis Sapient, Bounteous, Kepler Group, VML, Adswerve, Digitas, InfoTrust, Deloitte Digital, Dentsu, Croud, Making Science, Ogilvy, iProspect, DEPT")</f>
        <v>AKQA, Seer Interactive, Brainlabs, Artefact, Merkle, Cardinal Path, Jellyfish, Publicis Sapient, Bounteous, Kepler Group, VML, Adswerve, Digitas, InfoTrust, Deloitte Digital, Dentsu, Croud, Making Science, Ogilvy, iProspect, DEPT</v>
      </c>
      <c r="I17" s="11">
        <f>IFERROR(__xludf.DUMMYFUNCTION("""COMPUTED_VALUE"""),25.0)</f>
        <v>25</v>
      </c>
      <c r="J17" s="11">
        <f>IFERROR(__xludf.DUMMYFUNCTION("""COMPUTED_VALUE"""),0.02)</f>
        <v>0.02</v>
      </c>
      <c r="K17" s="11">
        <f>IFERROR(__xludf.DUMMYFUNCTION("""COMPUTED_VALUE"""),0.4)</f>
        <v>0.4</v>
      </c>
    </row>
    <row r="18" ht="15.75" customHeight="1">
      <c r="A18" s="10" t="str">
        <f>IFERROR(__xludf.DUMMYFUNCTION("""COMPUTED_VALUE"""),"https://clutch.co/agencies/ppc/display")</f>
        <v>https://clutch.co/agencies/ppc/display</v>
      </c>
      <c r="B18" s="11" t="str">
        <f>IFERROR(__xludf.DUMMYFUNCTION("""COMPUTED_VALUE"""),"Top Display Advertising Agencies - Jul 2026 Rankings | Clutch.co")</f>
        <v>Top Display Advertising Agencies - Jul 2026 Rankings | Clutch.co</v>
      </c>
      <c r="C18" s="10" t="str">
        <f>IFERROR(__xludf.DUMMYFUNCTION("""COMPUTED_VALUE"""),"clutch.co")</f>
        <v>clutch.co</v>
      </c>
      <c r="D18" s="11" t="str">
        <f>IFERROR(__xludf.DUMMYFUNCTION("""COMPUTED_VALUE"""),"CATEGORY_PAGE")</f>
        <v>CATEGORY_PAGE</v>
      </c>
      <c r="E18" s="11" t="str">
        <f>IFERROR(__xludf.DUMMYFUNCTION("""COMPUTED_VALUE"""),"COMPETITOR")</f>
        <v>COMPETITOR</v>
      </c>
      <c r="F18" s="11" t="str">
        <f>IFERROR(__xludf.DUMMYFUNCTION("""COMPUTED_VALUE"""),"Category Page")</f>
        <v>Category Page</v>
      </c>
      <c r="G18" s="11" t="b">
        <f>IFERROR(__xludf.DUMMYFUNCTION("""COMPUTED_VALUE"""),FALSE)</f>
        <v>0</v>
      </c>
      <c r="H18" s="11" t="str">
        <f>IFERROR(__xludf.DUMMYFUNCTION("""COMPUTED_VALUE"""),"Clutch, Elit-Web, AdVenture Media, NinjaPromo, Storm Brain, The SEO Works")</f>
        <v>Clutch, Elit-Web, AdVenture Media, NinjaPromo, Storm Brain, The SEO Works</v>
      </c>
      <c r="I18" s="11">
        <f>IFERROR(__xludf.DUMMYFUNCTION("""COMPUTED_VALUE"""),25.0)</f>
        <v>25</v>
      </c>
      <c r="J18" s="11">
        <f>IFERROR(__xludf.DUMMYFUNCTION("""COMPUTED_VALUE"""),0.02)</f>
        <v>0.02</v>
      </c>
      <c r="K18" s="11">
        <f>IFERROR(__xludf.DUMMYFUNCTION("""COMPUTED_VALUE"""),0.4)</f>
        <v>0.4</v>
      </c>
    </row>
    <row r="19" ht="15.75" customHeight="1">
      <c r="A19" s="10" t="str">
        <f>IFERROR(__xludf.DUMMYFUNCTION("""COMPUTED_VALUE"""),"https://clutch.co/agencies/performance-marketing")</f>
        <v>https://clutch.co/agencies/performance-marketing</v>
      </c>
      <c r="B19" s="11" t="str">
        <f>IFERROR(__xludf.DUMMYFUNCTION("""COMPUTED_VALUE"""),"Top Performance Marketing Agencies - Jul 2026 Rankings | Clutch.co")</f>
        <v>Top Performance Marketing Agencies - Jul 2026 Rankings | Clutch.co</v>
      </c>
      <c r="C19" s="10" t="str">
        <f>IFERROR(__xludf.DUMMYFUNCTION("""COMPUTED_VALUE"""),"clutch.co")</f>
        <v>clutch.co</v>
      </c>
      <c r="D19" s="11" t="str">
        <f>IFERROR(__xludf.DUMMYFUNCTION("""COMPUTED_VALUE"""),"CATEGORY_PAGE")</f>
        <v>CATEGORY_PAGE</v>
      </c>
      <c r="E19" s="11" t="str">
        <f>IFERROR(__xludf.DUMMYFUNCTION("""COMPUTED_VALUE"""),"COMPETITOR")</f>
        <v>COMPETITOR</v>
      </c>
      <c r="F19" s="11" t="str">
        <f>IFERROR(__xludf.DUMMYFUNCTION("""COMPUTED_VALUE"""),"Category Page")</f>
        <v>Category Page</v>
      </c>
      <c r="G19" s="11" t="b">
        <f>IFERROR(__xludf.DUMMYFUNCTION("""COMPUTED_VALUE"""),FALSE)</f>
        <v>0</v>
      </c>
      <c r="H19" s="11" t="str">
        <f>IFERROR(__xludf.DUMMYFUNCTION("""COMPUTED_VALUE"""),"Clutch, Disruptive Advertising, Accelerated Digital Media, Momentum, Web Tonic")</f>
        <v>Clutch, Disruptive Advertising, Accelerated Digital Media, Momentum, Web Tonic</v>
      </c>
      <c r="I19" s="11">
        <f>IFERROR(__xludf.DUMMYFUNCTION("""COMPUTED_VALUE"""),24.0)</f>
        <v>24</v>
      </c>
      <c r="J19" s="11">
        <f>IFERROR(__xludf.DUMMYFUNCTION("""COMPUTED_VALUE"""),0.02)</f>
        <v>0.02</v>
      </c>
      <c r="K19" s="11">
        <f>IFERROR(__xludf.DUMMYFUNCTION("""COMPUTED_VALUE"""),1.54)</f>
        <v>1.54</v>
      </c>
    </row>
    <row r="20" ht="15.75" customHeight="1">
      <c r="A20" s="10" t="str">
        <f>IFERROR(__xludf.DUMMYFUNCTION("""COMPUTED_VALUE"""),"https://www.designrush.com/agency/digital-marketing/analytics")</f>
        <v>https://www.designrush.com/agency/digital-marketing/analytics</v>
      </c>
      <c r="B20" s="11" t="str">
        <f>IFERROR(__xludf.DUMMYFUNCTION("""COMPUTED_VALUE"""),"Top Marketing Analytics Agencies in 2026")</f>
        <v>Top Marketing Analytics Agencies in 2026</v>
      </c>
      <c r="C20" s="10" t="str">
        <f>IFERROR(__xludf.DUMMYFUNCTION("""COMPUTED_VALUE"""),"designrush.com")</f>
        <v>designrush.com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IFERROR(__xludf.DUMMYFUNCTION("""COMPUTED_VALUE"""),"SmartSites, Huge, KlientBoost, Funnel Boost Media, Elit-Web, AdVenture Media, Monks, Ignite Visibility, Ruler Analytics, Amsive, Intero Digital")</f>
        <v>SmartSites, Huge, KlientBoost, Funnel Boost Media, Elit-Web, AdVenture Media, Monks, Ignite Visibility, Ruler Analytics, Amsive, Intero Digital</v>
      </c>
      <c r="I20" s="11">
        <f>IFERROR(__xludf.DUMMYFUNCTION("""COMPUTED_VALUE"""),23.0)</f>
        <v>23</v>
      </c>
      <c r="J20" s="11">
        <f>IFERROR(__xludf.DUMMYFUNCTION("""COMPUTED_VALUE"""),0.02)</f>
        <v>0.02</v>
      </c>
      <c r="K20" s="11">
        <f>IFERROR(__xludf.DUMMYFUNCTION("""COMPUTED_VALUE"""),0.87)</f>
        <v>0.87</v>
      </c>
    </row>
    <row r="21" ht="15.75" customHeight="1">
      <c r="A21" s="10" t="str">
        <f>IFERROR(__xludf.DUMMYFUNCTION("""COMPUTED_VALUE"""),"https://www.sortlist.com/s/performance-marketing/united-states-us")</f>
        <v>https://www.sortlist.com/s/performance-marketing/united-states-us</v>
      </c>
      <c r="B21" s="11" t="str">
        <f>IFERROR(__xludf.DUMMYFUNCTION("""COMPUTED_VALUE"""),"The 10 Best Performance Marketing Agencies in the United States - 2026 Reviews")</f>
        <v>The 10 Best Performance Marketing Agencies in the United States - 2026 Reviews</v>
      </c>
      <c r="C21" s="10" t="str">
        <f>IFERROR(__xludf.DUMMYFUNCTION("""COMPUTED_VALUE"""),"sortlist.com")</f>
        <v>sortlist.com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IFERROR(__xludf.DUMMYFUNCTION("""COMPUTED_VALUE"""),"Clutch, IBM")</f>
        <v>Clutch, IBM</v>
      </c>
      <c r="I21" s="11">
        <f>IFERROR(__xludf.DUMMYFUNCTION("""COMPUTED_VALUE"""),23.0)</f>
        <v>23</v>
      </c>
      <c r="J21" s="11">
        <f>IFERROR(__xludf.DUMMYFUNCTION("""COMPUTED_VALUE"""),0.02)</f>
        <v>0.02</v>
      </c>
      <c r="K21" s="11">
        <f>IFERROR(__xludf.DUMMYFUNCTION("""COMPUTED_VALUE"""),0.04)</f>
        <v>0.04</v>
      </c>
    </row>
    <row r="22" ht="15.75" customHeight="1">
      <c r="A22" s="10" t="str">
        <f>IFERROR(__xludf.DUMMYFUNCTION("""COMPUTED_VALUE"""),"https://clutch.co/us/seo-firms/generative-engine-optimization")</f>
        <v>https://clutch.co/us/seo-firms/generative-engine-optimization</v>
      </c>
      <c r="B22" s="11" t="str">
        <f>IFERROR(__xludf.DUMMYFUNCTION("""COMPUTED_VALUE"""),"Top Generative Engine Optimization (GEO) Agencies in the United States - Jul 2026 Rankings | Clutch.co")</f>
        <v>Top Generative Engine Optimization (GEO) Agencies in the United States - Jul 2026 Rankings | Clutch.co</v>
      </c>
      <c r="C22" s="10" t="str">
        <f>IFERROR(__xludf.DUMMYFUNCTION("""COMPUTED_VALUE"""),"clutch.co")</f>
        <v>clutch.co</v>
      </c>
      <c r="D22" s="11" t="str">
        <f>IFERROR(__xludf.DUMMYFUNCTION("""COMPUTED_VALUE"""),"CATEGORY_PAGE")</f>
        <v>CATEGORY_PAGE</v>
      </c>
      <c r="E22" s="11" t="str">
        <f>IFERROR(__xludf.DUMMYFUNCTION("""COMPUTED_VALUE"""),"COMPETITOR")</f>
        <v>COMPETITOR</v>
      </c>
      <c r="F22" s="11" t="str">
        <f>IFERROR(__xludf.DUMMYFUNCTION("""COMPUTED_VALUE"""),"Category Page")</f>
        <v>Category Page</v>
      </c>
      <c r="G22" s="11" t="b">
        <f>IFERROR(__xludf.DUMMYFUNCTION("""COMPUTED_VALUE"""),FALSE)</f>
        <v>0</v>
      </c>
      <c r="H22" s="11" t="str">
        <f>IFERROR(__xludf.DUMMYFUNCTION("""COMPUTED_VALUE"""),"Clutch, Funnel Boost Media, WebFX, Intero Digital, Ignite Visibility, Elit-Web, Victorious, HawkSEM, Siege Media, Thrive Internet Marketing Agency, RevenueZen, Go Fish Digital, Silverback Strategies")</f>
        <v>Clutch, Funnel Boost Media, WebFX, Intero Digital, Ignite Visibility, Elit-Web, Victorious, HawkSEM, Siege Media, Thrive Internet Marketing Agency, RevenueZen, Go Fish Digital, Silverback Strategies</v>
      </c>
      <c r="I22" s="11">
        <f>IFERROR(__xludf.DUMMYFUNCTION("""COMPUTED_VALUE"""),22.0)</f>
        <v>22</v>
      </c>
      <c r="J22" s="11">
        <f>IFERROR(__xludf.DUMMYFUNCTION("""COMPUTED_VALUE"""),0.02)</f>
        <v>0.02</v>
      </c>
      <c r="K22" s="11">
        <f>IFERROR(__xludf.DUMMYFUNCTION("""COMPUTED_VALUE"""),2.09)</f>
        <v>2.09</v>
      </c>
    </row>
    <row r="23" ht="15.75" customHeight="1">
      <c r="A23" s="10" t="str">
        <f>IFERROR(__xludf.DUMMYFUNCTION("""COMPUTED_VALUE"""),"https://www.g2.com/categories/marketing-analytics-services")</f>
        <v>https://www.g2.com/categories/marketing-analytics-services</v>
      </c>
      <c r="B23" s="11" t="str">
        <f>IFERROR(__xludf.DUMMYFUNCTION("""COMPUTED_VALUE"""),"Best Marketing Analytics Service Providers: User Reviews from January 2026")</f>
        <v>Best Marketing Analytics Service Providers: User Reviews from January 2026</v>
      </c>
      <c r="C23" s="10" t="str">
        <f>IFERROR(__xludf.DUMMYFUNCTION("""COMPUTED_VALUE"""),"g2.com")</f>
        <v>g2.com</v>
      </c>
      <c r="D23" s="11" t="str">
        <f>IFERROR(__xludf.DUMMYFUNCTION("""COMPUTED_VALUE"""),"CATEGORY_PAGE")</f>
        <v>CATEGORY_PAGE</v>
      </c>
      <c r="E23" s="11" t="str">
        <f>IFERROR(__xludf.DUMMYFUNCTION("""COMPUTED_VALUE"""),"UGC")</f>
        <v>UGC</v>
      </c>
      <c r="F23" s="11" t="str">
        <f>IFERROR(__xludf.DUMMYFUNCTION("""COMPUTED_VALUE"""),"Category Page")</f>
        <v>Category Page</v>
      </c>
      <c r="G23" s="11" t="b">
        <f>IFERROR(__xludf.DUMMYFUNCTION("""COMPUTED_VALUE"""),FALSE)</f>
        <v>0</v>
      </c>
      <c r="H23" s="11"/>
      <c r="I23" s="11">
        <f>IFERROR(__xludf.DUMMYFUNCTION("""COMPUTED_VALUE"""),22.0)</f>
        <v>22</v>
      </c>
      <c r="J23" s="11">
        <f>IFERROR(__xludf.DUMMYFUNCTION("""COMPUTED_VALUE"""),0.02)</f>
        <v>0.02</v>
      </c>
      <c r="K23" s="11">
        <f>IFERROR(__xludf.DUMMYFUNCTION("""COMPUTED_VALUE"""),0.14)</f>
        <v>0.14</v>
      </c>
    </row>
    <row r="24" ht="15.75" customHeight="1">
      <c r="A24" s="10" t="str">
        <f>IFERROR(__xludf.DUMMYFUNCTION("""COMPUTED_VALUE"""),"https://agencies.semrush.com/list/smm/united-states/")</f>
        <v>https://agencies.semrush.com/list/smm/united-states/</v>
      </c>
      <c r="B24" s="11" t="str">
        <f>IFERROR(__xludf.DUMMYFUNCTION("""COMPUTED_VALUE"""),"Best Social Media Marketing Agencies in United States 2026 | Semrush")</f>
        <v>Best Social Media Marketing Agencies in United States 2026 | Semrush</v>
      </c>
      <c r="C24" s="10" t="str">
        <f>IFERROR(__xludf.DUMMYFUNCTION("""COMPUTED_VALUE"""),"semrush.com")</f>
        <v>semrush.com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IFERROR(__xludf.DUMMYFUNCTION("""COMPUTED_VALUE"""),"SmartSites, Elit-Web, Brighter Click")</f>
        <v>SmartSites, Elit-Web, Brighter Click</v>
      </c>
      <c r="I24" s="11">
        <f>IFERROR(__xludf.DUMMYFUNCTION("""COMPUTED_VALUE"""),21.0)</f>
        <v>21</v>
      </c>
      <c r="J24" s="11">
        <f>IFERROR(__xludf.DUMMYFUNCTION("""COMPUTED_VALUE"""),0.02)</f>
        <v>0.02</v>
      </c>
      <c r="K24" s="11">
        <f>IFERROR(__xludf.DUMMYFUNCTION("""COMPUTED_VALUE"""),0.1)</f>
        <v>0.1</v>
      </c>
    </row>
    <row r="25" ht="15.75" customHeight="1">
      <c r="A25" s="10" t="str">
        <f>IFERROR(__xludf.DUMMYFUNCTION("""COMPUTED_VALUE"""),"https://agencies.semrush.com/list/ai-optimization/united-states/")</f>
        <v>https://agencies.semrush.com/list/ai-optimization/united-states/</v>
      </c>
      <c r="B25" s="11" t="str">
        <f>IFERROR(__xludf.DUMMYFUNCTION("""COMPUTED_VALUE"""),"Best AI Search Optimization Agencies in United States 2026 | Semrush")</f>
        <v>Best AI Search Optimization Agencies in United States 2026 | Semrush</v>
      </c>
      <c r="C25" s="10" t="str">
        <f>IFERROR(__xludf.DUMMYFUNCTION("""COMPUTED_VALUE"""),"semrush.com")</f>
        <v>semrush.com</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t="str">
        <f>IFERROR(__xludf.DUMMYFUNCTION("""COMPUTED_VALUE"""),"SmartSites, Elit-Web")</f>
        <v>SmartSites, Elit-Web</v>
      </c>
      <c r="I25" s="11">
        <f>IFERROR(__xludf.DUMMYFUNCTION("""COMPUTED_VALUE"""),20.0)</f>
        <v>20</v>
      </c>
      <c r="J25" s="11">
        <f>IFERROR(__xludf.DUMMYFUNCTION("""COMPUTED_VALUE"""),0.02)</f>
        <v>0.02</v>
      </c>
      <c r="K25" s="11">
        <f>IFERROR(__xludf.DUMMYFUNCTION("""COMPUTED_VALUE"""),0.7)</f>
        <v>0.7</v>
      </c>
    </row>
    <row r="26" ht="15.75" customHeight="1">
      <c r="A26" s="10" t="str">
        <f>IFERROR(__xludf.DUMMYFUNCTION("""COMPUTED_VALUE"""),"https://www.gartner.com/reviews/market/advanced-analytics-service-providers-for-marketing")</f>
        <v>https://www.gartner.com/reviews/market/advanced-analytics-service-providers-for-marketing</v>
      </c>
      <c r="B26" s="11" t="str">
        <f>IFERROR(__xludf.DUMMYFUNCTION("""COMPUTED_VALUE"""),"Best Advanced Analytics Service Providers for Marketing Reviews 2026 \| Gartner Peer Insights")</f>
        <v>Best Advanced Analytics Service Providers for Marketing Reviews 2026 \| Gartner Peer Insights</v>
      </c>
      <c r="C26" s="10" t="str">
        <f>IFERROR(__xludf.DUMMYFUNCTION("""COMPUTED_VALUE"""),"gartner.com")</f>
        <v>gartner.com</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IFERROR(__xludf.DUMMYFUNCTION("""COMPUTED_VALUE"""),"Measured, Acxiom, Nielsen, Anomaly, Analytic Partners, LatentView Analytics, Merkle")</f>
        <v>Measured, Acxiom, Nielsen, Anomaly, Analytic Partners, LatentView Analytics, Merkle</v>
      </c>
      <c r="I26" s="11">
        <f>IFERROR(__xludf.DUMMYFUNCTION("""COMPUTED_VALUE"""),20.0)</f>
        <v>20</v>
      </c>
      <c r="J26" s="11">
        <f>IFERROR(__xludf.DUMMYFUNCTION("""COMPUTED_VALUE"""),0.02)</f>
        <v>0.02</v>
      </c>
      <c r="K26" s="11">
        <f>IFERROR(__xludf.DUMMYFUNCTION("""COMPUTED_VALUE"""),0.3)</f>
        <v>0.3</v>
      </c>
    </row>
    <row r="27" ht="15.75" customHeight="1">
      <c r="A27" s="10" t="str">
        <f>IFERROR(__xludf.DUMMYFUNCTION("""COMPUTED_VALUE"""),"https://clutch.co/us/consulting/ai/strategy")</f>
        <v>https://clutch.co/us/consulting/ai/strategy</v>
      </c>
      <c r="B27" s="11" t="str">
        <f>IFERROR(__xludf.DUMMYFUNCTION("""COMPUTED_VALUE"""),"Top AI Strategy Companies in the United States - Jul 2026 Rankings \| Clutch.co")</f>
        <v>Top AI Strategy Companies in the United States - Jul 2026 Rankings \| Clutch.co</v>
      </c>
      <c r="C27" s="10" t="str">
        <f>IFERROR(__xludf.DUMMYFUNCTION("""COMPUTED_VALUE"""),"clutch.co")</f>
        <v>clutch.co</v>
      </c>
      <c r="D27" s="11" t="str">
        <f>IFERROR(__xludf.DUMMYFUNCTION("""COMPUTED_VALUE"""),"CATEGORY_PAGE")</f>
        <v>CATEGORY_PAGE</v>
      </c>
      <c r="E27" s="11" t="str">
        <f>IFERROR(__xludf.DUMMYFUNCTION("""COMPUTED_VALUE"""),"COMPETITOR")</f>
        <v>COMPETITOR</v>
      </c>
      <c r="F27" s="11" t="str">
        <f>IFERROR(__xludf.DUMMYFUNCTION("""COMPUTED_VALUE"""),"Category Page")</f>
        <v>Category Page</v>
      </c>
      <c r="G27" s="11" t="b">
        <f>IFERROR(__xludf.DUMMYFUNCTION("""COMPUTED_VALUE"""),FALSE)</f>
        <v>0</v>
      </c>
      <c r="H27" s="11" t="str">
        <f>IFERROR(__xludf.DUMMYFUNCTION("""COMPUTED_VALUE"""),"Clutch, Go Fish Digital")</f>
        <v>Clutch, Go Fish Digital</v>
      </c>
      <c r="I27" s="11">
        <f>IFERROR(__xludf.DUMMYFUNCTION("""COMPUTED_VALUE"""),19.0)</f>
        <v>19</v>
      </c>
      <c r="J27" s="11">
        <f>IFERROR(__xludf.DUMMYFUNCTION("""COMPUTED_VALUE"""),0.02)</f>
        <v>0.02</v>
      </c>
      <c r="K27" s="11">
        <f>IFERROR(__xludf.DUMMYFUNCTION("""COMPUTED_VALUE"""),0.26)</f>
        <v>0.26</v>
      </c>
    </row>
    <row r="28" ht="15.75" customHeight="1">
      <c r="A28" s="10" t="str">
        <f>IFERROR(__xludf.DUMMYFUNCTION("""COMPUTED_VALUE"""),"https://www.designrush.com/agency/creative-agencies/us")</f>
        <v>https://www.designrush.com/agency/creative-agencies/us</v>
      </c>
      <c r="B28" s="11" t="str">
        <f>IFERROR(__xludf.DUMMYFUNCTION("""COMPUTED_VALUE"""),"Top Creative Agencies - Jul 2026 | DesignRush")</f>
        <v>Top Creative Agencies - Jul 2026 | DesignRush</v>
      </c>
      <c r="C28" s="10" t="str">
        <f>IFERROR(__xludf.DUMMYFUNCTION("""COMPUTED_VALUE"""),"designrush.com")</f>
        <v>designrush.com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IFERROR(__xludf.DUMMYFUNCTION("""COMPUTED_VALUE"""),"PwC, Disruptive Advertising, IBM, Huge, Major Tom, Directive, McKinsey, Nielsen, Measured")</f>
        <v>PwC, Disruptive Advertising, IBM, Huge, Major Tom, Directive, McKinsey, Nielsen, Measured</v>
      </c>
      <c r="I28" s="11">
        <f>IFERROR(__xludf.DUMMYFUNCTION("""COMPUTED_VALUE"""),19.0)</f>
        <v>19</v>
      </c>
      <c r="J28" s="11">
        <f>IFERROR(__xludf.DUMMYFUNCTION("""COMPUTED_VALUE"""),0.02)</f>
        <v>0.02</v>
      </c>
      <c r="K28" s="11">
        <f>IFERROR(__xludf.DUMMYFUNCTION("""COMPUTED_VALUE"""),0.26)</f>
        <v>0.26</v>
      </c>
    </row>
    <row r="29" ht="15.75" customHeight="1">
      <c r="A29" s="10" t="str">
        <f>IFERROR(__xludf.DUMMYFUNCTION("""COMPUTED_VALUE"""),"https://clutch.co/agencies/social-media-marketing")</f>
        <v>https://clutch.co/agencies/social-media-marketing</v>
      </c>
      <c r="B29" s="11" t="str">
        <f>IFERROR(__xludf.DUMMYFUNCTION("""COMPUTED_VALUE"""),"Top Social Media Marketing Agencies - Jul 2026 Rankings | Clutch.co")</f>
        <v>Top Social Media Marketing Agencies - Jul 2026 Rankings | Clutch.co</v>
      </c>
      <c r="C29" s="10" t="str">
        <f>IFERROR(__xludf.DUMMYFUNCTION("""COMPUTED_VALUE"""),"clutch.co")</f>
        <v>clutch.co</v>
      </c>
      <c r="D29" s="11" t="str">
        <f>IFERROR(__xludf.DUMMYFUNCTION("""COMPUTED_VALUE"""),"CATEGORY_PAGE")</f>
        <v>CATEGORY_PAGE</v>
      </c>
      <c r="E29" s="11" t="str">
        <f>IFERROR(__xludf.DUMMYFUNCTION("""COMPUTED_VALUE"""),"COMPETITOR")</f>
        <v>COMPETITOR</v>
      </c>
      <c r="F29" s="11" t="str">
        <f>IFERROR(__xludf.DUMMYFUNCTION("""COMPUTED_VALUE"""),"Category Page")</f>
        <v>Category Page</v>
      </c>
      <c r="G29" s="11" t="b">
        <f>IFERROR(__xludf.DUMMYFUNCTION("""COMPUTED_VALUE"""),FALSE)</f>
        <v>0</v>
      </c>
      <c r="H29" s="11" t="str">
        <f>IFERROR(__xludf.DUMMYFUNCTION("""COMPUTED_VALUE"""),"Clutch, Sociallyin, LYFE Marketing, KlientBoost, Viral Nation, SmartSites, Huge, Ignite Visibility")</f>
        <v>Clutch, Sociallyin, LYFE Marketing, KlientBoost, Viral Nation, SmartSites, Huge, Ignite Visibility</v>
      </c>
      <c r="I29" s="11">
        <f>IFERROR(__xludf.DUMMYFUNCTION("""COMPUTED_VALUE"""),18.0)</f>
        <v>18</v>
      </c>
      <c r="J29" s="11">
        <f>IFERROR(__xludf.DUMMYFUNCTION("""COMPUTED_VALUE"""),0.02)</f>
        <v>0.02</v>
      </c>
      <c r="K29" s="11">
        <f>IFERROR(__xludf.DUMMYFUNCTION("""COMPUTED_VALUE"""),0.22)</f>
        <v>0.22</v>
      </c>
    </row>
    <row r="30" ht="15.75" customHeight="1">
      <c r="A30" s="10" t="str">
        <f>IFERROR(__xludf.DUMMYFUNCTION("""COMPUTED_VALUE"""),"https://clutch.co/agencies/creative")</f>
        <v>https://clutch.co/agencies/creative</v>
      </c>
      <c r="B30" s="11" t="str">
        <f>IFERROR(__xludf.DUMMYFUNCTION("""COMPUTED_VALUE"""),"Top Creative Agencies - Jul 2026 Rankings | Clutch.co")</f>
        <v>Top Creative Agencies - Jul 2026 Rankings | Clutch.co</v>
      </c>
      <c r="C30" s="10" t="str">
        <f>IFERROR(__xludf.DUMMYFUNCTION("""COMPUTED_VALUE"""),"clutch.co")</f>
        <v>clutch.co</v>
      </c>
      <c r="D30" s="11" t="str">
        <f>IFERROR(__xludf.DUMMYFUNCTION("""COMPUTED_VALUE"""),"CATEGORY_PAGE")</f>
        <v>CATEGORY_PAGE</v>
      </c>
      <c r="E30" s="11" t="str">
        <f>IFERROR(__xludf.DUMMYFUNCTION("""COMPUTED_VALUE"""),"COMPETITOR")</f>
        <v>COMPETITOR</v>
      </c>
      <c r="F30" s="11" t="str">
        <f>IFERROR(__xludf.DUMMYFUNCTION("""COMPUTED_VALUE"""),"Category Page")</f>
        <v>Category Page</v>
      </c>
      <c r="G30" s="11" t="b">
        <f>IFERROR(__xludf.DUMMYFUNCTION("""COMPUTED_VALUE"""),FALSE)</f>
        <v>0</v>
      </c>
      <c r="H30" s="11" t="str">
        <f>IFERROR(__xludf.DUMMYFUNCTION("""COMPUTED_VALUE"""),"Clutch, Clay, Momentum")</f>
        <v>Clutch, Clay, Momentum</v>
      </c>
      <c r="I30" s="11">
        <f>IFERROR(__xludf.DUMMYFUNCTION("""COMPUTED_VALUE"""),17.0)</f>
        <v>17</v>
      </c>
      <c r="J30" s="11">
        <f>IFERROR(__xludf.DUMMYFUNCTION("""COMPUTED_VALUE"""),0.02)</f>
        <v>0.02</v>
      </c>
      <c r="K30" s="11">
        <f>IFERROR(__xludf.DUMMYFUNCTION("""COMPUTED_VALUE"""),0.12)</f>
        <v>0.12</v>
      </c>
    </row>
    <row r="31" ht="15.75" customHeight="1">
      <c r="A31" s="10" t="str">
        <f>IFERROR(__xludf.DUMMYFUNCTION("""COMPUTED_VALUE"""),"https://clutch.co/us/agencies/media-buying")</f>
        <v>https://clutch.co/us/agencies/media-buying</v>
      </c>
      <c r="B31" s="11" t="str">
        <f>IFERROR(__xludf.DUMMYFUNCTION("""COMPUTED_VALUE"""),"Top Media Buying Agencies in the United States - Jul 2026 Rankings \| Clutch.co")</f>
        <v>Top Media Buying Agencies in the United States - Jul 2026 Rankings \| Clutch.co</v>
      </c>
      <c r="C31" s="10" t="str">
        <f>IFERROR(__xludf.DUMMYFUNCTION("""COMPUTED_VALUE"""),"clutch.co")</f>
        <v>clutch.co</v>
      </c>
      <c r="D31" s="11" t="str">
        <f>IFERROR(__xludf.DUMMYFUNCTION("""COMPUTED_VALUE"""),"CATEGORY_PAGE")</f>
        <v>CATEGORY_PAGE</v>
      </c>
      <c r="E31" s="11" t="str">
        <f>IFERROR(__xludf.DUMMYFUNCTION("""COMPUTED_VALUE"""),"COMPETITOR")</f>
        <v>COMPETITOR</v>
      </c>
      <c r="F31" s="11" t="str">
        <f>IFERROR(__xludf.DUMMYFUNCTION("""COMPUTED_VALUE"""),"Category Page")</f>
        <v>Category Page</v>
      </c>
      <c r="G31" s="11" t="b">
        <f>IFERROR(__xludf.DUMMYFUNCTION("""COMPUTED_VALUE"""),FALSE)</f>
        <v>0</v>
      </c>
      <c r="H31" s="11" t="str">
        <f>IFERROR(__xludf.DUMMYFUNCTION("""COMPUTED_VALUE"""),"Clutch, Accelerated Digital Media")</f>
        <v>Clutch, Accelerated Digital Media</v>
      </c>
      <c r="I31" s="11">
        <f>IFERROR(__xludf.DUMMYFUNCTION("""COMPUTED_VALUE"""),16.0)</f>
        <v>16</v>
      </c>
      <c r="J31" s="11">
        <f>IFERROR(__xludf.DUMMYFUNCTION("""COMPUTED_VALUE"""),0.02)</f>
        <v>0.02</v>
      </c>
      <c r="K31" s="11">
        <f>IFERROR(__xludf.DUMMYFUNCTION("""COMPUTED_VALUE"""),0.19)</f>
        <v>0.19</v>
      </c>
    </row>
    <row r="32" ht="15.75" customHeight="1">
      <c r="A32" s="10" t="str">
        <f>IFERROR(__xludf.DUMMYFUNCTION("""COMPUTED_VALUE"""),"https://digitalagencynetwork.com/agencies/usa/")</f>
        <v>https://digitalagencynetwork.com/agencies/usa/</v>
      </c>
      <c r="B32" s="11" t="str">
        <f>IFERROR(__xludf.DUMMYFUNCTION("""COMPUTED_VALUE"""),"Top Digital Marketing Agencies in USA (2026)")</f>
        <v>Top Digital Marketing Agencies in USA (2026)</v>
      </c>
      <c r="C32" s="10" t="str">
        <f>IFERROR(__xludf.DUMMYFUNCTION("""COMPUTED_VALUE"""),"digitalagencynetwork.com")</f>
        <v>digitalagencynetwork.com</v>
      </c>
      <c r="D32" s="11" t="str">
        <f>IFERROR(__xludf.DUMMYFUNCTION("""COMPUTED_VALUE"""),"CATEGORY_PAGE")</f>
        <v>CATEGORY_PAGE</v>
      </c>
      <c r="E32" s="11" t="str">
        <f>IFERROR(__xludf.DUMMYFUNCTION("""COMPUTED_VALUE"""),"REFERENCE")</f>
        <v>REFERENCE</v>
      </c>
      <c r="F32" s="11" t="str">
        <f>IFERROR(__xludf.DUMMYFUNCTION("""COMPUTED_VALUE"""),"Category Page")</f>
        <v>Category Page</v>
      </c>
      <c r="G32" s="11" t="b">
        <f>IFERROR(__xludf.DUMMYFUNCTION("""COMPUTED_VALUE"""),FALSE)</f>
        <v>0</v>
      </c>
      <c r="H32" s="11" t="str">
        <f>IFERROR(__xludf.DUMMYFUNCTION("""COMPUTED_VALUE"""),"Major Tom, Ignite Visibility, Dentsu, NinjaPromo, PwC, Monks, SmartSites, Victorious, BCG, Clay, Brighter Click, NoGood, Web Tonic, Amsive")</f>
        <v>Major Tom, Ignite Visibility, Dentsu, NinjaPromo, PwC, Monks, SmartSites, Victorious, BCG, Clay, Brighter Click, NoGood, Web Tonic, Amsive</v>
      </c>
      <c r="I32" s="11">
        <f>IFERROR(__xludf.DUMMYFUNCTION("""COMPUTED_VALUE"""),16.0)</f>
        <v>16</v>
      </c>
      <c r="J32" s="11">
        <f>IFERROR(__xludf.DUMMYFUNCTION("""COMPUTED_VALUE"""),0.02)</f>
        <v>0.02</v>
      </c>
      <c r="K32" s="11">
        <f>IFERROR(__xludf.DUMMYFUNCTION("""COMPUTED_VALUE"""),0.0)</f>
        <v>0</v>
      </c>
    </row>
    <row r="33" ht="15.75" customHeight="1">
      <c r="A33" s="10" t="str">
        <f>IFERROR(__xludf.DUMMYFUNCTION("""COMPUTED_VALUE"""),"https://agencies.semrush.com/list/display-advertising/")</f>
        <v>https://agencies.semrush.com/list/display-advertising/</v>
      </c>
      <c r="B33" s="11" t="str">
        <f>IFERROR(__xludf.DUMMYFUNCTION("""COMPUTED_VALUE"""),"Best Display Ads Agencies in the World 2026 | Semrush")</f>
        <v>Best Display Ads Agencies in the World 2026 | Semrush</v>
      </c>
      <c r="C33" s="10" t="str">
        <f>IFERROR(__xludf.DUMMYFUNCTION("""COMPUTED_VALUE"""),"semrush.com")</f>
        <v>semrush.com</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IFERROR(__xludf.DUMMYFUNCTION("""COMPUTED_VALUE"""),"SmartSites")</f>
        <v>SmartSites</v>
      </c>
      <c r="I33" s="11">
        <f>IFERROR(__xludf.DUMMYFUNCTION("""COMPUTED_VALUE"""),15.0)</f>
        <v>15</v>
      </c>
      <c r="J33" s="11">
        <f>IFERROR(__xludf.DUMMYFUNCTION("""COMPUTED_VALUE"""),0.01)</f>
        <v>0.01</v>
      </c>
      <c r="K33" s="11">
        <f>IFERROR(__xludf.DUMMYFUNCTION("""COMPUTED_VALUE"""),0.0)</f>
        <v>0</v>
      </c>
    </row>
    <row r="34" ht="15.75" customHeight="1">
      <c r="A34" s="10" t="str">
        <f>IFERROR(__xludf.DUMMYFUNCTION("""COMPUTED_VALUE"""),"https://clutch.co/us/consulting/ai")</f>
        <v>https://clutch.co/us/consulting/ai</v>
      </c>
      <c r="B34" s="11" t="str">
        <f>IFERROR(__xludf.DUMMYFUNCTION("""COMPUTED_VALUE"""),"Top AI Consultants in the United States - Jul 2026 Rankings \| Clutch.co")</f>
        <v>Top AI Consultants in the United States - Jul 2026 Rankings \| Clutch.co</v>
      </c>
      <c r="C34" s="10" t="str">
        <f>IFERROR(__xludf.DUMMYFUNCTION("""COMPUTED_VALUE"""),"clutch.co")</f>
        <v>clutch.co</v>
      </c>
      <c r="D34" s="11" t="str">
        <f>IFERROR(__xludf.DUMMYFUNCTION("""COMPUTED_VALUE"""),"CATEGORY_PAGE")</f>
        <v>CATEGORY_PAGE</v>
      </c>
      <c r="E34" s="11" t="str">
        <f>IFERROR(__xludf.DUMMYFUNCTION("""COMPUTED_VALUE"""),"COMPETITOR")</f>
        <v>COMPETITOR</v>
      </c>
      <c r="F34" s="11" t="str">
        <f>IFERROR(__xludf.DUMMYFUNCTION("""COMPUTED_VALUE"""),"Category Page")</f>
        <v>Category Page</v>
      </c>
      <c r="G34" s="11" t="b">
        <f>IFERROR(__xludf.DUMMYFUNCTION("""COMPUTED_VALUE"""),FALSE)</f>
        <v>0</v>
      </c>
      <c r="H34" s="11" t="str">
        <f>IFERROR(__xludf.DUMMYFUNCTION("""COMPUTED_VALUE"""),"Clutch, Momentum")</f>
        <v>Clutch, Momentum</v>
      </c>
      <c r="I34" s="11">
        <f>IFERROR(__xludf.DUMMYFUNCTION("""COMPUTED_VALUE"""),15.0)</f>
        <v>15</v>
      </c>
      <c r="J34" s="11">
        <f>IFERROR(__xludf.DUMMYFUNCTION("""COMPUTED_VALUE"""),0.01)</f>
        <v>0.01</v>
      </c>
      <c r="K34" s="11">
        <f>IFERROR(__xludf.DUMMYFUNCTION("""COMPUTED_VALUE"""),0.47)</f>
        <v>0.47</v>
      </c>
    </row>
    <row r="35" ht="15.75" customHeight="1">
      <c r="A35" s="10" t="str">
        <f>IFERROR(__xludf.DUMMYFUNCTION("""COMPUTED_VALUE"""),"https://www.sortlist.com/s/marketing-analytics/united-states-us")</f>
        <v>https://www.sortlist.com/s/marketing-analytics/united-states-us</v>
      </c>
      <c r="B35" s="11" t="str">
        <f>IFERROR(__xludf.DUMMYFUNCTION("""COMPUTED_VALUE"""),"The 10 Best Marketing Analytics Companies in the United States - 2026 Reviews")</f>
        <v>The 10 Best Marketing Analytics Companies in the United States - 2026 Reviews</v>
      </c>
      <c r="C35" s="10" t="str">
        <f>IFERROR(__xludf.DUMMYFUNCTION("""COMPUTED_VALUE"""),"sortlist.com")</f>
        <v>sortlist.com</v>
      </c>
      <c r="D35" s="11" t="str">
        <f>IFERROR(__xludf.DUMMYFUNCTION("""COMPUTED_VALUE"""),"CATEGORY_PAGE")</f>
        <v>CATEGORY_PAGE</v>
      </c>
      <c r="E35" s="11" t="str">
        <f>IFERROR(__xludf.DUMMYFUNCTION("""COMPUTED_VALUE"""),"CORPORATE")</f>
        <v>CORPORATE</v>
      </c>
      <c r="F35" s="11" t="str">
        <f>IFERROR(__xludf.DUMMYFUNCTION("""COMPUTED_VALUE"""),"Category Page")</f>
        <v>Category Page</v>
      </c>
      <c r="G35" s="11" t="b">
        <f>IFERROR(__xludf.DUMMYFUNCTION("""COMPUTED_VALUE"""),FALSE)</f>
        <v>0</v>
      </c>
      <c r="H35" s="11" t="str">
        <f>IFERROR(__xludf.DUMMYFUNCTION("""COMPUTED_VALUE"""),"NinjaPromo, IBM, Clutch")</f>
        <v>NinjaPromo, IBM, Clutch</v>
      </c>
      <c r="I35" s="11">
        <f>IFERROR(__xludf.DUMMYFUNCTION("""COMPUTED_VALUE"""),15.0)</f>
        <v>15</v>
      </c>
      <c r="J35" s="11">
        <f>IFERROR(__xludf.DUMMYFUNCTION("""COMPUTED_VALUE"""),0.01)</f>
        <v>0.01</v>
      </c>
      <c r="K35" s="11">
        <f>IFERROR(__xludf.DUMMYFUNCTION("""COMPUTED_VALUE"""),0.07)</f>
        <v>0.07</v>
      </c>
    </row>
    <row r="36" ht="15.75" customHeight="1">
      <c r="A36" s="10" t="str">
        <f>IFERROR(__xludf.DUMMYFUNCTION("""COMPUTED_VALUE"""),"https://clutch.co/agencies/digital-marketing")</f>
        <v>https://clutch.co/agencies/digital-marketing</v>
      </c>
      <c r="B36" s="11" t="str">
        <f>IFERROR(__xludf.DUMMYFUNCTION("""COMPUTED_VALUE"""),"Best Digital Marketing Agencies - Jul 2026 Rankings | Clutch.co")</f>
        <v>Best Digital Marketing Agencies - Jul 2026 Rankings | Clutch.co</v>
      </c>
      <c r="C36" s="10" t="str">
        <f>IFERROR(__xludf.DUMMYFUNCTION("""COMPUTED_VALUE"""),"clutch.co")</f>
        <v>clutch.co</v>
      </c>
      <c r="D36" s="11" t="str">
        <f>IFERROR(__xludf.DUMMYFUNCTION("""COMPUTED_VALUE"""),"CATEGORY_PAGE")</f>
        <v>CATEGORY_PAGE</v>
      </c>
      <c r="E36" s="11" t="str">
        <f>IFERROR(__xludf.DUMMYFUNCTION("""COMPUTED_VALUE"""),"COMPETITOR")</f>
        <v>COMPETITOR</v>
      </c>
      <c r="F36" s="11" t="str">
        <f>IFERROR(__xludf.DUMMYFUNCTION("""COMPUTED_VALUE"""),"Category Page")</f>
        <v>Category Page</v>
      </c>
      <c r="G36" s="11" t="b">
        <f>IFERROR(__xludf.DUMMYFUNCTION("""COMPUTED_VALUE"""),FALSE)</f>
        <v>0</v>
      </c>
      <c r="H36" s="11" t="str">
        <f>IFERROR(__xludf.DUMMYFUNCTION("""COMPUTED_VALUE"""),"Clutch, Ignite Visibility, Disruptive Advertising, Silverback Strategies, SmartSites, Power Digital, WebFX, Funnel Boost Media, Accelerated Digital Media, Thrive Internet Marketing Agency, Intero Digital, NinjaPromo, Elit-Web")</f>
        <v>Clutch, Ignite Visibility, Disruptive Advertising, Silverback Strategies, SmartSites, Power Digital, WebFX, Funnel Boost Media, Accelerated Digital Media, Thrive Internet Marketing Agency, Intero Digital, NinjaPromo, Elit-Web</v>
      </c>
      <c r="I36" s="11">
        <f>IFERROR(__xludf.DUMMYFUNCTION("""COMPUTED_VALUE"""),14.0)</f>
        <v>14</v>
      </c>
      <c r="J36" s="11">
        <f>IFERROR(__xludf.DUMMYFUNCTION("""COMPUTED_VALUE"""),0.01)</f>
        <v>0.01</v>
      </c>
      <c r="K36" s="11">
        <f>IFERROR(__xludf.DUMMYFUNCTION("""COMPUTED_VALUE"""),0.21)</f>
        <v>0.21</v>
      </c>
    </row>
    <row r="37" ht="15.75" customHeight="1">
      <c r="A37" s="10" t="str">
        <f>IFERROR(__xludf.DUMMYFUNCTION("""COMPUTED_VALUE"""),"https://clutch.co/us/agencies/ppc/google-adwords")</f>
        <v>https://clutch.co/us/agencies/ppc/google-adwords</v>
      </c>
      <c r="B37" s="11" t="str">
        <f>IFERROR(__xludf.DUMMYFUNCTION("""COMPUTED_VALUE"""),"Top Adwords PPC Agencies in the United States - Jul 2026 Rankings \| Clutch.co")</f>
        <v>Top Adwords PPC Agencies in the United States - Jul 2026 Rankings \| Clutch.co</v>
      </c>
      <c r="C37" s="10" t="str">
        <f>IFERROR(__xludf.DUMMYFUNCTION("""COMPUTED_VALUE"""),"clutch.co")</f>
        <v>clutch.co</v>
      </c>
      <c r="D37" s="11" t="str">
        <f>IFERROR(__xludf.DUMMYFUNCTION("""COMPUTED_VALUE"""),"CATEGORY_PAGE")</f>
        <v>CATEGORY_PAGE</v>
      </c>
      <c r="E37" s="11" t="str">
        <f>IFERROR(__xludf.DUMMYFUNCTION("""COMPUTED_VALUE"""),"COMPETITOR")</f>
        <v>COMPETITOR</v>
      </c>
      <c r="F37" s="11" t="str">
        <f>IFERROR(__xludf.DUMMYFUNCTION("""COMPUTED_VALUE"""),"Category Page")</f>
        <v>Category Page</v>
      </c>
      <c r="G37" s="11" t="b">
        <f>IFERROR(__xludf.DUMMYFUNCTION("""COMPUTED_VALUE"""),FALSE)</f>
        <v>0</v>
      </c>
      <c r="H37" s="11" t="str">
        <f>IFERROR(__xludf.DUMMYFUNCTION("""COMPUTED_VALUE"""),"Clutch, KlientBoost, Disruptive Advertising, AdVenture Media, HawkSEM, SmartSites, Intero Digital, Elit-Web, Accelerated Digital Media, Ignite Visibility, Searchbloom")</f>
        <v>Clutch, KlientBoost, Disruptive Advertising, AdVenture Media, HawkSEM, SmartSites, Intero Digital, Elit-Web, Accelerated Digital Media, Ignite Visibility, Searchbloom</v>
      </c>
      <c r="I37" s="11">
        <f>IFERROR(__xludf.DUMMYFUNCTION("""COMPUTED_VALUE"""),14.0)</f>
        <v>14</v>
      </c>
      <c r="J37" s="11">
        <f>IFERROR(__xludf.DUMMYFUNCTION("""COMPUTED_VALUE"""),0.01)</f>
        <v>0.01</v>
      </c>
      <c r="K37" s="11">
        <f>IFERROR(__xludf.DUMMYFUNCTION("""COMPUTED_VALUE"""),1.5)</f>
        <v>1.5</v>
      </c>
    </row>
    <row r="38" ht="15.75" customHeight="1">
      <c r="A38" s="10" t="str">
        <f>IFERROR(__xludf.DUMMYFUNCTION("""COMPUTED_VALUE"""),"https://enterprisemarketingportal.google/find-a-partner")</f>
        <v>https://enterprisemarketingportal.google/find-a-partner</v>
      </c>
      <c r="B38" s="11" t="str">
        <f>IFERROR(__xludf.DUMMYFUNCTION("""COMPUTED_VALUE"""),"Find a Partner Gallery")</f>
        <v>Find a Partner Gallery</v>
      </c>
      <c r="C38" s="11" t="str">
        <f>IFERROR(__xludf.DUMMYFUNCTION("""COMPUTED_VALUE"""),"enterprisemarketingportal.google")</f>
        <v>enterprisemarketingportal.google</v>
      </c>
      <c r="D38" s="11" t="str">
        <f>IFERROR(__xludf.DUMMYFUNCTION("""COMPUTED_VALUE"""),"CATEGORY_PAGE")</f>
        <v>CATEGORY_PAGE</v>
      </c>
      <c r="E38" s="11" t="str">
        <f>IFERROR(__xludf.DUMMYFUNCTION("""COMPUTED_VALUE"""),"CORPORATE")</f>
        <v>CORPORATE</v>
      </c>
      <c r="F38" s="11" t="str">
        <f>IFERROR(__xludf.DUMMYFUNCTION("""COMPUTED_VALUE"""),"Category Page")</f>
        <v>Category Page</v>
      </c>
      <c r="G38" s="11" t="b">
        <f>IFERROR(__xludf.DUMMYFUNCTION("""COMPUTED_VALUE"""),TRUE)</f>
        <v>1</v>
      </c>
      <c r="H38" s="11" t="str">
        <f>IFERROR(__xludf.DUMMYFUNCTION("""COMPUTED_VALUE"""),"Making Science, Jellyfish, Incubeta, Brainlabs, Acxiom, Monks, Adswerve, Bounteous, InfoTrust, Merkle, Cardinal Path, Publicis Sapient, DEPT, Horizon Media, Wpromote, PMG, Digitas, Tinuiti, Marcel Digital")</f>
        <v>Making Science, Jellyfish, Incubeta, Brainlabs, Acxiom, Monks, Adswerve, Bounteous, InfoTrust, Merkle, Cardinal Path, Publicis Sapient, DEPT, Horizon Media, Wpromote, PMG, Digitas, Tinuiti, Marcel Digital</v>
      </c>
      <c r="I38" s="11">
        <f>IFERROR(__xludf.DUMMYFUNCTION("""COMPUTED_VALUE"""),14.0)</f>
        <v>14</v>
      </c>
      <c r="J38" s="11">
        <f>IFERROR(__xludf.DUMMYFUNCTION("""COMPUTED_VALUE"""),0.01)</f>
        <v>0.01</v>
      </c>
      <c r="K38" s="11">
        <f>IFERROR(__xludf.DUMMYFUNCTION("""COMPUTED_VALUE"""),1.36)</f>
        <v>1.36</v>
      </c>
    </row>
    <row r="39" ht="15.75" customHeight="1">
      <c r="A39" s="10" t="str">
        <f>IFERROR(__xludf.DUMMYFUNCTION("""COMPUTED_VALUE"""),"https://agencies.semrush.com/list/display-advertising/united-states/enterprise-business/")</f>
        <v>https://agencies.semrush.com/list/display-advertising/united-states/enterprise-business/</v>
      </c>
      <c r="B39" s="11" t="str">
        <f>IFERROR(__xludf.DUMMYFUNCTION("""COMPUTED_VALUE"""),"Best Display Ads Agencies for Enterprise Business in United States 2026 | Semrush")</f>
        <v>Best Display Ads Agencies for Enterprise Business in United States 2026 | Semrush</v>
      </c>
      <c r="C39" s="10" t="str">
        <f>IFERROR(__xludf.DUMMYFUNCTION("""COMPUTED_VALUE"""),"semrush.com")</f>
        <v>semrush.com</v>
      </c>
      <c r="D39" s="11" t="str">
        <f>IFERROR(__xludf.DUMMYFUNCTION("""COMPUTED_VALUE"""),"CATEGORY_PAGE")</f>
        <v>CATEGORY_PAGE</v>
      </c>
      <c r="E39" s="11" t="str">
        <f>IFERROR(__xludf.DUMMYFUNCTION("""COMPUTED_VALUE"""),"CORPORATE")</f>
        <v>CORPORATE</v>
      </c>
      <c r="F39" s="11" t="str">
        <f>IFERROR(__xludf.DUMMYFUNCTION("""COMPUTED_VALUE"""),"Category Page")</f>
        <v>Category Page</v>
      </c>
      <c r="G39" s="11" t="b">
        <f>IFERROR(__xludf.DUMMYFUNCTION("""COMPUTED_VALUE"""),FALSE)</f>
        <v>0</v>
      </c>
      <c r="H39" s="11" t="str">
        <f>IFERROR(__xludf.DUMMYFUNCTION("""COMPUTED_VALUE"""),"SmartSites, Elit-Web, Brighter Click")</f>
        <v>SmartSites, Elit-Web, Brighter Click</v>
      </c>
      <c r="I39" s="11">
        <f>IFERROR(__xludf.DUMMYFUNCTION("""COMPUTED_VALUE"""),13.0)</f>
        <v>13</v>
      </c>
      <c r="J39" s="11">
        <f>IFERROR(__xludf.DUMMYFUNCTION("""COMPUTED_VALUE"""),0.01)</f>
        <v>0.01</v>
      </c>
      <c r="K39" s="11">
        <f>IFERROR(__xludf.DUMMYFUNCTION("""COMPUTED_VALUE"""),0.0)</f>
        <v>0</v>
      </c>
    </row>
    <row r="40" ht="15.75" customHeight="1">
      <c r="A40" s="10" t="str">
        <f>IFERROR(__xludf.DUMMYFUNCTION("""COMPUTED_VALUE"""),"https://clutch.co/agencies/ppc/google-adwords")</f>
        <v>https://clutch.co/agencies/ppc/google-adwords</v>
      </c>
      <c r="B40" s="11" t="str">
        <f>IFERROR(__xludf.DUMMYFUNCTION("""COMPUTED_VALUE"""),"Top Google Ads PPC Agencies - Jul 2026 Rankings \| Clutch.co")</f>
        <v>Top Google Ads PPC Agencies - Jul 2026 Rankings \| Clutch.co</v>
      </c>
      <c r="C40" s="10" t="str">
        <f>IFERROR(__xludf.DUMMYFUNCTION("""COMPUTED_VALUE"""),"clutch.co")</f>
        <v>clutch.co</v>
      </c>
      <c r="D40" s="11" t="str">
        <f>IFERROR(__xludf.DUMMYFUNCTION("""COMPUTED_VALUE"""),"CATEGORY_PAGE")</f>
        <v>CATEGORY_PAGE</v>
      </c>
      <c r="E40" s="11" t="str">
        <f>IFERROR(__xludf.DUMMYFUNCTION("""COMPUTED_VALUE"""),"COMPETITOR")</f>
        <v>COMPETITOR</v>
      </c>
      <c r="F40" s="11" t="str">
        <f>IFERROR(__xludf.DUMMYFUNCTION("""COMPUTED_VALUE"""),"Category Page")</f>
        <v>Category Page</v>
      </c>
      <c r="G40" s="11" t="b">
        <f>IFERROR(__xludf.DUMMYFUNCTION("""COMPUTED_VALUE"""),FALSE)</f>
        <v>0</v>
      </c>
      <c r="H40" s="11" t="str">
        <f>IFERROR(__xludf.DUMMYFUNCTION("""COMPUTED_VALUE"""),"Clutch, KlientBoost, SmartSites, HawkSEM, Silverback Strategies, Disruptive Advertising, AdVenture Media, Accelerated Digital Media, Intero Digital, Elit-Web, Ignite Visibility, Searchbloom")</f>
        <v>Clutch, KlientBoost, SmartSites, HawkSEM, Silverback Strategies, Disruptive Advertising, AdVenture Media, Accelerated Digital Media, Intero Digital, Elit-Web, Ignite Visibility, Searchbloom</v>
      </c>
      <c r="I40" s="11">
        <f>IFERROR(__xludf.DUMMYFUNCTION("""COMPUTED_VALUE"""),13.0)</f>
        <v>13</v>
      </c>
      <c r="J40" s="11">
        <f>IFERROR(__xludf.DUMMYFUNCTION("""COMPUTED_VALUE"""),0.01)</f>
        <v>0.01</v>
      </c>
      <c r="K40" s="11">
        <f>IFERROR(__xludf.DUMMYFUNCTION("""COMPUTED_VALUE"""),0.23)</f>
        <v>0.23</v>
      </c>
    </row>
    <row r="41" ht="15.75" customHeight="1">
      <c r="A41" s="10" t="str">
        <f>IFERROR(__xludf.DUMMYFUNCTION("""COMPUTED_VALUE"""),"https://clutch.co/us/agencies/ppc/display?page=2")</f>
        <v>https://clutch.co/us/agencies/ppc/display?page=2</v>
      </c>
      <c r="B41" s="11" t="str">
        <f>IFERROR(__xludf.DUMMYFUNCTION("""COMPUTED_VALUE"""),"Page 2 - Top Display Advertising Agencies in the United States - Jul 2026 Rankings | Clutch.co")</f>
        <v>Page 2 - Top Display Advertising Agencies in the United States - Jul 2026 Rankings | Clutch.co</v>
      </c>
      <c r="C41" s="10" t="str">
        <f>IFERROR(__xludf.DUMMYFUNCTION("""COMPUTED_VALUE"""),"clutch.co")</f>
        <v>clutch.co</v>
      </c>
      <c r="D41" s="11" t="str">
        <f>IFERROR(__xludf.DUMMYFUNCTION("""COMPUTED_VALUE"""),"CATEGORY_PAGE")</f>
        <v>CATEGORY_PAGE</v>
      </c>
      <c r="E41" s="11" t="str">
        <f>IFERROR(__xludf.DUMMYFUNCTION("""COMPUTED_VALUE"""),"COMPETITOR")</f>
        <v>COMPETITOR</v>
      </c>
      <c r="F41" s="11" t="str">
        <f>IFERROR(__xludf.DUMMYFUNCTION("""COMPUTED_VALUE"""),"Category Page")</f>
        <v>Category Page</v>
      </c>
      <c r="G41" s="11" t="b">
        <f>IFERROR(__xludf.DUMMYFUNCTION("""COMPUTED_VALUE"""),FALSE)</f>
        <v>0</v>
      </c>
      <c r="H41" s="11" t="str">
        <f>IFERROR(__xludf.DUMMYFUNCTION("""COMPUTED_VALUE"""),"Clutch, Go Fish Digital, NoGood, Tinuiti, Elit-Web, AdVenture Media, Storm Brain")</f>
        <v>Clutch, Go Fish Digital, NoGood, Tinuiti, Elit-Web, AdVenture Media, Storm Brain</v>
      </c>
      <c r="I41" s="11">
        <f>IFERROR(__xludf.DUMMYFUNCTION("""COMPUTED_VALUE"""),13.0)</f>
        <v>13</v>
      </c>
      <c r="J41" s="11">
        <f>IFERROR(__xludf.DUMMYFUNCTION("""COMPUTED_VALUE"""),0.01)</f>
        <v>0.01</v>
      </c>
      <c r="K41" s="11">
        <f>IFERROR(__xludf.DUMMYFUNCTION("""COMPUTED_VALUE"""),0.0)</f>
        <v>0</v>
      </c>
    </row>
    <row r="42" ht="15.75" customHeight="1">
      <c r="A42" s="10" t="str">
        <f>IFERROR(__xludf.DUMMYFUNCTION("""COMPUTED_VALUE"""),"https://clutch.co/us/agencies/ppc/display?page=8")</f>
        <v>https://clutch.co/us/agencies/ppc/display?page=8</v>
      </c>
      <c r="B42" s="11" t="str">
        <f>IFERROR(__xludf.DUMMYFUNCTION("""COMPUTED_VALUE"""),"Page 8 - Top Display Advertising Agencies in the United States - Jul 2026 Rankings | Clutch.co")</f>
        <v>Page 8 - Top Display Advertising Agencies in the United States - Jul 2026 Rankings | Clutch.co</v>
      </c>
      <c r="C42" s="10" t="str">
        <f>IFERROR(__xludf.DUMMYFUNCTION("""COMPUTED_VALUE"""),"clutch.co")</f>
        <v>clutch.co</v>
      </c>
      <c r="D42" s="11" t="str">
        <f>IFERROR(__xludf.DUMMYFUNCTION("""COMPUTED_VALUE"""),"CATEGORY_PAGE")</f>
        <v>CATEGORY_PAGE</v>
      </c>
      <c r="E42" s="11" t="str">
        <f>IFERROR(__xludf.DUMMYFUNCTION("""COMPUTED_VALUE"""),"COMPETITOR")</f>
        <v>COMPETITOR</v>
      </c>
      <c r="F42" s="11" t="str">
        <f>IFERROR(__xludf.DUMMYFUNCTION("""COMPUTED_VALUE"""),"Category Page")</f>
        <v>Category Page</v>
      </c>
      <c r="G42" s="11" t="b">
        <f>IFERROR(__xludf.DUMMYFUNCTION("""COMPUTED_VALUE"""),FALSE)</f>
        <v>0</v>
      </c>
      <c r="H42" s="11" t="str">
        <f>IFERROR(__xludf.DUMMYFUNCTION("""COMPUTED_VALUE"""),"Clutch, Elit-Web, AdVenture Media, Go Fish Digital, Storm Brain, NoGood, Tinuiti")</f>
        <v>Clutch, Elit-Web, AdVenture Media, Go Fish Digital, Storm Brain, NoGood, Tinuiti</v>
      </c>
      <c r="I42" s="11">
        <f>IFERROR(__xludf.DUMMYFUNCTION("""COMPUTED_VALUE"""),13.0)</f>
        <v>13</v>
      </c>
      <c r="J42" s="11">
        <f>IFERROR(__xludf.DUMMYFUNCTION("""COMPUTED_VALUE"""),0.01)</f>
        <v>0.01</v>
      </c>
      <c r="K42" s="11">
        <f>IFERROR(__xludf.DUMMYFUNCTION("""COMPUTED_VALUE"""),1.0)</f>
        <v>1</v>
      </c>
    </row>
    <row r="43" ht="15.75" customHeight="1">
      <c r="A43" s="10" t="str">
        <f>IFERROR(__xludf.DUMMYFUNCTION("""COMPUTED_VALUE"""),"https://agencies.semrush.com/list/display-advertising/united-states/mid-business/")</f>
        <v>https://agencies.semrush.com/list/display-advertising/united-states/mid-business/</v>
      </c>
      <c r="B43" s="11" t="str">
        <f>IFERROR(__xludf.DUMMYFUNCTION("""COMPUTED_VALUE"""),"Best Display Ads Agencies for Mid Business in United States 2026 | Semrush")</f>
        <v>Best Display Ads Agencies for Mid Business in United States 2026 | Semrush</v>
      </c>
      <c r="C43" s="10" t="str">
        <f>IFERROR(__xludf.DUMMYFUNCTION("""COMPUTED_VALUE"""),"semrush.com")</f>
        <v>semrush.com</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IFERROR(__xludf.DUMMYFUNCTION("""COMPUTED_VALUE"""),"SmartSites, Elit-Web, Brighter Click")</f>
        <v>SmartSites, Elit-Web, Brighter Click</v>
      </c>
      <c r="I43" s="11">
        <f>IFERROR(__xludf.DUMMYFUNCTION("""COMPUTED_VALUE"""),12.0)</f>
        <v>12</v>
      </c>
      <c r="J43" s="11">
        <f>IFERROR(__xludf.DUMMYFUNCTION("""COMPUTED_VALUE"""),0.01)</f>
        <v>0.01</v>
      </c>
      <c r="K43" s="11">
        <f>IFERROR(__xludf.DUMMYFUNCTION("""COMPUTED_VALUE"""),0.08)</f>
        <v>0.08</v>
      </c>
    </row>
    <row r="44" ht="15.75" customHeight="1">
      <c r="A44" s="10" t="str">
        <f>IFERROR(__xludf.DUMMYFUNCTION("""COMPUTED_VALUE"""),"https://www.gartner.com/reviews/market/incrementality-measurement-platforms")</f>
        <v>https://www.gartner.com/reviews/market/incrementality-measurement-platforms</v>
      </c>
      <c r="B44" s="11" t="str">
        <f>IFERROR(__xludf.DUMMYFUNCTION("""COMPUTED_VALUE"""),"Best Incrementality Measurement Platforms Reviews 2026 \| Gartner Peer Insights")</f>
        <v>Best Incrementality Measurement Platforms Reviews 2026 \| Gartner Peer Insights</v>
      </c>
      <c r="C44" s="10" t="str">
        <f>IFERROR(__xludf.DUMMYFUNCTION("""COMPUTED_VALUE"""),"gartner.com")</f>
        <v>gartner.com</v>
      </c>
      <c r="D44" s="11" t="str">
        <f>IFERROR(__xludf.DUMMYFUNCTION("""COMPUTED_VALUE"""),"CATEGORY_PAGE")</f>
        <v>CATEGORY_PAGE</v>
      </c>
      <c r="E44" s="11" t="str">
        <f>IFERROR(__xludf.DUMMYFUNCTION("""COMPUTED_VALUE"""),"CORPORATE")</f>
        <v>CORPORATE</v>
      </c>
      <c r="F44" s="11" t="str">
        <f>IFERROR(__xludf.DUMMYFUNCTION("""COMPUTED_VALUE"""),"Category Page")</f>
        <v>Category Page</v>
      </c>
      <c r="G44" s="11" t="b">
        <f>IFERROR(__xludf.DUMMYFUNCTION("""COMPUTED_VALUE"""),FALSE)</f>
        <v>0</v>
      </c>
      <c r="H44" s="11" t="str">
        <f>IFERROR(__xludf.DUMMYFUNCTION("""COMPUTED_VALUE"""),"Haus, SegmentStream, Measured, INCRMNTAL, LifeSight, Recast")</f>
        <v>Haus, SegmentStream, Measured, INCRMNTAL, LifeSight, Recast</v>
      </c>
      <c r="I44" s="11">
        <f>IFERROR(__xludf.DUMMYFUNCTION("""COMPUTED_VALUE"""),12.0)</f>
        <v>12</v>
      </c>
      <c r="J44" s="11">
        <f>IFERROR(__xludf.DUMMYFUNCTION("""COMPUTED_VALUE"""),0.01)</f>
        <v>0.01</v>
      </c>
      <c r="K44" s="11">
        <f>IFERROR(__xludf.DUMMYFUNCTION("""COMPUTED_VALUE"""),1.25)</f>
        <v>1.25</v>
      </c>
    </row>
    <row r="45" ht="15.75" customHeight="1">
      <c r="A45" s="10" t="str">
        <f>IFERROR(__xludf.DUMMYFUNCTION("""COMPUTED_VALUE"""),"https://www.google.com/ads/publisher/partners/find-a-partner/")</f>
        <v>https://www.google.com/ads/publisher/partners/find-a-partner/</v>
      </c>
      <c r="B45" s="11" t="str">
        <f>IFERROR(__xludf.DUMMYFUNCTION("""COMPUTED_VALUE"""),"Find a Publishing Partner \| Certified Publishing Partner – Google")</f>
        <v>Find a Publishing Partner \| Certified Publishing Partner – Google</v>
      </c>
      <c r="C45" s="10" t="str">
        <f>IFERROR(__xludf.DUMMYFUNCTION("""COMPUTED_VALUE"""),"google.com")</f>
        <v>google.com</v>
      </c>
      <c r="D45" s="11" t="str">
        <f>IFERROR(__xludf.DUMMYFUNCTION("""COMPUTED_VALUE"""),"CATEGORY_PAGE")</f>
        <v>CATEGORY_PAGE</v>
      </c>
      <c r="E45" s="11" t="str">
        <f>IFERROR(__xludf.DUMMYFUNCTION("""COMPUTED_VALUE"""),"OTHER")</f>
        <v>OTHER</v>
      </c>
      <c r="F45" s="11" t="str">
        <f>IFERROR(__xludf.DUMMYFUNCTION("""COMPUTED_VALUE"""),"Category Page")</f>
        <v>Category Page</v>
      </c>
      <c r="G45" s="11" t="b">
        <f>IFERROR(__xludf.DUMMYFUNCTION("""COMPUTED_VALUE"""),FALSE)</f>
        <v>0</v>
      </c>
      <c r="H45" s="11"/>
      <c r="I45" s="11">
        <f>IFERROR(__xludf.DUMMYFUNCTION("""COMPUTED_VALUE"""),12.0)</f>
        <v>12</v>
      </c>
      <c r="J45" s="11">
        <f>IFERROR(__xludf.DUMMYFUNCTION("""COMPUTED_VALUE"""),0.01)</f>
        <v>0.01</v>
      </c>
      <c r="K45" s="11">
        <f>IFERROR(__xludf.DUMMYFUNCTION("""COMPUTED_VALUE"""),0.0)</f>
        <v>0</v>
      </c>
    </row>
    <row r="46" ht="15.75" customHeight="1">
      <c r="A46" s="10" t="str">
        <f>IFERROR(__xludf.DUMMYFUNCTION("""COMPUTED_VALUE"""),"https://scopicstudios.com/blog/best-incrementality-testing-tools-2026/")</f>
        <v>https://scopicstudios.com/blog/best-incrementality-testing-tools-2026/</v>
      </c>
      <c r="B46" s="11" t="str">
        <f>IFERROR(__xludf.DUMMYFUNCTION("""COMPUTED_VALUE"""),"8 Best Incrementality Testing Tools for Measurement")</f>
        <v>8 Best Incrementality Testing Tools for Measurement</v>
      </c>
      <c r="C46" s="10" t="str">
        <f>IFERROR(__xludf.DUMMYFUNCTION("""COMPUTED_VALUE"""),"scopicstudios.com")</f>
        <v>scopicstudios.com</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c r="I46" s="11">
        <f>IFERROR(__xludf.DUMMYFUNCTION("""COMPUTED_VALUE"""),12.0)</f>
        <v>12</v>
      </c>
      <c r="J46" s="11">
        <f>IFERROR(__xludf.DUMMYFUNCTION("""COMPUTED_VALUE"""),0.01)</f>
        <v>0.01</v>
      </c>
      <c r="K46" s="11">
        <f>IFERROR(__xludf.DUMMYFUNCTION("""COMPUTED_VALUE"""),0.0)</f>
        <v>0</v>
      </c>
    </row>
    <row r="47" ht="15.75" customHeight="1">
      <c r="A47" s="10" t="str">
        <f>IFERROR(__xludf.DUMMYFUNCTION("""COMPUTED_VALUE"""),"https://www.50pros.com/hire/advertising/attribution-and-measurement")</f>
        <v>https://www.50pros.com/hire/advertising/attribution-and-measurement</v>
      </c>
      <c r="B47" s="11" t="str">
        <f>IFERROR(__xludf.DUMMYFUNCTION("""COMPUTED_VALUE"""),"Top Attribution &amp; Measurement Agencies to Hire in June 2026")</f>
        <v>Top Attribution &amp; Measurement Agencies to Hire in June 2026</v>
      </c>
      <c r="C47" s="10" t="str">
        <f>IFERROR(__xludf.DUMMYFUNCTION("""COMPUTED_VALUE"""),"50pros.com")</f>
        <v>50pros.com</v>
      </c>
      <c r="D47" s="11" t="str">
        <f>IFERROR(__xludf.DUMMYFUNCTION("""COMPUTED_VALUE"""),"CATEGORY_PAGE")</f>
        <v>CATEGORY_PAGE</v>
      </c>
      <c r="E47" s="11" t="str">
        <f>IFERROR(__xludf.DUMMYFUNCTION("""COMPUTED_VALUE"""),"REFERENCE")</f>
        <v>REFERENCE</v>
      </c>
      <c r="F47" s="11" t="str">
        <f>IFERROR(__xludf.DUMMYFUNCTION("""COMPUTED_VALUE"""),"Category Page")</f>
        <v>Category Page</v>
      </c>
      <c r="G47" s="11" t="b">
        <f>IFERROR(__xludf.DUMMYFUNCTION("""COMPUTED_VALUE"""),FALSE)</f>
        <v>0</v>
      </c>
      <c r="H47" s="11" t="str">
        <f>IFERROR(__xludf.DUMMYFUNCTION("""COMPUTED_VALUE"""),"The SEO Works, Huge, Clutch")</f>
        <v>The SEO Works, Huge, Clutch</v>
      </c>
      <c r="I47" s="11">
        <f>IFERROR(__xludf.DUMMYFUNCTION("""COMPUTED_VALUE"""),11.0)</f>
        <v>11</v>
      </c>
      <c r="J47" s="11">
        <f>IFERROR(__xludf.DUMMYFUNCTION("""COMPUTED_VALUE"""),0.01)</f>
        <v>0.01</v>
      </c>
      <c r="K47" s="11">
        <f>IFERROR(__xludf.DUMMYFUNCTION("""COMPUTED_VALUE"""),0.0)</f>
        <v>0</v>
      </c>
    </row>
    <row r="48" ht="15.75" customHeight="1">
      <c r="A48" s="10" t="str">
        <f>IFERROR(__xludf.DUMMYFUNCTION("""COMPUTED_VALUE"""),"https://www.50pros.com/hire/digital-marketing/marketing-attribution")</f>
        <v>https://www.50pros.com/hire/digital-marketing/marketing-attribution</v>
      </c>
      <c r="B48" s="11" t="str">
        <f>IFERROR(__xludf.DUMMYFUNCTION("""COMPUTED_VALUE"""),"Top Marketing Attribution Agencies to Hire in June 2026")</f>
        <v>Top Marketing Attribution Agencies to Hire in June 2026</v>
      </c>
      <c r="C48" s="10" t="str">
        <f>IFERROR(__xludf.DUMMYFUNCTION("""COMPUTED_VALUE"""),"50pros.com")</f>
        <v>50pros.com</v>
      </c>
      <c r="D48" s="11" t="str">
        <f>IFERROR(__xludf.DUMMYFUNCTION("""COMPUTED_VALUE"""),"CATEGORY_PAGE")</f>
        <v>CATEGORY_PAGE</v>
      </c>
      <c r="E48" s="11" t="str">
        <f>IFERROR(__xludf.DUMMYFUNCTION("""COMPUTED_VALUE"""),"REFERENCE")</f>
        <v>REFERENCE</v>
      </c>
      <c r="F48" s="11" t="str">
        <f>IFERROR(__xludf.DUMMYFUNCTION("""COMPUTED_VALUE"""),"Category Page")</f>
        <v>Category Page</v>
      </c>
      <c r="G48" s="11" t="b">
        <f>IFERROR(__xludf.DUMMYFUNCTION("""COMPUTED_VALUE"""),FALSE)</f>
        <v>0</v>
      </c>
      <c r="H48" s="11" t="str">
        <f>IFERROR(__xludf.DUMMYFUNCTION("""COMPUTED_VALUE"""),"The SEO Works, Huge")</f>
        <v>The SEO Works, Huge</v>
      </c>
      <c r="I48" s="11">
        <f>IFERROR(__xludf.DUMMYFUNCTION("""COMPUTED_VALUE"""),11.0)</f>
        <v>11</v>
      </c>
      <c r="J48" s="11">
        <f>IFERROR(__xludf.DUMMYFUNCTION("""COMPUTED_VALUE"""),0.01)</f>
        <v>0.01</v>
      </c>
      <c r="K48" s="11">
        <f>IFERROR(__xludf.DUMMYFUNCTION("""COMPUTED_VALUE"""),0.0)</f>
        <v>0</v>
      </c>
    </row>
    <row r="49" ht="15.75" customHeight="1">
      <c r="A49" s="10" t="str">
        <f>IFERROR(__xludf.DUMMYFUNCTION("""COMPUTED_VALUE"""),"https://agencies.semrush.com/list/programmatic-advertising/united-states/")</f>
        <v>https://agencies.semrush.com/list/programmatic-advertising/united-states/</v>
      </c>
      <c r="B49" s="11" t="str">
        <f>IFERROR(__xludf.DUMMYFUNCTION("""COMPUTED_VALUE"""),"Best Programmatic Advertising Agencies in United States 2026 | Semrush")</f>
        <v>Best Programmatic Advertising Agencies in United States 2026 | Semrush</v>
      </c>
      <c r="C49" s="10" t="str">
        <f>IFERROR(__xludf.DUMMYFUNCTION("""COMPUTED_VALUE"""),"semrush.com")</f>
        <v>semrush.com</v>
      </c>
      <c r="D49" s="11" t="str">
        <f>IFERROR(__xludf.DUMMYFUNCTION("""COMPUTED_VALUE"""),"CATEGORY_PAGE")</f>
        <v>CATEGORY_PAGE</v>
      </c>
      <c r="E49" s="11" t="str">
        <f>IFERROR(__xludf.DUMMYFUNCTION("""COMPUTED_VALUE"""),"CORPORATE")</f>
        <v>CORPORATE</v>
      </c>
      <c r="F49" s="11" t="str">
        <f>IFERROR(__xludf.DUMMYFUNCTION("""COMPUTED_VALUE"""),"Category Page")</f>
        <v>Category Page</v>
      </c>
      <c r="G49" s="11" t="b">
        <f>IFERROR(__xludf.DUMMYFUNCTION("""COMPUTED_VALUE"""),FALSE)</f>
        <v>0</v>
      </c>
      <c r="H49" s="11" t="str">
        <f>IFERROR(__xludf.DUMMYFUNCTION("""COMPUTED_VALUE"""),"SmartSites, Elit-Web, Silverback Strategies, WebFX")</f>
        <v>SmartSites, Elit-Web, Silverback Strategies, WebFX</v>
      </c>
      <c r="I49" s="11">
        <f>IFERROR(__xludf.DUMMYFUNCTION("""COMPUTED_VALUE"""),10.0)</f>
        <v>10</v>
      </c>
      <c r="J49" s="11">
        <f>IFERROR(__xludf.DUMMYFUNCTION("""COMPUTED_VALUE"""),0.01)</f>
        <v>0.01</v>
      </c>
      <c r="K49" s="11">
        <f>IFERROR(__xludf.DUMMYFUNCTION("""COMPUTED_VALUE"""),0.0)</f>
        <v>0</v>
      </c>
    </row>
    <row r="50" ht="15.75" customHeight="1">
      <c r="A50" s="10" t="str">
        <f>IFERROR(__xludf.DUMMYFUNCTION("""COMPUTED_VALUE"""),"https://agencylist.com/services/programmatic-display-and-video/us/")</f>
        <v>https://agencylist.com/services/programmatic-display-and-video/us/</v>
      </c>
      <c r="B50" s="11" t="str">
        <f>IFERROR(__xludf.DUMMYFUNCTION("""COMPUTED_VALUE"""),"Top Programmatic Display and Video Agencies in United States")</f>
        <v>Top Programmatic Display and Video Agencies in United States</v>
      </c>
      <c r="C50" s="10" t="str">
        <f>IFERROR(__xludf.DUMMYFUNCTION("""COMPUTED_VALUE"""),"agencylist.com")</f>
        <v>agencylist.com</v>
      </c>
      <c r="D50" s="11" t="str">
        <f>IFERROR(__xludf.DUMMYFUNCTION("""COMPUTED_VALUE"""),"CATEGORY_PAGE")</f>
        <v>CATEGORY_PAGE</v>
      </c>
      <c r="E50" s="11" t="str">
        <f>IFERROR(__xludf.DUMMYFUNCTION("""COMPUTED_VALUE"""),"REFERENCE")</f>
        <v>REFERENCE</v>
      </c>
      <c r="F50" s="11" t="str">
        <f>IFERROR(__xludf.DUMMYFUNCTION("""COMPUTED_VALUE"""),"Category Page")</f>
        <v>Category Page</v>
      </c>
      <c r="G50" s="11" t="b">
        <f>IFERROR(__xludf.DUMMYFUNCTION("""COMPUTED_VALUE"""),FALSE)</f>
        <v>0</v>
      </c>
      <c r="H50" s="11"/>
      <c r="I50" s="11">
        <f>IFERROR(__xludf.DUMMYFUNCTION("""COMPUTED_VALUE"""),9.0)</f>
        <v>9</v>
      </c>
      <c r="J50" s="11">
        <f>IFERROR(__xludf.DUMMYFUNCTION("""COMPUTED_VALUE"""),0.01)</f>
        <v>0.01</v>
      </c>
      <c r="K50" s="11">
        <f>IFERROR(__xludf.DUMMYFUNCTION("""COMPUTED_VALUE"""),0.0)</f>
        <v>0</v>
      </c>
    </row>
    <row r="51" ht="15.75" customHeight="1">
      <c r="A51" s="10" t="str">
        <f>IFERROR(__xludf.DUMMYFUNCTION("""COMPUTED_VALUE"""),"https://clutch.co/consulting/ai/strategy")</f>
        <v>https://clutch.co/consulting/ai/strategy</v>
      </c>
      <c r="B51" s="11" t="str">
        <f>IFERROR(__xludf.DUMMYFUNCTION("""COMPUTED_VALUE"""),"Top AI Strategy Companies - Jul 2026 Rankings \| Clutch.co")</f>
        <v>Top AI Strategy Companies - Jul 2026 Rankings \| Clutch.co</v>
      </c>
      <c r="C51" s="10" t="str">
        <f>IFERROR(__xludf.DUMMYFUNCTION("""COMPUTED_VALUE"""),"clutch.co")</f>
        <v>clutch.co</v>
      </c>
      <c r="D51" s="11" t="str">
        <f>IFERROR(__xludf.DUMMYFUNCTION("""COMPUTED_VALUE"""),"CATEGORY_PAGE")</f>
        <v>CATEGORY_PAGE</v>
      </c>
      <c r="E51" s="11" t="str">
        <f>IFERROR(__xludf.DUMMYFUNCTION("""COMPUTED_VALUE"""),"COMPETITOR")</f>
        <v>COMPETITOR</v>
      </c>
      <c r="F51" s="11" t="str">
        <f>IFERROR(__xludf.DUMMYFUNCTION("""COMPUTED_VALUE"""),"Category Page")</f>
        <v>Category Page</v>
      </c>
      <c r="G51" s="11" t="b">
        <f>IFERROR(__xludf.DUMMYFUNCTION("""COMPUTED_VALUE"""),FALSE)</f>
        <v>0</v>
      </c>
      <c r="H51" s="11" t="str">
        <f>IFERROR(__xludf.DUMMYFUNCTION("""COMPUTED_VALUE"""),"Clutch")</f>
        <v>Clutch</v>
      </c>
      <c r="I51" s="11">
        <f>IFERROR(__xludf.DUMMYFUNCTION("""COMPUTED_VALUE"""),9.0)</f>
        <v>9</v>
      </c>
      <c r="J51" s="11">
        <f>IFERROR(__xludf.DUMMYFUNCTION("""COMPUTED_VALUE"""),0.01)</f>
        <v>0.01</v>
      </c>
      <c r="K51" s="11">
        <f>IFERROR(__xludf.DUMMYFUNCTION("""COMPUTED_VALUE"""),0.11)</f>
        <v>0.11</v>
      </c>
    </row>
    <row r="52" ht="15.75" customHeight="1">
      <c r="A52" s="10" t="str">
        <f>IFERROR(__xludf.DUMMYFUNCTION("""COMPUTED_VALUE"""),"https://clutch.co/seo-firms/generative-engine-optimization")</f>
        <v>https://clutch.co/seo-firms/generative-engine-optimization</v>
      </c>
      <c r="B52" s="11" t="str">
        <f>IFERROR(__xludf.DUMMYFUNCTION("""COMPUTED_VALUE"""),"Top Generative Engine Optimization (GEO) Companies - Jul 2026 Rankings | Clutch.co")</f>
        <v>Top Generative Engine Optimization (GEO) Companies - Jul 2026 Rankings | Clutch.co</v>
      </c>
      <c r="C52" s="10" t="str">
        <f>IFERROR(__xludf.DUMMYFUNCTION("""COMPUTED_VALUE"""),"clutch.co")</f>
        <v>clutch.co</v>
      </c>
      <c r="D52" s="11" t="str">
        <f>IFERROR(__xludf.DUMMYFUNCTION("""COMPUTED_VALUE"""),"CATEGORY_PAGE")</f>
        <v>CATEGORY_PAGE</v>
      </c>
      <c r="E52" s="11" t="str">
        <f>IFERROR(__xludf.DUMMYFUNCTION("""COMPUTED_VALUE"""),"COMPETITOR")</f>
        <v>COMPETITOR</v>
      </c>
      <c r="F52" s="11" t="str">
        <f>IFERROR(__xludf.DUMMYFUNCTION("""COMPUTED_VALUE"""),"Category Page")</f>
        <v>Category Page</v>
      </c>
      <c r="G52" s="11" t="b">
        <f>IFERROR(__xludf.DUMMYFUNCTION("""COMPUTED_VALUE"""),FALSE)</f>
        <v>0</v>
      </c>
      <c r="H52" s="11" t="str">
        <f>IFERROR(__xludf.DUMMYFUNCTION("""COMPUTED_VALUE"""),"Clutch, Victorious, Funnel Boost Media, NinjaPromo, WebFX, Intero Digital, Ignite Visibility, Elit-Web, HawkSEM, Siege Media, Huge, The SEO Works, Thrive Internet Marketing Agency")</f>
        <v>Clutch, Victorious, Funnel Boost Media, NinjaPromo, WebFX, Intero Digital, Ignite Visibility, Elit-Web, HawkSEM, Siege Media, Huge, The SEO Works, Thrive Internet Marketing Agency</v>
      </c>
      <c r="I52" s="11">
        <f>IFERROR(__xludf.DUMMYFUNCTION("""COMPUTED_VALUE"""),9.0)</f>
        <v>9</v>
      </c>
      <c r="J52" s="11">
        <f>IFERROR(__xludf.DUMMYFUNCTION("""COMPUTED_VALUE"""),0.01)</f>
        <v>0.01</v>
      </c>
      <c r="K52" s="11">
        <f>IFERROR(__xludf.DUMMYFUNCTION("""COMPUTED_VALUE"""),0.11)</f>
        <v>0.11</v>
      </c>
    </row>
    <row r="53" ht="15.75" customHeight="1">
      <c r="A53" s="10" t="str">
        <f>IFERROR(__xludf.DUMMYFUNCTION("""COMPUTED_VALUE"""),"https://www.designrush.com/agency/paid-media-pay-per-click/google-adwords/us")</f>
        <v>https://www.designrush.com/agency/paid-media-pay-per-click/google-adwords/us</v>
      </c>
      <c r="B53" s="11" t="str">
        <f>IFERROR(__xludf.DUMMYFUNCTION("""COMPUTED_VALUE"""),"Top Google Ads Agencies in the USA | DesignRush")</f>
        <v>Top Google Ads Agencies in the USA | DesignRush</v>
      </c>
      <c r="C53" s="10" t="str">
        <f>IFERROR(__xludf.DUMMYFUNCTION("""COMPUTED_VALUE"""),"designrush.com")</f>
        <v>designrush.com</v>
      </c>
      <c r="D53" s="11" t="str">
        <f>IFERROR(__xludf.DUMMYFUNCTION("""COMPUTED_VALUE"""),"CATEGORY_PAGE")</f>
        <v>CATEGORY_PAGE</v>
      </c>
      <c r="E53" s="11" t="str">
        <f>IFERROR(__xludf.DUMMYFUNCTION("""COMPUTED_VALUE"""),"CORPORATE")</f>
        <v>CORPORATE</v>
      </c>
      <c r="F53" s="11" t="str">
        <f>IFERROR(__xludf.DUMMYFUNCTION("""COMPUTED_VALUE"""),"Category Page")</f>
        <v>Category Page</v>
      </c>
      <c r="G53" s="11" t="b">
        <f>IFERROR(__xludf.DUMMYFUNCTION("""COMPUTED_VALUE"""),FALSE)</f>
        <v>0</v>
      </c>
      <c r="H53" s="11" t="str">
        <f>IFERROR(__xludf.DUMMYFUNCTION("""COMPUTED_VALUE"""),"SmartSites, Searchbloom, Huge, Disruptive Advertising, Funnel Boost Media, Silverback Strategies, Intero Digital, KlientBoost, Elit-Web, Major Tom, IBM, AdVenture Media")</f>
        <v>SmartSites, Searchbloom, Huge, Disruptive Advertising, Funnel Boost Media, Silverback Strategies, Intero Digital, KlientBoost, Elit-Web, Major Tom, IBM, AdVenture Media</v>
      </c>
      <c r="I53" s="11">
        <f>IFERROR(__xludf.DUMMYFUNCTION("""COMPUTED_VALUE"""),9.0)</f>
        <v>9</v>
      </c>
      <c r="J53" s="11">
        <f>IFERROR(__xludf.DUMMYFUNCTION("""COMPUTED_VALUE"""),0.01)</f>
        <v>0.01</v>
      </c>
      <c r="K53" s="11">
        <f>IFERROR(__xludf.DUMMYFUNCTION("""COMPUTED_VALUE"""),0.44)</f>
        <v>0.44</v>
      </c>
    </row>
    <row r="54" ht="15.75" customHeight="1">
      <c r="A54" s="10" t="str">
        <f>IFERROR(__xludf.DUMMYFUNCTION("""COMPUTED_VALUE"""),"https://www.gartner.com/reviews/market/b2b-multitouch-attribution-tools")</f>
        <v>https://www.gartner.com/reviews/market/b2b-multitouch-attribution-tools</v>
      </c>
      <c r="B54" s="11" t="str">
        <f>IFERROR(__xludf.DUMMYFUNCTION("""COMPUTED_VALUE"""),"Best B2B Multitouch Attribution Tools Reviews 2026 \| Gartner Peer Insights")</f>
        <v>Best B2B Multitouch Attribution Tools Reviews 2026 \| Gartner Peer Insights</v>
      </c>
      <c r="C54" s="10" t="str">
        <f>IFERROR(__xludf.DUMMYFUNCTION("""COMPUTED_VALUE"""),"gartner.com")</f>
        <v>gartner.com</v>
      </c>
      <c r="D54" s="11" t="str">
        <f>IFERROR(__xludf.DUMMYFUNCTION("""COMPUTED_VALUE"""),"CATEGORY_PAGE")</f>
        <v>CATEGORY_PAGE</v>
      </c>
      <c r="E54" s="11" t="str">
        <f>IFERROR(__xludf.DUMMYFUNCTION("""COMPUTED_VALUE"""),"CORPORATE")</f>
        <v>CORPORATE</v>
      </c>
      <c r="F54" s="11" t="str">
        <f>IFERROR(__xludf.DUMMYFUNCTION("""COMPUTED_VALUE"""),"Category Page")</f>
        <v>Category Page</v>
      </c>
      <c r="G54" s="11" t="b">
        <f>IFERROR(__xludf.DUMMYFUNCTION("""COMPUTED_VALUE"""),FALSE)</f>
        <v>0</v>
      </c>
      <c r="H54" s="11" t="str">
        <f>IFERROR(__xludf.DUMMYFUNCTION("""COMPUTED_VALUE"""),"Triple Whale, Northbeam, HockeyStack, Ruler Analytics, SegmentStream")</f>
        <v>Triple Whale, Northbeam, HockeyStack, Ruler Analytics, SegmentStream</v>
      </c>
      <c r="I54" s="11">
        <f>IFERROR(__xludf.DUMMYFUNCTION("""COMPUTED_VALUE"""),9.0)</f>
        <v>9</v>
      </c>
      <c r="J54" s="11">
        <f>IFERROR(__xludf.DUMMYFUNCTION("""COMPUTED_VALUE"""),0.01)</f>
        <v>0.01</v>
      </c>
      <c r="K54" s="11">
        <f>IFERROR(__xludf.DUMMYFUNCTION("""COMPUTED_VALUE"""),0.11)</f>
        <v>0.11</v>
      </c>
    </row>
    <row r="55" ht="15.75" customHeight="1">
      <c r="A55" s="10" t="str">
        <f>IFERROR(__xludf.DUMMYFUNCTION("""COMPUTED_VALUE"""),"https://www.goodfirms.co/advertising-companies/creative/usa")</f>
        <v>https://www.goodfirms.co/advertising-companies/creative/usa</v>
      </c>
      <c r="B55" s="11" t="str">
        <f>IFERROR(__xludf.DUMMYFUNCTION("""COMPUTED_VALUE"""),"Top Creative Agencies in the United States - 2026 Reviews | Goodfirms")</f>
        <v>Top Creative Agencies in the United States - 2026 Reviews | Goodfirms</v>
      </c>
      <c r="C55" s="10" t="str">
        <f>IFERROR(__xludf.DUMMYFUNCTION("""COMPUTED_VALUE"""),"goodfirms.co")</f>
        <v>goodfirms.co</v>
      </c>
      <c r="D55" s="11" t="str">
        <f>IFERROR(__xludf.DUMMYFUNCTION("""COMPUTED_VALUE"""),"CATEGORY_PAGE")</f>
        <v>CATEGORY_PAGE</v>
      </c>
      <c r="E55" s="11" t="str">
        <f>IFERROR(__xludf.DUMMYFUNCTION("""COMPUTED_VALUE"""),"UGC")</f>
        <v>UGC</v>
      </c>
      <c r="F55" s="11" t="str">
        <f>IFERROR(__xludf.DUMMYFUNCTION("""COMPUTED_VALUE"""),"Category Page")</f>
        <v>Category Page</v>
      </c>
      <c r="G55" s="11" t="b">
        <f>IFERROR(__xludf.DUMMYFUNCTION("""COMPUTED_VALUE"""),FALSE)</f>
        <v>0</v>
      </c>
      <c r="H55" s="11" t="str">
        <f>IFERROR(__xludf.DUMMYFUNCTION("""COMPUTED_VALUE"""),"Brighter Click, SmartSites, PMG")</f>
        <v>Brighter Click, SmartSites, PMG</v>
      </c>
      <c r="I55" s="11">
        <f>IFERROR(__xludf.DUMMYFUNCTION("""COMPUTED_VALUE"""),9.0)</f>
        <v>9</v>
      </c>
      <c r="J55" s="11">
        <f>IFERROR(__xludf.DUMMYFUNCTION("""COMPUTED_VALUE"""),0.01)</f>
        <v>0.01</v>
      </c>
      <c r="K55" s="11">
        <f>IFERROR(__xludf.DUMMYFUNCTION("""COMPUTED_VALUE"""),0.0)</f>
        <v>0</v>
      </c>
    </row>
    <row r="56" ht="15.75" customHeight="1">
      <c r="A56" s="10" t="str">
        <f>IFERROR(__xludf.DUMMYFUNCTION("""COMPUTED_VALUE"""),"https://www.krowdbase.com/top-marketing-analytics-companies")</f>
        <v>https://www.krowdbase.com/top-marketing-analytics-companies</v>
      </c>
      <c r="B56" s="11" t="str">
        <f>IFERROR(__xludf.DUMMYFUNCTION("""COMPUTED_VALUE"""),"Top Marketing Analytics Companies 2026")</f>
        <v>Top Marketing Analytics Companies 2026</v>
      </c>
      <c r="C56" s="10" t="str">
        <f>IFERROR(__xludf.DUMMYFUNCTION("""COMPUTED_VALUE"""),"krowdbase.com")</f>
        <v>krowdbase.com</v>
      </c>
      <c r="D56" s="11" t="str">
        <f>IFERROR(__xludf.DUMMYFUNCTION("""COMPUTED_VALUE"""),"CATEGORY_PAGE")</f>
        <v>CATEGORY_PAGE</v>
      </c>
      <c r="E56" s="11" t="str">
        <f>IFERROR(__xludf.DUMMYFUNCTION("""COMPUTED_VALUE"""),"REFERENCE")</f>
        <v>REFERENCE</v>
      </c>
      <c r="F56" s="11" t="str">
        <f>IFERROR(__xludf.DUMMYFUNCTION("""COMPUTED_VALUE"""),"Category Page")</f>
        <v>Category Page</v>
      </c>
      <c r="G56" s="11" t="b">
        <f>IFERROR(__xludf.DUMMYFUNCTION("""COMPUTED_VALUE"""),FALSE)</f>
        <v>0</v>
      </c>
      <c r="H56" s="11"/>
      <c r="I56" s="11">
        <f>IFERROR(__xludf.DUMMYFUNCTION("""COMPUTED_VALUE"""),9.0)</f>
        <v>9</v>
      </c>
      <c r="J56" s="11">
        <f>IFERROR(__xludf.DUMMYFUNCTION("""COMPUTED_VALUE"""),0.01)</f>
        <v>0.01</v>
      </c>
      <c r="K56" s="11">
        <f>IFERROR(__xludf.DUMMYFUNCTION("""COMPUTED_VALUE"""),0.0)</f>
        <v>0</v>
      </c>
    </row>
    <row r="57" ht="15.75" customHeight="1">
      <c r="A57" s="10" t="str">
        <f>IFERROR(__xludf.DUMMYFUNCTION("""COMPUTED_VALUE"""),"https://www.mordorintelligence.com/industry-reports/united-states-marketing-analytics-market/companies")</f>
        <v>https://www.mordorintelligence.com/industry-reports/united-states-marketing-analytics-market/companies</v>
      </c>
      <c r="B57" s="11" t="str">
        <f>IFERROR(__xludf.DUMMYFUNCTION("""COMPUTED_VALUE"""),"United States Marketing Analytics Companies - Top Players' List")</f>
        <v>United States Marketing Analytics Companies - Top Players' List</v>
      </c>
      <c r="C57" s="10" t="str">
        <f>IFERROR(__xludf.DUMMYFUNCTION("""COMPUTED_VALUE"""),"mordorintelligence.com")</f>
        <v>mordorintelligence.com</v>
      </c>
      <c r="D57" s="11" t="str">
        <f>IFERROR(__xludf.DUMMYFUNCTION("""COMPUTED_VALUE"""),"CATEGORY_PAGE")</f>
        <v>CATEGORY_PAGE</v>
      </c>
      <c r="E57" s="11" t="str">
        <f>IFERROR(__xludf.DUMMYFUNCTION("""COMPUTED_VALUE"""),"REFERENCE")</f>
        <v>REFERENCE</v>
      </c>
      <c r="F57" s="11" t="str">
        <f>IFERROR(__xludf.DUMMYFUNCTION("""COMPUTED_VALUE"""),"Category Page")</f>
        <v>Category Page</v>
      </c>
      <c r="G57" s="11" t="b">
        <f>IFERROR(__xludf.DUMMYFUNCTION("""COMPUTED_VALUE"""),FALSE)</f>
        <v>0</v>
      </c>
      <c r="H57" s="11" t="str">
        <f>IFERROR(__xludf.DUMMYFUNCTION("""COMPUTED_VALUE"""),"IBM, Neustar, Nielsen")</f>
        <v>IBM, Neustar, Nielsen</v>
      </c>
      <c r="I57" s="11">
        <f>IFERROR(__xludf.DUMMYFUNCTION("""COMPUTED_VALUE"""),9.0)</f>
        <v>9</v>
      </c>
      <c r="J57" s="11">
        <f>IFERROR(__xludf.DUMMYFUNCTION("""COMPUTED_VALUE"""),0.01)</f>
        <v>0.01</v>
      </c>
      <c r="K57" s="11">
        <f>IFERROR(__xludf.DUMMYFUNCTION("""COMPUTED_VALUE"""),0.22)</f>
        <v>0.22</v>
      </c>
    </row>
    <row r="58" ht="15.75" customHeight="1">
      <c r="A58" s="10" t="str">
        <f>IFERROR(__xludf.DUMMYFUNCTION("""COMPUTED_VALUE"""),"https://www.sortlist.com/s/ai-marketing/united-states-us")</f>
        <v>https://www.sortlist.com/s/ai-marketing/united-states-us</v>
      </c>
      <c r="B58" s="11" t="str">
        <f>IFERROR(__xludf.DUMMYFUNCTION("""COMPUTED_VALUE"""),"The 10 Best AI Marketing Companies in the United States - 2026 Reviews")</f>
        <v>The 10 Best AI Marketing Companies in the United States - 2026 Reviews</v>
      </c>
      <c r="C58" s="10" t="str">
        <f>IFERROR(__xludf.DUMMYFUNCTION("""COMPUTED_VALUE"""),"sortlist.com")</f>
        <v>sortlist.com</v>
      </c>
      <c r="D58" s="11" t="str">
        <f>IFERROR(__xludf.DUMMYFUNCTION("""COMPUTED_VALUE"""),"CATEGORY_PAGE")</f>
        <v>CATEGORY_PAGE</v>
      </c>
      <c r="E58" s="11" t="str">
        <f>IFERROR(__xludf.DUMMYFUNCTION("""COMPUTED_VALUE"""),"CORPORATE")</f>
        <v>CORPORATE</v>
      </c>
      <c r="F58" s="11" t="str">
        <f>IFERROR(__xludf.DUMMYFUNCTION("""COMPUTED_VALUE"""),"Category Page")</f>
        <v>Category Page</v>
      </c>
      <c r="G58" s="11" t="b">
        <f>IFERROR(__xludf.DUMMYFUNCTION("""COMPUTED_VALUE"""),FALSE)</f>
        <v>0</v>
      </c>
      <c r="H58" s="11" t="str">
        <f>IFERROR(__xludf.DUMMYFUNCTION("""COMPUTED_VALUE"""),"Clutch")</f>
        <v>Clutch</v>
      </c>
      <c r="I58" s="11">
        <f>IFERROR(__xludf.DUMMYFUNCTION("""COMPUTED_VALUE"""),9.0)</f>
        <v>9</v>
      </c>
      <c r="J58" s="11">
        <f>IFERROR(__xludf.DUMMYFUNCTION("""COMPUTED_VALUE"""),0.01)</f>
        <v>0.01</v>
      </c>
      <c r="K58" s="11">
        <f>IFERROR(__xludf.DUMMYFUNCTION("""COMPUTED_VALUE"""),0.22)</f>
        <v>0.22</v>
      </c>
    </row>
    <row r="59" ht="15.75" customHeight="1">
      <c r="A59" s="10" t="str">
        <f>IFERROR(__xludf.DUMMYFUNCTION("""COMPUTED_VALUE"""),"https://clutch.co/us/agencies/digital-marketing/enterprise")</f>
        <v>https://clutch.co/us/agencies/digital-marketing/enterprise</v>
      </c>
      <c r="B59" s="11" t="str">
        <f>IFERROR(__xludf.DUMMYFUNCTION("""COMPUTED_VALUE"""),"Top Digital Marketing Agencies for Enterprise in the United States - Jul 2026 Rankings | Clutch.co")</f>
        <v>Top Digital Marketing Agencies for Enterprise in the United States - Jul 2026 Rankings | Clutch.co</v>
      </c>
      <c r="C59" s="10" t="str">
        <f>IFERROR(__xludf.DUMMYFUNCTION("""COMPUTED_VALUE"""),"clutch.co")</f>
        <v>clutch.co</v>
      </c>
      <c r="D59" s="11" t="str">
        <f>IFERROR(__xludf.DUMMYFUNCTION("""COMPUTED_VALUE"""),"CATEGORY_PAGE")</f>
        <v>CATEGORY_PAGE</v>
      </c>
      <c r="E59" s="11" t="str">
        <f>IFERROR(__xludf.DUMMYFUNCTION("""COMPUTED_VALUE"""),"COMPETITOR")</f>
        <v>COMPETITOR</v>
      </c>
      <c r="F59" s="11" t="str">
        <f>IFERROR(__xludf.DUMMYFUNCTION("""COMPUTED_VALUE"""),"Category Page")</f>
        <v>Category Page</v>
      </c>
      <c r="G59" s="11" t="b">
        <f>IFERROR(__xludf.DUMMYFUNCTION("""COMPUTED_VALUE"""),FALSE)</f>
        <v>0</v>
      </c>
      <c r="H59" s="11" t="str">
        <f>IFERROR(__xludf.DUMMYFUNCTION("""COMPUTED_VALUE"""),"Clutch, Thrive Internet Marketing Agency, Intero Digital, Disruptive Advertising, Ignite Visibility, Elit-Web, NinjaPromo, HawkSEM, WebFX, KlientBoost, Victorious, Siege Media, Searchbloom, Marcel Digital, Brighter Click, Storm Brain, Power Digital")</f>
        <v>Clutch, Thrive Internet Marketing Agency, Intero Digital, Disruptive Advertising, Ignite Visibility, Elit-Web, NinjaPromo, HawkSEM, WebFX, KlientBoost, Victorious, Siege Media, Searchbloom, Marcel Digital, Brighter Click, Storm Brain, Power Digital</v>
      </c>
      <c r="I59" s="11">
        <f>IFERROR(__xludf.DUMMYFUNCTION("""COMPUTED_VALUE"""),8.0)</f>
        <v>8</v>
      </c>
      <c r="J59" s="11">
        <f>IFERROR(__xludf.DUMMYFUNCTION("""COMPUTED_VALUE"""),0.01)</f>
        <v>0.01</v>
      </c>
      <c r="K59" s="11">
        <f>IFERROR(__xludf.DUMMYFUNCTION("""COMPUTED_VALUE"""),0.13)</f>
        <v>0.13</v>
      </c>
    </row>
    <row r="60" ht="15.75" customHeight="1">
      <c r="A60" s="10" t="str">
        <f>IFERROR(__xludf.DUMMYFUNCTION("""COMPUTED_VALUE"""),"https://www.goodfirms.co/advertising-companies/programmatic")</f>
        <v>https://www.goodfirms.co/advertising-companies/programmatic</v>
      </c>
      <c r="B60" s="11" t="str">
        <f>IFERROR(__xludf.DUMMYFUNCTION("""COMPUTED_VALUE"""),"Top Programmatic Advertising Companies - 2026 Reviews | Goodfirms")</f>
        <v>Top Programmatic Advertising Companies - 2026 Reviews | Goodfirms</v>
      </c>
      <c r="C60" s="10" t="str">
        <f>IFERROR(__xludf.DUMMYFUNCTION("""COMPUTED_VALUE"""),"goodfirms.co")</f>
        <v>goodfirms.co</v>
      </c>
      <c r="D60" s="11" t="str">
        <f>IFERROR(__xludf.DUMMYFUNCTION("""COMPUTED_VALUE"""),"CATEGORY_PAGE")</f>
        <v>CATEGORY_PAGE</v>
      </c>
      <c r="E60" s="11" t="str">
        <f>IFERROR(__xludf.DUMMYFUNCTION("""COMPUTED_VALUE"""),"UGC")</f>
        <v>UGC</v>
      </c>
      <c r="F60" s="11" t="str">
        <f>IFERROR(__xludf.DUMMYFUNCTION("""COMPUTED_VALUE"""),"Category Page")</f>
        <v>Category Page</v>
      </c>
      <c r="G60" s="11" t="b">
        <f>IFERROR(__xludf.DUMMYFUNCTION("""COMPUTED_VALUE"""),FALSE)</f>
        <v>0</v>
      </c>
      <c r="H60" s="11" t="str">
        <f>IFERROR(__xludf.DUMMYFUNCTION("""COMPUTED_VALUE"""),"Funnel Boost Media, The SEO Works, Daydream")</f>
        <v>Funnel Boost Media, The SEO Works, Daydream</v>
      </c>
      <c r="I60" s="11">
        <f>IFERROR(__xludf.DUMMYFUNCTION("""COMPUTED_VALUE"""),8.0)</f>
        <v>8</v>
      </c>
      <c r="J60" s="11">
        <f>IFERROR(__xludf.DUMMYFUNCTION("""COMPUTED_VALUE"""),0.01)</f>
        <v>0.01</v>
      </c>
      <c r="K60" s="11">
        <f>IFERROR(__xludf.DUMMYFUNCTION("""COMPUTED_VALUE"""),0.0)</f>
        <v>0</v>
      </c>
    </row>
    <row r="61" ht="15.75" customHeight="1">
      <c r="A61" s="10" t="str">
        <f>IFERROR(__xludf.DUMMYFUNCTION("""COMPUTED_VALUE"""),"https://www.goodfirms.co/directory/country/top-digital-marketing-companies/advertising-ppc/usa")</f>
        <v>https://www.goodfirms.co/directory/country/top-digital-marketing-companies/advertising-ppc/usa</v>
      </c>
      <c r="B61" s="11" t="str">
        <f>IFERROR(__xludf.DUMMYFUNCTION("""COMPUTED_VALUE"""),"Top PPC Agencies in the USA - 2026 Reviews | Goodfirms")</f>
        <v>Top PPC Agencies in the USA - 2026 Reviews | Goodfirms</v>
      </c>
      <c r="C61" s="10" t="str">
        <f>IFERROR(__xludf.DUMMYFUNCTION("""COMPUTED_VALUE"""),"goodfirms.co")</f>
        <v>goodfirms.co</v>
      </c>
      <c r="D61" s="11" t="str">
        <f>IFERROR(__xludf.DUMMYFUNCTION("""COMPUTED_VALUE"""),"CATEGORY_PAGE")</f>
        <v>CATEGORY_PAGE</v>
      </c>
      <c r="E61" s="11" t="str">
        <f>IFERROR(__xludf.DUMMYFUNCTION("""COMPUTED_VALUE"""),"UGC")</f>
        <v>UGC</v>
      </c>
      <c r="F61" s="11" t="str">
        <f>IFERROR(__xludf.DUMMYFUNCTION("""COMPUTED_VALUE"""),"Category Page")</f>
        <v>Category Page</v>
      </c>
      <c r="G61" s="11" t="b">
        <f>IFERROR(__xludf.DUMMYFUNCTION("""COMPUTED_VALUE"""),FALSE)</f>
        <v>0</v>
      </c>
      <c r="H61" s="11" t="str">
        <f>IFERROR(__xludf.DUMMYFUNCTION("""COMPUTED_VALUE"""),"WebFX, Searchbloom, SmartSites, Funnel Boost Media, Elit-Web, Storm Brain, Go Fish Digital")</f>
        <v>WebFX, Searchbloom, SmartSites, Funnel Boost Media, Elit-Web, Storm Brain, Go Fish Digital</v>
      </c>
      <c r="I61" s="11">
        <f>IFERROR(__xludf.DUMMYFUNCTION("""COMPUTED_VALUE"""),8.0)</f>
        <v>8</v>
      </c>
      <c r="J61" s="11">
        <f>IFERROR(__xludf.DUMMYFUNCTION("""COMPUTED_VALUE"""),0.01)</f>
        <v>0.01</v>
      </c>
      <c r="K61" s="11">
        <f>IFERROR(__xludf.DUMMYFUNCTION("""COMPUTED_VALUE"""),0.5)</f>
        <v>0.5</v>
      </c>
    </row>
    <row r="62" ht="15.75" customHeight="1">
      <c r="A62" s="10" t="str">
        <f>IFERROR(__xludf.DUMMYFUNCTION("""COMPUTED_VALUE"""),"https://www.goodfirms.co/directory/country/top-digital-marketing-companies/media-planning-buying/usa")</f>
        <v>https://www.goodfirms.co/directory/country/top-digital-marketing-companies/media-planning-buying/usa</v>
      </c>
      <c r="B62" s="11" t="str">
        <f>IFERROR(__xludf.DUMMYFUNCTION("""COMPUTED_VALUE"""),"Top Media Buying Agencies in the United States - 2026 Reviews | Goodfirms")</f>
        <v>Top Media Buying Agencies in the United States - 2026 Reviews | Goodfirms</v>
      </c>
      <c r="C62" s="10" t="str">
        <f>IFERROR(__xludf.DUMMYFUNCTION("""COMPUTED_VALUE"""),"goodfirms.co")</f>
        <v>goodfirms.co</v>
      </c>
      <c r="D62" s="11" t="str">
        <f>IFERROR(__xludf.DUMMYFUNCTION("""COMPUTED_VALUE"""),"CATEGORY_PAGE")</f>
        <v>CATEGORY_PAGE</v>
      </c>
      <c r="E62" s="11" t="str">
        <f>IFERROR(__xludf.DUMMYFUNCTION("""COMPUTED_VALUE"""),"UGC")</f>
        <v>UGC</v>
      </c>
      <c r="F62" s="11" t="str">
        <f>IFERROR(__xludf.DUMMYFUNCTION("""COMPUTED_VALUE"""),"Category Page")</f>
        <v>Category Page</v>
      </c>
      <c r="G62" s="11" t="b">
        <f>IFERROR(__xludf.DUMMYFUNCTION("""COMPUTED_VALUE"""),FALSE)</f>
        <v>0</v>
      </c>
      <c r="H62" s="11" t="str">
        <f>IFERROR(__xludf.DUMMYFUNCTION("""COMPUTED_VALUE"""),"WebFX, SmartSites, Elit-Web")</f>
        <v>WebFX, SmartSites, Elit-Web</v>
      </c>
      <c r="I62" s="11">
        <f>IFERROR(__xludf.DUMMYFUNCTION("""COMPUTED_VALUE"""),8.0)</f>
        <v>8</v>
      </c>
      <c r="J62" s="11">
        <f>IFERROR(__xludf.DUMMYFUNCTION("""COMPUTED_VALUE"""),0.01)</f>
        <v>0.01</v>
      </c>
      <c r="K62" s="11">
        <f>IFERROR(__xludf.DUMMYFUNCTION("""COMPUTED_VALUE"""),0.0)</f>
        <v>0</v>
      </c>
    </row>
    <row r="63" ht="15.75" customHeight="1">
      <c r="A63" s="10" t="str">
        <f>IFERROR(__xludf.DUMMYFUNCTION("""COMPUTED_VALUE"""),"https://www.sortlist.com/s/international-marketing/united-states-us")</f>
        <v>https://www.sortlist.com/s/international-marketing/united-states-us</v>
      </c>
      <c r="B63" s="11" t="str">
        <f>IFERROR(__xludf.DUMMYFUNCTION("""COMPUTED_VALUE"""),"The 10 Best International Marketing Agencies in the United States - 2026 Reviews")</f>
        <v>The 10 Best International Marketing Agencies in the United States - 2026 Reviews</v>
      </c>
      <c r="C63" s="10" t="str">
        <f>IFERROR(__xludf.DUMMYFUNCTION("""COMPUTED_VALUE"""),"sortlist.com")</f>
        <v>sortlist.com</v>
      </c>
      <c r="D63" s="11" t="str">
        <f>IFERROR(__xludf.DUMMYFUNCTION("""COMPUTED_VALUE"""),"CATEGORY_PAGE")</f>
        <v>CATEGORY_PAGE</v>
      </c>
      <c r="E63" s="11" t="str">
        <f>IFERROR(__xludf.DUMMYFUNCTION("""COMPUTED_VALUE"""),"CORPORATE")</f>
        <v>CORPORATE</v>
      </c>
      <c r="F63" s="11" t="str">
        <f>IFERROR(__xludf.DUMMYFUNCTION("""COMPUTED_VALUE"""),"Category Page")</f>
        <v>Category Page</v>
      </c>
      <c r="G63" s="11" t="b">
        <f>IFERROR(__xludf.DUMMYFUNCTION("""COMPUTED_VALUE"""),FALSE)</f>
        <v>0</v>
      </c>
      <c r="H63" s="11" t="str">
        <f>IFERROR(__xludf.DUMMYFUNCTION("""COMPUTED_VALUE"""),"NinjaPromo, IBM, Clutch")</f>
        <v>NinjaPromo, IBM, Clutch</v>
      </c>
      <c r="I63" s="11">
        <f>IFERROR(__xludf.DUMMYFUNCTION("""COMPUTED_VALUE"""),8.0)</f>
        <v>8</v>
      </c>
      <c r="J63" s="11">
        <f>IFERROR(__xludf.DUMMYFUNCTION("""COMPUTED_VALUE"""),0.01)</f>
        <v>0.01</v>
      </c>
      <c r="K63" s="11">
        <f>IFERROR(__xludf.DUMMYFUNCTION("""COMPUTED_VALUE"""),0.0)</f>
        <v>0</v>
      </c>
    </row>
    <row r="64" ht="15.75" customHeight="1">
      <c r="A64" s="10" t="str">
        <f>IFERROR(__xludf.DUMMYFUNCTION("""COMPUTED_VALUE"""),"https://clutch.co/us/seo-firms/generative-engine-optimization%3Fpage%3D2")</f>
        <v>https://clutch.co/us/seo-firms/generative-engine-optimization%3Fpage%3D2</v>
      </c>
      <c r="B64" s="11" t="str">
        <f>IFERROR(__xludf.DUMMYFUNCTION("""COMPUTED_VALUE"""),"Top Generative Engine Optimization (GEO) Agencies in the United States - Jul 2026 Rankings | Clutch.co")</f>
        <v>Top Generative Engine Optimization (GEO) Agencies in the United States - Jul 2026 Rankings | Clutch.co</v>
      </c>
      <c r="C64" s="10" t="str">
        <f>IFERROR(__xludf.DUMMYFUNCTION("""COMPUTED_VALUE"""),"clutch.co")</f>
        <v>clutch.co</v>
      </c>
      <c r="D64" s="11" t="str">
        <f>IFERROR(__xludf.DUMMYFUNCTION("""COMPUTED_VALUE"""),"CATEGORY_PAGE")</f>
        <v>CATEGORY_PAGE</v>
      </c>
      <c r="E64" s="11" t="str">
        <f>IFERROR(__xludf.DUMMYFUNCTION("""COMPUTED_VALUE"""),"COMPETITOR")</f>
        <v>COMPETITOR</v>
      </c>
      <c r="F64" s="11" t="str">
        <f>IFERROR(__xludf.DUMMYFUNCTION("""COMPUTED_VALUE"""),"Category Page")</f>
        <v>Category Page</v>
      </c>
      <c r="G64" s="11" t="b">
        <f>IFERROR(__xludf.DUMMYFUNCTION("""COMPUTED_VALUE"""),FALSE)</f>
        <v>0</v>
      </c>
      <c r="H64" s="11" t="str">
        <f>IFERROR(__xludf.DUMMYFUNCTION("""COMPUTED_VALUE"""),"Clutch, Funnel Boost Media, WebFX, Intero Digital, Ignite Visibility, Elit-Web, Victorious, HawkSEM, Siege Media, Thrive Internet Marketing Agency")</f>
        <v>Clutch, Funnel Boost Media, WebFX, Intero Digital, Ignite Visibility, Elit-Web, Victorious, HawkSEM, Siege Media, Thrive Internet Marketing Agency</v>
      </c>
      <c r="I64" s="11">
        <f>IFERROR(__xludf.DUMMYFUNCTION("""COMPUTED_VALUE"""),7.0)</f>
        <v>7</v>
      </c>
      <c r="J64" s="11">
        <f>IFERROR(__xludf.DUMMYFUNCTION("""COMPUTED_VALUE"""),0.01)</f>
        <v>0.01</v>
      </c>
      <c r="K64" s="11">
        <f>IFERROR(__xludf.DUMMYFUNCTION("""COMPUTED_VALUE"""),0.0)</f>
        <v>0</v>
      </c>
    </row>
    <row r="65" ht="15.75" customHeight="1">
      <c r="A65" s="10" t="str">
        <f>IFERROR(__xludf.DUMMYFUNCTION("""COMPUTED_VALUE"""),"https://clutch.co/us/seo-firms/generative-engine-optimization%3Fpage%3D4")</f>
        <v>https://clutch.co/us/seo-firms/generative-engine-optimization%3Fpage%3D4</v>
      </c>
      <c r="B65" s="11" t="str">
        <f>IFERROR(__xludf.DUMMYFUNCTION("""COMPUTED_VALUE"""),"Top Generative Engine Optimization (GEO) Agencies in the United States - Jul 2026 Rankings | Clutch.co")</f>
        <v>Top Generative Engine Optimization (GEO) Agencies in the United States - Jul 2026 Rankings | Clutch.co</v>
      </c>
      <c r="C65" s="10" t="str">
        <f>IFERROR(__xludf.DUMMYFUNCTION("""COMPUTED_VALUE"""),"clutch.co")</f>
        <v>clutch.co</v>
      </c>
      <c r="D65" s="11" t="str">
        <f>IFERROR(__xludf.DUMMYFUNCTION("""COMPUTED_VALUE"""),"CATEGORY_PAGE")</f>
        <v>CATEGORY_PAGE</v>
      </c>
      <c r="E65" s="11" t="str">
        <f>IFERROR(__xludf.DUMMYFUNCTION("""COMPUTED_VALUE"""),"COMPETITOR")</f>
        <v>COMPETITOR</v>
      </c>
      <c r="F65" s="11" t="str">
        <f>IFERROR(__xludf.DUMMYFUNCTION("""COMPUTED_VALUE"""),"Category Page")</f>
        <v>Category Page</v>
      </c>
      <c r="G65" s="11" t="b">
        <f>IFERROR(__xludf.DUMMYFUNCTION("""COMPUTED_VALUE"""),FALSE)</f>
        <v>0</v>
      </c>
      <c r="H65" s="11" t="str">
        <f>IFERROR(__xludf.DUMMYFUNCTION("""COMPUTED_VALUE"""),"Clutch, Funnel Boost Media, WebFX, Intero Digital, Ignite Visibility, Elit-Web, Victorious, HawkSEM, Thrive Internet Marketing Agency")</f>
        <v>Clutch, Funnel Boost Media, WebFX, Intero Digital, Ignite Visibility, Elit-Web, Victorious, HawkSEM, Thrive Internet Marketing Agency</v>
      </c>
      <c r="I65" s="11">
        <f>IFERROR(__xludf.DUMMYFUNCTION("""COMPUTED_VALUE"""),7.0)</f>
        <v>7</v>
      </c>
      <c r="J65" s="11">
        <f>IFERROR(__xludf.DUMMYFUNCTION("""COMPUTED_VALUE"""),0.01)</f>
        <v>0.01</v>
      </c>
      <c r="K65" s="11">
        <f>IFERROR(__xludf.DUMMYFUNCTION("""COMPUTED_VALUE"""),0.43)</f>
        <v>0.43</v>
      </c>
    </row>
    <row r="66" ht="15.75" customHeight="1">
      <c r="A66" s="10" t="str">
        <f>IFERROR(__xludf.DUMMYFUNCTION("""COMPUTED_VALUE"""),"https://www.sortlist.com/s/programmatic-advertising/united-states-us")</f>
        <v>https://www.sortlist.com/s/programmatic-advertising/united-states-us</v>
      </c>
      <c r="B66" s="11" t="str">
        <f>IFERROR(__xludf.DUMMYFUNCTION("""COMPUTED_VALUE"""),"The 10 Best Programmatic Advertising Companies in the United States - 2026 Reviews")</f>
        <v>The 10 Best Programmatic Advertising Companies in the United States - 2026 Reviews</v>
      </c>
      <c r="C66" s="10" t="str">
        <f>IFERROR(__xludf.DUMMYFUNCTION("""COMPUTED_VALUE"""),"sortlist.com")</f>
        <v>sortlist.com</v>
      </c>
      <c r="D66" s="11" t="str">
        <f>IFERROR(__xludf.DUMMYFUNCTION("""COMPUTED_VALUE"""),"CATEGORY_PAGE")</f>
        <v>CATEGORY_PAGE</v>
      </c>
      <c r="E66" s="11" t="str">
        <f>IFERROR(__xludf.DUMMYFUNCTION("""COMPUTED_VALUE"""),"CORPORATE")</f>
        <v>CORPORATE</v>
      </c>
      <c r="F66" s="11" t="str">
        <f>IFERROR(__xludf.DUMMYFUNCTION("""COMPUTED_VALUE"""),"Category Page")</f>
        <v>Category Page</v>
      </c>
      <c r="G66" s="11" t="b">
        <f>IFERROR(__xludf.DUMMYFUNCTION("""COMPUTED_VALUE"""),FALSE)</f>
        <v>0</v>
      </c>
      <c r="H66" s="11" t="str">
        <f>IFERROR(__xludf.DUMMYFUNCTION("""COMPUTED_VALUE"""),"Clutch, IBM")</f>
        <v>Clutch, IBM</v>
      </c>
      <c r="I66" s="11">
        <f>IFERROR(__xludf.DUMMYFUNCTION("""COMPUTED_VALUE"""),7.0)</f>
        <v>7</v>
      </c>
      <c r="J66" s="11">
        <f>IFERROR(__xludf.DUMMYFUNCTION("""COMPUTED_VALUE"""),0.01)</f>
        <v>0.01</v>
      </c>
      <c r="K66" s="11">
        <f>IFERROR(__xludf.DUMMYFUNCTION("""COMPUTED_VALUE"""),0.0)</f>
        <v>0</v>
      </c>
    </row>
    <row r="67" ht="15.75" customHeight="1">
      <c r="A67" s="10" t="str">
        <f>IFERROR(__xludf.DUMMYFUNCTION("""COMPUTED_VALUE"""),"https://techradiant.co/agencies/generative-engine-optimization/")</f>
        <v>https://techradiant.co/agencies/generative-engine-optimization/</v>
      </c>
      <c r="B67" s="11" t="str">
        <f>IFERROR(__xludf.DUMMYFUNCTION("""COMPUTED_VALUE"""),"Best Generative Engine Optimization Companies 2026 | Top GEO Experts - Techradiant")</f>
        <v>Best Generative Engine Optimization Companies 2026 | Top GEO Experts - Techradiant</v>
      </c>
      <c r="C67" s="10" t="str">
        <f>IFERROR(__xludf.DUMMYFUNCTION("""COMPUTED_VALUE"""),"techradiant.co")</f>
        <v>techradiant.co</v>
      </c>
      <c r="D67" s="11" t="str">
        <f>IFERROR(__xludf.DUMMYFUNCTION("""COMPUTED_VALUE"""),"CATEGORY_PAGE")</f>
        <v>CATEGORY_PAGE</v>
      </c>
      <c r="E67" s="11" t="str">
        <f>IFERROR(__xludf.DUMMYFUNCTION("""COMPUTED_VALUE"""),"REFERENCE")</f>
        <v>REFERENCE</v>
      </c>
      <c r="F67" s="11" t="str">
        <f>IFERROR(__xludf.DUMMYFUNCTION("""COMPUTED_VALUE"""),"Category Page")</f>
        <v>Category Page</v>
      </c>
      <c r="G67" s="11" t="b">
        <f>IFERROR(__xludf.DUMMYFUNCTION("""COMPUTED_VALUE"""),FALSE)</f>
        <v>0</v>
      </c>
      <c r="H67" s="11" t="str">
        <f>IFERROR(__xludf.DUMMYFUNCTION("""COMPUTED_VALUE"""),"Intero Digital, RevenueZen, Directive")</f>
        <v>Intero Digital, RevenueZen, Directive</v>
      </c>
      <c r="I67" s="11">
        <f>IFERROR(__xludf.DUMMYFUNCTION("""COMPUTED_VALUE"""),7.0)</f>
        <v>7</v>
      </c>
      <c r="J67" s="11">
        <f>IFERROR(__xludf.DUMMYFUNCTION("""COMPUTED_VALUE"""),0.01)</f>
        <v>0.01</v>
      </c>
      <c r="K67" s="11">
        <f>IFERROR(__xludf.DUMMYFUNCTION("""COMPUTED_VALUE"""),0.29)</f>
        <v>0.29</v>
      </c>
    </row>
    <row r="68" ht="15.75" customHeight="1">
      <c r="A68" s="10" t="str">
        <f>IFERROR(__xludf.DUMMYFUNCTION("""COMPUTED_VALUE"""),"https://agencies.semrush.com/list/analytics-data-science/united-states/")</f>
        <v>https://agencies.semrush.com/list/analytics-data-science/united-states/</v>
      </c>
      <c r="B68" s="11" t="str">
        <f>IFERROR(__xludf.DUMMYFUNCTION("""COMPUTED_VALUE"""),"Best Data Analytics Services in United States 2026 | Semrush")</f>
        <v>Best Data Analytics Services in United States 2026 | Semrush</v>
      </c>
      <c r="C68" s="10" t="str">
        <f>IFERROR(__xludf.DUMMYFUNCTION("""COMPUTED_VALUE"""),"semrush.com")</f>
        <v>semrush.com</v>
      </c>
      <c r="D68" s="11" t="str">
        <f>IFERROR(__xludf.DUMMYFUNCTION("""COMPUTED_VALUE"""),"CATEGORY_PAGE")</f>
        <v>CATEGORY_PAGE</v>
      </c>
      <c r="E68" s="11" t="str">
        <f>IFERROR(__xludf.DUMMYFUNCTION("""COMPUTED_VALUE"""),"CORPORATE")</f>
        <v>CORPORATE</v>
      </c>
      <c r="F68" s="11" t="str">
        <f>IFERROR(__xludf.DUMMYFUNCTION("""COMPUTED_VALUE"""),"Category Page")</f>
        <v>Category Page</v>
      </c>
      <c r="G68" s="11" t="b">
        <f>IFERROR(__xludf.DUMMYFUNCTION("""COMPUTED_VALUE"""),FALSE)</f>
        <v>0</v>
      </c>
      <c r="H68" s="11" t="str">
        <f>IFERROR(__xludf.DUMMYFUNCTION("""COMPUTED_VALUE"""),"Elit-Web, Silverback Strategies, WebFX")</f>
        <v>Elit-Web, Silverback Strategies, WebFX</v>
      </c>
      <c r="I68" s="11">
        <f>IFERROR(__xludf.DUMMYFUNCTION("""COMPUTED_VALUE"""),6.0)</f>
        <v>6</v>
      </c>
      <c r="J68" s="11">
        <f>IFERROR(__xludf.DUMMYFUNCTION("""COMPUTED_VALUE"""),0.01)</f>
        <v>0.01</v>
      </c>
      <c r="K68" s="11">
        <f>IFERROR(__xludf.DUMMYFUNCTION("""COMPUTED_VALUE"""),0.0)</f>
        <v>0</v>
      </c>
    </row>
    <row r="69" ht="15.75" customHeight="1">
      <c r="A69" s="10" t="str">
        <f>IFERROR(__xludf.DUMMYFUNCTION("""COMPUTED_VALUE"""),"https://agencies.semrush.com/list/ppc/united-states/")</f>
        <v>https://agencies.semrush.com/list/ppc/united-states/</v>
      </c>
      <c r="B69" s="11" t="str">
        <f>IFERROR(__xludf.DUMMYFUNCTION("""COMPUTED_VALUE"""),"Best PPC Agencies in United States 2026 | Semrush")</f>
        <v>Best PPC Agencies in United States 2026 | Semrush</v>
      </c>
      <c r="C69" s="10" t="str">
        <f>IFERROR(__xludf.DUMMYFUNCTION("""COMPUTED_VALUE"""),"semrush.com")</f>
        <v>semrush.com</v>
      </c>
      <c r="D69" s="11" t="str">
        <f>IFERROR(__xludf.DUMMYFUNCTION("""COMPUTED_VALUE"""),"CATEGORY_PAGE")</f>
        <v>CATEGORY_PAGE</v>
      </c>
      <c r="E69" s="11" t="str">
        <f>IFERROR(__xludf.DUMMYFUNCTION("""COMPUTED_VALUE"""),"CORPORATE")</f>
        <v>CORPORATE</v>
      </c>
      <c r="F69" s="11" t="str">
        <f>IFERROR(__xludf.DUMMYFUNCTION("""COMPUTED_VALUE"""),"Category Page")</f>
        <v>Category Page</v>
      </c>
      <c r="G69" s="11" t="b">
        <f>IFERROR(__xludf.DUMMYFUNCTION("""COMPUTED_VALUE"""),FALSE)</f>
        <v>0</v>
      </c>
      <c r="H69" s="11" t="str">
        <f>IFERROR(__xludf.DUMMYFUNCTION("""COMPUTED_VALUE"""),"SmartSites, Elit-Web, Clutch")</f>
        <v>SmartSites, Elit-Web, Clutch</v>
      </c>
      <c r="I69" s="11">
        <f>IFERROR(__xludf.DUMMYFUNCTION("""COMPUTED_VALUE"""),6.0)</f>
        <v>6</v>
      </c>
      <c r="J69" s="11">
        <f>IFERROR(__xludf.DUMMYFUNCTION("""COMPUTED_VALUE"""),0.01)</f>
        <v>0.01</v>
      </c>
      <c r="K69" s="11">
        <f>IFERROR(__xludf.DUMMYFUNCTION("""COMPUTED_VALUE"""),0.0)</f>
        <v>0</v>
      </c>
    </row>
    <row r="70" ht="15.75" customHeight="1">
      <c r="A70" s="10" t="str">
        <f>IFERROR(__xludf.DUMMYFUNCTION("""COMPUTED_VALUE"""),"https://www.businessofapps.com/marketplace/performance-marketing/")</f>
        <v>https://www.businessofapps.com/marketplace/performance-marketing/</v>
      </c>
      <c r="B70" s="11" t="str">
        <f>IFERROR(__xludf.DUMMYFUNCTION("""COMPUTED_VALUE"""),"Top Performance Marketing Agencies (2026) - Business of Apps")</f>
        <v>Top Performance Marketing Agencies (2026) - Business of Apps</v>
      </c>
      <c r="C70" s="10" t="str">
        <f>IFERROR(__xludf.DUMMYFUNCTION("""COMPUTED_VALUE"""),"businessofapps.com")</f>
        <v>businessofapps.com</v>
      </c>
      <c r="D70" s="11" t="str">
        <f>IFERROR(__xludf.DUMMYFUNCTION("""COMPUTED_VALUE"""),"CATEGORY_PAGE")</f>
        <v>CATEGORY_PAGE</v>
      </c>
      <c r="E70" s="11" t="str">
        <f>IFERROR(__xludf.DUMMYFUNCTION("""COMPUTED_VALUE"""),"EDITORIAL")</f>
        <v>EDITORIAL</v>
      </c>
      <c r="F70" s="11" t="str">
        <f>IFERROR(__xludf.DUMMYFUNCTION("""COMPUTED_VALUE"""),"Category Page")</f>
        <v>Category Page</v>
      </c>
      <c r="G70" s="11" t="b">
        <f>IFERROR(__xludf.DUMMYFUNCTION("""COMPUTED_VALUE"""),TRUE)</f>
        <v>1</v>
      </c>
      <c r="H70" s="11" t="str">
        <f>IFERROR(__xludf.DUMMYFUNCTION("""COMPUTED_VALUE"""),"The Social Shepherd, Measured, Incubeta, Directive")</f>
        <v>The Social Shepherd, Measured, Incubeta, Directive</v>
      </c>
      <c r="I70" s="11">
        <f>IFERROR(__xludf.DUMMYFUNCTION("""COMPUTED_VALUE"""),6.0)</f>
        <v>6</v>
      </c>
      <c r="J70" s="11">
        <f>IFERROR(__xludf.DUMMYFUNCTION("""COMPUTED_VALUE"""),0.01)</f>
        <v>0.01</v>
      </c>
      <c r="K70" s="11">
        <f>IFERROR(__xludf.DUMMYFUNCTION("""COMPUTED_VALUE"""),0.0)</f>
        <v>0</v>
      </c>
    </row>
    <row r="71" ht="15.75" customHeight="1">
      <c r="A71" s="10" t="str">
        <f>IFERROR(__xludf.DUMMYFUNCTION("""COMPUTED_VALUE"""),"https://clutch.co/us/agencies/ppc/display%3Fpage%3D2")</f>
        <v>https://clutch.co/us/agencies/ppc/display%3Fpage%3D2</v>
      </c>
      <c r="B71" s="11" t="str">
        <f>IFERROR(__xludf.DUMMYFUNCTION("""COMPUTED_VALUE"""),"Top Display Advertising Agencies in the United States - Jul 2026 Rankings \| Clutch.co")</f>
        <v>Top Display Advertising Agencies in the United States - Jul 2026 Rankings \| Clutch.co</v>
      </c>
      <c r="C71" s="10" t="str">
        <f>IFERROR(__xludf.DUMMYFUNCTION("""COMPUTED_VALUE"""),"clutch.co")</f>
        <v>clutch.co</v>
      </c>
      <c r="D71" s="11" t="str">
        <f>IFERROR(__xludf.DUMMYFUNCTION("""COMPUTED_VALUE"""),"CATEGORY_PAGE")</f>
        <v>CATEGORY_PAGE</v>
      </c>
      <c r="E71" s="11" t="str">
        <f>IFERROR(__xludf.DUMMYFUNCTION("""COMPUTED_VALUE"""),"COMPETITOR")</f>
        <v>COMPETITOR</v>
      </c>
      <c r="F71" s="11" t="str">
        <f>IFERROR(__xludf.DUMMYFUNCTION("""COMPUTED_VALUE"""),"Category Page")</f>
        <v>Category Page</v>
      </c>
      <c r="G71" s="11" t="b">
        <f>IFERROR(__xludf.DUMMYFUNCTION("""COMPUTED_VALUE"""),FALSE)</f>
        <v>0</v>
      </c>
      <c r="H71" s="11" t="str">
        <f>IFERROR(__xludf.DUMMYFUNCTION("""COMPUTED_VALUE"""),"Clutch, Elit-Web, AdVenture Media, Storm Brain, Huge")</f>
        <v>Clutch, Elit-Web, AdVenture Media, Storm Brain, Huge</v>
      </c>
      <c r="I71" s="11">
        <f>IFERROR(__xludf.DUMMYFUNCTION("""COMPUTED_VALUE"""),6.0)</f>
        <v>6</v>
      </c>
      <c r="J71" s="11">
        <f>IFERROR(__xludf.DUMMYFUNCTION("""COMPUTED_VALUE"""),0.01)</f>
        <v>0.01</v>
      </c>
      <c r="K71" s="11">
        <f>IFERROR(__xludf.DUMMYFUNCTION("""COMPUTED_VALUE"""),0.0)</f>
        <v>0</v>
      </c>
    </row>
    <row r="72" ht="15.75" customHeight="1">
      <c r="A72" s="10" t="str">
        <f>IFERROR(__xludf.DUMMYFUNCTION("""COMPUTED_VALUE"""),"https://www.50pros.com/hire/advertising")</f>
        <v>https://www.50pros.com/hire/advertising</v>
      </c>
      <c r="B72" s="11" t="str">
        <f>IFERROR(__xludf.DUMMYFUNCTION("""COMPUTED_VALUE"""),"Top Advertising Agencies to Hire in June 2026")</f>
        <v>Top Advertising Agencies to Hire in June 2026</v>
      </c>
      <c r="C72" s="10" t="str">
        <f>IFERROR(__xludf.DUMMYFUNCTION("""COMPUTED_VALUE"""),"50pros.com")</f>
        <v>50pros.com</v>
      </c>
      <c r="D72" s="11" t="str">
        <f>IFERROR(__xludf.DUMMYFUNCTION("""COMPUTED_VALUE"""),"CATEGORY_PAGE")</f>
        <v>CATEGORY_PAGE</v>
      </c>
      <c r="E72" s="11" t="str">
        <f>IFERROR(__xludf.DUMMYFUNCTION("""COMPUTED_VALUE"""),"REFERENCE")</f>
        <v>REFERENCE</v>
      </c>
      <c r="F72" s="11" t="str">
        <f>IFERROR(__xludf.DUMMYFUNCTION("""COMPUTED_VALUE"""),"Category Page")</f>
        <v>Category Page</v>
      </c>
      <c r="G72" s="11" t="b">
        <f>IFERROR(__xludf.DUMMYFUNCTION("""COMPUTED_VALUE"""),FALSE)</f>
        <v>0</v>
      </c>
      <c r="H72" s="11" t="str">
        <f>IFERROR(__xludf.DUMMYFUNCTION("""COMPUTED_VALUE"""),"AdVenture Media")</f>
        <v>AdVenture Media</v>
      </c>
      <c r="I72" s="11">
        <f>IFERROR(__xludf.DUMMYFUNCTION("""COMPUTED_VALUE"""),5.0)</f>
        <v>5</v>
      </c>
      <c r="J72" s="11">
        <f>IFERROR(__xludf.DUMMYFUNCTION("""COMPUTED_VALUE"""),0.0)</f>
        <v>0</v>
      </c>
      <c r="K72" s="11">
        <f>IFERROR(__xludf.DUMMYFUNCTION("""COMPUTED_VALUE"""),1.0)</f>
        <v>1</v>
      </c>
    </row>
    <row r="73" ht="15.75" customHeight="1">
      <c r="A73" s="10" t="str">
        <f>IFERROR(__xludf.DUMMYFUNCTION("""COMPUTED_VALUE"""),"https://www.agencyspotter.com/top/social-media-marketing-agencies")</f>
        <v>https://www.agencyspotter.com/top/social-media-marketing-agencies</v>
      </c>
      <c r="B73" s="11" t="str">
        <f>IFERROR(__xludf.DUMMYFUNCTION("""COMPUTED_VALUE"""),"Top 25 Social Media Marketing Agencies Report | Agency Spotter")</f>
        <v>Top 25 Social Media Marketing Agencies Report | Agency Spotter</v>
      </c>
      <c r="C73" s="10" t="str">
        <f>IFERROR(__xludf.DUMMYFUNCTION("""COMPUTED_VALUE"""),"agencyspotter.com")</f>
        <v>agencyspotter.com</v>
      </c>
      <c r="D73" s="11" t="str">
        <f>IFERROR(__xludf.DUMMYFUNCTION("""COMPUTED_VALUE"""),"CATEGORY_PAGE")</f>
        <v>CATEGORY_PAGE</v>
      </c>
      <c r="E73" s="11" t="str">
        <f>IFERROR(__xludf.DUMMYFUNCTION("""COMPUTED_VALUE"""),"REFERENCE")</f>
        <v>REFERENCE</v>
      </c>
      <c r="F73" s="11" t="str">
        <f>IFERROR(__xludf.DUMMYFUNCTION("""COMPUTED_VALUE"""),"Category Page")</f>
        <v>Category Page</v>
      </c>
      <c r="G73" s="11" t="b">
        <f>IFERROR(__xludf.DUMMYFUNCTION("""COMPUTED_VALUE"""),FALSE)</f>
        <v>0</v>
      </c>
      <c r="H73" s="11" t="str">
        <f>IFERROR(__xludf.DUMMYFUNCTION("""COMPUTED_VALUE"""),"Sociallyin")</f>
        <v>Sociallyin</v>
      </c>
      <c r="I73" s="11">
        <f>IFERROR(__xludf.DUMMYFUNCTION("""COMPUTED_VALUE"""),5.0)</f>
        <v>5</v>
      </c>
      <c r="J73" s="11">
        <f>IFERROR(__xludf.DUMMYFUNCTION("""COMPUTED_VALUE"""),0.0)</f>
        <v>0</v>
      </c>
      <c r="K73" s="11">
        <f>IFERROR(__xludf.DUMMYFUNCTION("""COMPUTED_VALUE"""),1.2)</f>
        <v>1.2</v>
      </c>
    </row>
    <row r="74" ht="15.75" customHeight="1">
      <c r="A74" s="10" t="str">
        <f>IFERROR(__xludf.DUMMYFUNCTION("""COMPUTED_VALUE"""),"https://clutch.co/it-services/analytics/marketing")</f>
        <v>https://clutch.co/it-services/analytics/marketing</v>
      </c>
      <c r="B74" s="11" t="str">
        <f>IFERROR(__xludf.DUMMYFUNCTION("""COMPUTED_VALUE"""),"Top Big Data Marketing Companies - Jul 2026 Rankings \| Clutch.co")</f>
        <v>Top Big Data Marketing Companies - Jul 2026 Rankings \| Clutch.co</v>
      </c>
      <c r="C74" s="10" t="str">
        <f>IFERROR(__xludf.DUMMYFUNCTION("""COMPUTED_VALUE"""),"clutch.co")</f>
        <v>clutch.co</v>
      </c>
      <c r="D74" s="11" t="str">
        <f>IFERROR(__xludf.DUMMYFUNCTION("""COMPUTED_VALUE"""),"CATEGORY_PAGE")</f>
        <v>CATEGORY_PAGE</v>
      </c>
      <c r="E74" s="11" t="str">
        <f>IFERROR(__xludf.DUMMYFUNCTION("""COMPUTED_VALUE"""),"COMPETITOR")</f>
        <v>COMPETITOR</v>
      </c>
      <c r="F74" s="11" t="str">
        <f>IFERROR(__xludf.DUMMYFUNCTION("""COMPUTED_VALUE"""),"Category Page")</f>
        <v>Category Page</v>
      </c>
      <c r="G74" s="11" t="b">
        <f>IFERROR(__xludf.DUMMYFUNCTION("""COMPUTED_VALUE"""),FALSE)</f>
        <v>0</v>
      </c>
      <c r="H74" s="11" t="str">
        <f>IFERROR(__xludf.DUMMYFUNCTION("""COMPUTED_VALUE"""),"Clutch, Huge")</f>
        <v>Clutch, Huge</v>
      </c>
      <c r="I74" s="11">
        <f>IFERROR(__xludf.DUMMYFUNCTION("""COMPUTED_VALUE"""),5.0)</f>
        <v>5</v>
      </c>
      <c r="J74" s="11">
        <f>IFERROR(__xludf.DUMMYFUNCTION("""COMPUTED_VALUE"""),0.0)</f>
        <v>0</v>
      </c>
      <c r="K74" s="11">
        <f>IFERROR(__xludf.DUMMYFUNCTION("""COMPUTED_VALUE"""),0.2)</f>
        <v>0.2</v>
      </c>
    </row>
    <row r="75" ht="15.75" customHeight="1">
      <c r="A75" s="10" t="str">
        <f>IFERROR(__xludf.DUMMYFUNCTION("""COMPUTED_VALUE"""),"https://clutch.co/us/agencies/market-research")</f>
        <v>https://clutch.co/us/agencies/market-research</v>
      </c>
      <c r="B75" s="11" t="str">
        <f>IFERROR(__xludf.DUMMYFUNCTION("""COMPUTED_VALUE"""),"Top Market Research Agencies in the United States - Jul 2026 Rankings \| Clutch.co")</f>
        <v>Top Market Research Agencies in the United States - Jul 2026 Rankings \| Clutch.co</v>
      </c>
      <c r="C75" s="10" t="str">
        <f>IFERROR(__xludf.DUMMYFUNCTION("""COMPUTED_VALUE"""),"clutch.co")</f>
        <v>clutch.co</v>
      </c>
      <c r="D75" s="11" t="str">
        <f>IFERROR(__xludf.DUMMYFUNCTION("""COMPUTED_VALUE"""),"CATEGORY_PAGE")</f>
        <v>CATEGORY_PAGE</v>
      </c>
      <c r="E75" s="11" t="str">
        <f>IFERROR(__xludf.DUMMYFUNCTION("""COMPUTED_VALUE"""),"COMPETITOR")</f>
        <v>COMPETITOR</v>
      </c>
      <c r="F75" s="11" t="str">
        <f>IFERROR(__xludf.DUMMYFUNCTION("""COMPUTED_VALUE"""),"Category Page")</f>
        <v>Category Page</v>
      </c>
      <c r="G75" s="11" t="b">
        <f>IFERROR(__xludf.DUMMYFUNCTION("""COMPUTED_VALUE"""),FALSE)</f>
        <v>0</v>
      </c>
      <c r="H75" s="11" t="str">
        <f>IFERROR(__xludf.DUMMYFUNCTION("""COMPUTED_VALUE"""),"Clutch, Acadia, Brighter Click, Momentum, Haus")</f>
        <v>Clutch, Acadia, Brighter Click, Momentum, Haus</v>
      </c>
      <c r="I75" s="11">
        <f>IFERROR(__xludf.DUMMYFUNCTION("""COMPUTED_VALUE"""),5.0)</f>
        <v>5</v>
      </c>
      <c r="J75" s="11">
        <f>IFERROR(__xludf.DUMMYFUNCTION("""COMPUTED_VALUE"""),0.0)</f>
        <v>0</v>
      </c>
      <c r="K75" s="11">
        <f>IFERROR(__xludf.DUMMYFUNCTION("""COMPUTED_VALUE"""),0.0)</f>
        <v>0</v>
      </c>
    </row>
    <row r="76" ht="15.75" customHeight="1">
      <c r="A76" s="10" t="str">
        <f>IFERROR(__xludf.DUMMYFUNCTION("""COMPUTED_VALUE"""),"https://clutch.co/us/agencies/ppc/display?page=5")</f>
        <v>https://clutch.co/us/agencies/ppc/display?page=5</v>
      </c>
      <c r="B76" s="11" t="str">
        <f>IFERROR(__xludf.DUMMYFUNCTION("""COMPUTED_VALUE"""),"Page 5 - Top Display Advertising Agencies in the United States - Jul 2026 Rankings | Clutch.co")</f>
        <v>Page 5 - Top Display Advertising Agencies in the United States - Jul 2026 Rankings | Clutch.co</v>
      </c>
      <c r="C76" s="10" t="str">
        <f>IFERROR(__xludf.DUMMYFUNCTION("""COMPUTED_VALUE"""),"clutch.co")</f>
        <v>clutch.co</v>
      </c>
      <c r="D76" s="11" t="str">
        <f>IFERROR(__xludf.DUMMYFUNCTION("""COMPUTED_VALUE"""),"CATEGORY_PAGE")</f>
        <v>CATEGORY_PAGE</v>
      </c>
      <c r="E76" s="11" t="str">
        <f>IFERROR(__xludf.DUMMYFUNCTION("""COMPUTED_VALUE"""),"COMPETITOR")</f>
        <v>COMPETITOR</v>
      </c>
      <c r="F76" s="11" t="str">
        <f>IFERROR(__xludf.DUMMYFUNCTION("""COMPUTED_VALUE"""),"Category Page")</f>
        <v>Category Page</v>
      </c>
      <c r="G76" s="11" t="b">
        <f>IFERROR(__xludf.DUMMYFUNCTION("""COMPUTED_VALUE"""),FALSE)</f>
        <v>0</v>
      </c>
      <c r="H76" s="11" t="str">
        <f>IFERROR(__xludf.DUMMYFUNCTION("""COMPUTED_VALUE"""),"Clutch, Elit-Web, AdVenture Media, Go Fish Digital, Storm Brain, NoGood, Tinuiti")</f>
        <v>Clutch, Elit-Web, AdVenture Media, Go Fish Digital, Storm Brain, NoGood, Tinuiti</v>
      </c>
      <c r="I76" s="11">
        <f>IFERROR(__xludf.DUMMYFUNCTION("""COMPUTED_VALUE"""),5.0)</f>
        <v>5</v>
      </c>
      <c r="J76" s="11">
        <f>IFERROR(__xludf.DUMMYFUNCTION("""COMPUTED_VALUE"""),0.0)</f>
        <v>0</v>
      </c>
      <c r="K76" s="11">
        <f>IFERROR(__xludf.DUMMYFUNCTION("""COMPUTED_VALUE"""),0.4)</f>
        <v>0.4</v>
      </c>
    </row>
    <row r="77" ht="15.75" customHeight="1">
      <c r="A77" s="10" t="str">
        <f>IFERROR(__xludf.DUMMYFUNCTION("""COMPUTED_VALUE"""),"https://clutch.co/us/agencies?page=1")</f>
        <v>https://clutch.co/us/agencies?page=1</v>
      </c>
      <c r="B77" s="11" t="str">
        <f>IFERROR(__xludf.DUMMYFUNCTION("""COMPUTED_VALUE"""),"Page 2 - Top Advertising Agencies in the United States - Jul 2026 Rankings \| Clutch.co")</f>
        <v>Page 2 - Top Advertising Agencies in the United States - Jul 2026 Rankings \| Clutch.co</v>
      </c>
      <c r="C77" s="10" t="str">
        <f>IFERROR(__xludf.DUMMYFUNCTION("""COMPUTED_VALUE"""),"clutch.co")</f>
        <v>clutch.co</v>
      </c>
      <c r="D77" s="11" t="str">
        <f>IFERROR(__xludf.DUMMYFUNCTION("""COMPUTED_VALUE"""),"CATEGORY_PAGE")</f>
        <v>CATEGORY_PAGE</v>
      </c>
      <c r="E77" s="11" t="str">
        <f>IFERROR(__xludf.DUMMYFUNCTION("""COMPUTED_VALUE"""),"COMPETITOR")</f>
        <v>COMPETITOR</v>
      </c>
      <c r="F77" s="11" t="str">
        <f>IFERROR(__xludf.DUMMYFUNCTION("""COMPUTED_VALUE"""),"Category Page")</f>
        <v>Category Page</v>
      </c>
      <c r="G77" s="11" t="b">
        <f>IFERROR(__xludf.DUMMYFUNCTION("""COMPUTED_VALUE"""),FALSE)</f>
        <v>0</v>
      </c>
      <c r="H77" s="11" t="str">
        <f>IFERROR(__xludf.DUMMYFUNCTION("""COMPUTED_VALUE"""),"Clutch, SmartSites, WebFX, Ignite Visibility, Storm Brain, NinjaPromo, Huge")</f>
        <v>Clutch, SmartSites, WebFX, Ignite Visibility, Storm Brain, NinjaPromo, Huge</v>
      </c>
      <c r="I77" s="11">
        <f>IFERROR(__xludf.DUMMYFUNCTION("""COMPUTED_VALUE"""),5.0)</f>
        <v>5</v>
      </c>
      <c r="J77" s="11">
        <f>IFERROR(__xludf.DUMMYFUNCTION("""COMPUTED_VALUE"""),0.0)</f>
        <v>0</v>
      </c>
      <c r="K77" s="11">
        <f>IFERROR(__xludf.DUMMYFUNCTION("""COMPUTED_VALUE"""),0.0)</f>
        <v>0</v>
      </c>
    </row>
    <row r="78" ht="15.75" customHeight="1">
      <c r="A78" s="10" t="str">
        <f>IFERROR(__xludf.DUMMYFUNCTION("""COMPUTED_VALUE"""),"https://clutch.co/us/consulting/ai/maturation%3Fpage%3D2")</f>
        <v>https://clutch.co/us/consulting/ai/maturation%3Fpage%3D2</v>
      </c>
      <c r="B78" s="11" t="str">
        <f>IFERROR(__xludf.DUMMYFUNCTION("""COMPUTED_VALUE"""),"Top AI Maturation Services in the United States - Jul 2026 Rankings \| Clutch.co")</f>
        <v>Top AI Maturation Services in the United States - Jul 2026 Rankings \| Clutch.co</v>
      </c>
      <c r="C78" s="10" t="str">
        <f>IFERROR(__xludf.DUMMYFUNCTION("""COMPUTED_VALUE"""),"clutch.co")</f>
        <v>clutch.co</v>
      </c>
      <c r="D78" s="11" t="str">
        <f>IFERROR(__xludf.DUMMYFUNCTION("""COMPUTED_VALUE"""),"CATEGORY_PAGE")</f>
        <v>CATEGORY_PAGE</v>
      </c>
      <c r="E78" s="11" t="str">
        <f>IFERROR(__xludf.DUMMYFUNCTION("""COMPUTED_VALUE"""),"COMPETITOR")</f>
        <v>COMPETITOR</v>
      </c>
      <c r="F78" s="11" t="str">
        <f>IFERROR(__xludf.DUMMYFUNCTION("""COMPUTED_VALUE"""),"Category Page")</f>
        <v>Category Page</v>
      </c>
      <c r="G78" s="11" t="b">
        <f>IFERROR(__xludf.DUMMYFUNCTION("""COMPUTED_VALUE"""),FALSE)</f>
        <v>0</v>
      </c>
      <c r="H78" s="11" t="str">
        <f>IFERROR(__xludf.DUMMYFUNCTION("""COMPUTED_VALUE"""),"Clutch, Momentum")</f>
        <v>Clutch, Momentum</v>
      </c>
      <c r="I78" s="11">
        <f>IFERROR(__xludf.DUMMYFUNCTION("""COMPUTED_VALUE"""),5.0)</f>
        <v>5</v>
      </c>
      <c r="J78" s="11">
        <f>IFERROR(__xludf.DUMMYFUNCTION("""COMPUTED_VALUE"""),0.0)</f>
        <v>0</v>
      </c>
      <c r="K78" s="11">
        <f>IFERROR(__xludf.DUMMYFUNCTION("""COMPUTED_VALUE"""),0.0)</f>
        <v>0</v>
      </c>
    </row>
    <row r="79" ht="15.75" customHeight="1">
      <c r="A79" s="10" t="str">
        <f>IFERROR(__xludf.DUMMYFUNCTION("""COMPUTED_VALUE"""),"https://www.gartner.com/reviews/market/marketing-mix-modeling-solutions")</f>
        <v>https://www.gartner.com/reviews/market/marketing-mix-modeling-solutions</v>
      </c>
      <c r="B79" s="11" t="str">
        <f>IFERROR(__xludf.DUMMYFUNCTION("""COMPUTED_VALUE"""),"Best Marketing Mix Modeling Solutions Reviews 2026 \| Gartner Peer Insights")</f>
        <v>Best Marketing Mix Modeling Solutions Reviews 2026 \| Gartner Peer Insights</v>
      </c>
      <c r="C79" s="10" t="str">
        <f>IFERROR(__xludf.DUMMYFUNCTION("""COMPUTED_VALUE"""),"gartner.com")</f>
        <v>gartner.com</v>
      </c>
      <c r="D79" s="11" t="str">
        <f>IFERROR(__xludf.DUMMYFUNCTION("""COMPUTED_VALUE"""),"CATEGORY_PAGE")</f>
        <v>CATEGORY_PAGE</v>
      </c>
      <c r="E79" s="11" t="str">
        <f>IFERROR(__xludf.DUMMYFUNCTION("""COMPUTED_VALUE"""),"CORPORATE")</f>
        <v>CORPORATE</v>
      </c>
      <c r="F79" s="11" t="str">
        <f>IFERROR(__xludf.DUMMYFUNCTION("""COMPUTED_VALUE"""),"Category Page")</f>
        <v>Category Page</v>
      </c>
      <c r="G79" s="11" t="b">
        <f>IFERROR(__xludf.DUMMYFUNCTION("""COMPUTED_VALUE"""),FALSE)</f>
        <v>0</v>
      </c>
      <c r="H79" s="11" t="str">
        <f>IFERROR(__xludf.DUMMYFUNCTION("""COMPUTED_VALUE"""),"Nielsen, Measured, Analytic Partners, Circana, Dentsu, Gain Theory, Haus, LifeSight, Kantar")</f>
        <v>Nielsen, Measured, Analytic Partners, Circana, Dentsu, Gain Theory, Haus, LifeSight, Kantar</v>
      </c>
      <c r="I79" s="11">
        <f>IFERROR(__xludf.DUMMYFUNCTION("""COMPUTED_VALUE"""),5.0)</f>
        <v>5</v>
      </c>
      <c r="J79" s="11">
        <f>IFERROR(__xludf.DUMMYFUNCTION("""COMPUTED_VALUE"""),0.0)</f>
        <v>0</v>
      </c>
      <c r="K79" s="11">
        <f>IFERROR(__xludf.DUMMYFUNCTION("""COMPUTED_VALUE"""),1.2)</f>
        <v>1.2</v>
      </c>
    </row>
    <row r="80" ht="15.75" customHeight="1">
      <c r="A80" s="10" t="str">
        <f>IFERROR(__xludf.DUMMYFUNCTION("""COMPUTED_VALUE"""),"https://www.sortlist.com/digital-marketing/united-states-us")</f>
        <v>https://www.sortlist.com/digital-marketing/united-states-us</v>
      </c>
      <c r="B80" s="11" t="str">
        <f>IFERROR(__xludf.DUMMYFUNCTION("""COMPUTED_VALUE"""),"The 10 Best Digital Marketing Agencies in USA - 2026 Reviews")</f>
        <v>The 10 Best Digital Marketing Agencies in USA - 2026 Reviews</v>
      </c>
      <c r="C80" s="10" t="str">
        <f>IFERROR(__xludf.DUMMYFUNCTION("""COMPUTED_VALUE"""),"sortlist.com")</f>
        <v>sortlist.com</v>
      </c>
      <c r="D80" s="11" t="str">
        <f>IFERROR(__xludf.DUMMYFUNCTION("""COMPUTED_VALUE"""),"CATEGORY_PAGE")</f>
        <v>CATEGORY_PAGE</v>
      </c>
      <c r="E80" s="11" t="str">
        <f>IFERROR(__xludf.DUMMYFUNCTION("""COMPUTED_VALUE"""),"CORPORATE")</f>
        <v>CORPORATE</v>
      </c>
      <c r="F80" s="11" t="str">
        <f>IFERROR(__xludf.DUMMYFUNCTION("""COMPUTED_VALUE"""),"Category Page")</f>
        <v>Category Page</v>
      </c>
      <c r="G80" s="11" t="b">
        <f>IFERROR(__xludf.DUMMYFUNCTION("""COMPUTED_VALUE"""),FALSE)</f>
        <v>0</v>
      </c>
      <c r="H80" s="11" t="str">
        <f>IFERROR(__xludf.DUMMYFUNCTION("""COMPUTED_VALUE"""),"NinjaPromo, IBM, Clutch")</f>
        <v>NinjaPromo, IBM, Clutch</v>
      </c>
      <c r="I80" s="11">
        <f>IFERROR(__xludf.DUMMYFUNCTION("""COMPUTED_VALUE"""),5.0)</f>
        <v>5</v>
      </c>
      <c r="J80" s="11">
        <f>IFERROR(__xludf.DUMMYFUNCTION("""COMPUTED_VALUE"""),0.0)</f>
        <v>0</v>
      </c>
      <c r="K80" s="11">
        <f>IFERROR(__xludf.DUMMYFUNCTION("""COMPUTED_VALUE"""),0.0)</f>
        <v>0</v>
      </c>
    </row>
    <row r="81" ht="15.75" customHeight="1">
      <c r="A81" s="10" t="str">
        <f>IFERROR(__xludf.DUMMYFUNCTION("""COMPUTED_VALUE"""),"https://www.50pros.com/hire/artificial-intelligence/ai-powered-search")</f>
        <v>https://www.50pros.com/hire/artificial-intelligence/ai-powered-search</v>
      </c>
      <c r="B81" s="11" t="str">
        <f>IFERROR(__xludf.DUMMYFUNCTION("""COMPUTED_VALUE"""),"Top AI-Powered Search Companies")</f>
        <v>Top AI-Powered Search Companies</v>
      </c>
      <c r="C81" s="10" t="str">
        <f>IFERROR(__xludf.DUMMYFUNCTION("""COMPUTED_VALUE"""),"50pros.com")</f>
        <v>50pros.com</v>
      </c>
      <c r="D81" s="11" t="str">
        <f>IFERROR(__xludf.DUMMYFUNCTION("""COMPUTED_VALUE"""),"CATEGORY_PAGE")</f>
        <v>CATEGORY_PAGE</v>
      </c>
      <c r="E81" s="11" t="str">
        <f>IFERROR(__xludf.DUMMYFUNCTION("""COMPUTED_VALUE"""),"REFERENCE")</f>
        <v>REFERENCE</v>
      </c>
      <c r="F81" s="11" t="str">
        <f>IFERROR(__xludf.DUMMYFUNCTION("""COMPUTED_VALUE"""),"Category Page")</f>
        <v>Category Page</v>
      </c>
      <c r="G81" s="11" t="b">
        <f>IFERROR(__xludf.DUMMYFUNCTION("""COMPUTED_VALUE"""),FALSE)</f>
        <v>0</v>
      </c>
      <c r="H81" s="11" t="str">
        <f>IFERROR(__xludf.DUMMYFUNCTION("""COMPUTED_VALUE"""),"Clutch")</f>
        <v>Clutch</v>
      </c>
      <c r="I81" s="11">
        <f>IFERROR(__xludf.DUMMYFUNCTION("""COMPUTED_VALUE"""),4.0)</f>
        <v>4</v>
      </c>
      <c r="J81" s="11">
        <f>IFERROR(__xludf.DUMMYFUNCTION("""COMPUTED_VALUE"""),0.0)</f>
        <v>0</v>
      </c>
      <c r="K81" s="11">
        <f>IFERROR(__xludf.DUMMYFUNCTION("""COMPUTED_VALUE"""),0.0)</f>
        <v>0</v>
      </c>
    </row>
    <row r="82" ht="15.75" customHeight="1">
      <c r="A82" s="10" t="str">
        <f>IFERROR(__xludf.DUMMYFUNCTION("""COMPUTED_VALUE"""),"https://www.barchart.com/story/news/2450048/best-ai-search-agencies-in-2026-which-company-to-choose-for-building-brand-visibility-in-ai")</f>
        <v>https://www.barchart.com/story/news/2450048/best-ai-search-agencies-in-2026-which-company-to-choose-for-building-brand-visibility-in-ai</v>
      </c>
      <c r="B82" s="11" t="str">
        <f>IFERROR(__xludf.DUMMYFUNCTION("""COMPUTED_VALUE"""),"Best AI Search Agencies in 2026: Which Company to Choose for Building Brand Visibility in AI?")</f>
        <v>Best AI Search Agencies in 2026: Which Company to Choose for Building Brand Visibility in AI?</v>
      </c>
      <c r="C82" s="10" t="str">
        <f>IFERROR(__xludf.DUMMYFUNCTION("""COMPUTED_VALUE"""),"barchart.com")</f>
        <v>barchart.com</v>
      </c>
      <c r="D82" s="11" t="str">
        <f>IFERROR(__xludf.DUMMYFUNCTION("""COMPUTED_VALUE"""),"CATEGORY_PAGE")</f>
        <v>CATEGORY_PAGE</v>
      </c>
      <c r="E82" s="11" t="str">
        <f>IFERROR(__xludf.DUMMYFUNCTION("""COMPUTED_VALUE"""),"REFERENCE")</f>
        <v>REFERENCE</v>
      </c>
      <c r="F82" s="11" t="str">
        <f>IFERROR(__xludf.DUMMYFUNCTION("""COMPUTED_VALUE"""),"Category Page")</f>
        <v>Category Page</v>
      </c>
      <c r="G82" s="11" t="b">
        <f>IFERROR(__xludf.DUMMYFUNCTION("""COMPUTED_VALUE"""),FALSE)</f>
        <v>0</v>
      </c>
      <c r="H82" s="11" t="str">
        <f>IFERROR(__xludf.DUMMYFUNCTION("""COMPUTED_VALUE"""),"Momentum")</f>
        <v>Momentum</v>
      </c>
      <c r="I82" s="11">
        <f>IFERROR(__xludf.DUMMYFUNCTION("""COMPUTED_VALUE"""),4.0)</f>
        <v>4</v>
      </c>
      <c r="J82" s="11">
        <f>IFERROR(__xludf.DUMMYFUNCTION("""COMPUTED_VALUE"""),0.0)</f>
        <v>0</v>
      </c>
      <c r="K82" s="11">
        <f>IFERROR(__xludf.DUMMYFUNCTION("""COMPUTED_VALUE"""),0.0)</f>
        <v>0</v>
      </c>
    </row>
    <row r="83" ht="15.75" customHeight="1">
      <c r="A83" s="10" t="str">
        <f>IFERROR(__xludf.DUMMYFUNCTION("""COMPUTED_VALUE"""),"https://clutch.co/us/agencies/social-media-marketing/facebook")</f>
        <v>https://clutch.co/us/agencies/social-media-marketing/facebook</v>
      </c>
      <c r="B83" s="11" t="str">
        <f>IFERROR(__xludf.DUMMYFUNCTION("""COMPUTED_VALUE"""),"Top Facebook Advertising Agencies in the United States - Jul 2026 Rankings \| Clutch.co")</f>
        <v>Top Facebook Advertising Agencies in the United States - Jul 2026 Rankings \| Clutch.co</v>
      </c>
      <c r="C83" s="10" t="str">
        <f>IFERROR(__xludf.DUMMYFUNCTION("""COMPUTED_VALUE"""),"clutch.co")</f>
        <v>clutch.co</v>
      </c>
      <c r="D83" s="11" t="str">
        <f>IFERROR(__xludf.DUMMYFUNCTION("""COMPUTED_VALUE"""),"CATEGORY_PAGE")</f>
        <v>CATEGORY_PAGE</v>
      </c>
      <c r="E83" s="11" t="str">
        <f>IFERROR(__xludf.DUMMYFUNCTION("""COMPUTED_VALUE"""),"COMPETITOR")</f>
        <v>COMPETITOR</v>
      </c>
      <c r="F83" s="11" t="str">
        <f>IFERROR(__xludf.DUMMYFUNCTION("""COMPUTED_VALUE"""),"Category Page")</f>
        <v>Category Page</v>
      </c>
      <c r="G83" s="11" t="b">
        <f>IFERROR(__xludf.DUMMYFUNCTION("""COMPUTED_VALUE"""),FALSE)</f>
        <v>0</v>
      </c>
      <c r="H83" s="11" t="str">
        <f>IFERROR(__xludf.DUMMYFUNCTION("""COMPUTED_VALUE"""),"Clutch, LYFE Marketing, SmartSites, Elit-Web, KlientBoost, AdVenture Media, Silverback Strategies, Sociallyin, Disruptive Advertising, HawkSEM, Brighter Click, Accelerated Digital Media, Acadia")</f>
        <v>Clutch, LYFE Marketing, SmartSites, Elit-Web, KlientBoost, AdVenture Media, Silverback Strategies, Sociallyin, Disruptive Advertising, HawkSEM, Brighter Click, Accelerated Digital Media, Acadia</v>
      </c>
      <c r="I83" s="11">
        <f>IFERROR(__xludf.DUMMYFUNCTION("""COMPUTED_VALUE"""),4.0)</f>
        <v>4</v>
      </c>
      <c r="J83" s="11">
        <f>IFERROR(__xludf.DUMMYFUNCTION("""COMPUTED_VALUE"""),0.0)</f>
        <v>0</v>
      </c>
      <c r="K83" s="11">
        <f>IFERROR(__xludf.DUMMYFUNCTION("""COMPUTED_VALUE"""),0.0)</f>
        <v>0</v>
      </c>
    </row>
    <row r="84" ht="15.75" customHeight="1">
      <c r="A84" s="10" t="str">
        <f>IFERROR(__xludf.DUMMYFUNCTION("""COMPUTED_VALUE"""),"https://www.dexigner.com/directory/cat/Advertising-Design/Agencies/loc/United-States")</f>
        <v>https://www.dexigner.com/directory/cat/Advertising-Design/Agencies/loc/United-States</v>
      </c>
      <c r="B84" s="11" t="str">
        <f>IFERROR(__xludf.DUMMYFUNCTION("""COMPUTED_VALUE"""),"Advertising Agencies in the United States")</f>
        <v>Advertising Agencies in the United States</v>
      </c>
      <c r="C84" s="10" t="str">
        <f>IFERROR(__xludf.DUMMYFUNCTION("""COMPUTED_VALUE"""),"dexigner.com")</f>
        <v>dexigner.com</v>
      </c>
      <c r="D84" s="11" t="str">
        <f>IFERROR(__xludf.DUMMYFUNCTION("""COMPUTED_VALUE"""),"CATEGORY_PAGE")</f>
        <v>CATEGORY_PAGE</v>
      </c>
      <c r="E84" s="11" t="str">
        <f>IFERROR(__xludf.DUMMYFUNCTION("""COMPUTED_VALUE"""),"EDITORIAL")</f>
        <v>EDITORIAL</v>
      </c>
      <c r="F84" s="11" t="str">
        <f>IFERROR(__xludf.DUMMYFUNCTION("""COMPUTED_VALUE"""),"Category Page")</f>
        <v>Category Page</v>
      </c>
      <c r="G84" s="11" t="b">
        <f>IFERROR(__xludf.DUMMYFUNCTION("""COMPUTED_VALUE"""),FALSE)</f>
        <v>0</v>
      </c>
      <c r="H84" s="11" t="str">
        <f>IFERROR(__xludf.DUMMYFUNCTION("""COMPUTED_VALUE"""),"72andSunny, BBDO, Ogilvy, Wieden+Kennedy, Huge, Droga5, Momentum")</f>
        <v>72andSunny, BBDO, Ogilvy, Wieden+Kennedy, Huge, Droga5, Momentum</v>
      </c>
      <c r="I84" s="11">
        <f>IFERROR(__xludf.DUMMYFUNCTION("""COMPUTED_VALUE"""),4.0)</f>
        <v>4</v>
      </c>
      <c r="J84" s="11">
        <f>IFERROR(__xludf.DUMMYFUNCTION("""COMPUTED_VALUE"""),0.0)</f>
        <v>0</v>
      </c>
      <c r="K84" s="11">
        <f>IFERROR(__xludf.DUMMYFUNCTION("""COMPUTED_VALUE"""),1.5)</f>
        <v>1.5</v>
      </c>
    </row>
    <row r="85" ht="15.75" customHeight="1">
      <c r="A85" s="10" t="str">
        <f>IFERROR(__xludf.DUMMYFUNCTION("""COMPUTED_VALUE"""),"https://digitalagencynetwork.com/agencies/usa/online-advertising/")</f>
        <v>https://digitalagencynetwork.com/agencies/usa/online-advertising/</v>
      </c>
      <c r="B85" s="11" t="str">
        <f>IFERROR(__xludf.DUMMYFUNCTION("""COMPUTED_VALUE"""),"Best Online Advertising Agencies in USA")</f>
        <v>Best Online Advertising Agencies in USA</v>
      </c>
      <c r="C85" s="10" t="str">
        <f>IFERROR(__xludf.DUMMYFUNCTION("""COMPUTED_VALUE"""),"digitalagencynetwork.com")</f>
        <v>digitalagencynetwork.com</v>
      </c>
      <c r="D85" s="11" t="str">
        <f>IFERROR(__xludf.DUMMYFUNCTION("""COMPUTED_VALUE"""),"CATEGORY_PAGE")</f>
        <v>CATEGORY_PAGE</v>
      </c>
      <c r="E85" s="11" t="str">
        <f>IFERROR(__xludf.DUMMYFUNCTION("""COMPUTED_VALUE"""),"REFERENCE")</f>
        <v>REFERENCE</v>
      </c>
      <c r="F85" s="11" t="str">
        <f>IFERROR(__xludf.DUMMYFUNCTION("""COMPUTED_VALUE"""),"Category Page")</f>
        <v>Category Page</v>
      </c>
      <c r="G85" s="11" t="b">
        <f>IFERROR(__xludf.DUMMYFUNCTION("""COMPUTED_VALUE"""),FALSE)</f>
        <v>0</v>
      </c>
      <c r="H85" s="11" t="str">
        <f>IFERROR(__xludf.DUMMYFUNCTION("""COMPUTED_VALUE"""),"Major Tom, Ignite Visibility, Brighter Click, Amsive, Measured, NoGood, SmartSites, PwC, Forthea, Intero Digital")</f>
        <v>Major Tom, Ignite Visibility, Brighter Click, Amsive, Measured, NoGood, SmartSites, PwC, Forthea, Intero Digital</v>
      </c>
      <c r="I85" s="11">
        <f>IFERROR(__xludf.DUMMYFUNCTION("""COMPUTED_VALUE"""),4.0)</f>
        <v>4</v>
      </c>
      <c r="J85" s="11">
        <f>IFERROR(__xludf.DUMMYFUNCTION("""COMPUTED_VALUE"""),0.0)</f>
        <v>0</v>
      </c>
      <c r="K85" s="11">
        <f>IFERROR(__xludf.DUMMYFUNCTION("""COMPUTED_VALUE"""),1.0)</f>
        <v>1</v>
      </c>
    </row>
    <row r="86" ht="15.75" customHeight="1">
      <c r="A86" s="10" t="str">
        <f>IFERROR(__xludf.DUMMYFUNCTION("""COMPUTED_VALUE"""),"https://marketingplatform.google.com/about/partners/?authuser=1")</f>
        <v>https://marketingplatform.google.com/about/partners/?authuser=1</v>
      </c>
      <c r="B86" s="11" t="str">
        <f>IFERROR(__xludf.DUMMYFUNCTION("""COMPUTED_VALUE"""),"Meet Your New Marketing Partner - Google Marketing Platform Partners")</f>
        <v>Meet Your New Marketing Partner - Google Marketing Platform Partners</v>
      </c>
      <c r="C86" s="10" t="str">
        <f>IFERROR(__xludf.DUMMYFUNCTION("""COMPUTED_VALUE"""),"google.com")</f>
        <v>google.com</v>
      </c>
      <c r="D86" s="11" t="str">
        <f>IFERROR(__xludf.DUMMYFUNCTION("""COMPUTED_VALUE"""),"CATEGORY_PAGE")</f>
        <v>CATEGORY_PAGE</v>
      </c>
      <c r="E86" s="11" t="str">
        <f>IFERROR(__xludf.DUMMYFUNCTION("""COMPUTED_VALUE"""),"OTHER")</f>
        <v>OTHER</v>
      </c>
      <c r="F86" s="11" t="str">
        <f>IFERROR(__xludf.DUMMYFUNCTION("""COMPUTED_VALUE"""),"Category Page")</f>
        <v>Category Page</v>
      </c>
      <c r="G86" s="11" t="b">
        <f>IFERROR(__xludf.DUMMYFUNCTION("""COMPUTED_VALUE"""),FALSE)</f>
        <v>0</v>
      </c>
      <c r="H86" s="11"/>
      <c r="I86" s="11">
        <f>IFERROR(__xludf.DUMMYFUNCTION("""COMPUTED_VALUE"""),4.0)</f>
        <v>4</v>
      </c>
      <c r="J86" s="11">
        <f>IFERROR(__xludf.DUMMYFUNCTION("""COMPUTED_VALUE"""),0.0)</f>
        <v>0</v>
      </c>
      <c r="K86" s="11">
        <f>IFERROR(__xludf.DUMMYFUNCTION("""COMPUTED_VALUE"""),0.0)</f>
        <v>0</v>
      </c>
    </row>
    <row r="87" ht="15.75" customHeight="1">
      <c r="A87" s="10" t="str">
        <f>IFERROR(__xludf.DUMMYFUNCTION("""COMPUTED_VALUE"""),"https://www.sortlist.com/advertising/united-states-us")</f>
        <v>https://www.sortlist.com/advertising/united-states-us</v>
      </c>
      <c r="B87" s="11" t="str">
        <f>IFERROR(__xludf.DUMMYFUNCTION("""COMPUTED_VALUE"""),"The 10 Best Advertising Agencies in the United States - 2026 Reviews")</f>
        <v>The 10 Best Advertising Agencies in the United States - 2026 Reviews</v>
      </c>
      <c r="C87" s="10" t="str">
        <f>IFERROR(__xludf.DUMMYFUNCTION("""COMPUTED_VALUE"""),"sortlist.com")</f>
        <v>sortlist.com</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IFERROR(__xludf.DUMMYFUNCTION("""COMPUTED_VALUE"""),"NinjaPromo, Publicis Groupe, Clutch")</f>
        <v>NinjaPromo, Publicis Groupe, Clutch</v>
      </c>
      <c r="I87" s="11">
        <f>IFERROR(__xludf.DUMMYFUNCTION("""COMPUTED_VALUE"""),4.0)</f>
        <v>4</v>
      </c>
      <c r="J87" s="11">
        <f>IFERROR(__xludf.DUMMYFUNCTION("""COMPUTED_VALUE"""),0.0)</f>
        <v>0</v>
      </c>
      <c r="K87" s="11">
        <f>IFERROR(__xludf.DUMMYFUNCTION("""COMPUTED_VALUE"""),0.25)</f>
        <v>0.25</v>
      </c>
    </row>
    <row r="88" ht="15.75" customHeight="1">
      <c r="A88" s="10" t="str">
        <f>IFERROR(__xludf.DUMMYFUNCTION("""COMPUTED_VALUE"""),"https://themanifest.com/us/ppc/agencies")</f>
        <v>https://themanifest.com/us/ppc/agencies</v>
      </c>
      <c r="B88" s="11" t="str">
        <f>IFERROR(__xludf.DUMMYFUNCTION("""COMPUTED_VALUE"""),"The Best PPC Companies in United States - Jul 2026 | The Manifest")</f>
        <v>The Best PPC Companies in United States - Jul 2026 | The Manifest</v>
      </c>
      <c r="C88" s="10" t="str">
        <f>IFERROR(__xludf.DUMMYFUNCTION("""COMPUTED_VALUE"""),"themanifest.com")</f>
        <v>themanifest.com</v>
      </c>
      <c r="D88" s="11" t="str">
        <f>IFERROR(__xludf.DUMMYFUNCTION("""COMPUTED_VALUE"""),"CATEGORY_PAGE")</f>
        <v>CATEGORY_PAGE</v>
      </c>
      <c r="E88" s="11" t="str">
        <f>IFERROR(__xludf.DUMMYFUNCTION("""COMPUTED_VALUE"""),"REFERENCE")</f>
        <v>REFERENCE</v>
      </c>
      <c r="F88" s="11" t="str">
        <f>IFERROR(__xludf.DUMMYFUNCTION("""COMPUTED_VALUE"""),"Category Page")</f>
        <v>Category Page</v>
      </c>
      <c r="G88" s="11" t="b">
        <f>IFERROR(__xludf.DUMMYFUNCTION("""COMPUTED_VALUE"""),FALSE)</f>
        <v>0</v>
      </c>
      <c r="H88" s="11" t="str">
        <f>IFERROR(__xludf.DUMMYFUNCTION("""COMPUTED_VALUE"""),"Clutch, KlientBoost, Disruptive Advertising, AdVenture Media, HawkSEM, SmartSites, Intero Digital, Elit-Web, NinjaPromo, Funnel Boost Media, LYFE Marketing")</f>
        <v>Clutch, KlientBoost, Disruptive Advertising, AdVenture Media, HawkSEM, SmartSites, Intero Digital, Elit-Web, NinjaPromo, Funnel Boost Media, LYFE Marketing</v>
      </c>
      <c r="I88" s="11">
        <f>IFERROR(__xludf.DUMMYFUNCTION("""COMPUTED_VALUE"""),4.0)</f>
        <v>4</v>
      </c>
      <c r="J88" s="11">
        <f>IFERROR(__xludf.DUMMYFUNCTION("""COMPUTED_VALUE"""),0.0)</f>
        <v>0</v>
      </c>
      <c r="K88" s="11">
        <f>IFERROR(__xludf.DUMMYFUNCTION("""COMPUTED_VALUE"""),0.0)</f>
        <v>0</v>
      </c>
    </row>
    <row r="89" ht="15.75" customHeight="1">
      <c r="A89" s="10" t="str">
        <f>IFERROR(__xludf.DUMMYFUNCTION("""COMPUTED_VALUE"""),"https://agencies.semrush.com/list/analytics-data-science/business-professional-services/united-states/")</f>
        <v>https://agencies.semrush.com/list/analytics-data-science/business-professional-services/united-states/</v>
      </c>
      <c r="B89" s="11" t="str">
        <f>IFERROR(__xludf.DUMMYFUNCTION("""COMPUTED_VALUE"""),"Best B2B Services Data Analytics Services in United States 2026 | Semrush")</f>
        <v>Best B2B Services Data Analytics Services in United States 2026 | Semrush</v>
      </c>
      <c r="C89" s="10" t="str">
        <f>IFERROR(__xludf.DUMMYFUNCTION("""COMPUTED_VALUE"""),"semrush.com")</f>
        <v>semrush.com</v>
      </c>
      <c r="D89" s="11" t="str">
        <f>IFERROR(__xludf.DUMMYFUNCTION("""COMPUTED_VALUE"""),"CATEGORY_PAGE")</f>
        <v>CATEGORY_PAGE</v>
      </c>
      <c r="E89" s="11" t="str">
        <f>IFERROR(__xludf.DUMMYFUNCTION("""COMPUTED_VALUE"""),"CORPORATE")</f>
        <v>CORPORATE</v>
      </c>
      <c r="F89" s="11" t="str">
        <f>IFERROR(__xludf.DUMMYFUNCTION("""COMPUTED_VALUE"""),"Category Page")</f>
        <v>Category Page</v>
      </c>
      <c r="G89" s="11" t="b">
        <f>IFERROR(__xludf.DUMMYFUNCTION("""COMPUTED_VALUE"""),FALSE)</f>
        <v>0</v>
      </c>
      <c r="H89" s="11" t="str">
        <f>IFERROR(__xludf.DUMMYFUNCTION("""COMPUTED_VALUE"""),"LYFE Marketing, Elit-Web, Silverback Strategies, WebFX")</f>
        <v>LYFE Marketing, Elit-Web, Silverback Strategies, WebFX</v>
      </c>
      <c r="I89" s="11">
        <f>IFERROR(__xludf.DUMMYFUNCTION("""COMPUTED_VALUE"""),3.0)</f>
        <v>3</v>
      </c>
      <c r="J89" s="11">
        <f>IFERROR(__xludf.DUMMYFUNCTION("""COMPUTED_VALUE"""),0.0)</f>
        <v>0</v>
      </c>
      <c r="K89" s="11">
        <f>IFERROR(__xludf.DUMMYFUNCTION("""COMPUTED_VALUE"""),0.0)</f>
        <v>0</v>
      </c>
    </row>
    <row r="90" ht="15.75" customHeight="1">
      <c r="A90" s="10" t="str">
        <f>IFERROR(__xludf.DUMMYFUNCTION("""COMPUTED_VALUE"""),"https://agencies.semrush.com/list/display-advertising/ecommerce/united-states/")</f>
        <v>https://agencies.semrush.com/list/display-advertising/ecommerce/united-states/</v>
      </c>
      <c r="B90" s="11" t="str">
        <f>IFERROR(__xludf.DUMMYFUNCTION("""COMPUTED_VALUE"""),"Best Ecommerce Display Ads Agencies in United States 2026 | Semrush")</f>
        <v>Best Ecommerce Display Ads Agencies in United States 2026 | Semrush</v>
      </c>
      <c r="C90" s="10" t="str">
        <f>IFERROR(__xludf.DUMMYFUNCTION("""COMPUTED_VALUE"""),"semrush.com")</f>
        <v>semrush.com</v>
      </c>
      <c r="D90" s="11" t="str">
        <f>IFERROR(__xludf.DUMMYFUNCTION("""COMPUTED_VALUE"""),"CATEGORY_PAGE")</f>
        <v>CATEGORY_PAGE</v>
      </c>
      <c r="E90" s="11" t="str">
        <f>IFERROR(__xludf.DUMMYFUNCTION("""COMPUTED_VALUE"""),"CORPORATE")</f>
        <v>CORPORATE</v>
      </c>
      <c r="F90" s="11" t="str">
        <f>IFERROR(__xludf.DUMMYFUNCTION("""COMPUTED_VALUE"""),"Category Page")</f>
        <v>Category Page</v>
      </c>
      <c r="G90" s="11" t="b">
        <f>IFERROR(__xludf.DUMMYFUNCTION("""COMPUTED_VALUE"""),FALSE)</f>
        <v>0</v>
      </c>
      <c r="H90" s="11" t="str">
        <f>IFERROR(__xludf.DUMMYFUNCTION("""COMPUTED_VALUE"""),"SmartSites, Elit-Web, Brighter Click, Silverback Strategies")</f>
        <v>SmartSites, Elit-Web, Brighter Click, Silverback Strategies</v>
      </c>
      <c r="I90" s="11">
        <f>IFERROR(__xludf.DUMMYFUNCTION("""COMPUTED_VALUE"""),3.0)</f>
        <v>3</v>
      </c>
      <c r="J90" s="11">
        <f>IFERROR(__xludf.DUMMYFUNCTION("""COMPUTED_VALUE"""),0.0)</f>
        <v>0</v>
      </c>
      <c r="K90" s="11">
        <f>IFERROR(__xludf.DUMMYFUNCTION("""COMPUTED_VALUE"""),0.0)</f>
        <v>0</v>
      </c>
    </row>
    <row r="91" ht="15.75" customHeight="1">
      <c r="A91" s="10" t="str">
        <f>IFERROR(__xludf.DUMMYFUNCTION("""COMPUTED_VALUE"""),"https://clutch.co/agencies/ppc/display/indiana")</f>
        <v>https://clutch.co/agencies/ppc/display/indiana</v>
      </c>
      <c r="B91" s="11" t="str">
        <f>IFERROR(__xludf.DUMMYFUNCTION("""COMPUTED_VALUE"""),"Top Display Advertising Agencies in the United States - Jul 2026 Rankings \| Clutch.co")</f>
        <v>Top Display Advertising Agencies in the United States - Jul 2026 Rankings \| Clutch.co</v>
      </c>
      <c r="C91" s="10" t="str">
        <f>IFERROR(__xludf.DUMMYFUNCTION("""COMPUTED_VALUE"""),"clutch.co")</f>
        <v>clutch.co</v>
      </c>
      <c r="D91" s="11" t="str">
        <f>IFERROR(__xludf.DUMMYFUNCTION("""COMPUTED_VALUE"""),"CATEGORY_PAGE")</f>
        <v>CATEGORY_PAGE</v>
      </c>
      <c r="E91" s="11" t="str">
        <f>IFERROR(__xludf.DUMMYFUNCTION("""COMPUTED_VALUE"""),"COMPETITOR")</f>
        <v>COMPETITOR</v>
      </c>
      <c r="F91" s="11" t="str">
        <f>IFERROR(__xludf.DUMMYFUNCTION("""COMPUTED_VALUE"""),"Category Page")</f>
        <v>Category Page</v>
      </c>
      <c r="G91" s="11" t="b">
        <f>IFERROR(__xludf.DUMMYFUNCTION("""COMPUTED_VALUE"""),FALSE)</f>
        <v>0</v>
      </c>
      <c r="H91" s="11" t="str">
        <f>IFERROR(__xludf.DUMMYFUNCTION("""COMPUTED_VALUE"""),"Clutch, Elit-Web, AdVenture Media, Storm Brain, Huge")</f>
        <v>Clutch, Elit-Web, AdVenture Media, Storm Brain, Huge</v>
      </c>
      <c r="I91" s="11">
        <f>IFERROR(__xludf.DUMMYFUNCTION("""COMPUTED_VALUE"""),3.0)</f>
        <v>3</v>
      </c>
      <c r="J91" s="11">
        <f>IFERROR(__xludf.DUMMYFUNCTION("""COMPUTED_VALUE"""),0.0)</f>
        <v>0</v>
      </c>
      <c r="K91" s="11">
        <f>IFERROR(__xludf.DUMMYFUNCTION("""COMPUTED_VALUE"""),0.0)</f>
        <v>0</v>
      </c>
    </row>
    <row r="92" ht="15.75" customHeight="1">
      <c r="A92" s="10" t="str">
        <f>IFERROR(__xludf.DUMMYFUNCTION("""COMPUTED_VALUE"""),"https://clutch.co/agencies/ppc?geona_id=47171&amp;page=1")</f>
        <v>https://clutch.co/agencies/ppc?geona_id=47171&amp;page=1</v>
      </c>
      <c r="B92" s="11" t="str">
        <f>IFERROR(__xludf.DUMMYFUNCTION("""COMPUTED_VALUE"""),"Page 2 - Top PPC Agencies - Jul 2026 Rankings \| Clutch.co")</f>
        <v>Page 2 - Top PPC Agencies - Jul 2026 Rankings \| Clutch.co</v>
      </c>
      <c r="C92" s="10" t="str">
        <f>IFERROR(__xludf.DUMMYFUNCTION("""COMPUTED_VALUE"""),"clutch.co")</f>
        <v>clutch.co</v>
      </c>
      <c r="D92" s="11" t="str">
        <f>IFERROR(__xludf.DUMMYFUNCTION("""COMPUTED_VALUE"""),"CATEGORY_PAGE")</f>
        <v>CATEGORY_PAGE</v>
      </c>
      <c r="E92" s="11" t="str">
        <f>IFERROR(__xludf.DUMMYFUNCTION("""COMPUTED_VALUE"""),"COMPETITOR")</f>
        <v>COMPETITOR</v>
      </c>
      <c r="F92" s="11" t="str">
        <f>IFERROR(__xludf.DUMMYFUNCTION("""COMPUTED_VALUE"""),"Category Page")</f>
        <v>Category Page</v>
      </c>
      <c r="G92" s="11" t="b">
        <f>IFERROR(__xludf.DUMMYFUNCTION("""COMPUTED_VALUE"""),FALSE)</f>
        <v>0</v>
      </c>
      <c r="H92" s="11" t="str">
        <f>IFERROR(__xludf.DUMMYFUNCTION("""COMPUTED_VALUE"""),"Clutch, Disruptive Advertising, AdVenture Media, KlientBoost, Single Grain, SmartSites, HawkSEM, NinjaPromo, Intero Digital, Elit-Web")</f>
        <v>Clutch, Disruptive Advertising, AdVenture Media, KlientBoost, Single Grain, SmartSites, HawkSEM, NinjaPromo, Intero Digital, Elit-Web</v>
      </c>
      <c r="I92" s="11">
        <f>IFERROR(__xludf.DUMMYFUNCTION("""COMPUTED_VALUE"""),3.0)</f>
        <v>3</v>
      </c>
      <c r="J92" s="11">
        <f>IFERROR(__xludf.DUMMYFUNCTION("""COMPUTED_VALUE"""),0.0)</f>
        <v>0</v>
      </c>
      <c r="K92" s="11">
        <f>IFERROR(__xludf.DUMMYFUNCTION("""COMPUTED_VALUE"""),0.67)</f>
        <v>0.67</v>
      </c>
    </row>
    <row r="93" ht="15.75" customHeight="1">
      <c r="A93" s="10" t="str">
        <f>IFERROR(__xludf.DUMMYFUNCTION("""COMPUTED_VALUE"""),"https://clutch.co/us/agencies/branding/corporate")</f>
        <v>https://clutch.co/us/agencies/branding/corporate</v>
      </c>
      <c r="B93" s="11" t="str">
        <f>IFERROR(__xludf.DUMMYFUNCTION("""COMPUTED_VALUE"""),"Top Corporate Branding Agencies in the United States - Jul 2026 Rankings \| Clutch.co")</f>
        <v>Top Corporate Branding Agencies in the United States - Jul 2026 Rankings \| Clutch.co</v>
      </c>
      <c r="C93" s="10" t="str">
        <f>IFERROR(__xludf.DUMMYFUNCTION("""COMPUTED_VALUE"""),"clutch.co")</f>
        <v>clutch.co</v>
      </c>
      <c r="D93" s="11" t="str">
        <f>IFERROR(__xludf.DUMMYFUNCTION("""COMPUTED_VALUE"""),"CATEGORY_PAGE")</f>
        <v>CATEGORY_PAGE</v>
      </c>
      <c r="E93" s="11" t="str">
        <f>IFERROR(__xludf.DUMMYFUNCTION("""COMPUTED_VALUE"""),"COMPETITOR")</f>
        <v>COMPETITOR</v>
      </c>
      <c r="F93" s="11" t="str">
        <f>IFERROR(__xludf.DUMMYFUNCTION("""COMPUTED_VALUE"""),"Category Page")</f>
        <v>Category Page</v>
      </c>
      <c r="G93" s="11" t="b">
        <f>IFERROR(__xludf.DUMMYFUNCTION("""COMPUTED_VALUE"""),FALSE)</f>
        <v>0</v>
      </c>
      <c r="H93" s="11" t="str">
        <f>IFERROR(__xludf.DUMMYFUNCTION("""COMPUTED_VALUE"""),"Clutch, Momentum, Clay")</f>
        <v>Clutch, Momentum, Clay</v>
      </c>
      <c r="I93" s="11">
        <f>IFERROR(__xludf.DUMMYFUNCTION("""COMPUTED_VALUE"""),3.0)</f>
        <v>3</v>
      </c>
      <c r="J93" s="11">
        <f>IFERROR(__xludf.DUMMYFUNCTION("""COMPUTED_VALUE"""),0.0)</f>
        <v>0</v>
      </c>
      <c r="K93" s="11">
        <f>IFERROR(__xludf.DUMMYFUNCTION("""COMPUTED_VALUE"""),0.0)</f>
        <v>0</v>
      </c>
    </row>
    <row r="94" ht="15.75" customHeight="1">
      <c r="A94" s="10" t="str">
        <f>IFERROR(__xludf.DUMMYFUNCTION("""COMPUTED_VALUE"""),"https://clutch.co/us/agencies/ppc/display?page=6")</f>
        <v>https://clutch.co/us/agencies/ppc/display?page=6</v>
      </c>
      <c r="B94" s="11" t="str">
        <f>IFERROR(__xludf.DUMMYFUNCTION("""COMPUTED_VALUE"""),"Page 6 - Top Display Advertising Agencies in the United States - Jul 2026 Rankings | Clutch.co")</f>
        <v>Page 6 - Top Display Advertising Agencies in the United States - Jul 2026 Rankings | Clutch.co</v>
      </c>
      <c r="C94" s="10" t="str">
        <f>IFERROR(__xludf.DUMMYFUNCTION("""COMPUTED_VALUE"""),"clutch.co")</f>
        <v>clutch.co</v>
      </c>
      <c r="D94" s="11" t="str">
        <f>IFERROR(__xludf.DUMMYFUNCTION("""COMPUTED_VALUE"""),"CATEGORY_PAGE")</f>
        <v>CATEGORY_PAGE</v>
      </c>
      <c r="E94" s="11" t="str">
        <f>IFERROR(__xludf.DUMMYFUNCTION("""COMPUTED_VALUE"""),"COMPETITOR")</f>
        <v>COMPETITOR</v>
      </c>
      <c r="F94" s="11" t="str">
        <f>IFERROR(__xludf.DUMMYFUNCTION("""COMPUTED_VALUE"""),"Category Page")</f>
        <v>Category Page</v>
      </c>
      <c r="G94" s="11" t="b">
        <f>IFERROR(__xludf.DUMMYFUNCTION("""COMPUTED_VALUE"""),FALSE)</f>
        <v>0</v>
      </c>
      <c r="H94" s="11" t="str">
        <f>IFERROR(__xludf.DUMMYFUNCTION("""COMPUTED_VALUE"""),"Clutch, Elit-Web, AdVenture Media, Go Fish Digital, Storm Brain, NoGood, Tinuiti")</f>
        <v>Clutch, Elit-Web, AdVenture Media, Go Fish Digital, Storm Brain, NoGood, Tinuiti</v>
      </c>
      <c r="I94" s="11">
        <f>IFERROR(__xludf.DUMMYFUNCTION("""COMPUTED_VALUE"""),3.0)</f>
        <v>3</v>
      </c>
      <c r="J94" s="11">
        <f>IFERROR(__xludf.DUMMYFUNCTION("""COMPUTED_VALUE"""),0.0)</f>
        <v>0</v>
      </c>
      <c r="K94" s="11">
        <f>IFERROR(__xludf.DUMMYFUNCTION("""COMPUTED_VALUE"""),0.0)</f>
        <v>0</v>
      </c>
    </row>
    <row r="95" ht="15.75" customHeight="1">
      <c r="A95" s="10" t="str">
        <f>IFERROR(__xludf.DUMMYFUNCTION("""COMPUTED_VALUE"""),"https://enterprisemarketingportal.google/work-with-partners")</f>
        <v>https://enterprisemarketingportal.google/work-with-partners</v>
      </c>
      <c r="B95" s="11" t="str">
        <f>IFERROR(__xludf.DUMMYFUNCTION("""COMPUTED_VALUE"""),"Work with Partners")</f>
        <v>Work with Partners</v>
      </c>
      <c r="C95" s="11" t="str">
        <f>IFERROR(__xludf.DUMMYFUNCTION("""COMPUTED_VALUE"""),"enterprisemarketingportal.google")</f>
        <v>enterprisemarketingportal.google</v>
      </c>
      <c r="D95" s="11" t="str">
        <f>IFERROR(__xludf.DUMMYFUNCTION("""COMPUTED_VALUE"""),"CATEGORY_PAGE")</f>
        <v>CATEGORY_PAGE</v>
      </c>
      <c r="E95" s="11" t="str">
        <f>IFERROR(__xludf.DUMMYFUNCTION("""COMPUTED_VALUE"""),"CORPORATE")</f>
        <v>CORPORATE</v>
      </c>
      <c r="F95" s="11" t="str">
        <f>IFERROR(__xludf.DUMMYFUNCTION("""COMPUTED_VALUE"""),"Category Page")</f>
        <v>Category Page</v>
      </c>
      <c r="G95" s="11" t="b">
        <f>IFERROR(__xludf.DUMMYFUNCTION("""COMPUTED_VALUE"""),FALSE)</f>
        <v>0</v>
      </c>
      <c r="H95" s="11"/>
      <c r="I95" s="11">
        <f>IFERROR(__xludf.DUMMYFUNCTION("""COMPUTED_VALUE"""),3.0)</f>
        <v>3</v>
      </c>
      <c r="J95" s="11">
        <f>IFERROR(__xludf.DUMMYFUNCTION("""COMPUTED_VALUE"""),0.0)</f>
        <v>0</v>
      </c>
      <c r="K95" s="11">
        <f>IFERROR(__xludf.DUMMYFUNCTION("""COMPUTED_VALUE"""),0.67)</f>
        <v>0.67</v>
      </c>
    </row>
    <row r="96" ht="15.75" customHeight="1">
      <c r="A96" s="10" t="str">
        <f>IFERROR(__xludf.DUMMYFUNCTION("""COMPUTED_VALUE"""),"https://www.incremental.com/solutions")</f>
        <v>https://www.incremental.com/solutions</v>
      </c>
      <c r="B96" s="11" t="str">
        <f>IFERROR(__xludf.DUMMYFUNCTION("""COMPUTED_VALUE"""),"Retail Media Incrementality Measurement &amp;amp; Optimization | Incremental — Incremental")</f>
        <v>Retail Media Incrementality Measurement &amp;amp; Optimization | Incremental — Incremental</v>
      </c>
      <c r="C96" s="10" t="str">
        <f>IFERROR(__xludf.DUMMYFUNCTION("""COMPUTED_VALUE"""),"incremental.com")</f>
        <v>incremental.com</v>
      </c>
      <c r="D96" s="11" t="str">
        <f>IFERROR(__xludf.DUMMYFUNCTION("""COMPUTED_VALUE"""),"CATEGORY_PAGE")</f>
        <v>CATEGORY_PAGE</v>
      </c>
      <c r="E96" s="11" t="str">
        <f>IFERROR(__xludf.DUMMYFUNCTION("""COMPUTED_VALUE"""),"CORPORATE")</f>
        <v>CORPORATE</v>
      </c>
      <c r="F96" s="11" t="str">
        <f>IFERROR(__xludf.DUMMYFUNCTION("""COMPUTED_VALUE"""),"Category Page")</f>
        <v>Category Page</v>
      </c>
      <c r="G96" s="11" t="b">
        <f>IFERROR(__xludf.DUMMYFUNCTION("""COMPUTED_VALUE"""),FALSE)</f>
        <v>0</v>
      </c>
      <c r="H96" s="11" t="str">
        <f>IFERROR(__xludf.DUMMYFUNCTION("""COMPUTED_VALUE"""),"WPP")</f>
        <v>WPP</v>
      </c>
      <c r="I96" s="11">
        <f>IFERROR(__xludf.DUMMYFUNCTION("""COMPUTED_VALUE"""),3.0)</f>
        <v>3</v>
      </c>
      <c r="J96" s="11">
        <f>IFERROR(__xludf.DUMMYFUNCTION("""COMPUTED_VALUE"""),0.0)</f>
        <v>0</v>
      </c>
      <c r="K96" s="11">
        <f>IFERROR(__xludf.DUMMYFUNCTION("""COMPUTED_VALUE"""),0.0)</f>
        <v>0</v>
      </c>
    </row>
    <row r="97" ht="15.75" customHeight="1">
      <c r="A97" s="10" t="str">
        <f>IFERROR(__xludf.DUMMYFUNCTION("""COMPUTED_VALUE"""),"https://www.sortlist.com/marketing-analytics")</f>
        <v>https://www.sortlist.com/marketing-analytics</v>
      </c>
      <c r="B97" s="11" t="str">
        <f>IFERROR(__xludf.DUMMYFUNCTION("""COMPUTED_VALUE"""),"The 100 Best Marketing Analytics Companies - 2026 Reviews")</f>
        <v>The 100 Best Marketing Analytics Companies - 2026 Reviews</v>
      </c>
      <c r="C97" s="10" t="str">
        <f>IFERROR(__xludf.DUMMYFUNCTION("""COMPUTED_VALUE"""),"sortlist.com")</f>
        <v>sortlist.com</v>
      </c>
      <c r="D97" s="11" t="str">
        <f>IFERROR(__xludf.DUMMYFUNCTION("""COMPUTED_VALUE"""),"CATEGORY_PAGE")</f>
        <v>CATEGORY_PAGE</v>
      </c>
      <c r="E97" s="11" t="str">
        <f>IFERROR(__xludf.DUMMYFUNCTION("""COMPUTED_VALUE"""),"CORPORATE")</f>
        <v>CORPORATE</v>
      </c>
      <c r="F97" s="11" t="str">
        <f>IFERROR(__xludf.DUMMYFUNCTION("""COMPUTED_VALUE"""),"Category Page")</f>
        <v>Category Page</v>
      </c>
      <c r="G97" s="11" t="b">
        <f>IFERROR(__xludf.DUMMYFUNCTION("""COMPUTED_VALUE"""),FALSE)</f>
        <v>0</v>
      </c>
      <c r="H97" s="11" t="str">
        <f>IFERROR(__xludf.DUMMYFUNCTION("""COMPUTED_VALUE"""),"NinjaPromo")</f>
        <v>NinjaPromo</v>
      </c>
      <c r="I97" s="11">
        <f>IFERROR(__xludf.DUMMYFUNCTION("""COMPUTED_VALUE"""),3.0)</f>
        <v>3</v>
      </c>
      <c r="J97" s="11">
        <f>IFERROR(__xludf.DUMMYFUNCTION("""COMPUTED_VALUE"""),0.0)</f>
        <v>0</v>
      </c>
      <c r="K97" s="11">
        <f>IFERROR(__xludf.DUMMYFUNCTION("""COMPUTED_VALUE"""),0.0)</f>
        <v>0</v>
      </c>
    </row>
    <row r="98" ht="15.75" customHeight="1">
      <c r="A98" s="10" t="str">
        <f>IFERROR(__xludf.DUMMYFUNCTION("""COMPUTED_VALUE"""),"https://zyppy.com/companies/c/generative-ai-seo/united-states/")</f>
        <v>https://zyppy.com/companies/c/generative-ai-seo/united-states/</v>
      </c>
      <c r="B98" s="11" t="str">
        <f>IFERROR(__xludf.DUMMYFUNCTION("""COMPUTED_VALUE"""),"Top Generative AI Search Companies in the United States - July 2026")</f>
        <v>Top Generative AI Search Companies in the United States - July 2026</v>
      </c>
      <c r="C98" s="10" t="str">
        <f>IFERROR(__xludf.DUMMYFUNCTION("""COMPUTED_VALUE"""),"zyppy.com")</f>
        <v>zyppy.com</v>
      </c>
      <c r="D98" s="11" t="str">
        <f>IFERROR(__xludf.DUMMYFUNCTION("""COMPUTED_VALUE"""),"CATEGORY_PAGE")</f>
        <v>CATEGORY_PAGE</v>
      </c>
      <c r="E98" s="11" t="str">
        <f>IFERROR(__xludf.DUMMYFUNCTION("""COMPUTED_VALUE"""),"CORPORATE")</f>
        <v>CORPORATE</v>
      </c>
      <c r="F98" s="11" t="str">
        <f>IFERROR(__xludf.DUMMYFUNCTION("""COMPUTED_VALUE"""),"Category Page")</f>
        <v>Category Page</v>
      </c>
      <c r="G98" s="11" t="b">
        <f>IFERROR(__xludf.DUMMYFUNCTION("""COMPUTED_VALUE"""),FALSE)</f>
        <v>0</v>
      </c>
      <c r="H98" s="11" t="str">
        <f>IFERROR(__xludf.DUMMYFUNCTION("""COMPUTED_VALUE"""),"Seer Interactive, Go Fish Digital, RevenueZen, Clutch")</f>
        <v>Seer Interactive, Go Fish Digital, RevenueZen, Clutch</v>
      </c>
      <c r="I98" s="11">
        <f>IFERROR(__xludf.DUMMYFUNCTION("""COMPUTED_VALUE"""),3.0)</f>
        <v>3</v>
      </c>
      <c r="J98" s="11">
        <f>IFERROR(__xludf.DUMMYFUNCTION("""COMPUTED_VALUE"""),0.0)</f>
        <v>0</v>
      </c>
      <c r="K98" s="11">
        <f>IFERROR(__xludf.DUMMYFUNCTION("""COMPUTED_VALUE"""),0.0)</f>
        <v>0</v>
      </c>
    </row>
    <row r="99" ht="15.75" customHeight="1">
      <c r="A99" s="10" t="str">
        <f>IFERROR(__xludf.DUMMYFUNCTION("""COMPUTED_VALUE"""),"https://www.50pros.com/hire/digital-marketing/marketing-analytics")</f>
        <v>https://www.50pros.com/hire/digital-marketing/marketing-analytics</v>
      </c>
      <c r="B99" s="11" t="str">
        <f>IFERROR(__xludf.DUMMYFUNCTION("""COMPUTED_VALUE"""),"Top Marketing Analytics Agencies to Hire in June 2026")</f>
        <v>Top Marketing Analytics Agencies to Hire in June 2026</v>
      </c>
      <c r="C99" s="10" t="str">
        <f>IFERROR(__xludf.DUMMYFUNCTION("""COMPUTED_VALUE"""),"50pros.com")</f>
        <v>50pros.com</v>
      </c>
      <c r="D99" s="11" t="str">
        <f>IFERROR(__xludf.DUMMYFUNCTION("""COMPUTED_VALUE"""),"CATEGORY_PAGE")</f>
        <v>CATEGORY_PAGE</v>
      </c>
      <c r="E99" s="11" t="str">
        <f>IFERROR(__xludf.DUMMYFUNCTION("""COMPUTED_VALUE"""),"REFERENCE")</f>
        <v>REFERENCE</v>
      </c>
      <c r="F99" s="11" t="str">
        <f>IFERROR(__xludf.DUMMYFUNCTION("""COMPUTED_VALUE"""),"Category Page")</f>
        <v>Category Page</v>
      </c>
      <c r="G99" s="11" t="b">
        <f>IFERROR(__xludf.DUMMYFUNCTION("""COMPUTED_VALUE"""),FALSE)</f>
        <v>0</v>
      </c>
      <c r="H99" s="11" t="str">
        <f>IFERROR(__xludf.DUMMYFUNCTION("""COMPUTED_VALUE"""),"The SEO Works, Huge")</f>
        <v>The SEO Works, Huge</v>
      </c>
      <c r="I99" s="11">
        <f>IFERROR(__xludf.DUMMYFUNCTION("""COMPUTED_VALUE"""),2.0)</f>
        <v>2</v>
      </c>
      <c r="J99" s="11">
        <f>IFERROR(__xludf.DUMMYFUNCTION("""COMPUTED_VALUE"""),0.0)</f>
        <v>0</v>
      </c>
      <c r="K99" s="11">
        <f>IFERROR(__xludf.DUMMYFUNCTION("""COMPUTED_VALUE"""),0.0)</f>
        <v>0</v>
      </c>
    </row>
    <row r="100" ht="15.75" customHeight="1">
      <c r="A100" s="10" t="str">
        <f>IFERROR(__xludf.DUMMYFUNCTION("""COMPUTED_VALUE"""),"https://agencies.semrush.com/list/display-advertising/united-states/small-business/")</f>
        <v>https://agencies.semrush.com/list/display-advertising/united-states/small-business/</v>
      </c>
      <c r="B100" s="11" t="str">
        <f>IFERROR(__xludf.DUMMYFUNCTION("""COMPUTED_VALUE"""),"Best Display Ads Agencies for Small Business in United States 2026 | Semrush")</f>
        <v>Best Display Ads Agencies for Small Business in United States 2026 | Semrush</v>
      </c>
      <c r="C100" s="10" t="str">
        <f>IFERROR(__xludf.DUMMYFUNCTION("""COMPUTED_VALUE"""),"semrush.com")</f>
        <v>semrush.com</v>
      </c>
      <c r="D100" s="11" t="str">
        <f>IFERROR(__xludf.DUMMYFUNCTION("""COMPUTED_VALUE"""),"CATEGORY_PAGE")</f>
        <v>CATEGORY_PAGE</v>
      </c>
      <c r="E100" s="11" t="str">
        <f>IFERROR(__xludf.DUMMYFUNCTION("""COMPUTED_VALUE"""),"CORPORATE")</f>
        <v>CORPORATE</v>
      </c>
      <c r="F100" s="11" t="str">
        <f>IFERROR(__xludf.DUMMYFUNCTION("""COMPUTED_VALUE"""),"Category Page")</f>
        <v>Category Page</v>
      </c>
      <c r="G100" s="11" t="b">
        <f>IFERROR(__xludf.DUMMYFUNCTION("""COMPUTED_VALUE"""),FALSE)</f>
        <v>0</v>
      </c>
      <c r="H100" s="11" t="str">
        <f>IFERROR(__xludf.DUMMYFUNCTION("""COMPUTED_VALUE"""),"SmartSites, LYFE Marketing, Elit-Web")</f>
        <v>SmartSites, LYFE Marketing, Elit-Web</v>
      </c>
      <c r="I100" s="11">
        <f>IFERROR(__xludf.DUMMYFUNCTION("""COMPUTED_VALUE"""),2.0)</f>
        <v>2</v>
      </c>
      <c r="J100" s="11">
        <f>IFERROR(__xludf.DUMMYFUNCTION("""COMPUTED_VALUE"""),0.0)</f>
        <v>0</v>
      </c>
      <c r="K100" s="11">
        <f>IFERROR(__xludf.DUMMYFUNCTION("""COMPUTED_VALUE"""),0.0)</f>
        <v>0</v>
      </c>
    </row>
    <row r="101" ht="15.75" customHeight="1">
      <c r="A101" s="10" t="str">
        <f>IFERROR(__xludf.DUMMYFUNCTION("""COMPUTED_VALUE"""),"https://agencies.semrush.com/list/programmatic-advertising/information-technology/united-states/")</f>
        <v>https://agencies.semrush.com/list/programmatic-advertising/information-technology/united-states/</v>
      </c>
      <c r="B101" s="11" t="str">
        <f>IFERROR(__xludf.DUMMYFUNCTION("""COMPUTED_VALUE"""),"Best IT Programmatic Advertising Agencies in United States 2026 | Semrush")</f>
        <v>Best IT Programmatic Advertising Agencies in United States 2026 | Semrush</v>
      </c>
      <c r="C101" s="10" t="str">
        <f>IFERROR(__xludf.DUMMYFUNCTION("""COMPUTED_VALUE"""),"semrush.com")</f>
        <v>semrush.com</v>
      </c>
      <c r="D101" s="11" t="str">
        <f>IFERROR(__xludf.DUMMYFUNCTION("""COMPUTED_VALUE"""),"CATEGORY_PAGE")</f>
        <v>CATEGORY_PAGE</v>
      </c>
      <c r="E101" s="11" t="str">
        <f>IFERROR(__xludf.DUMMYFUNCTION("""COMPUTED_VALUE"""),"CORPORATE")</f>
        <v>CORPORATE</v>
      </c>
      <c r="F101" s="11" t="str">
        <f>IFERROR(__xludf.DUMMYFUNCTION("""COMPUTED_VALUE"""),"Category Page")</f>
        <v>Category Page</v>
      </c>
      <c r="G101" s="11" t="b">
        <f>IFERROR(__xludf.DUMMYFUNCTION("""COMPUTED_VALUE"""),FALSE)</f>
        <v>0</v>
      </c>
      <c r="H101" s="11" t="str">
        <f>IFERROR(__xludf.DUMMYFUNCTION("""COMPUTED_VALUE"""),"SmartSites, Elit-Web, Silverback Strategies, WebFX, Measured, Funnel Boost Media")</f>
        <v>SmartSites, Elit-Web, Silverback Strategies, WebFX, Measured, Funnel Boost Media</v>
      </c>
      <c r="I101" s="11">
        <f>IFERROR(__xludf.DUMMYFUNCTION("""COMPUTED_VALUE"""),2.0)</f>
        <v>2</v>
      </c>
      <c r="J101" s="11">
        <f>IFERROR(__xludf.DUMMYFUNCTION("""COMPUTED_VALUE"""),0.0)</f>
        <v>0</v>
      </c>
      <c r="K101" s="11">
        <f>IFERROR(__xludf.DUMMYFUNCTION("""COMPUTED_VALUE"""),0.0)</f>
        <v>0</v>
      </c>
    </row>
    <row r="102" ht="15.75" customHeight="1">
      <c r="A102" s="10" t="str">
        <f>IFERROR(__xludf.DUMMYFUNCTION("""COMPUTED_VALUE"""),"https://clutch.co/agencies/sem?geona_id=25338&amp;page=1")</f>
        <v>https://clutch.co/agencies/sem?geona_id=25338&amp;page=1</v>
      </c>
      <c r="B102" s="11" t="str">
        <f>IFERROR(__xludf.DUMMYFUNCTION("""COMPUTED_VALUE"""),"Page 2 - Best Search Engine Marketing Agencies - Jul 2026 Rankings \| Clutch.co")</f>
        <v>Page 2 - Best Search Engine Marketing Agencies - Jul 2026 Rankings \| Clutch.co</v>
      </c>
      <c r="C102" s="10" t="str">
        <f>IFERROR(__xludf.DUMMYFUNCTION("""COMPUTED_VALUE"""),"clutch.co")</f>
        <v>clutch.co</v>
      </c>
      <c r="D102" s="11" t="str">
        <f>IFERROR(__xludf.DUMMYFUNCTION("""COMPUTED_VALUE"""),"CATEGORY_PAGE")</f>
        <v>CATEGORY_PAGE</v>
      </c>
      <c r="E102" s="11" t="str">
        <f>IFERROR(__xludf.DUMMYFUNCTION("""COMPUTED_VALUE"""),"COMPETITOR")</f>
        <v>COMPETITOR</v>
      </c>
      <c r="F102" s="11" t="str">
        <f>IFERROR(__xludf.DUMMYFUNCTION("""COMPUTED_VALUE"""),"Category Page")</f>
        <v>Category Page</v>
      </c>
      <c r="G102" s="11" t="b">
        <f>IFERROR(__xludf.DUMMYFUNCTION("""COMPUTED_VALUE"""),FALSE)</f>
        <v>0</v>
      </c>
      <c r="H102" s="11" t="str">
        <f>IFERROR(__xludf.DUMMYFUNCTION("""COMPUTED_VALUE"""),"Clutch, Searchbloom, SmartSites, KlientBoost, Silverback Strategies, HawkSEM, NinjaPromo, Intero Digital, Ignite Visibility, DEPT, Elit-Web, Funnel Boost Media")</f>
        <v>Clutch, Searchbloom, SmartSites, KlientBoost, Silverback Strategies, HawkSEM, NinjaPromo, Intero Digital, Ignite Visibility, DEPT, Elit-Web, Funnel Boost Media</v>
      </c>
      <c r="I102" s="11">
        <f>IFERROR(__xludf.DUMMYFUNCTION("""COMPUTED_VALUE"""),2.0)</f>
        <v>2</v>
      </c>
      <c r="J102" s="11">
        <f>IFERROR(__xludf.DUMMYFUNCTION("""COMPUTED_VALUE"""),0.0)</f>
        <v>0</v>
      </c>
      <c r="K102" s="11">
        <f>IFERROR(__xludf.DUMMYFUNCTION("""COMPUTED_VALUE"""),0.0)</f>
        <v>0</v>
      </c>
    </row>
    <row r="103" ht="15.75" customHeight="1">
      <c r="A103" s="10" t="str">
        <f>IFERROR(__xludf.DUMMYFUNCTION("""COMPUTED_VALUE"""),"https://clutch.co/us/agencies/digital")</f>
        <v>https://clutch.co/us/agencies/digital</v>
      </c>
      <c r="B103" s="11" t="str">
        <f>IFERROR(__xludf.DUMMYFUNCTION("""COMPUTED_VALUE"""),"Top Full-Service Digital Agencies in the United States - Jul 2026 Rankings | Clutch.co")</f>
        <v>Top Full-Service Digital Agencies in the United States - Jul 2026 Rankings | Clutch.co</v>
      </c>
      <c r="C103" s="10" t="str">
        <f>IFERROR(__xludf.DUMMYFUNCTION("""COMPUTED_VALUE"""),"clutch.co")</f>
        <v>clutch.co</v>
      </c>
      <c r="D103" s="11" t="str">
        <f>IFERROR(__xludf.DUMMYFUNCTION("""COMPUTED_VALUE"""),"CATEGORY_PAGE")</f>
        <v>CATEGORY_PAGE</v>
      </c>
      <c r="E103" s="11" t="str">
        <f>IFERROR(__xludf.DUMMYFUNCTION("""COMPUTED_VALUE"""),"COMPETITOR")</f>
        <v>COMPETITOR</v>
      </c>
      <c r="F103" s="11" t="str">
        <f>IFERROR(__xludf.DUMMYFUNCTION("""COMPUTED_VALUE"""),"Category Page")</f>
        <v>Category Page</v>
      </c>
      <c r="G103" s="11" t="b">
        <f>IFERROR(__xludf.DUMMYFUNCTION("""COMPUTED_VALUE"""),FALSE)</f>
        <v>0</v>
      </c>
      <c r="H103" s="11" t="str">
        <f>IFERROR(__xludf.DUMMYFUNCTION("""COMPUTED_VALUE"""),"Clutch, Ignite Visibility, Storm Brain, Funnel Boost Media, Momentum")</f>
        <v>Clutch, Ignite Visibility, Storm Brain, Funnel Boost Media, Momentum</v>
      </c>
      <c r="I103" s="11">
        <f>IFERROR(__xludf.DUMMYFUNCTION("""COMPUTED_VALUE"""),2.0)</f>
        <v>2</v>
      </c>
      <c r="J103" s="11">
        <f>IFERROR(__xludf.DUMMYFUNCTION("""COMPUTED_VALUE"""),0.0)</f>
        <v>0</v>
      </c>
      <c r="K103" s="11">
        <f>IFERROR(__xludf.DUMMYFUNCTION("""COMPUTED_VALUE"""),0.0)</f>
        <v>0</v>
      </c>
    </row>
    <row r="104" ht="15.75" customHeight="1">
      <c r="A104" s="10" t="str">
        <f>IFERROR(__xludf.DUMMYFUNCTION("""COMPUTED_VALUE"""),"https://clutch.co/us/agencies/digital-marketing%3Fpage%3D2")</f>
        <v>https://clutch.co/us/agencies/digital-marketing%3Fpage%3D2</v>
      </c>
      <c r="B104" s="11" t="str">
        <f>IFERROR(__xludf.DUMMYFUNCTION("""COMPUTED_VALUE"""),"Top Digital Marketing Agencies in the United States - Jul 2026 Rankings \| Clutch.co")</f>
        <v>Top Digital Marketing Agencies in the United States - Jul 2026 Rankings \| Clutch.co</v>
      </c>
      <c r="C104" s="10" t="str">
        <f>IFERROR(__xludf.DUMMYFUNCTION("""COMPUTED_VALUE"""),"clutch.co")</f>
        <v>clutch.co</v>
      </c>
      <c r="D104" s="11" t="str">
        <f>IFERROR(__xludf.DUMMYFUNCTION("""COMPUTED_VALUE"""),"CATEGORY_PAGE")</f>
        <v>CATEGORY_PAGE</v>
      </c>
      <c r="E104" s="11" t="str">
        <f>IFERROR(__xludf.DUMMYFUNCTION("""COMPUTED_VALUE"""),"COMPETITOR")</f>
        <v>COMPETITOR</v>
      </c>
      <c r="F104" s="11" t="str">
        <f>IFERROR(__xludf.DUMMYFUNCTION("""COMPUTED_VALUE"""),"Category Page")</f>
        <v>Category Page</v>
      </c>
      <c r="G104" s="11" t="b">
        <f>IFERROR(__xludf.DUMMYFUNCTION("""COMPUTED_VALUE"""),FALSE)</f>
        <v>0</v>
      </c>
      <c r="H104" s="11"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I104" s="11">
        <f>IFERROR(__xludf.DUMMYFUNCTION("""COMPUTED_VALUE"""),2.0)</f>
        <v>2</v>
      </c>
      <c r="J104" s="11">
        <f>IFERROR(__xludf.DUMMYFUNCTION("""COMPUTED_VALUE"""),0.0)</f>
        <v>0</v>
      </c>
      <c r="K104" s="11">
        <f>IFERROR(__xludf.DUMMYFUNCTION("""COMPUTED_VALUE"""),0.0)</f>
        <v>0</v>
      </c>
    </row>
    <row r="105" ht="15.75" customHeight="1">
      <c r="A105" s="10" t="str">
        <f>IFERROR(__xludf.DUMMYFUNCTION("""COMPUTED_VALUE"""),"https://clutch.co/us/agencies/ecommerce-marketing")</f>
        <v>https://clutch.co/us/agencies/ecommerce-marketing</v>
      </c>
      <c r="B105" s="11" t="str">
        <f>IFERROR(__xludf.DUMMYFUNCTION("""COMPUTED_VALUE"""),"Top E-Commerce Marketing Agencies in the United States - Jul 2026 Rankings \| Clutch.co")</f>
        <v>Top E-Commerce Marketing Agencies in the United States - Jul 2026 Rankings \| Clutch.co</v>
      </c>
      <c r="C105" s="10" t="str">
        <f>IFERROR(__xludf.DUMMYFUNCTION("""COMPUTED_VALUE"""),"clutch.co")</f>
        <v>clutch.co</v>
      </c>
      <c r="D105" s="11" t="str">
        <f>IFERROR(__xludf.DUMMYFUNCTION("""COMPUTED_VALUE"""),"CATEGORY_PAGE")</f>
        <v>CATEGORY_PAGE</v>
      </c>
      <c r="E105" s="11" t="str">
        <f>IFERROR(__xludf.DUMMYFUNCTION("""COMPUTED_VALUE"""),"COMPETITOR")</f>
        <v>COMPETITOR</v>
      </c>
      <c r="F105" s="11" t="str">
        <f>IFERROR(__xludf.DUMMYFUNCTION("""COMPUTED_VALUE"""),"Category Page")</f>
        <v>Category Page</v>
      </c>
      <c r="G105" s="11" t="b">
        <f>IFERROR(__xludf.DUMMYFUNCTION("""COMPUTED_VALUE"""),FALSE)</f>
        <v>0</v>
      </c>
      <c r="H105" s="11" t="str">
        <f>IFERROR(__xludf.DUMMYFUNCTION("""COMPUTED_VALUE"""),"Clutch, Disruptive Advertising, Acadia, AdVenture Media, Accelerated Digital Media, Brighter Click, Huge, Momentum")</f>
        <v>Clutch, Disruptive Advertising, Acadia, AdVenture Media, Accelerated Digital Media, Brighter Click, Huge, Momentum</v>
      </c>
      <c r="I105" s="11">
        <f>IFERROR(__xludf.DUMMYFUNCTION("""COMPUTED_VALUE"""),2.0)</f>
        <v>2</v>
      </c>
      <c r="J105" s="11">
        <f>IFERROR(__xludf.DUMMYFUNCTION("""COMPUTED_VALUE"""),0.0)</f>
        <v>0</v>
      </c>
      <c r="K105" s="11">
        <f>IFERROR(__xludf.DUMMYFUNCTION("""COMPUTED_VALUE"""),0.0)</f>
        <v>0</v>
      </c>
    </row>
    <row r="106" ht="15.75" customHeight="1">
      <c r="A106" s="10" t="str">
        <f>IFERROR(__xludf.DUMMYFUNCTION("""COMPUTED_VALUE"""),"https://clutch.co/us/agencies/ppc%3Fpage%3D2")</f>
        <v>https://clutch.co/us/agencies/ppc%3Fpage%3D2</v>
      </c>
      <c r="B106" s="11" t="str">
        <f>IFERROR(__xludf.DUMMYFUNCTION("""COMPUTED_VALUE"""),"Top PPC Companies in the United States - Jul 2026 Rankings \| Clutch.co")</f>
        <v>Top PPC Companies in the United States - Jul 2026 Rankings \| Clutch.co</v>
      </c>
      <c r="C106" s="10" t="str">
        <f>IFERROR(__xludf.DUMMYFUNCTION("""COMPUTED_VALUE"""),"clutch.co")</f>
        <v>clutch.co</v>
      </c>
      <c r="D106" s="11" t="str">
        <f>IFERROR(__xludf.DUMMYFUNCTION("""COMPUTED_VALUE"""),"CATEGORY_PAGE")</f>
        <v>CATEGORY_PAGE</v>
      </c>
      <c r="E106" s="11" t="str">
        <f>IFERROR(__xludf.DUMMYFUNCTION("""COMPUTED_VALUE"""),"COMPETITOR")</f>
        <v>COMPETITOR</v>
      </c>
      <c r="F106" s="11" t="str">
        <f>IFERROR(__xludf.DUMMYFUNCTION("""COMPUTED_VALUE"""),"Category Page")</f>
        <v>Category Page</v>
      </c>
      <c r="G106" s="11" t="b">
        <f>IFERROR(__xludf.DUMMYFUNCTION("""COMPUTED_VALUE"""),FALSE)</f>
        <v>0</v>
      </c>
      <c r="H106" s="11" t="str">
        <f>IFERROR(__xludf.DUMMYFUNCTION("""COMPUTED_VALUE"""),"Clutch, KlientBoost, Disruptive Advertising, AdVenture Media, HawkSEM, SmartSites, Intero Digital, Elit-Web")</f>
        <v>Clutch, KlientBoost, Disruptive Advertising, AdVenture Media, HawkSEM, SmartSites, Intero Digital, Elit-Web</v>
      </c>
      <c r="I106" s="11">
        <f>IFERROR(__xludf.DUMMYFUNCTION("""COMPUTED_VALUE"""),2.0)</f>
        <v>2</v>
      </c>
      <c r="J106" s="11">
        <f>IFERROR(__xludf.DUMMYFUNCTION("""COMPUTED_VALUE"""),0.0)</f>
        <v>0</v>
      </c>
      <c r="K106" s="11">
        <f>IFERROR(__xludf.DUMMYFUNCTION("""COMPUTED_VALUE"""),0.0)</f>
        <v>0</v>
      </c>
    </row>
    <row r="107" ht="15.75" customHeight="1">
      <c r="A107" s="10" t="str">
        <f>IFERROR(__xludf.DUMMYFUNCTION("""COMPUTED_VALUE"""),"https://delivix.digital/seo/marketing-agencies/")</f>
        <v>https://delivix.digital/seo/marketing-agencies/</v>
      </c>
      <c r="B107" s="11" t="str">
        <f>IFERROR(__xludf.DUMMYFUNCTION("""COMPUTED_VALUE"""),"Top 10 Performance Marketing Agencies Globally | Delivix")</f>
        <v>Top 10 Performance Marketing Agencies Globally | Delivix</v>
      </c>
      <c r="C107" s="11" t="str">
        <f>IFERROR(__xludf.DUMMYFUNCTION("""COMPUTED_VALUE"""),"delivix.digital")</f>
        <v>delivix.digital</v>
      </c>
      <c r="D107" s="11" t="str">
        <f>IFERROR(__xludf.DUMMYFUNCTION("""COMPUTED_VALUE"""),"CATEGORY_PAGE")</f>
        <v>CATEGORY_PAGE</v>
      </c>
      <c r="E107" s="11" t="str">
        <f>IFERROR(__xludf.DUMMYFUNCTION("""COMPUTED_VALUE"""),"CORPORATE")</f>
        <v>CORPORATE</v>
      </c>
      <c r="F107" s="11" t="str">
        <f>IFERROR(__xludf.DUMMYFUNCTION("""COMPUTED_VALUE"""),"Category Page")</f>
        <v>Category Page</v>
      </c>
      <c r="G107" s="11" t="b">
        <f>IFERROR(__xludf.DUMMYFUNCTION("""COMPUTED_VALUE"""),FALSE)</f>
        <v>0</v>
      </c>
      <c r="H107" s="11" t="str">
        <f>IFERROR(__xludf.DUMMYFUNCTION("""COMPUTED_VALUE"""),"WPP, NoGood, WebFX, Kobe Digital, Tinuiti, Ignite Visibility, Disruptive Advertising, Right Side Up")</f>
        <v>WPP, NoGood, WebFX, Kobe Digital, Tinuiti, Ignite Visibility, Disruptive Advertising, Right Side Up</v>
      </c>
      <c r="I107" s="11">
        <f>IFERROR(__xludf.DUMMYFUNCTION("""COMPUTED_VALUE"""),2.0)</f>
        <v>2</v>
      </c>
      <c r="J107" s="11">
        <f>IFERROR(__xludf.DUMMYFUNCTION("""COMPUTED_VALUE"""),0.0)</f>
        <v>0</v>
      </c>
      <c r="K107" s="11">
        <f>IFERROR(__xludf.DUMMYFUNCTION("""COMPUTED_VALUE"""),1.0)</f>
        <v>1</v>
      </c>
    </row>
    <row r="108" ht="15.75" customHeight="1">
      <c r="A108" s="10" t="str">
        <f>IFERROR(__xludf.DUMMYFUNCTION("""COMPUTED_VALUE"""),"https://www.designrush.com/agency/digital-marketing/analytics/us?page=2")</f>
        <v>https://www.designrush.com/agency/digital-marketing/analytics/us?page=2</v>
      </c>
      <c r="B108" s="11" t="str">
        <f>IFERROR(__xludf.DUMMYFUNCTION("""COMPUTED_VALUE"""),"Top United States Marketing Analytics Companies - Page 2")</f>
        <v>Top United States Marketing Analytics Companies - Page 2</v>
      </c>
      <c r="C108" s="10" t="str">
        <f>IFERROR(__xludf.DUMMYFUNCTION("""COMPUTED_VALUE"""),"designrush.com")</f>
        <v>designrush.com</v>
      </c>
      <c r="D108" s="11" t="str">
        <f>IFERROR(__xludf.DUMMYFUNCTION("""COMPUTED_VALUE"""),"CATEGORY_PAGE")</f>
        <v>CATEGORY_PAGE</v>
      </c>
      <c r="E108" s="11" t="str">
        <f>IFERROR(__xludf.DUMMYFUNCTION("""COMPUTED_VALUE"""),"CORPORATE")</f>
        <v>CORPORATE</v>
      </c>
      <c r="F108" s="11" t="str">
        <f>IFERROR(__xludf.DUMMYFUNCTION("""COMPUTED_VALUE"""),"Category Page")</f>
        <v>Category Page</v>
      </c>
      <c r="G108" s="11" t="b">
        <f>IFERROR(__xludf.DUMMYFUNCTION("""COMPUTED_VALUE"""),FALSE)</f>
        <v>0</v>
      </c>
      <c r="H108" s="11" t="str">
        <f>IFERROR(__xludf.DUMMYFUNCTION("""COMPUTED_VALUE"""),"Nielsen, DEPT, IBM, Measured")</f>
        <v>Nielsen, DEPT, IBM, Measured</v>
      </c>
      <c r="I108" s="11">
        <f>IFERROR(__xludf.DUMMYFUNCTION("""COMPUTED_VALUE"""),2.0)</f>
        <v>2</v>
      </c>
      <c r="J108" s="11">
        <f>IFERROR(__xludf.DUMMYFUNCTION("""COMPUTED_VALUE"""),0.0)</f>
        <v>0</v>
      </c>
      <c r="K108" s="11">
        <f>IFERROR(__xludf.DUMMYFUNCTION("""COMPUTED_VALUE"""),0.0)</f>
        <v>0</v>
      </c>
    </row>
    <row r="109" ht="15.75" customHeight="1">
      <c r="A109" s="10" t="str">
        <f>IFERROR(__xludf.DUMMYFUNCTION("""COMPUTED_VALUE"""),"https://digitalagencynetwork.com/agencies/")</f>
        <v>https://digitalagencynetwork.com/agencies/</v>
      </c>
      <c r="B109" s="11" t="str">
        <f>IFERROR(__xludf.DUMMYFUNCTION("""COMPUTED_VALUE"""),"Best Digital Marketing Agencies in the World | Digital Agency Network")</f>
        <v>Best Digital Marketing Agencies in the World | Digital Agency Network</v>
      </c>
      <c r="C109" s="10" t="str">
        <f>IFERROR(__xludf.DUMMYFUNCTION("""COMPUTED_VALUE"""),"digitalagencynetwork.com")</f>
        <v>digitalagencynetwork.com</v>
      </c>
      <c r="D109" s="11" t="str">
        <f>IFERROR(__xludf.DUMMYFUNCTION("""COMPUTED_VALUE"""),"CATEGORY_PAGE")</f>
        <v>CATEGORY_PAGE</v>
      </c>
      <c r="E109" s="11" t="str">
        <f>IFERROR(__xludf.DUMMYFUNCTION("""COMPUTED_VALUE"""),"REFERENCE")</f>
        <v>REFERENCE</v>
      </c>
      <c r="F109" s="11" t="str">
        <f>IFERROR(__xludf.DUMMYFUNCTION("""COMPUTED_VALUE"""),"Category Page")</f>
        <v>Category Page</v>
      </c>
      <c r="G109" s="11" t="b">
        <f>IFERROR(__xludf.DUMMYFUNCTION("""COMPUTED_VALUE"""),FALSE)</f>
        <v>0</v>
      </c>
      <c r="H109" s="11" t="str">
        <f>IFERROR(__xludf.DUMMYFUNCTION("""COMPUTED_VALUE"""),"Ignite Visibility, PwC, Major Tom, Dentsu")</f>
        <v>Ignite Visibility, PwC, Major Tom, Dentsu</v>
      </c>
      <c r="I109" s="11">
        <f>IFERROR(__xludf.DUMMYFUNCTION("""COMPUTED_VALUE"""),2.0)</f>
        <v>2</v>
      </c>
      <c r="J109" s="11">
        <f>IFERROR(__xludf.DUMMYFUNCTION("""COMPUTED_VALUE"""),0.0)</f>
        <v>0</v>
      </c>
      <c r="K109" s="11">
        <f>IFERROR(__xludf.DUMMYFUNCTION("""COMPUTED_VALUE"""),0.0)</f>
        <v>0</v>
      </c>
    </row>
    <row r="110" ht="15.75" customHeight="1">
      <c r="A110" s="10" t="str">
        <f>IFERROR(__xludf.DUMMYFUNCTION("""COMPUTED_VALUE"""),"https://en.wikipedia.org/wiki/Advertising_agency")</f>
        <v>https://en.wikipedia.org/wiki/Advertising_agency</v>
      </c>
      <c r="B110" s="11" t="str">
        <f>IFERROR(__xludf.DUMMYFUNCTION("""COMPUTED_VALUE"""),"Advertising agency - Wikipedia")</f>
        <v>Advertising agency - Wikipedia</v>
      </c>
      <c r="C110" s="10" t="str">
        <f>IFERROR(__xludf.DUMMYFUNCTION("""COMPUTED_VALUE"""),"wikipedia.org")</f>
        <v>wikipedia.org</v>
      </c>
      <c r="D110" s="11" t="str">
        <f>IFERROR(__xludf.DUMMYFUNCTION("""COMPUTED_VALUE"""),"CATEGORY_PAGE")</f>
        <v>CATEGORY_PAGE</v>
      </c>
      <c r="E110" s="11" t="str">
        <f>IFERROR(__xludf.DUMMYFUNCTION("""COMPUTED_VALUE"""),"REFERENCE")</f>
        <v>REFERENCE</v>
      </c>
      <c r="F110" s="11" t="str">
        <f>IFERROR(__xludf.DUMMYFUNCTION("""COMPUTED_VALUE"""),"Category Page")</f>
        <v>Category Page</v>
      </c>
      <c r="G110" s="11" t="b">
        <f>IFERROR(__xludf.DUMMYFUNCTION("""COMPUTED_VALUE"""),FALSE)</f>
        <v>0</v>
      </c>
      <c r="H110" s="11" t="str">
        <f>IFERROR(__xludf.DUMMYFUNCTION("""COMPUTED_VALUE"""),"PwC, Deloitte Digital, WPP, Dentsu, Droga5")</f>
        <v>PwC, Deloitte Digital, WPP, Dentsu, Droga5</v>
      </c>
      <c r="I110" s="11">
        <f>IFERROR(__xludf.DUMMYFUNCTION("""COMPUTED_VALUE"""),2.0)</f>
        <v>2</v>
      </c>
      <c r="J110" s="11">
        <f>IFERROR(__xludf.DUMMYFUNCTION("""COMPUTED_VALUE"""),0.0)</f>
        <v>0</v>
      </c>
      <c r="K110" s="11">
        <f>IFERROR(__xludf.DUMMYFUNCTION("""COMPUTED_VALUE"""),1.0)</f>
        <v>1</v>
      </c>
    </row>
    <row r="111" ht="15.75" customHeight="1">
      <c r="A111" s="10" t="str">
        <f>IFERROR(__xludf.DUMMYFUNCTION("""COMPUTED_VALUE"""),"https://www.mckinsey.com/capabilities/tech-and-ai/how-we-help-clients")</f>
        <v>https://www.mckinsey.com/capabilities/tech-and-ai/how-we-help-clients</v>
      </c>
      <c r="B111" s="11" t="str">
        <f>IFERROR(__xludf.DUMMYFUNCTION("""COMPUTED_VALUE"""),"AI and Technology Consulting")</f>
        <v>AI and Technology Consulting</v>
      </c>
      <c r="C111" s="10" t="str">
        <f>IFERROR(__xludf.DUMMYFUNCTION("""COMPUTED_VALUE"""),"mckinsey.com")</f>
        <v>mckinsey.com</v>
      </c>
      <c r="D111" s="11" t="str">
        <f>IFERROR(__xludf.DUMMYFUNCTION("""COMPUTED_VALUE"""),"CATEGORY_PAGE")</f>
        <v>CATEGORY_PAGE</v>
      </c>
      <c r="E111" s="11" t="str">
        <f>IFERROR(__xludf.DUMMYFUNCTION("""COMPUTED_VALUE"""),"COMPETITOR")</f>
        <v>COMPETITOR</v>
      </c>
      <c r="F111" s="11" t="str">
        <f>IFERROR(__xludf.DUMMYFUNCTION("""COMPUTED_VALUE"""),"Category Page")</f>
        <v>Category Page</v>
      </c>
      <c r="G111" s="11" t="b">
        <f>IFERROR(__xludf.DUMMYFUNCTION("""COMPUTED_VALUE"""),FALSE)</f>
        <v>0</v>
      </c>
      <c r="H111" s="11" t="str">
        <f>IFERROR(__xludf.DUMMYFUNCTION("""COMPUTED_VALUE"""),"McKinsey, QuantumBlack")</f>
        <v>McKinsey, QuantumBlack</v>
      </c>
      <c r="I111" s="11">
        <f>IFERROR(__xludf.DUMMYFUNCTION("""COMPUTED_VALUE"""),2.0)</f>
        <v>2</v>
      </c>
      <c r="J111" s="11">
        <f>IFERROR(__xludf.DUMMYFUNCTION("""COMPUTED_VALUE"""),0.0)</f>
        <v>0</v>
      </c>
      <c r="K111" s="11">
        <f>IFERROR(__xludf.DUMMYFUNCTION("""COMPUTED_VALUE"""),1.0)</f>
        <v>1</v>
      </c>
    </row>
    <row r="112" ht="15.75" customHeight="1">
      <c r="A112" s="10" t="str">
        <f>IFERROR(__xludf.DUMMYFUNCTION("""COMPUTED_VALUE"""),"https://mmaglobal.com/smarties/business-impact-index?category=Media+Agency&amp;region=North+America&amp;year=2025")</f>
        <v>https://mmaglobal.com/smarties/business-impact-index?category=Media+Agency&amp;region=North+America&amp;year=2025</v>
      </c>
      <c r="B112" s="11" t="str">
        <f>IFERROR(__xludf.DUMMYFUNCTION("""COMPUTED_VALUE"""),"Overview | MMA / Marketing + Media Alliance")</f>
        <v>Overview | MMA / Marketing + Media Alliance</v>
      </c>
      <c r="C112" s="10" t="str">
        <f>IFERROR(__xludf.DUMMYFUNCTION("""COMPUTED_VALUE"""),"mmaglobal.com")</f>
        <v>mmaglobal.com</v>
      </c>
      <c r="D112" s="11" t="str">
        <f>IFERROR(__xludf.DUMMYFUNCTION("""COMPUTED_VALUE"""),"CATEGORY_PAGE")</f>
        <v>CATEGORY_PAGE</v>
      </c>
      <c r="E112" s="11" t="str">
        <f>IFERROR(__xludf.DUMMYFUNCTION("""COMPUTED_VALUE"""),"INSTITUTIONAL")</f>
        <v>INSTITUTIONAL</v>
      </c>
      <c r="F112" s="11" t="str">
        <f>IFERROR(__xludf.DUMMYFUNCTION("""COMPUTED_VALUE"""),"Category Page")</f>
        <v>Category Page</v>
      </c>
      <c r="G112" s="11" t="b">
        <f>IFERROR(__xludf.DUMMYFUNCTION("""COMPUTED_VALUE"""),FALSE)</f>
        <v>0</v>
      </c>
      <c r="H112" s="11"/>
      <c r="I112" s="11">
        <f>IFERROR(__xludf.DUMMYFUNCTION("""COMPUTED_VALUE"""),2.0)</f>
        <v>2</v>
      </c>
      <c r="J112" s="11">
        <f>IFERROR(__xludf.DUMMYFUNCTION("""COMPUTED_VALUE"""),0.0)</f>
        <v>0</v>
      </c>
      <c r="K112" s="11">
        <f>IFERROR(__xludf.DUMMYFUNCTION("""COMPUTED_VALUE"""),3.0)</f>
        <v>3</v>
      </c>
    </row>
    <row r="113" ht="15.75" customHeight="1">
      <c r="A113" s="10" t="str">
        <f>IFERROR(__xludf.DUMMYFUNCTION("""COMPUTED_VALUE"""),"https://www.oneclub.org/awards/adcawards/-archive/agency/2025/61/all/1/840")</f>
        <v>https://www.oneclub.org/awards/adcawards/-archive/agency/2025/61/all/1/840</v>
      </c>
      <c r="B113" s="11" t="str">
        <f>IFERROR(__xludf.DUMMYFUNCTION("""COMPUTED_VALUE"""),"ADC Awards | Agency Rankings | 2025 | Interactive | North America | United States")</f>
        <v>ADC Awards | Agency Rankings | 2025 | Interactive | North America | United States</v>
      </c>
      <c r="C113" s="10" t="str">
        <f>IFERROR(__xludf.DUMMYFUNCTION("""COMPUTED_VALUE"""),"oneclub.org")</f>
        <v>oneclub.org</v>
      </c>
      <c r="D113" s="11" t="str">
        <f>IFERROR(__xludf.DUMMYFUNCTION("""COMPUTED_VALUE"""),"CATEGORY_PAGE")</f>
        <v>CATEGORY_PAGE</v>
      </c>
      <c r="E113" s="11" t="str">
        <f>IFERROR(__xludf.DUMMYFUNCTION("""COMPUTED_VALUE"""),"INSTITUTIONAL")</f>
        <v>INSTITUTIONAL</v>
      </c>
      <c r="F113" s="11" t="str">
        <f>IFERROR(__xludf.DUMMYFUNCTION("""COMPUTED_VALUE"""),"Category Page")</f>
        <v>Category Page</v>
      </c>
      <c r="G113" s="11" t="b">
        <f>IFERROR(__xludf.DUMMYFUNCTION("""COMPUTED_VALUE"""),FALSE)</f>
        <v>0</v>
      </c>
      <c r="H113" s="11" t="str">
        <f>IFERROR(__xludf.DUMMYFUNCTION("""COMPUTED_VALUE"""),"Dentsu, Accenture Song, Droga5")</f>
        <v>Dentsu, Accenture Song, Droga5</v>
      </c>
      <c r="I113" s="11">
        <f>IFERROR(__xludf.DUMMYFUNCTION("""COMPUTED_VALUE"""),2.0)</f>
        <v>2</v>
      </c>
      <c r="J113" s="11">
        <f>IFERROR(__xludf.DUMMYFUNCTION("""COMPUTED_VALUE"""),0.0)</f>
        <v>0</v>
      </c>
      <c r="K113" s="11">
        <f>IFERROR(__xludf.DUMMYFUNCTION("""COMPUTED_VALUE"""),1.0)</f>
        <v>1</v>
      </c>
    </row>
    <row r="114" ht="15.75" customHeight="1">
      <c r="A114" s="10" t="str">
        <f>IFERROR(__xludf.DUMMYFUNCTION("""COMPUTED_VALUE"""),"https://open.winmo.com/agencies/")</f>
        <v>https://open.winmo.com/agencies/</v>
      </c>
      <c r="B114" s="11" t="str">
        <f>IFERROR(__xludf.DUMMYFUNCTION("""COMPUTED_VALUE"""),"Discover top companies by advertising spend in 2024. Track decision-makers and ad budgets across all media channels with Winmo. Request a trial today!")</f>
        <v>Discover top companies by advertising spend in 2024. Track decision-makers and ad budgets across all media channels with Winmo. Request a trial today!</v>
      </c>
      <c r="C114" s="10" t="str">
        <f>IFERROR(__xludf.DUMMYFUNCTION("""COMPUTED_VALUE"""),"winmo.com")</f>
        <v>winmo.com</v>
      </c>
      <c r="D114" s="11" t="str">
        <f>IFERROR(__xludf.DUMMYFUNCTION("""COMPUTED_VALUE"""),"CATEGORY_PAGE")</f>
        <v>CATEGORY_PAGE</v>
      </c>
      <c r="E114" s="11" t="str">
        <f>IFERROR(__xludf.DUMMYFUNCTION("""COMPUTED_VALUE"""),"CORPORATE")</f>
        <v>CORPORATE</v>
      </c>
      <c r="F114" s="11" t="str">
        <f>IFERROR(__xludf.DUMMYFUNCTION("""COMPUTED_VALUE"""),"Category Page")</f>
        <v>Category Page</v>
      </c>
      <c r="G114" s="11" t="b">
        <f>IFERROR(__xludf.DUMMYFUNCTION("""COMPUTED_VALUE"""),FALSE)</f>
        <v>0</v>
      </c>
      <c r="H114" s="11" t="str">
        <f>IFERROR(__xludf.DUMMYFUNCTION("""COMPUTED_VALUE"""),"Dentsu, WPP, Horizon Media, BBDO, VML, Monks")</f>
        <v>Dentsu, WPP, Horizon Media, BBDO, VML, Monks</v>
      </c>
      <c r="I114" s="11">
        <f>IFERROR(__xludf.DUMMYFUNCTION("""COMPUTED_VALUE"""),2.0)</f>
        <v>2</v>
      </c>
      <c r="J114" s="11">
        <f>IFERROR(__xludf.DUMMYFUNCTION("""COMPUTED_VALUE"""),0.0)</f>
        <v>0</v>
      </c>
      <c r="K114" s="11">
        <f>IFERROR(__xludf.DUMMYFUNCTION("""COMPUTED_VALUE"""),0.0)</f>
        <v>0</v>
      </c>
    </row>
    <row r="115" ht="15.75" customHeight="1">
      <c r="A115" s="10" t="str">
        <f>IFERROR(__xludf.DUMMYFUNCTION("""COMPUTED_VALUE"""),"https://scopicstudios.com/blog/best-enterprise-marketing-data-analytics-consulting-firms-2026/")</f>
        <v>https://scopicstudios.com/blog/best-enterprise-marketing-data-analytics-consulting-firms-2026/</v>
      </c>
      <c r="B115" s="11" t="str">
        <f>IFERROR(__xludf.DUMMYFUNCTION("""COMPUTED_VALUE"""),"Top Marketing Analytics Consulting Firms for Enterprise Data")</f>
        <v>Top Marketing Analytics Consulting Firms for Enterprise Data</v>
      </c>
      <c r="C115" s="10" t="str">
        <f>IFERROR(__xludf.DUMMYFUNCTION("""COMPUTED_VALUE"""),"scopicstudios.com")</f>
        <v>scopicstudios.com</v>
      </c>
      <c r="D115" s="11" t="str">
        <f>IFERROR(__xludf.DUMMYFUNCTION("""COMPUTED_VALUE"""),"CATEGORY_PAGE")</f>
        <v>CATEGORY_PAGE</v>
      </c>
      <c r="E115" s="11" t="str">
        <f>IFERROR(__xludf.DUMMYFUNCTION("""COMPUTED_VALUE"""),"CORPORATE")</f>
        <v>CORPORATE</v>
      </c>
      <c r="F115" s="11" t="str">
        <f>IFERROR(__xludf.DUMMYFUNCTION("""COMPUTED_VALUE"""),"Category Page")</f>
        <v>Category Page</v>
      </c>
      <c r="G115" s="11" t="b">
        <f>IFERROR(__xludf.DUMMYFUNCTION("""COMPUTED_VALUE"""),FALSE)</f>
        <v>0</v>
      </c>
      <c r="H115" s="11" t="str">
        <f>IFERROR(__xludf.DUMMYFUNCTION("""COMPUTED_VALUE"""),"Clutch, Brighter Click, Acadia")</f>
        <v>Clutch, Brighter Click, Acadia</v>
      </c>
      <c r="I115" s="11">
        <f>IFERROR(__xludf.DUMMYFUNCTION("""COMPUTED_VALUE"""),2.0)</f>
        <v>2</v>
      </c>
      <c r="J115" s="11">
        <f>IFERROR(__xludf.DUMMYFUNCTION("""COMPUTED_VALUE"""),0.0)</f>
        <v>0</v>
      </c>
      <c r="K115" s="11">
        <f>IFERROR(__xludf.DUMMYFUNCTION("""COMPUTED_VALUE"""),0.0)</f>
        <v>0</v>
      </c>
    </row>
    <row r="116" ht="15.75" customHeight="1">
      <c r="A116" s="10" t="str">
        <f>IFERROR(__xludf.DUMMYFUNCTION("""COMPUTED_VALUE"""),"https://www.sortlist.com/s/creative/united-states-us")</f>
        <v>https://www.sortlist.com/s/creative/united-states-us</v>
      </c>
      <c r="B116" s="11" t="str">
        <f>IFERROR(__xludf.DUMMYFUNCTION("""COMPUTED_VALUE"""),"The 10 Best Creative Agencies in the United States - 2026 Reviews")</f>
        <v>The 10 Best Creative Agencies in the United States - 2026 Reviews</v>
      </c>
      <c r="C116" s="10" t="str">
        <f>IFERROR(__xludf.DUMMYFUNCTION("""COMPUTED_VALUE"""),"sortlist.com")</f>
        <v>sortlist.com</v>
      </c>
      <c r="D116" s="11" t="str">
        <f>IFERROR(__xludf.DUMMYFUNCTION("""COMPUTED_VALUE"""),"CATEGORY_PAGE")</f>
        <v>CATEGORY_PAGE</v>
      </c>
      <c r="E116" s="11" t="str">
        <f>IFERROR(__xludf.DUMMYFUNCTION("""COMPUTED_VALUE"""),"CORPORATE")</f>
        <v>CORPORATE</v>
      </c>
      <c r="F116" s="11" t="str">
        <f>IFERROR(__xludf.DUMMYFUNCTION("""COMPUTED_VALUE"""),"Category Page")</f>
        <v>Category Page</v>
      </c>
      <c r="G116" s="11" t="b">
        <f>IFERROR(__xludf.DUMMYFUNCTION("""COMPUTED_VALUE"""),FALSE)</f>
        <v>0</v>
      </c>
      <c r="H116" s="11" t="str">
        <f>IFERROR(__xludf.DUMMYFUNCTION("""COMPUTED_VALUE"""),"NinjaPromo, Momentum")</f>
        <v>NinjaPromo, Momentum</v>
      </c>
      <c r="I116" s="11">
        <f>IFERROR(__xludf.DUMMYFUNCTION("""COMPUTED_VALUE"""),2.0)</f>
        <v>2</v>
      </c>
      <c r="J116" s="11">
        <f>IFERROR(__xludf.DUMMYFUNCTION("""COMPUTED_VALUE"""),0.0)</f>
        <v>0</v>
      </c>
      <c r="K116" s="11">
        <f>IFERROR(__xludf.DUMMYFUNCTION("""COMPUTED_VALUE"""),0.0)</f>
        <v>0</v>
      </c>
    </row>
    <row r="117" ht="15.75" customHeight="1">
      <c r="A117" s="10" t="str">
        <f>IFERROR(__xludf.DUMMYFUNCTION("""COMPUTED_VALUE"""),"https://sourceforge.net/software/incrementality-testing/")</f>
        <v>https://sourceforge.net/software/incrementality-testing/</v>
      </c>
      <c r="B117" s="11" t="str">
        <f>IFERROR(__xludf.DUMMYFUNCTION("""COMPUTED_VALUE"""),"Best Incrementality Testing Tools of 2026 - Reviews &amp;amp; Comparison")</f>
        <v>Best Incrementality Testing Tools of 2026 - Reviews &amp;amp; Comparison</v>
      </c>
      <c r="C117" s="10" t="str">
        <f>IFERROR(__xludf.DUMMYFUNCTION("""COMPUTED_VALUE"""),"sourceforge.net")</f>
        <v>sourceforge.net</v>
      </c>
      <c r="D117" s="11" t="str">
        <f>IFERROR(__xludf.DUMMYFUNCTION("""COMPUTED_VALUE"""),"CATEGORY_PAGE")</f>
        <v>CATEGORY_PAGE</v>
      </c>
      <c r="E117" s="11" t="str">
        <f>IFERROR(__xludf.DUMMYFUNCTION("""COMPUTED_VALUE"""),"OTHER")</f>
        <v>OTHER</v>
      </c>
      <c r="F117" s="11" t="str">
        <f>IFERROR(__xludf.DUMMYFUNCTION("""COMPUTED_VALUE"""),"Category Page")</f>
        <v>Category Page</v>
      </c>
      <c r="G117" s="11" t="b">
        <f>IFERROR(__xludf.DUMMYFUNCTION("""COMPUTED_VALUE"""),FALSE)</f>
        <v>0</v>
      </c>
      <c r="H117" s="11" t="str">
        <f>IFERROR(__xludf.DUMMYFUNCTION("""COMPUTED_VALUE"""),"Measured, LifeSight, Sellforte, Rockerbox, Recast, Haus, Analytic Partners")</f>
        <v>Measured, LifeSight, Sellforte, Rockerbox, Recast, Haus, Analytic Partners</v>
      </c>
      <c r="I117" s="11">
        <f>IFERROR(__xludf.DUMMYFUNCTION("""COMPUTED_VALUE"""),2.0)</f>
        <v>2</v>
      </c>
      <c r="J117" s="11">
        <f>IFERROR(__xludf.DUMMYFUNCTION("""COMPUTED_VALUE"""),0.0)</f>
        <v>0</v>
      </c>
      <c r="K117" s="11">
        <f>IFERROR(__xludf.DUMMYFUNCTION("""COMPUTED_VALUE"""),1.0)</f>
        <v>1</v>
      </c>
    </row>
    <row r="118" ht="15.75" customHeight="1">
      <c r="A118" s="10" t="str">
        <f>IFERROR(__xludf.DUMMYFUNCTION("""COMPUTED_VALUE"""),"https://www.statista.com/topics/12476/%25E2%2580%259Cbig-six%25E2%2580%259D-ad-agency-groups-worldwide/")</f>
        <v>https://www.statista.com/topics/12476/%25E2%2580%259Cbig-six%25E2%2580%259D-ad-agency-groups-worldwide/</v>
      </c>
      <c r="B118" s="11" t="str">
        <f>IFERROR(__xludf.DUMMYFUNCTION("""COMPUTED_VALUE"""),"“Big Six” advertising agency groups worldwide – statistics &amp; facts \| Statista")</f>
        <v>“Big Six” advertising agency groups worldwide – statistics &amp; facts \| Statista</v>
      </c>
      <c r="C118" s="10" t="str">
        <f>IFERROR(__xludf.DUMMYFUNCTION("""COMPUTED_VALUE"""),"statista.com")</f>
        <v>statista.com</v>
      </c>
      <c r="D118" s="11" t="str">
        <f>IFERROR(__xludf.DUMMYFUNCTION("""COMPUTED_VALUE"""),"CATEGORY_PAGE")</f>
        <v>CATEGORY_PAGE</v>
      </c>
      <c r="E118" s="11" t="str">
        <f>IFERROR(__xludf.DUMMYFUNCTION("""COMPUTED_VALUE"""),"REFERENCE")</f>
        <v>REFERENCE</v>
      </c>
      <c r="F118" s="11" t="str">
        <f>IFERROR(__xludf.DUMMYFUNCTION("""COMPUTED_VALUE"""),"Category Page")</f>
        <v>Category Page</v>
      </c>
      <c r="G118" s="11" t="b">
        <f>IFERROR(__xludf.DUMMYFUNCTION("""COMPUTED_VALUE"""),FALSE)</f>
        <v>0</v>
      </c>
      <c r="H118" s="11" t="str">
        <f>IFERROR(__xludf.DUMMYFUNCTION("""COMPUTED_VALUE"""),"WPP, Publicis Groupe, Dentsu")</f>
        <v>WPP, Publicis Groupe, Dentsu</v>
      </c>
      <c r="I118" s="11">
        <f>IFERROR(__xludf.DUMMYFUNCTION("""COMPUTED_VALUE"""),2.0)</f>
        <v>2</v>
      </c>
      <c r="J118" s="11">
        <f>IFERROR(__xludf.DUMMYFUNCTION("""COMPUTED_VALUE"""),0.0)</f>
        <v>0</v>
      </c>
      <c r="K118" s="11">
        <f>IFERROR(__xludf.DUMMYFUNCTION("""COMPUTED_VALUE"""),1.0)</f>
        <v>1</v>
      </c>
    </row>
    <row r="119" ht="15.75" customHeight="1">
      <c r="A119" s="10" t="str">
        <f>IFERROR(__xludf.DUMMYFUNCTION("""COMPUTED_VALUE"""),"https://www.webfx.com/digital-advertising/services/")</f>
        <v>https://www.webfx.com/digital-advertising/services/</v>
      </c>
      <c r="B119" s="11" t="str">
        <f>IFERROR(__xludf.DUMMYFUNCTION("""COMPUTED_VALUE"""),"Top-Rated Digital Advertising Services That Cut CPL By 15%")</f>
        <v>Top-Rated Digital Advertising Services That Cut CPL By 15%</v>
      </c>
      <c r="C119" s="10" t="str">
        <f>IFERROR(__xludf.DUMMYFUNCTION("""COMPUTED_VALUE"""),"webfx.com")</f>
        <v>webfx.com</v>
      </c>
      <c r="D119" s="11" t="str">
        <f>IFERROR(__xludf.DUMMYFUNCTION("""COMPUTED_VALUE"""),"CATEGORY_PAGE")</f>
        <v>CATEGORY_PAGE</v>
      </c>
      <c r="E119" s="11" t="str">
        <f>IFERROR(__xludf.DUMMYFUNCTION("""COMPUTED_VALUE"""),"COMPETITOR")</f>
        <v>COMPETITOR</v>
      </c>
      <c r="F119" s="11" t="str">
        <f>IFERROR(__xludf.DUMMYFUNCTION("""COMPUTED_VALUE"""),"Category Page")</f>
        <v>Category Page</v>
      </c>
      <c r="G119" s="11" t="b">
        <f>IFERROR(__xludf.DUMMYFUNCTION("""COMPUTED_VALUE"""),FALSE)</f>
        <v>0</v>
      </c>
      <c r="H119" s="11" t="str">
        <f>IFERROR(__xludf.DUMMYFUNCTION("""COMPUTED_VALUE"""),"WebFX, Clutch, Momentum")</f>
        <v>WebFX, Clutch, Momentum</v>
      </c>
      <c r="I119" s="11">
        <f>IFERROR(__xludf.DUMMYFUNCTION("""COMPUTED_VALUE"""),2.0)</f>
        <v>2</v>
      </c>
      <c r="J119" s="11">
        <f>IFERROR(__xludf.DUMMYFUNCTION("""COMPUTED_VALUE"""),0.0)</f>
        <v>0</v>
      </c>
      <c r="K119" s="11">
        <f>IFERROR(__xludf.DUMMYFUNCTION("""COMPUTED_VALUE"""),1.5)</f>
        <v>1.5</v>
      </c>
    </row>
    <row r="120" ht="15.75" customHeight="1">
      <c r="A120" s="10" t="str">
        <f>IFERROR(__xludf.DUMMYFUNCTION("""COMPUTED_VALUE"""),"https://www.50pros.com/hire/conversion-rate-optimization/ab-and-multivariate-testing")</f>
        <v>https://www.50pros.com/hire/conversion-rate-optimization/ab-and-multivariate-testing</v>
      </c>
      <c r="B120" s="11" t="str">
        <f>IFERROR(__xludf.DUMMYFUNCTION("""COMPUTED_VALUE"""),"Top A/B &amp; Multivariate Testing Agencies to Hire in June 2026")</f>
        <v>Top A/B &amp; Multivariate Testing Agencies to Hire in June 2026</v>
      </c>
      <c r="C120" s="10" t="str">
        <f>IFERROR(__xludf.DUMMYFUNCTION("""COMPUTED_VALUE"""),"50pros.com")</f>
        <v>50pros.com</v>
      </c>
      <c r="D120" s="11" t="str">
        <f>IFERROR(__xludf.DUMMYFUNCTION("""COMPUTED_VALUE"""),"CATEGORY_PAGE")</f>
        <v>CATEGORY_PAGE</v>
      </c>
      <c r="E120" s="11" t="str">
        <f>IFERROR(__xludf.DUMMYFUNCTION("""COMPUTED_VALUE"""),"REFERENCE")</f>
        <v>REFERENCE</v>
      </c>
      <c r="F120" s="11" t="str">
        <f>IFERROR(__xludf.DUMMYFUNCTION("""COMPUTED_VALUE"""),"Category Page")</f>
        <v>Category Page</v>
      </c>
      <c r="G120" s="11" t="b">
        <f>IFERROR(__xludf.DUMMYFUNCTION("""COMPUTED_VALUE"""),FALSE)</f>
        <v>0</v>
      </c>
      <c r="H120" s="11" t="str">
        <f>IFERROR(__xludf.DUMMYFUNCTION("""COMPUTED_VALUE"""),"Clutch, Huge")</f>
        <v>Clutch, Huge</v>
      </c>
      <c r="I120" s="11">
        <f>IFERROR(__xludf.DUMMYFUNCTION("""COMPUTED_VALUE"""),1.0)</f>
        <v>1</v>
      </c>
      <c r="J120" s="11">
        <f>IFERROR(__xludf.DUMMYFUNCTION("""COMPUTED_VALUE"""),0.0)</f>
        <v>0</v>
      </c>
      <c r="K120" s="11">
        <f>IFERROR(__xludf.DUMMYFUNCTION("""COMPUTED_VALUE"""),0.0)</f>
        <v>0</v>
      </c>
    </row>
    <row r="121" ht="15.75" customHeight="1">
      <c r="A121" s="10" t="str">
        <f>IFERROR(__xludf.DUMMYFUNCTION("""COMPUTED_VALUE"""),"https://www.50pros.com/hire/digital-marketing/marketing-analytics-and-reporting")</f>
        <v>https://www.50pros.com/hire/digital-marketing/marketing-analytics-and-reporting</v>
      </c>
      <c r="B121" s="11" t="str">
        <f>IFERROR(__xludf.DUMMYFUNCTION("""COMPUTED_VALUE"""),"Top Marketing Analytics &amp; Reporting Agencies to Hire in June 2026")</f>
        <v>Top Marketing Analytics &amp; Reporting Agencies to Hire in June 2026</v>
      </c>
      <c r="C121" s="10" t="str">
        <f>IFERROR(__xludf.DUMMYFUNCTION("""COMPUTED_VALUE"""),"50pros.com")</f>
        <v>50pros.com</v>
      </c>
      <c r="D121" s="11" t="str">
        <f>IFERROR(__xludf.DUMMYFUNCTION("""COMPUTED_VALUE"""),"CATEGORY_PAGE")</f>
        <v>CATEGORY_PAGE</v>
      </c>
      <c r="E121" s="11" t="str">
        <f>IFERROR(__xludf.DUMMYFUNCTION("""COMPUTED_VALUE"""),"REFERENCE")</f>
        <v>REFERENCE</v>
      </c>
      <c r="F121" s="11" t="str">
        <f>IFERROR(__xludf.DUMMYFUNCTION("""COMPUTED_VALUE"""),"Category Page")</f>
        <v>Category Page</v>
      </c>
      <c r="G121" s="11" t="b">
        <f>IFERROR(__xludf.DUMMYFUNCTION("""COMPUTED_VALUE"""),FALSE)</f>
        <v>0</v>
      </c>
      <c r="H121" s="11" t="str">
        <f>IFERROR(__xludf.DUMMYFUNCTION("""COMPUTED_VALUE"""),"Momentum")</f>
        <v>Momentum</v>
      </c>
      <c r="I121" s="11">
        <f>IFERROR(__xludf.DUMMYFUNCTION("""COMPUTED_VALUE"""),1.0)</f>
        <v>1</v>
      </c>
      <c r="J121" s="11">
        <f>IFERROR(__xludf.DUMMYFUNCTION("""COMPUTED_VALUE"""),0.0)</f>
        <v>0</v>
      </c>
      <c r="K121" s="11">
        <f>IFERROR(__xludf.DUMMYFUNCTION("""COMPUTED_VALUE"""),0.0)</f>
        <v>0</v>
      </c>
    </row>
    <row r="122" ht="15.75" customHeight="1">
      <c r="A122" s="10" t="str">
        <f>IFERROR(__xludf.DUMMYFUNCTION("""COMPUTED_VALUE"""),"https://agencies.semrush.com/list/")</f>
        <v>https://agencies.semrush.com/list/</v>
      </c>
      <c r="B122" s="11" t="str">
        <f>IFERROR(__xludf.DUMMYFUNCTION("""COMPUTED_VALUE"""),"Best Digital Marketing Agencies in the World 2026 | Semrush")</f>
        <v>Best Digital Marketing Agencies in the World 2026 | Semrush</v>
      </c>
      <c r="C122" s="10" t="str">
        <f>IFERROR(__xludf.DUMMYFUNCTION("""COMPUTED_VALUE"""),"semrush.com")</f>
        <v>semrush.com</v>
      </c>
      <c r="D122" s="11" t="str">
        <f>IFERROR(__xludf.DUMMYFUNCTION("""COMPUTED_VALUE"""),"CATEGORY_PAGE")</f>
        <v>CATEGORY_PAGE</v>
      </c>
      <c r="E122" s="11" t="str">
        <f>IFERROR(__xludf.DUMMYFUNCTION("""COMPUTED_VALUE"""),"CORPORATE")</f>
        <v>CORPORATE</v>
      </c>
      <c r="F122" s="11" t="str">
        <f>IFERROR(__xludf.DUMMYFUNCTION("""COMPUTED_VALUE"""),"Category Page")</f>
        <v>Category Page</v>
      </c>
      <c r="G122" s="11" t="b">
        <f>IFERROR(__xludf.DUMMYFUNCTION("""COMPUTED_VALUE"""),FALSE)</f>
        <v>0</v>
      </c>
      <c r="H122" s="11"/>
      <c r="I122" s="11">
        <f>IFERROR(__xludf.DUMMYFUNCTION("""COMPUTED_VALUE"""),1.0)</f>
        <v>1</v>
      </c>
      <c r="J122" s="11">
        <f>IFERROR(__xludf.DUMMYFUNCTION("""COMPUTED_VALUE"""),0.0)</f>
        <v>0</v>
      </c>
      <c r="K122" s="11">
        <f>IFERROR(__xludf.DUMMYFUNCTION("""COMPUTED_VALUE"""),0.0)</f>
        <v>0</v>
      </c>
    </row>
    <row r="123" ht="15.75" customHeight="1">
      <c r="A123" s="10" t="str">
        <f>IFERROR(__xludf.DUMMYFUNCTION("""COMPUTED_VALUE"""),"https://agencies.semrush.com/list/advertising/united-states/")</f>
        <v>https://agencies.semrush.com/list/advertising/united-states/</v>
      </c>
      <c r="B123" s="11" t="str">
        <f>IFERROR(__xludf.DUMMYFUNCTION("""COMPUTED_VALUE"""),"Best Advertising Agencies in United States 2026 | Semrush")</f>
        <v>Best Advertising Agencies in United States 2026 | Semrush</v>
      </c>
      <c r="C123" s="10" t="str">
        <f>IFERROR(__xludf.DUMMYFUNCTION("""COMPUTED_VALUE"""),"semrush.com")</f>
        <v>semrush.com</v>
      </c>
      <c r="D123" s="11" t="str">
        <f>IFERROR(__xludf.DUMMYFUNCTION("""COMPUTED_VALUE"""),"CATEGORY_PAGE")</f>
        <v>CATEGORY_PAGE</v>
      </c>
      <c r="E123" s="11" t="str">
        <f>IFERROR(__xludf.DUMMYFUNCTION("""COMPUTED_VALUE"""),"CORPORATE")</f>
        <v>CORPORATE</v>
      </c>
      <c r="F123" s="11" t="str">
        <f>IFERROR(__xludf.DUMMYFUNCTION("""COMPUTED_VALUE"""),"Category Page")</f>
        <v>Category Page</v>
      </c>
      <c r="G123" s="11" t="b">
        <f>IFERROR(__xludf.DUMMYFUNCTION("""COMPUTED_VALUE"""),FALSE)</f>
        <v>0</v>
      </c>
      <c r="H123" s="11" t="str">
        <f>IFERROR(__xludf.DUMMYFUNCTION("""COMPUTED_VALUE"""),"SmartSites, Elit-Web")</f>
        <v>SmartSites, Elit-Web</v>
      </c>
      <c r="I123" s="11">
        <f>IFERROR(__xludf.DUMMYFUNCTION("""COMPUTED_VALUE"""),1.0)</f>
        <v>1</v>
      </c>
      <c r="J123" s="11">
        <f>IFERROR(__xludf.DUMMYFUNCTION("""COMPUTED_VALUE"""),0.0)</f>
        <v>0</v>
      </c>
      <c r="K123" s="11">
        <f>IFERROR(__xludf.DUMMYFUNCTION("""COMPUTED_VALUE"""),0.0)</f>
        <v>0</v>
      </c>
    </row>
    <row r="124" ht="15.75" customHeight="1">
      <c r="A124" s="10" t="str">
        <f>IFERROR(__xludf.DUMMYFUNCTION("""COMPUTED_VALUE"""),"https://agencies.semrush.com/list/ai-optimization/united-states/small-business/")</f>
        <v>https://agencies.semrush.com/list/ai-optimization/united-states/small-business/</v>
      </c>
      <c r="B124" s="11" t="str">
        <f>IFERROR(__xludf.DUMMYFUNCTION("""COMPUTED_VALUE"""),"Best AI Search Optimization Agencies for Small Business in United States 2026 | Semrush")</f>
        <v>Best AI Search Optimization Agencies for Small Business in United States 2026 | Semrush</v>
      </c>
      <c r="C124" s="10" t="str">
        <f>IFERROR(__xludf.DUMMYFUNCTION("""COMPUTED_VALUE"""),"semrush.com")</f>
        <v>semrush.com</v>
      </c>
      <c r="D124" s="11" t="str">
        <f>IFERROR(__xludf.DUMMYFUNCTION("""COMPUTED_VALUE"""),"CATEGORY_PAGE")</f>
        <v>CATEGORY_PAGE</v>
      </c>
      <c r="E124" s="11" t="str">
        <f>IFERROR(__xludf.DUMMYFUNCTION("""COMPUTED_VALUE"""),"CORPORATE")</f>
        <v>CORPORATE</v>
      </c>
      <c r="F124" s="11" t="str">
        <f>IFERROR(__xludf.DUMMYFUNCTION("""COMPUTED_VALUE"""),"Category Page")</f>
        <v>Category Page</v>
      </c>
      <c r="G124" s="11" t="b">
        <f>IFERROR(__xludf.DUMMYFUNCTION("""COMPUTED_VALUE"""),FALSE)</f>
        <v>0</v>
      </c>
      <c r="H124" s="11" t="str">
        <f>IFERROR(__xludf.DUMMYFUNCTION("""COMPUTED_VALUE"""),"SmartSites, Elit-Web")</f>
        <v>SmartSites, Elit-Web</v>
      </c>
      <c r="I124" s="11">
        <f>IFERROR(__xludf.DUMMYFUNCTION("""COMPUTED_VALUE"""),1.0)</f>
        <v>1</v>
      </c>
      <c r="J124" s="11">
        <f>IFERROR(__xludf.DUMMYFUNCTION("""COMPUTED_VALUE"""),0.0)</f>
        <v>0</v>
      </c>
      <c r="K124" s="11">
        <f>IFERROR(__xludf.DUMMYFUNCTION("""COMPUTED_VALUE"""),0.0)</f>
        <v>0</v>
      </c>
    </row>
    <row r="125" ht="15.75" customHeight="1">
      <c r="A125" s="10" t="str">
        <f>IFERROR(__xludf.DUMMYFUNCTION("""COMPUTED_VALUE"""),"https://agencies.semrush.com/list/los-angeles/")</f>
        <v>https://agencies.semrush.com/list/los-angeles/</v>
      </c>
      <c r="B125" s="11" t="str">
        <f>IFERROR(__xludf.DUMMYFUNCTION("""COMPUTED_VALUE"""),"Best Digital Marketing Agencies in Los Angeles 2026 | Semrush")</f>
        <v>Best Digital Marketing Agencies in Los Angeles 2026 | Semrush</v>
      </c>
      <c r="C125" s="10" t="str">
        <f>IFERROR(__xludf.DUMMYFUNCTION("""COMPUTED_VALUE"""),"semrush.com")</f>
        <v>semrush.com</v>
      </c>
      <c r="D125" s="11" t="str">
        <f>IFERROR(__xludf.DUMMYFUNCTION("""COMPUTED_VALUE"""),"CATEGORY_PAGE")</f>
        <v>CATEGORY_PAGE</v>
      </c>
      <c r="E125" s="11" t="str">
        <f>IFERROR(__xludf.DUMMYFUNCTION("""COMPUTED_VALUE"""),"CORPORATE")</f>
        <v>CORPORATE</v>
      </c>
      <c r="F125" s="11" t="str">
        <f>IFERROR(__xludf.DUMMYFUNCTION("""COMPUTED_VALUE"""),"Category Page")</f>
        <v>Category Page</v>
      </c>
      <c r="G125" s="11" t="b">
        <f>IFERROR(__xludf.DUMMYFUNCTION("""COMPUTED_VALUE"""),FALSE)</f>
        <v>0</v>
      </c>
      <c r="H125" s="11"/>
      <c r="I125" s="11">
        <f>IFERROR(__xludf.DUMMYFUNCTION("""COMPUTED_VALUE"""),1.0)</f>
        <v>1</v>
      </c>
      <c r="J125" s="11">
        <f>IFERROR(__xludf.DUMMYFUNCTION("""COMPUTED_VALUE"""),0.0)</f>
        <v>0</v>
      </c>
      <c r="K125" s="11">
        <f>IFERROR(__xludf.DUMMYFUNCTION("""COMPUTED_VALUE"""),0.0)</f>
        <v>0</v>
      </c>
    </row>
    <row r="126" ht="15.75" customHeight="1">
      <c r="A126" s="10" t="str">
        <f>IFERROR(__xludf.DUMMYFUNCTION("""COMPUTED_VALUE"""),"https://agencies.semrush.com/list/machine-learning-and-ai/business-professional-services/united-states/")</f>
        <v>https://agencies.semrush.com/list/machine-learning-and-ai/business-professional-services/united-states/</v>
      </c>
      <c r="B126" s="11" t="str">
        <f>IFERROR(__xludf.DUMMYFUNCTION("""COMPUTED_VALUE"""),"Best B2B Services Machine Learning and AI Services in United States 2026 | Semrush")</f>
        <v>Best B2B Services Machine Learning and AI Services in United States 2026 | Semrush</v>
      </c>
      <c r="C126" s="10" t="str">
        <f>IFERROR(__xludf.DUMMYFUNCTION("""COMPUTED_VALUE"""),"semrush.com")</f>
        <v>semrush.com</v>
      </c>
      <c r="D126" s="11" t="str">
        <f>IFERROR(__xludf.DUMMYFUNCTION("""COMPUTED_VALUE"""),"CATEGORY_PAGE")</f>
        <v>CATEGORY_PAGE</v>
      </c>
      <c r="E126" s="11" t="str">
        <f>IFERROR(__xludf.DUMMYFUNCTION("""COMPUTED_VALUE"""),"CORPORATE")</f>
        <v>CORPORATE</v>
      </c>
      <c r="F126" s="11" t="str">
        <f>IFERROR(__xludf.DUMMYFUNCTION("""COMPUTED_VALUE"""),"Category Page")</f>
        <v>Category Page</v>
      </c>
      <c r="G126" s="11" t="b">
        <f>IFERROR(__xludf.DUMMYFUNCTION("""COMPUTED_VALUE"""),FALSE)</f>
        <v>0</v>
      </c>
      <c r="H126" s="11" t="str">
        <f>IFERROR(__xludf.DUMMYFUNCTION("""COMPUTED_VALUE"""),"LYFE Marketing, Elit-Web, Silverback Strategies, WebFX")</f>
        <v>LYFE Marketing, Elit-Web, Silverback Strategies, WebFX</v>
      </c>
      <c r="I126" s="11">
        <f>IFERROR(__xludf.DUMMYFUNCTION("""COMPUTED_VALUE"""),1.0)</f>
        <v>1</v>
      </c>
      <c r="J126" s="11">
        <f>IFERROR(__xludf.DUMMYFUNCTION("""COMPUTED_VALUE"""),0.0)</f>
        <v>0</v>
      </c>
      <c r="K126" s="11">
        <f>IFERROR(__xludf.DUMMYFUNCTION("""COMPUTED_VALUE"""),0.0)</f>
        <v>0</v>
      </c>
    </row>
    <row r="127" ht="15.75" customHeight="1">
      <c r="A127" s="10" t="str">
        <f>IFERROR(__xludf.DUMMYFUNCTION("""COMPUTED_VALUE"""),"https://agencies.semrush.com/list/programmatic-advertising/arts-entertainment/united-states/")</f>
        <v>https://agencies.semrush.com/list/programmatic-advertising/arts-entertainment/united-states/</v>
      </c>
      <c r="B127" s="11" t="str">
        <f>IFERROR(__xludf.DUMMYFUNCTION("""COMPUTED_VALUE"""),"Best Media &amp;amp; Entertainment Programmatic Advertising Agencies in United States 2026 | Semrush")</f>
        <v>Best Media &amp;amp; Entertainment Programmatic Advertising Agencies in United States 2026 | Semrush</v>
      </c>
      <c r="C127" s="10" t="str">
        <f>IFERROR(__xludf.DUMMYFUNCTION("""COMPUTED_VALUE"""),"semrush.com")</f>
        <v>semrush.com</v>
      </c>
      <c r="D127" s="11" t="str">
        <f>IFERROR(__xludf.DUMMYFUNCTION("""COMPUTED_VALUE"""),"CATEGORY_PAGE")</f>
        <v>CATEGORY_PAGE</v>
      </c>
      <c r="E127" s="11" t="str">
        <f>IFERROR(__xludf.DUMMYFUNCTION("""COMPUTED_VALUE"""),"CORPORATE")</f>
        <v>CORPORATE</v>
      </c>
      <c r="F127" s="11" t="str">
        <f>IFERROR(__xludf.DUMMYFUNCTION("""COMPUTED_VALUE"""),"Category Page")</f>
        <v>Category Page</v>
      </c>
      <c r="G127" s="11" t="b">
        <f>IFERROR(__xludf.DUMMYFUNCTION("""COMPUTED_VALUE"""),FALSE)</f>
        <v>0</v>
      </c>
      <c r="H127" s="11" t="str">
        <f>IFERROR(__xludf.DUMMYFUNCTION("""COMPUTED_VALUE"""),"SmartSites, Elit-Web, Silverback Strategies, Measured, Funnel Boost Media")</f>
        <v>SmartSites, Elit-Web, Silverback Strategies, Measured, Funnel Boost Media</v>
      </c>
      <c r="I127" s="11">
        <f>IFERROR(__xludf.DUMMYFUNCTION("""COMPUTED_VALUE"""),1.0)</f>
        <v>1</v>
      </c>
      <c r="J127" s="11">
        <f>IFERROR(__xludf.DUMMYFUNCTION("""COMPUTED_VALUE"""),0.0)</f>
        <v>0</v>
      </c>
      <c r="K127" s="11">
        <f>IFERROR(__xludf.DUMMYFUNCTION("""COMPUTED_VALUE"""),0.0)</f>
        <v>0</v>
      </c>
    </row>
    <row r="128" ht="15.75" customHeight="1">
      <c r="A128" s="10" t="str">
        <f>IFERROR(__xludf.DUMMYFUNCTION("""COMPUTED_VALUE"""),"https://www.agencyspotter.com/top/digital-marketing-agencies")</f>
        <v>https://www.agencyspotter.com/top/digital-marketing-agencies</v>
      </c>
      <c r="B128" s="11" t="str">
        <f>IFERROR(__xludf.DUMMYFUNCTION("""COMPUTED_VALUE"""),"Top 100 Digital Agencies Report | Agency Spotter")</f>
        <v>Top 100 Digital Agencies Report | Agency Spotter</v>
      </c>
      <c r="C128" s="10" t="str">
        <f>IFERROR(__xludf.DUMMYFUNCTION("""COMPUTED_VALUE"""),"agencyspotter.com")</f>
        <v>agencyspotter.com</v>
      </c>
      <c r="D128" s="11" t="str">
        <f>IFERROR(__xludf.DUMMYFUNCTION("""COMPUTED_VALUE"""),"CATEGORY_PAGE")</f>
        <v>CATEGORY_PAGE</v>
      </c>
      <c r="E128" s="11" t="str">
        <f>IFERROR(__xludf.DUMMYFUNCTION("""COMPUTED_VALUE"""),"REFERENCE")</f>
        <v>REFERENCE</v>
      </c>
      <c r="F128" s="11" t="str">
        <f>IFERROR(__xludf.DUMMYFUNCTION("""COMPUTED_VALUE"""),"Category Page")</f>
        <v>Category Page</v>
      </c>
      <c r="G128" s="11" t="b">
        <f>IFERROR(__xludf.DUMMYFUNCTION("""COMPUTED_VALUE"""),FALSE)</f>
        <v>0</v>
      </c>
      <c r="H128" s="11" t="str">
        <f>IFERROR(__xludf.DUMMYFUNCTION("""COMPUTED_VALUE"""),"Major Tom, Sociallyin, Huge, Haus")</f>
        <v>Major Tom, Sociallyin, Huge, Haus</v>
      </c>
      <c r="I128" s="11">
        <f>IFERROR(__xludf.DUMMYFUNCTION("""COMPUTED_VALUE"""),1.0)</f>
        <v>1</v>
      </c>
      <c r="J128" s="11">
        <f>IFERROR(__xludf.DUMMYFUNCTION("""COMPUTED_VALUE"""),0.0)</f>
        <v>0</v>
      </c>
      <c r="K128" s="11">
        <f>IFERROR(__xludf.DUMMYFUNCTION("""COMPUTED_VALUE"""),0.0)</f>
        <v>0</v>
      </c>
    </row>
    <row r="129" ht="15.75" customHeight="1">
      <c r="A129" s="10" t="str">
        <f>IFERROR(__xludf.DUMMYFUNCTION("""COMPUTED_VALUE"""),"https://agencyvista.com/lists/google-marketing-platform-certified/")</f>
        <v>https://agencyvista.com/lists/google-marketing-platform-certified/</v>
      </c>
      <c r="B129" s="11" t="str">
        <f>IFERROR(__xludf.DUMMYFUNCTION("""COMPUTED_VALUE"""),"Google Marketing Platform Certified. May 2025 Reviews. | Agency Vista")</f>
        <v>Google Marketing Platform Certified. May 2025 Reviews. | Agency Vista</v>
      </c>
      <c r="C129" s="10" t="str">
        <f>IFERROR(__xludf.DUMMYFUNCTION("""COMPUTED_VALUE"""),"agencyvista.com")</f>
        <v>agencyvista.com</v>
      </c>
      <c r="D129" s="11" t="str">
        <f>IFERROR(__xludf.DUMMYFUNCTION("""COMPUTED_VALUE"""),"CATEGORY_PAGE")</f>
        <v>CATEGORY_PAGE</v>
      </c>
      <c r="E129" s="11" t="str">
        <f>IFERROR(__xludf.DUMMYFUNCTION("""COMPUTED_VALUE"""),"CORPORATE")</f>
        <v>CORPORATE</v>
      </c>
      <c r="F129" s="11" t="str">
        <f>IFERROR(__xludf.DUMMYFUNCTION("""COMPUTED_VALUE"""),"Category Page")</f>
        <v>Category Page</v>
      </c>
      <c r="G129" s="11" t="b">
        <f>IFERROR(__xludf.DUMMYFUNCTION("""COMPUTED_VALUE"""),FALSE)</f>
        <v>0</v>
      </c>
      <c r="H129" s="11" t="str">
        <f>IFERROR(__xludf.DUMMYFUNCTION("""COMPUTED_VALUE"""),"iProspect, Marcel Digital, Artefact, VaynerMedia, PMG, Digitas, Evolytics")</f>
        <v>iProspect, Marcel Digital, Artefact, VaynerMedia, PMG, Digitas, Evolytics</v>
      </c>
      <c r="I129" s="11">
        <f>IFERROR(__xludf.DUMMYFUNCTION("""COMPUTED_VALUE"""),1.0)</f>
        <v>1</v>
      </c>
      <c r="J129" s="11">
        <f>IFERROR(__xludf.DUMMYFUNCTION("""COMPUTED_VALUE"""),0.0)</f>
        <v>0</v>
      </c>
      <c r="K129" s="11">
        <f>IFERROR(__xludf.DUMMYFUNCTION("""COMPUTED_VALUE"""),0.0)</f>
        <v>0</v>
      </c>
    </row>
    <row r="130" ht="15.75" customHeight="1">
      <c r="A130" s="10" t="str">
        <f>IFERROR(__xludf.DUMMYFUNCTION("""COMPUTED_VALUE"""),"https://agencyvista.com/lists/google-marketing-platform-certified/page/2/")</f>
        <v>https://agencyvista.com/lists/google-marketing-platform-certified/page/2/</v>
      </c>
      <c r="B130" s="11" t="str">
        <f>IFERROR(__xludf.DUMMYFUNCTION("""COMPUTED_VALUE"""),"Google Marketing Platform Certified. May 2025 Reviews. | Agency Vista")</f>
        <v>Google Marketing Platform Certified. May 2025 Reviews. | Agency Vista</v>
      </c>
      <c r="C130" s="10" t="str">
        <f>IFERROR(__xludf.DUMMYFUNCTION("""COMPUTED_VALUE"""),"agencyvista.com")</f>
        <v>agencyvista.com</v>
      </c>
      <c r="D130" s="11" t="str">
        <f>IFERROR(__xludf.DUMMYFUNCTION("""COMPUTED_VALUE"""),"CATEGORY_PAGE")</f>
        <v>CATEGORY_PAGE</v>
      </c>
      <c r="E130" s="11" t="str">
        <f>IFERROR(__xludf.DUMMYFUNCTION("""COMPUTED_VALUE"""),"CORPORATE")</f>
        <v>CORPORATE</v>
      </c>
      <c r="F130" s="11" t="str">
        <f>IFERROR(__xludf.DUMMYFUNCTION("""COMPUTED_VALUE"""),"Category Page")</f>
        <v>Category Page</v>
      </c>
      <c r="G130" s="11" t="b">
        <f>IFERROR(__xludf.DUMMYFUNCTION("""COMPUTED_VALUE"""),FALSE)</f>
        <v>0</v>
      </c>
      <c r="H130" s="11" t="str">
        <f>IFERROR(__xludf.DUMMYFUNCTION("""COMPUTED_VALUE"""),"Noble Studios, Monks, Deloitte Digital, Haus, iProspect, Omnicom Media Group, Major Tom, Publicis Groupe, Dentsu, SegmentStream, VML, Merkle")</f>
        <v>Noble Studios, Monks, Deloitte Digital, Haus, iProspect, Omnicom Media Group, Major Tom, Publicis Groupe, Dentsu, SegmentStream, VML, Merkle</v>
      </c>
      <c r="I130" s="11">
        <f>IFERROR(__xludf.DUMMYFUNCTION("""COMPUTED_VALUE"""),1.0)</f>
        <v>1</v>
      </c>
      <c r="J130" s="11">
        <f>IFERROR(__xludf.DUMMYFUNCTION("""COMPUTED_VALUE"""),0.0)</f>
        <v>0</v>
      </c>
      <c r="K130" s="11">
        <f>IFERROR(__xludf.DUMMYFUNCTION("""COMPUTED_VALUE"""),0.0)</f>
        <v>0</v>
      </c>
    </row>
    <row r="131" ht="15.75" customHeight="1">
      <c r="A131" s="10" t="str">
        <f>IFERROR(__xludf.DUMMYFUNCTION("""COMPUTED_VALUE"""),"https://ahrefs.com/agencies/united-states")</f>
        <v>https://ahrefs.com/agencies/united-states</v>
      </c>
      <c r="B131" s="11" t="str">
        <f>IFERROR(__xludf.DUMMYFUNCTION("""COMPUTED_VALUE"""),"Digital Marketing Agencies in United States")</f>
        <v>Digital Marketing Agencies in United States</v>
      </c>
      <c r="C131" s="10" t="str">
        <f>IFERROR(__xludf.DUMMYFUNCTION("""COMPUTED_VALUE"""),"ahrefs.com")</f>
        <v>ahrefs.com</v>
      </c>
      <c r="D131" s="11" t="str">
        <f>IFERROR(__xludf.DUMMYFUNCTION("""COMPUTED_VALUE"""),"CATEGORY_PAGE")</f>
        <v>CATEGORY_PAGE</v>
      </c>
      <c r="E131" s="11" t="str">
        <f>IFERROR(__xludf.DUMMYFUNCTION("""COMPUTED_VALUE"""),"CORPORATE")</f>
        <v>CORPORATE</v>
      </c>
      <c r="F131" s="11" t="str">
        <f>IFERROR(__xludf.DUMMYFUNCTION("""COMPUTED_VALUE"""),"Category Page")</f>
        <v>Category Page</v>
      </c>
      <c r="G131" s="11" t="b">
        <f>IFERROR(__xludf.DUMMYFUNCTION("""COMPUTED_VALUE"""),FALSE)</f>
        <v>0</v>
      </c>
      <c r="H131" s="11" t="str">
        <f>IFERROR(__xludf.DUMMYFUNCTION("""COMPUTED_VALUE"""),"WebFX, Victorious, Searchbloom")</f>
        <v>WebFX, Victorious, Searchbloom</v>
      </c>
      <c r="I131" s="11">
        <f>IFERROR(__xludf.DUMMYFUNCTION("""COMPUTED_VALUE"""),1.0)</f>
        <v>1</v>
      </c>
      <c r="J131" s="11">
        <f>IFERROR(__xludf.DUMMYFUNCTION("""COMPUTED_VALUE"""),0.0)</f>
        <v>0</v>
      </c>
      <c r="K131" s="11">
        <f>IFERROR(__xludf.DUMMYFUNCTION("""COMPUTED_VALUE"""),0.0)</f>
        <v>0</v>
      </c>
    </row>
    <row r="132" ht="15.75" customHeight="1">
      <c r="A132" s="10" t="str">
        <f>IFERROR(__xludf.DUMMYFUNCTION("""COMPUTED_VALUE"""),"https://www.capterra.com.au/directory/34136/ai-marketing-tools/software")</f>
        <v>https://www.capterra.com.au/directory/34136/ai-marketing-tools/software</v>
      </c>
      <c r="B132" s="11" t="str">
        <f>IFERROR(__xludf.DUMMYFUNCTION("""COMPUTED_VALUE"""),"AI Marketing Tools - Comparison &amp; Reviews - Capterra Australia 2026")</f>
        <v>AI Marketing Tools - Comparison &amp; Reviews - Capterra Australia 2026</v>
      </c>
      <c r="C132" s="10" t="str">
        <f>IFERROR(__xludf.DUMMYFUNCTION("""COMPUTED_VALUE"""),"capterra.com.au")</f>
        <v>capterra.com.au</v>
      </c>
      <c r="D132" s="11" t="str">
        <f>IFERROR(__xludf.DUMMYFUNCTION("""COMPUTED_VALUE"""),"CATEGORY_PAGE")</f>
        <v>CATEGORY_PAGE</v>
      </c>
      <c r="E132" s="11" t="str">
        <f>IFERROR(__xludf.DUMMYFUNCTION("""COMPUTED_VALUE"""),"UGC")</f>
        <v>UGC</v>
      </c>
      <c r="F132" s="11" t="str">
        <f>IFERROR(__xludf.DUMMYFUNCTION("""COMPUTED_VALUE"""),"Category Page")</f>
        <v>Category Page</v>
      </c>
      <c r="G132" s="11" t="b">
        <f>IFERROR(__xludf.DUMMYFUNCTION("""COMPUTED_VALUE"""),FALSE)</f>
        <v>0</v>
      </c>
      <c r="H132" s="11"/>
      <c r="I132" s="11">
        <f>IFERROR(__xludf.DUMMYFUNCTION("""COMPUTED_VALUE"""),1.0)</f>
        <v>1</v>
      </c>
      <c r="J132" s="11">
        <f>IFERROR(__xludf.DUMMYFUNCTION("""COMPUTED_VALUE"""),0.0)</f>
        <v>0</v>
      </c>
      <c r="K132" s="11">
        <f>IFERROR(__xludf.DUMMYFUNCTION("""COMPUTED_VALUE"""),1.0)</f>
        <v>1</v>
      </c>
    </row>
    <row r="133" ht="15.75" customHeight="1">
      <c r="A133" s="10" t="str">
        <f>IFERROR(__xludf.DUMMYFUNCTION("""COMPUTED_VALUE"""),"https://cloud.google.com/find-a-partner/?search=marketing+agency")</f>
        <v>https://cloud.google.com/find-a-partner/?search=marketing+agency</v>
      </c>
      <c r="B133" s="11" t="str">
        <f>IFERROR(__xludf.DUMMYFUNCTION("""COMPUTED_VALUE"""),"Find a Partner - Partner Directory \| Google Cloud")</f>
        <v>Find a Partner - Partner Directory \| Google Cloud</v>
      </c>
      <c r="C133" s="10" t="str">
        <f>IFERROR(__xludf.DUMMYFUNCTION("""COMPUTED_VALUE"""),"google.com")</f>
        <v>google.com</v>
      </c>
      <c r="D133" s="11" t="str">
        <f>IFERROR(__xludf.DUMMYFUNCTION("""COMPUTED_VALUE"""),"CATEGORY_PAGE")</f>
        <v>CATEGORY_PAGE</v>
      </c>
      <c r="E133" s="11" t="str">
        <f>IFERROR(__xludf.DUMMYFUNCTION("""COMPUTED_VALUE"""),"OTHER")</f>
        <v>OTHER</v>
      </c>
      <c r="F133" s="11" t="str">
        <f>IFERROR(__xludf.DUMMYFUNCTION("""COMPUTED_VALUE"""),"Category Page")</f>
        <v>Category Page</v>
      </c>
      <c r="G133" s="11" t="b">
        <f>IFERROR(__xludf.DUMMYFUNCTION("""COMPUTED_VALUE"""),FALSE)</f>
        <v>0</v>
      </c>
      <c r="H133" s="11" t="str">
        <f>IFERROR(__xludf.DUMMYFUNCTION("""COMPUTED_VALUE"""),"DEPT")</f>
        <v>DEPT</v>
      </c>
      <c r="I133" s="11">
        <f>IFERROR(__xludf.DUMMYFUNCTION("""COMPUTED_VALUE"""),1.0)</f>
        <v>1</v>
      </c>
      <c r="J133" s="11">
        <f>IFERROR(__xludf.DUMMYFUNCTION("""COMPUTED_VALUE"""),0.0)</f>
        <v>0</v>
      </c>
      <c r="K133" s="11">
        <f>IFERROR(__xludf.DUMMYFUNCTION("""COMPUTED_VALUE"""),0.0)</f>
        <v>0</v>
      </c>
    </row>
    <row r="134" ht="15.75" customHeight="1">
      <c r="A134" s="10" t="str">
        <f>IFERROR(__xludf.DUMMYFUNCTION("""COMPUTED_VALUE"""),"https://clutch.co/agencies/conversion-optimization/research")</f>
        <v>https://clutch.co/agencies/conversion-optimization/research</v>
      </c>
      <c r="B134" s="11" t="str">
        <f>IFERROR(__xludf.DUMMYFUNCTION("""COMPUTED_VALUE"""),"Top User &amp; Conversion Research Companies - Jul 2026 Rankings \| Clutch.co")</f>
        <v>Top User &amp; Conversion Research Companies - Jul 2026 Rankings \| Clutch.co</v>
      </c>
      <c r="C134" s="10" t="str">
        <f>IFERROR(__xludf.DUMMYFUNCTION("""COMPUTED_VALUE"""),"clutch.co")</f>
        <v>clutch.co</v>
      </c>
      <c r="D134" s="11" t="str">
        <f>IFERROR(__xludf.DUMMYFUNCTION("""COMPUTED_VALUE"""),"CATEGORY_PAGE")</f>
        <v>CATEGORY_PAGE</v>
      </c>
      <c r="E134" s="11" t="str">
        <f>IFERROR(__xludf.DUMMYFUNCTION("""COMPUTED_VALUE"""),"COMPETITOR")</f>
        <v>COMPETITOR</v>
      </c>
      <c r="F134" s="11" t="str">
        <f>IFERROR(__xludf.DUMMYFUNCTION("""COMPUTED_VALUE"""),"Category Page")</f>
        <v>Category Page</v>
      </c>
      <c r="G134" s="11" t="b">
        <f>IFERROR(__xludf.DUMMYFUNCTION("""COMPUTED_VALUE"""),FALSE)</f>
        <v>0</v>
      </c>
      <c r="H134" s="11" t="str">
        <f>IFERROR(__xludf.DUMMYFUNCTION("""COMPUTED_VALUE"""),"Clutch, Searchbloom, AdVenture Media, Huge")</f>
        <v>Clutch, Searchbloom, AdVenture Media, Huge</v>
      </c>
      <c r="I134" s="11">
        <f>IFERROR(__xludf.DUMMYFUNCTION("""COMPUTED_VALUE"""),1.0)</f>
        <v>1</v>
      </c>
      <c r="J134" s="11">
        <f>IFERROR(__xludf.DUMMYFUNCTION("""COMPUTED_VALUE"""),0.0)</f>
        <v>0</v>
      </c>
      <c r="K134" s="11">
        <f>IFERROR(__xludf.DUMMYFUNCTION("""COMPUTED_VALUE"""),0.0)</f>
        <v>0</v>
      </c>
    </row>
    <row r="135" ht="15.75" customHeight="1">
      <c r="A135" s="10" t="str">
        <f>IFERROR(__xludf.DUMMYFUNCTION("""COMPUTED_VALUE"""),"https://clutch.co/agencies/media-buying")</f>
        <v>https://clutch.co/agencies/media-buying</v>
      </c>
      <c r="B135" s="11" t="str">
        <f>IFERROR(__xludf.DUMMYFUNCTION("""COMPUTED_VALUE"""),"Top Media Buying &amp;amp; Planning Agencies - Jul 2026 Rankings | Clutch.co")</f>
        <v>Top Media Buying &amp;amp; Planning Agencies - Jul 2026 Rankings | Clutch.co</v>
      </c>
      <c r="C135" s="10" t="str">
        <f>IFERROR(__xludf.DUMMYFUNCTION("""COMPUTED_VALUE"""),"clutch.co")</f>
        <v>clutch.co</v>
      </c>
      <c r="D135" s="11" t="str">
        <f>IFERROR(__xludf.DUMMYFUNCTION("""COMPUTED_VALUE"""),"CATEGORY_PAGE")</f>
        <v>CATEGORY_PAGE</v>
      </c>
      <c r="E135" s="11" t="str">
        <f>IFERROR(__xludf.DUMMYFUNCTION("""COMPUTED_VALUE"""),"COMPETITOR")</f>
        <v>COMPETITOR</v>
      </c>
      <c r="F135" s="11" t="str">
        <f>IFERROR(__xludf.DUMMYFUNCTION("""COMPUTED_VALUE"""),"Category Page")</f>
        <v>Category Page</v>
      </c>
      <c r="G135" s="11" t="b">
        <f>IFERROR(__xludf.DUMMYFUNCTION("""COMPUTED_VALUE"""),FALSE)</f>
        <v>0</v>
      </c>
      <c r="H135" s="11" t="str">
        <f>IFERROR(__xludf.DUMMYFUNCTION("""COMPUTED_VALUE"""),"Clutch, Momentum, Accelerated Digital Media")</f>
        <v>Clutch, Momentum, Accelerated Digital Media</v>
      </c>
      <c r="I135" s="11">
        <f>IFERROR(__xludf.DUMMYFUNCTION("""COMPUTED_VALUE"""),1.0)</f>
        <v>1</v>
      </c>
      <c r="J135" s="11">
        <f>IFERROR(__xludf.DUMMYFUNCTION("""COMPUTED_VALUE"""),0.0)</f>
        <v>0</v>
      </c>
      <c r="K135" s="11">
        <f>IFERROR(__xludf.DUMMYFUNCTION("""COMPUTED_VALUE"""),0.0)</f>
        <v>0</v>
      </c>
    </row>
    <row r="136" ht="15.75" customHeight="1">
      <c r="A136" s="10" t="str">
        <f>IFERROR(__xludf.DUMMYFUNCTION("""COMPUTED_VALUE"""),"https://clutch.co/agencies/ppc")</f>
        <v>https://clutch.co/agencies/ppc</v>
      </c>
      <c r="B136" s="11" t="str">
        <f>IFERROR(__xludf.DUMMYFUNCTION("""COMPUTED_VALUE"""),"Top PPC Agencies - Jul 2026 Rankings | Clutch.co")</f>
        <v>Top PPC Agencies - Jul 2026 Rankings | Clutch.co</v>
      </c>
      <c r="C136" s="10" t="str">
        <f>IFERROR(__xludf.DUMMYFUNCTION("""COMPUTED_VALUE"""),"clutch.co")</f>
        <v>clutch.co</v>
      </c>
      <c r="D136" s="11" t="str">
        <f>IFERROR(__xludf.DUMMYFUNCTION("""COMPUTED_VALUE"""),"CATEGORY_PAGE")</f>
        <v>CATEGORY_PAGE</v>
      </c>
      <c r="E136" s="11" t="str">
        <f>IFERROR(__xludf.DUMMYFUNCTION("""COMPUTED_VALUE"""),"COMPETITOR")</f>
        <v>COMPETITOR</v>
      </c>
      <c r="F136" s="11" t="str">
        <f>IFERROR(__xludf.DUMMYFUNCTION("""COMPUTED_VALUE"""),"Category Page")</f>
        <v>Category Page</v>
      </c>
      <c r="G136" s="11" t="b">
        <f>IFERROR(__xludf.DUMMYFUNCTION("""COMPUTED_VALUE"""),FALSE)</f>
        <v>0</v>
      </c>
      <c r="H136" s="11" t="str">
        <f>IFERROR(__xludf.DUMMYFUNCTION("""COMPUTED_VALUE"""),"Clutch, Disruptive Advertising, AdVenture Media, KlientBoost, Single Grain, SmartSites, HawkSEM, Intero Digital, Elit-Web, NinjaPromo")</f>
        <v>Clutch, Disruptive Advertising, AdVenture Media, KlientBoost, Single Grain, SmartSites, HawkSEM, Intero Digital, Elit-Web, NinjaPromo</v>
      </c>
      <c r="I136" s="11">
        <f>IFERROR(__xludf.DUMMYFUNCTION("""COMPUTED_VALUE"""),1.0)</f>
        <v>1</v>
      </c>
      <c r="J136" s="11">
        <f>IFERROR(__xludf.DUMMYFUNCTION("""COMPUTED_VALUE"""),0.0)</f>
        <v>0</v>
      </c>
      <c r="K136" s="11">
        <f>IFERROR(__xludf.DUMMYFUNCTION("""COMPUTED_VALUE"""),0.0)</f>
        <v>0</v>
      </c>
    </row>
    <row r="137" ht="15.75" customHeight="1">
      <c r="A137" s="10" t="str">
        <f>IFERROR(__xludf.DUMMYFUNCTION("""COMPUTED_VALUE"""),"https://clutch.co/agencies/ppc/ecommerce-industry")</f>
        <v>https://clutch.co/agencies/ppc/ecommerce-industry</v>
      </c>
      <c r="B137" s="11" t="str">
        <f>IFERROR(__xludf.DUMMYFUNCTION("""COMPUTED_VALUE"""),"Top E-Commerce PPC Companies - Jul 2026 Rankings \| Clutch.co")</f>
        <v>Top E-Commerce PPC Companies - Jul 2026 Rankings \| Clutch.co</v>
      </c>
      <c r="C137" s="10" t="str">
        <f>IFERROR(__xludf.DUMMYFUNCTION("""COMPUTED_VALUE"""),"clutch.co")</f>
        <v>clutch.co</v>
      </c>
      <c r="D137" s="11" t="str">
        <f>IFERROR(__xludf.DUMMYFUNCTION("""COMPUTED_VALUE"""),"CATEGORY_PAGE")</f>
        <v>CATEGORY_PAGE</v>
      </c>
      <c r="E137" s="11" t="str">
        <f>IFERROR(__xludf.DUMMYFUNCTION("""COMPUTED_VALUE"""),"COMPETITOR")</f>
        <v>COMPETITOR</v>
      </c>
      <c r="F137" s="11" t="str">
        <f>IFERROR(__xludf.DUMMYFUNCTION("""COMPUTED_VALUE"""),"Category Page")</f>
        <v>Category Page</v>
      </c>
      <c r="G137" s="11" t="b">
        <f>IFERROR(__xludf.DUMMYFUNCTION("""COMPUTED_VALUE"""),FALSE)</f>
        <v>0</v>
      </c>
      <c r="H137" s="11" t="str">
        <f>IFERROR(__xludf.DUMMYFUNCTION("""COMPUTED_VALUE"""),"Clutch, Disruptive Advertising, KlientBoost, NinjaPromo, AdVenture Media, Elit-Web, HawkSEM, SmartSites, Intero Digital, Storm Brain")</f>
        <v>Clutch, Disruptive Advertising, KlientBoost, NinjaPromo, AdVenture Media, Elit-Web, HawkSEM, SmartSites, Intero Digital, Storm Brain</v>
      </c>
      <c r="I137" s="11">
        <f>IFERROR(__xludf.DUMMYFUNCTION("""COMPUTED_VALUE"""),1.0)</f>
        <v>1</v>
      </c>
      <c r="J137" s="11">
        <f>IFERROR(__xludf.DUMMYFUNCTION("""COMPUTED_VALUE"""),0.0)</f>
        <v>0</v>
      </c>
      <c r="K137" s="11">
        <f>IFERROR(__xludf.DUMMYFUNCTION("""COMPUTED_VALUE"""),0.0)</f>
        <v>0</v>
      </c>
    </row>
    <row r="138" ht="15.75" customHeight="1">
      <c r="A138" s="10" t="str">
        <f>IFERROR(__xludf.DUMMYFUNCTION("""COMPUTED_VALUE"""),"https://clutch.co/us/agencies/branding")</f>
        <v>https://clutch.co/us/agencies/branding</v>
      </c>
      <c r="B138" s="11" t="str">
        <f>IFERROR(__xludf.DUMMYFUNCTION("""COMPUTED_VALUE"""),"Top Branding Agencies in the United States - Jul 2026 Rankings | Clutch.co")</f>
        <v>Top Branding Agencies in the United States - Jul 2026 Rankings | Clutch.co</v>
      </c>
      <c r="C138" s="10" t="str">
        <f>IFERROR(__xludf.DUMMYFUNCTION("""COMPUTED_VALUE"""),"clutch.co")</f>
        <v>clutch.co</v>
      </c>
      <c r="D138" s="11" t="str">
        <f>IFERROR(__xludf.DUMMYFUNCTION("""COMPUTED_VALUE"""),"CATEGORY_PAGE")</f>
        <v>CATEGORY_PAGE</v>
      </c>
      <c r="E138" s="11" t="str">
        <f>IFERROR(__xludf.DUMMYFUNCTION("""COMPUTED_VALUE"""),"COMPETITOR")</f>
        <v>COMPETITOR</v>
      </c>
      <c r="F138" s="11" t="str">
        <f>IFERROR(__xludf.DUMMYFUNCTION("""COMPUTED_VALUE"""),"Category Page")</f>
        <v>Category Page</v>
      </c>
      <c r="G138" s="11" t="b">
        <f>IFERROR(__xludf.DUMMYFUNCTION("""COMPUTED_VALUE"""),FALSE)</f>
        <v>0</v>
      </c>
      <c r="H138" s="11" t="str">
        <f>IFERROR(__xludf.DUMMYFUNCTION("""COMPUTED_VALUE"""),"Clutch, Clay, Huge")</f>
        <v>Clutch, Clay, Huge</v>
      </c>
      <c r="I138" s="11">
        <f>IFERROR(__xludf.DUMMYFUNCTION("""COMPUTED_VALUE"""),1.0)</f>
        <v>1</v>
      </c>
      <c r="J138" s="11">
        <f>IFERROR(__xludf.DUMMYFUNCTION("""COMPUTED_VALUE"""),0.0)</f>
        <v>0</v>
      </c>
      <c r="K138" s="11">
        <f>IFERROR(__xludf.DUMMYFUNCTION("""COMPUTED_VALUE"""),0.0)</f>
        <v>0</v>
      </c>
    </row>
    <row r="139" ht="15.75" customHeight="1">
      <c r="A139" s="10" t="str">
        <f>IFERROR(__xludf.DUMMYFUNCTION("""COMPUTED_VALUE"""),"https://clutch.co/us/agencies/business-services-industry?page=1")</f>
        <v>https://clutch.co/us/agencies/business-services-industry?page=1</v>
      </c>
      <c r="B139" s="11" t="str">
        <f>IFERROR(__xludf.DUMMYFUNCTION("""COMPUTED_VALUE"""),"Page 2 - Top Advertising Agencies for B2B in the United States - Jul 2026 Rankings \| Clutch.co")</f>
        <v>Page 2 - Top Advertising Agencies for B2B in the United States - Jul 2026 Rankings \| Clutch.co</v>
      </c>
      <c r="C139" s="10" t="str">
        <f>IFERROR(__xludf.DUMMYFUNCTION("""COMPUTED_VALUE"""),"clutch.co")</f>
        <v>clutch.co</v>
      </c>
      <c r="D139" s="11" t="str">
        <f>IFERROR(__xludf.DUMMYFUNCTION("""COMPUTED_VALUE"""),"CATEGORY_PAGE")</f>
        <v>CATEGORY_PAGE</v>
      </c>
      <c r="E139" s="11" t="str">
        <f>IFERROR(__xludf.DUMMYFUNCTION("""COMPUTED_VALUE"""),"COMPETITOR")</f>
        <v>COMPETITOR</v>
      </c>
      <c r="F139" s="11" t="str">
        <f>IFERROR(__xludf.DUMMYFUNCTION("""COMPUTED_VALUE"""),"Category Page")</f>
        <v>Category Page</v>
      </c>
      <c r="G139" s="11" t="b">
        <f>IFERROR(__xludf.DUMMYFUNCTION("""COMPUTED_VALUE"""),FALSE)</f>
        <v>0</v>
      </c>
      <c r="H139" s="11" t="str">
        <f>IFERROR(__xludf.DUMMYFUNCTION("""COMPUTED_VALUE"""),"Clutch, NinjaPromo, Power Digital, Huge, Directive")</f>
        <v>Clutch, NinjaPromo, Power Digital, Huge, Directive</v>
      </c>
      <c r="I139" s="11">
        <f>IFERROR(__xludf.DUMMYFUNCTION("""COMPUTED_VALUE"""),1.0)</f>
        <v>1</v>
      </c>
      <c r="J139" s="11">
        <f>IFERROR(__xludf.DUMMYFUNCTION("""COMPUTED_VALUE"""),0.0)</f>
        <v>0</v>
      </c>
      <c r="K139" s="11">
        <f>IFERROR(__xludf.DUMMYFUNCTION("""COMPUTED_VALUE"""),0.0)</f>
        <v>0</v>
      </c>
    </row>
    <row r="140" ht="15.75" customHeight="1">
      <c r="A140" s="10" t="str">
        <f>IFERROR(__xludf.DUMMYFUNCTION("""COMPUTED_VALUE"""),"https://clutch.co/us/agencies/market-research/shopper-marketing")</f>
        <v>https://clutch.co/us/agencies/market-research/shopper-marketing</v>
      </c>
      <c r="B140" s="11" t="str">
        <f>IFERROR(__xludf.DUMMYFUNCTION("""COMPUTED_VALUE"""),"Top Shopper Marketing Agencies in the United States - Jul 2026 Rankings \| Clutch.co")</f>
        <v>Top Shopper Marketing Agencies in the United States - Jul 2026 Rankings \| Clutch.co</v>
      </c>
      <c r="C140" s="10" t="str">
        <f>IFERROR(__xludf.DUMMYFUNCTION("""COMPUTED_VALUE"""),"clutch.co")</f>
        <v>clutch.co</v>
      </c>
      <c r="D140" s="11" t="str">
        <f>IFERROR(__xludf.DUMMYFUNCTION("""COMPUTED_VALUE"""),"CATEGORY_PAGE")</f>
        <v>CATEGORY_PAGE</v>
      </c>
      <c r="E140" s="11" t="str">
        <f>IFERROR(__xludf.DUMMYFUNCTION("""COMPUTED_VALUE"""),"COMPETITOR")</f>
        <v>COMPETITOR</v>
      </c>
      <c r="F140" s="11" t="str">
        <f>IFERROR(__xludf.DUMMYFUNCTION("""COMPUTED_VALUE"""),"Category Page")</f>
        <v>Category Page</v>
      </c>
      <c r="G140" s="11" t="b">
        <f>IFERROR(__xludf.DUMMYFUNCTION("""COMPUTED_VALUE"""),FALSE)</f>
        <v>0</v>
      </c>
      <c r="H140" s="11" t="str">
        <f>IFERROR(__xludf.DUMMYFUNCTION("""COMPUTED_VALUE"""),"Clutch, Epsilon, VML, Circana")</f>
        <v>Clutch, Epsilon, VML, Circana</v>
      </c>
      <c r="I140" s="11">
        <f>IFERROR(__xludf.DUMMYFUNCTION("""COMPUTED_VALUE"""),1.0)</f>
        <v>1</v>
      </c>
      <c r="J140" s="11">
        <f>IFERROR(__xludf.DUMMYFUNCTION("""COMPUTED_VALUE"""),0.0)</f>
        <v>0</v>
      </c>
      <c r="K140" s="11">
        <f>IFERROR(__xludf.DUMMYFUNCTION("""COMPUTED_VALUE"""),0.0)</f>
        <v>0</v>
      </c>
    </row>
    <row r="141" ht="15.75" customHeight="1">
      <c r="A141" s="10" t="str">
        <f>IFERROR(__xludf.DUMMYFUNCTION("""COMPUTED_VALUE"""),"https://clutch.co/us/agencies/ppc/display%3Fpage%3D8")</f>
        <v>https://clutch.co/us/agencies/ppc/display%3Fpage%3D8</v>
      </c>
      <c r="B141" s="11" t="str">
        <f>IFERROR(__xludf.DUMMYFUNCTION("""COMPUTED_VALUE"""),"Top Display Advertising Agencies in the United States - Jul 2026 Rankings \| Clutch.co")</f>
        <v>Top Display Advertising Agencies in the United States - Jul 2026 Rankings \| Clutch.co</v>
      </c>
      <c r="C141" s="10" t="str">
        <f>IFERROR(__xludf.DUMMYFUNCTION("""COMPUTED_VALUE"""),"clutch.co")</f>
        <v>clutch.co</v>
      </c>
      <c r="D141" s="11" t="str">
        <f>IFERROR(__xludf.DUMMYFUNCTION("""COMPUTED_VALUE"""),"CATEGORY_PAGE")</f>
        <v>CATEGORY_PAGE</v>
      </c>
      <c r="E141" s="11" t="str">
        <f>IFERROR(__xludf.DUMMYFUNCTION("""COMPUTED_VALUE"""),"COMPETITOR")</f>
        <v>COMPETITOR</v>
      </c>
      <c r="F141" s="11" t="str">
        <f>IFERROR(__xludf.DUMMYFUNCTION("""COMPUTED_VALUE"""),"Category Page")</f>
        <v>Category Page</v>
      </c>
      <c r="G141" s="11" t="b">
        <f>IFERROR(__xludf.DUMMYFUNCTION("""COMPUTED_VALUE"""),FALSE)</f>
        <v>0</v>
      </c>
      <c r="H141" s="11" t="str">
        <f>IFERROR(__xludf.DUMMYFUNCTION("""COMPUTED_VALUE"""),"Clutch, Elit-Web, AdVenture Media, Storm Brain")</f>
        <v>Clutch, Elit-Web, AdVenture Media, Storm Brain</v>
      </c>
      <c r="I141" s="11">
        <f>IFERROR(__xludf.DUMMYFUNCTION("""COMPUTED_VALUE"""),1.0)</f>
        <v>1</v>
      </c>
      <c r="J141" s="11">
        <f>IFERROR(__xludf.DUMMYFUNCTION("""COMPUTED_VALUE"""),0.0)</f>
        <v>0</v>
      </c>
      <c r="K141" s="11">
        <f>IFERROR(__xludf.DUMMYFUNCTION("""COMPUTED_VALUE"""),0.0)</f>
        <v>0</v>
      </c>
    </row>
    <row r="142" ht="15.75" customHeight="1">
      <c r="A142" s="10" t="str">
        <f>IFERROR(__xludf.DUMMYFUNCTION("""COMPUTED_VALUE"""),"https://clutch.co/us/agencies/ppc/display?page=16")</f>
        <v>https://clutch.co/us/agencies/ppc/display?page=16</v>
      </c>
      <c r="B142" s="11" t="str">
        <f>IFERROR(__xludf.DUMMYFUNCTION("""COMPUTED_VALUE"""),"Page 16 - Top Display Advertising Agencies in the United States - Jul 2026 Rankings \| Clutch.co")</f>
        <v>Page 16 - Top Display Advertising Agencies in the United States - Jul 2026 Rankings \| Clutch.co</v>
      </c>
      <c r="C142" s="10" t="str">
        <f>IFERROR(__xludf.DUMMYFUNCTION("""COMPUTED_VALUE"""),"clutch.co")</f>
        <v>clutch.co</v>
      </c>
      <c r="D142" s="11" t="str">
        <f>IFERROR(__xludf.DUMMYFUNCTION("""COMPUTED_VALUE"""),"CATEGORY_PAGE")</f>
        <v>CATEGORY_PAGE</v>
      </c>
      <c r="E142" s="11" t="str">
        <f>IFERROR(__xludf.DUMMYFUNCTION("""COMPUTED_VALUE"""),"COMPETITOR")</f>
        <v>COMPETITOR</v>
      </c>
      <c r="F142" s="11" t="str">
        <f>IFERROR(__xludf.DUMMYFUNCTION("""COMPUTED_VALUE"""),"Category Page")</f>
        <v>Category Page</v>
      </c>
      <c r="G142" s="11" t="b">
        <f>IFERROR(__xludf.DUMMYFUNCTION("""COMPUTED_VALUE"""),FALSE)</f>
        <v>0</v>
      </c>
      <c r="H142" s="11" t="str">
        <f>IFERROR(__xludf.DUMMYFUNCTION("""COMPUTED_VALUE"""),"Clutch, Elit-Web, AdVenture Media, Storm Brain, Huge, Go Fish Digital, NoGood, Tinuiti")</f>
        <v>Clutch, Elit-Web, AdVenture Media, Storm Brain, Huge, Go Fish Digital, NoGood, Tinuiti</v>
      </c>
      <c r="I142" s="11">
        <f>IFERROR(__xludf.DUMMYFUNCTION("""COMPUTED_VALUE"""),1.0)</f>
        <v>1</v>
      </c>
      <c r="J142" s="11">
        <f>IFERROR(__xludf.DUMMYFUNCTION("""COMPUTED_VALUE"""),0.0)</f>
        <v>0</v>
      </c>
      <c r="K142" s="11">
        <f>IFERROR(__xludf.DUMMYFUNCTION("""COMPUTED_VALUE"""),0.0)</f>
        <v>0</v>
      </c>
    </row>
    <row r="143" ht="15.75" customHeight="1">
      <c r="A143" s="10" t="str">
        <f>IFERROR(__xludf.DUMMYFUNCTION("""COMPUTED_VALUE"""),"https://clutch.co/us/agencies/ppc/ecommerce-industry")</f>
        <v>https://clutch.co/us/agencies/ppc/ecommerce-industry</v>
      </c>
      <c r="B143" s="11" t="str">
        <f>IFERROR(__xludf.DUMMYFUNCTION("""COMPUTED_VALUE"""),"Top PPC Agencies for E-Commerce Companies in the United States - Jul 2026 Rankings | Clutch.co")</f>
        <v>Top PPC Agencies for E-Commerce Companies in the United States - Jul 2026 Rankings | Clutch.co</v>
      </c>
      <c r="C143" s="10" t="str">
        <f>IFERROR(__xludf.DUMMYFUNCTION("""COMPUTED_VALUE"""),"clutch.co")</f>
        <v>clutch.co</v>
      </c>
      <c r="D143" s="11" t="str">
        <f>IFERROR(__xludf.DUMMYFUNCTION("""COMPUTED_VALUE"""),"CATEGORY_PAGE")</f>
        <v>CATEGORY_PAGE</v>
      </c>
      <c r="E143" s="11" t="str">
        <f>IFERROR(__xludf.DUMMYFUNCTION("""COMPUTED_VALUE"""),"COMPETITOR")</f>
        <v>COMPETITOR</v>
      </c>
      <c r="F143" s="11" t="str">
        <f>IFERROR(__xludf.DUMMYFUNCTION("""COMPUTED_VALUE"""),"Category Page")</f>
        <v>Category Page</v>
      </c>
      <c r="G143" s="11" t="b">
        <f>IFERROR(__xludf.DUMMYFUNCTION("""COMPUTED_VALUE"""),FALSE)</f>
        <v>0</v>
      </c>
      <c r="H143" s="11" t="str">
        <f>IFERROR(__xludf.DUMMYFUNCTION("""COMPUTED_VALUE"""),"Clutch, KlientBoost, Disruptive Advertising, AdVenture Media, Elit-Web, HawkSEM, SmartSites, Intero Digital, Storm Brain, Acadia")</f>
        <v>Clutch, KlientBoost, Disruptive Advertising, AdVenture Media, Elit-Web, HawkSEM, SmartSites, Intero Digital, Storm Brain, Acadia</v>
      </c>
      <c r="I143" s="11">
        <f>IFERROR(__xludf.DUMMYFUNCTION("""COMPUTED_VALUE"""),1.0)</f>
        <v>1</v>
      </c>
      <c r="J143" s="11">
        <f>IFERROR(__xludf.DUMMYFUNCTION("""COMPUTED_VALUE"""),0.0)</f>
        <v>0</v>
      </c>
      <c r="K143" s="11">
        <f>IFERROR(__xludf.DUMMYFUNCTION("""COMPUTED_VALUE"""),1.0)</f>
        <v>1</v>
      </c>
    </row>
    <row r="144" ht="15.75" customHeight="1">
      <c r="A144" s="10" t="str">
        <f>IFERROR(__xludf.DUMMYFUNCTION("""COMPUTED_VALUE"""),"https://clutch.co/us/agencies/ppc/google-adwords%3Fpage%3D16")</f>
        <v>https://clutch.co/us/agencies/ppc/google-adwords%3Fpage%3D16</v>
      </c>
      <c r="B144" s="11" t="str">
        <f>IFERROR(__xludf.DUMMYFUNCTION("""COMPUTED_VALUE"""),"Top Adwords PPC Agencies in the United States - Jul 2026 Rankings \| Clutch.co")</f>
        <v>Top Adwords PPC Agencies in the United States - Jul 2026 Rankings \| Clutch.co</v>
      </c>
      <c r="C144" s="10" t="str">
        <f>IFERROR(__xludf.DUMMYFUNCTION("""COMPUTED_VALUE"""),"clutch.co")</f>
        <v>clutch.co</v>
      </c>
      <c r="D144" s="11" t="str">
        <f>IFERROR(__xludf.DUMMYFUNCTION("""COMPUTED_VALUE"""),"CATEGORY_PAGE")</f>
        <v>CATEGORY_PAGE</v>
      </c>
      <c r="E144" s="11" t="str">
        <f>IFERROR(__xludf.DUMMYFUNCTION("""COMPUTED_VALUE"""),"COMPETITOR")</f>
        <v>COMPETITOR</v>
      </c>
      <c r="F144" s="11" t="str">
        <f>IFERROR(__xludf.DUMMYFUNCTION("""COMPUTED_VALUE"""),"Category Page")</f>
        <v>Category Page</v>
      </c>
      <c r="G144" s="11" t="b">
        <f>IFERROR(__xludf.DUMMYFUNCTION("""COMPUTED_VALUE"""),FALSE)</f>
        <v>0</v>
      </c>
      <c r="H144" s="11" t="str">
        <f>IFERROR(__xludf.DUMMYFUNCTION("""COMPUTED_VALUE"""),"Clutch, KlientBoost, Disruptive Advertising, AdVenture Media, HawkSEM, SmartSites, Intero Digital, Elit-Web, Accelerated Digital Media, Ignite Visibility, Searchbloom, Funnel Boost Media")</f>
        <v>Clutch, KlientBoost, Disruptive Advertising, AdVenture Media, HawkSEM, SmartSites, Intero Digital, Elit-Web, Accelerated Digital Media, Ignite Visibility, Searchbloom, Funnel Boost Media</v>
      </c>
      <c r="I144" s="11">
        <f>IFERROR(__xludf.DUMMYFUNCTION("""COMPUTED_VALUE"""),1.0)</f>
        <v>1</v>
      </c>
      <c r="J144" s="11">
        <f>IFERROR(__xludf.DUMMYFUNCTION("""COMPUTED_VALUE"""),0.0)</f>
        <v>0</v>
      </c>
      <c r="K144" s="11">
        <f>IFERROR(__xludf.DUMMYFUNCTION("""COMPUTED_VALUE"""),0.0)</f>
        <v>0</v>
      </c>
    </row>
    <row r="145" ht="15.75" customHeight="1">
      <c r="A145" s="10" t="str">
        <f>IFERROR(__xludf.DUMMYFUNCTION("""COMPUTED_VALUE"""),"https://clutch.co/us/agencies/programmatic%3Fpage%3D2")</f>
        <v>https://clutch.co/us/agencies/programmatic%3Fpage%3D2</v>
      </c>
      <c r="B145" s="11" t="str">
        <f>IFERROR(__xludf.DUMMYFUNCTION("""COMPUTED_VALUE"""),"Top Programmatic Advertising Agencies in the United States - Jul 2026 Rankings \| Clutch.co")</f>
        <v>Top Programmatic Advertising Agencies in the United States - Jul 2026 Rankings \| Clutch.co</v>
      </c>
      <c r="C145" s="10" t="str">
        <f>IFERROR(__xludf.DUMMYFUNCTION("""COMPUTED_VALUE"""),"clutch.co")</f>
        <v>clutch.co</v>
      </c>
      <c r="D145" s="11" t="str">
        <f>IFERROR(__xludf.DUMMYFUNCTION("""COMPUTED_VALUE"""),"CATEGORY_PAGE")</f>
        <v>CATEGORY_PAGE</v>
      </c>
      <c r="E145" s="11" t="str">
        <f>IFERROR(__xludf.DUMMYFUNCTION("""COMPUTED_VALUE"""),"COMPETITOR")</f>
        <v>COMPETITOR</v>
      </c>
      <c r="F145" s="11" t="str">
        <f>IFERROR(__xludf.DUMMYFUNCTION("""COMPUTED_VALUE"""),"Category Page")</f>
        <v>Category Page</v>
      </c>
      <c r="G145" s="11" t="b">
        <f>IFERROR(__xludf.DUMMYFUNCTION("""COMPUTED_VALUE"""),FALSE)</f>
        <v>0</v>
      </c>
      <c r="H145" s="11" t="str">
        <f>IFERROR(__xludf.DUMMYFUNCTION("""COMPUTED_VALUE"""),"Clutch, SmartSites, Funnel Boost Media, LYFE Marketing, AdVenture Media, Accelerated Digital Media, Storm Brain")</f>
        <v>Clutch, SmartSites, Funnel Boost Media, LYFE Marketing, AdVenture Media, Accelerated Digital Media, Storm Brain</v>
      </c>
      <c r="I145" s="11">
        <f>IFERROR(__xludf.DUMMYFUNCTION("""COMPUTED_VALUE"""),1.0)</f>
        <v>1</v>
      </c>
      <c r="J145" s="11">
        <f>IFERROR(__xludf.DUMMYFUNCTION("""COMPUTED_VALUE"""),0.0)</f>
        <v>0</v>
      </c>
      <c r="K145" s="11">
        <f>IFERROR(__xludf.DUMMYFUNCTION("""COMPUTED_VALUE"""),0.0)</f>
        <v>0</v>
      </c>
    </row>
    <row r="146" ht="15.75" customHeight="1">
      <c r="A146" s="10" t="str">
        <f>IFERROR(__xludf.DUMMYFUNCTION("""COMPUTED_VALUE"""),"https://clutch.co/us/agencies/programmatic%3Fpage%3D3")</f>
        <v>https://clutch.co/us/agencies/programmatic%3Fpage%3D3</v>
      </c>
      <c r="B146" s="11" t="str">
        <f>IFERROR(__xludf.DUMMYFUNCTION("""COMPUTED_VALUE"""),"Top Programmatic Advertising Agencies in the United States - Jul 2026 Rankings \| Clutch.co")</f>
        <v>Top Programmatic Advertising Agencies in the United States - Jul 2026 Rankings \| Clutch.co</v>
      </c>
      <c r="C146" s="10" t="str">
        <f>IFERROR(__xludf.DUMMYFUNCTION("""COMPUTED_VALUE"""),"clutch.co")</f>
        <v>clutch.co</v>
      </c>
      <c r="D146" s="11" t="str">
        <f>IFERROR(__xludf.DUMMYFUNCTION("""COMPUTED_VALUE"""),"CATEGORY_PAGE")</f>
        <v>CATEGORY_PAGE</v>
      </c>
      <c r="E146" s="11" t="str">
        <f>IFERROR(__xludf.DUMMYFUNCTION("""COMPUTED_VALUE"""),"COMPETITOR")</f>
        <v>COMPETITOR</v>
      </c>
      <c r="F146" s="11" t="str">
        <f>IFERROR(__xludf.DUMMYFUNCTION("""COMPUTED_VALUE"""),"Category Page")</f>
        <v>Category Page</v>
      </c>
      <c r="G146" s="11" t="b">
        <f>IFERROR(__xludf.DUMMYFUNCTION("""COMPUTED_VALUE"""),FALSE)</f>
        <v>0</v>
      </c>
      <c r="H146" s="11" t="str">
        <f>IFERROR(__xludf.DUMMYFUNCTION("""COMPUTED_VALUE"""),"Clutch, SmartSites, Funnel Boost Media, LYFE Marketing, AdVenture Media, Accelerated Digital Media, Storm Brain")</f>
        <v>Clutch, SmartSites, Funnel Boost Media, LYFE Marketing, AdVenture Media, Accelerated Digital Media, Storm Brain</v>
      </c>
      <c r="I146" s="11">
        <f>IFERROR(__xludf.DUMMYFUNCTION("""COMPUTED_VALUE"""),1.0)</f>
        <v>1</v>
      </c>
      <c r="J146" s="11">
        <f>IFERROR(__xludf.DUMMYFUNCTION("""COMPUTED_VALUE"""),0.0)</f>
        <v>0</v>
      </c>
      <c r="K146" s="11">
        <f>IFERROR(__xludf.DUMMYFUNCTION("""COMPUTED_VALUE"""),0.0)</f>
        <v>0</v>
      </c>
    </row>
    <row r="147" ht="15.75" customHeight="1">
      <c r="A147" s="10" t="str">
        <f>IFERROR(__xludf.DUMMYFUNCTION("""COMPUTED_VALUE"""),"https://clutch.co/us/agencies/programmatic%3Fpage%3D7")</f>
        <v>https://clutch.co/us/agencies/programmatic%3Fpage%3D7</v>
      </c>
      <c r="B147" s="11" t="str">
        <f>IFERROR(__xludf.DUMMYFUNCTION("""COMPUTED_VALUE"""),"Top Programmatic Advertising Agencies in the United States - Jul 2026 Rankings \| Clutch.co")</f>
        <v>Top Programmatic Advertising Agencies in the United States - Jul 2026 Rankings \| Clutch.co</v>
      </c>
      <c r="C147" s="10" t="str">
        <f>IFERROR(__xludf.DUMMYFUNCTION("""COMPUTED_VALUE"""),"clutch.co")</f>
        <v>clutch.co</v>
      </c>
      <c r="D147" s="11" t="str">
        <f>IFERROR(__xludf.DUMMYFUNCTION("""COMPUTED_VALUE"""),"CATEGORY_PAGE")</f>
        <v>CATEGORY_PAGE</v>
      </c>
      <c r="E147" s="11" t="str">
        <f>IFERROR(__xludf.DUMMYFUNCTION("""COMPUTED_VALUE"""),"COMPETITOR")</f>
        <v>COMPETITOR</v>
      </c>
      <c r="F147" s="11" t="str">
        <f>IFERROR(__xludf.DUMMYFUNCTION("""COMPUTED_VALUE"""),"Category Page")</f>
        <v>Category Page</v>
      </c>
      <c r="G147" s="11" t="b">
        <f>IFERROR(__xludf.DUMMYFUNCTION("""COMPUTED_VALUE"""),FALSE)</f>
        <v>0</v>
      </c>
      <c r="H147" s="11" t="str">
        <f>IFERROR(__xludf.DUMMYFUNCTION("""COMPUTED_VALUE"""),"Clutch, SmartSites, Funnel Boost Media, LYFE Marketing, AdVenture Media, Accelerated Digital Media, Storm Brain")</f>
        <v>Clutch, SmartSites, Funnel Boost Media, LYFE Marketing, AdVenture Media, Accelerated Digital Media, Storm Brain</v>
      </c>
      <c r="I147" s="11">
        <f>IFERROR(__xludf.DUMMYFUNCTION("""COMPUTED_VALUE"""),1.0)</f>
        <v>1</v>
      </c>
      <c r="J147" s="11">
        <f>IFERROR(__xludf.DUMMYFUNCTION("""COMPUTED_VALUE"""),0.0)</f>
        <v>0</v>
      </c>
      <c r="K147" s="11">
        <f>IFERROR(__xludf.DUMMYFUNCTION("""COMPUTED_VALUE"""),0.0)</f>
        <v>0</v>
      </c>
    </row>
    <row r="148" ht="15.75" customHeight="1">
      <c r="A148" s="10" t="str">
        <f>IFERROR(__xludf.DUMMYFUNCTION("""COMPUTED_VALUE"""),"https://clutch.co/us/agencies/social-media-marketing/influencer/tiktok")</f>
        <v>https://clutch.co/us/agencies/social-media-marketing/influencer/tiktok</v>
      </c>
      <c r="B148" s="11" t="str">
        <f>IFERROR(__xludf.DUMMYFUNCTION("""COMPUTED_VALUE"""),"Top TikTok Influencer Marketing Agencies in the United States - Jul 2026 Rankings \| Clutch.co")</f>
        <v>Top TikTok Influencer Marketing Agencies in the United States - Jul 2026 Rankings \| Clutch.co</v>
      </c>
      <c r="C148" s="10" t="str">
        <f>IFERROR(__xludf.DUMMYFUNCTION("""COMPUTED_VALUE"""),"clutch.co")</f>
        <v>clutch.co</v>
      </c>
      <c r="D148" s="11" t="str">
        <f>IFERROR(__xludf.DUMMYFUNCTION("""COMPUTED_VALUE"""),"CATEGORY_PAGE")</f>
        <v>CATEGORY_PAGE</v>
      </c>
      <c r="E148" s="11" t="str">
        <f>IFERROR(__xludf.DUMMYFUNCTION("""COMPUTED_VALUE"""),"COMPETITOR")</f>
        <v>COMPETITOR</v>
      </c>
      <c r="F148" s="11" t="str">
        <f>IFERROR(__xludf.DUMMYFUNCTION("""COMPUTED_VALUE"""),"Category Page")</f>
        <v>Category Page</v>
      </c>
      <c r="G148" s="11" t="b">
        <f>IFERROR(__xludf.DUMMYFUNCTION("""COMPUTED_VALUE"""),FALSE)</f>
        <v>0</v>
      </c>
      <c r="H148" s="11" t="str">
        <f>IFERROR(__xludf.DUMMYFUNCTION("""COMPUTED_VALUE"""),"Clutch, SmartSites, Sociallyin, Elit-Web, Acadia, Disruptive Advertising, Brighter Click, AdVenture Media, Measured")</f>
        <v>Clutch, SmartSites, Sociallyin, Elit-Web, Acadia, Disruptive Advertising, Brighter Click, AdVenture Media, Measured</v>
      </c>
      <c r="I148" s="11">
        <f>IFERROR(__xludf.DUMMYFUNCTION("""COMPUTED_VALUE"""),1.0)</f>
        <v>1</v>
      </c>
      <c r="J148" s="11">
        <f>IFERROR(__xludf.DUMMYFUNCTION("""COMPUTED_VALUE"""),0.0)</f>
        <v>0</v>
      </c>
      <c r="K148" s="11">
        <f>IFERROR(__xludf.DUMMYFUNCTION("""COMPUTED_VALUE"""),0.0)</f>
        <v>0</v>
      </c>
    </row>
    <row r="149" ht="15.75" customHeight="1">
      <c r="A149" s="10" t="str">
        <f>IFERROR(__xludf.DUMMYFUNCTION("""COMPUTED_VALUE"""),"https://clutch.co/us/agencies/social-media-marketing/tik-tok")</f>
        <v>https://clutch.co/us/agencies/social-media-marketing/tik-tok</v>
      </c>
      <c r="B149" s="11" t="str">
        <f>IFERROR(__xludf.DUMMYFUNCTION("""COMPUTED_VALUE"""),"Top TikTok Advertising Agencies in the United States - Jul 2026 Rankings \| Clutch.co")</f>
        <v>Top TikTok Advertising Agencies in the United States - Jul 2026 Rankings \| Clutch.co</v>
      </c>
      <c r="C149" s="10" t="str">
        <f>IFERROR(__xludf.DUMMYFUNCTION("""COMPUTED_VALUE"""),"clutch.co")</f>
        <v>clutch.co</v>
      </c>
      <c r="D149" s="11" t="str">
        <f>IFERROR(__xludf.DUMMYFUNCTION("""COMPUTED_VALUE"""),"CATEGORY_PAGE")</f>
        <v>CATEGORY_PAGE</v>
      </c>
      <c r="E149" s="11" t="str">
        <f>IFERROR(__xludf.DUMMYFUNCTION("""COMPUTED_VALUE"""),"COMPETITOR")</f>
        <v>COMPETITOR</v>
      </c>
      <c r="F149" s="11" t="str">
        <f>IFERROR(__xludf.DUMMYFUNCTION("""COMPUTED_VALUE"""),"Category Page")</f>
        <v>Category Page</v>
      </c>
      <c r="G149" s="11" t="b">
        <f>IFERROR(__xludf.DUMMYFUNCTION("""COMPUTED_VALUE"""),FALSE)</f>
        <v>0</v>
      </c>
      <c r="H149" s="11" t="str">
        <f>IFERROR(__xludf.DUMMYFUNCTION("""COMPUTED_VALUE"""),"Clutch, Sociallyin, Elit-Web, SmartSites, Viral Nation, Acadia, HawkSEM, Momentum, Accelerated Digital Media")</f>
        <v>Clutch, Sociallyin, Elit-Web, SmartSites, Viral Nation, Acadia, HawkSEM, Momentum, Accelerated Digital Media</v>
      </c>
      <c r="I149" s="11">
        <f>IFERROR(__xludf.DUMMYFUNCTION("""COMPUTED_VALUE"""),1.0)</f>
        <v>1</v>
      </c>
      <c r="J149" s="11">
        <f>IFERROR(__xludf.DUMMYFUNCTION("""COMPUTED_VALUE"""),0.0)</f>
        <v>0</v>
      </c>
      <c r="K149" s="11">
        <f>IFERROR(__xludf.DUMMYFUNCTION("""COMPUTED_VALUE"""),6.0)</f>
        <v>6</v>
      </c>
    </row>
    <row r="150" ht="15.75" customHeight="1">
      <c r="A150" s="10" t="str">
        <f>IFERROR(__xludf.DUMMYFUNCTION("""COMPUTED_VALUE"""),"https://clutch.co/us/consulting/ai/maturation?page=6")</f>
        <v>https://clutch.co/us/consulting/ai/maturation?page=6</v>
      </c>
      <c r="B150" s="11" t="str">
        <f>IFERROR(__xludf.DUMMYFUNCTION("""COMPUTED_VALUE"""),"Page 6 - Top AI Maturation Services in the United States - Jul 2026 Rankings | Clutch.co")</f>
        <v>Page 6 - Top AI Maturation Services in the United States - Jul 2026 Rankings | Clutch.co</v>
      </c>
      <c r="C150" s="10" t="str">
        <f>IFERROR(__xludf.DUMMYFUNCTION("""COMPUTED_VALUE"""),"clutch.co")</f>
        <v>clutch.co</v>
      </c>
      <c r="D150" s="11" t="str">
        <f>IFERROR(__xludf.DUMMYFUNCTION("""COMPUTED_VALUE"""),"CATEGORY_PAGE")</f>
        <v>CATEGORY_PAGE</v>
      </c>
      <c r="E150" s="11" t="str">
        <f>IFERROR(__xludf.DUMMYFUNCTION("""COMPUTED_VALUE"""),"COMPETITOR")</f>
        <v>COMPETITOR</v>
      </c>
      <c r="F150" s="11" t="str">
        <f>IFERROR(__xludf.DUMMYFUNCTION("""COMPUTED_VALUE"""),"Category Page")</f>
        <v>Category Page</v>
      </c>
      <c r="G150" s="11" t="b">
        <f>IFERROR(__xludf.DUMMYFUNCTION("""COMPUTED_VALUE"""),FALSE)</f>
        <v>0</v>
      </c>
      <c r="H150" s="11" t="str">
        <f>IFERROR(__xludf.DUMMYFUNCTION("""COMPUTED_VALUE"""),"Clutch, Go Fish Digital")</f>
        <v>Clutch, Go Fish Digital</v>
      </c>
      <c r="I150" s="11">
        <f>IFERROR(__xludf.DUMMYFUNCTION("""COMPUTED_VALUE"""),1.0)</f>
        <v>1</v>
      </c>
      <c r="J150" s="11">
        <f>IFERROR(__xludf.DUMMYFUNCTION("""COMPUTED_VALUE"""),0.0)</f>
        <v>0</v>
      </c>
      <c r="K150" s="11">
        <f>IFERROR(__xludf.DUMMYFUNCTION("""COMPUTED_VALUE"""),0.0)</f>
        <v>0</v>
      </c>
    </row>
    <row r="151" ht="15.75" customHeight="1">
      <c r="A151" s="10" t="str">
        <f>IFERROR(__xludf.DUMMYFUNCTION("""COMPUTED_VALUE"""),"https://clutch.co/us/developers/artificial-intelligence")</f>
        <v>https://clutch.co/us/developers/artificial-intelligence</v>
      </c>
      <c r="B151" s="11" t="str">
        <f>IFERROR(__xludf.DUMMYFUNCTION("""COMPUTED_VALUE"""),"Top Artificial Intelligence Companies in the United States - Jul 2026 Rankings | Clutch.co")</f>
        <v>Top Artificial Intelligence Companies in the United States - Jul 2026 Rankings | Clutch.co</v>
      </c>
      <c r="C151" s="10" t="str">
        <f>IFERROR(__xludf.DUMMYFUNCTION("""COMPUTED_VALUE"""),"clutch.co")</f>
        <v>clutch.co</v>
      </c>
      <c r="D151" s="11" t="str">
        <f>IFERROR(__xludf.DUMMYFUNCTION("""COMPUTED_VALUE"""),"CATEGORY_PAGE")</f>
        <v>CATEGORY_PAGE</v>
      </c>
      <c r="E151" s="11" t="str">
        <f>IFERROR(__xludf.DUMMYFUNCTION("""COMPUTED_VALUE"""),"COMPETITOR")</f>
        <v>COMPETITOR</v>
      </c>
      <c r="F151" s="11" t="str">
        <f>IFERROR(__xludf.DUMMYFUNCTION("""COMPUTED_VALUE"""),"Category Page")</f>
        <v>Category Page</v>
      </c>
      <c r="G151" s="11" t="b">
        <f>IFERROR(__xludf.DUMMYFUNCTION("""COMPUTED_VALUE"""),FALSE)</f>
        <v>0</v>
      </c>
      <c r="H151" s="11" t="str">
        <f>IFERROR(__xludf.DUMMYFUNCTION("""COMPUTED_VALUE"""),"Clutch, Momentum, Huge")</f>
        <v>Clutch, Momentum, Huge</v>
      </c>
      <c r="I151" s="11">
        <f>IFERROR(__xludf.DUMMYFUNCTION("""COMPUTED_VALUE"""),1.0)</f>
        <v>1</v>
      </c>
      <c r="J151" s="11">
        <f>IFERROR(__xludf.DUMMYFUNCTION("""COMPUTED_VALUE"""),0.0)</f>
        <v>0</v>
      </c>
      <c r="K151" s="11">
        <f>IFERROR(__xludf.DUMMYFUNCTION("""COMPUTED_VALUE"""),0.0)</f>
        <v>0</v>
      </c>
    </row>
    <row r="152" ht="15.75" customHeight="1">
      <c r="A152" s="10" t="str">
        <f>IFERROR(__xludf.DUMMYFUNCTION("""COMPUTED_VALUE"""),"https://clutch.co/us/seo-firms")</f>
        <v>https://clutch.co/us/seo-firms</v>
      </c>
      <c r="B152" s="11" t="str">
        <f>IFERROR(__xludf.DUMMYFUNCTION("""COMPUTED_VALUE"""),"Top SEO Agencies in the United States - Jul 2026 Rankings \| Clutch.co")</f>
        <v>Top SEO Agencies in the United States - Jul 2026 Rankings \| Clutch.co</v>
      </c>
      <c r="C152" s="10" t="str">
        <f>IFERROR(__xludf.DUMMYFUNCTION("""COMPUTED_VALUE"""),"clutch.co")</f>
        <v>clutch.co</v>
      </c>
      <c r="D152" s="11" t="str">
        <f>IFERROR(__xludf.DUMMYFUNCTION("""COMPUTED_VALUE"""),"CATEGORY_PAGE")</f>
        <v>CATEGORY_PAGE</v>
      </c>
      <c r="E152" s="11" t="str">
        <f>IFERROR(__xludf.DUMMYFUNCTION("""COMPUTED_VALUE"""),"COMPETITOR")</f>
        <v>COMPETITOR</v>
      </c>
      <c r="F152" s="11" t="str">
        <f>IFERROR(__xludf.DUMMYFUNCTION("""COMPUTED_VALUE"""),"Category Page")</f>
        <v>Category Page</v>
      </c>
      <c r="G152" s="11" t="b">
        <f>IFERROR(__xludf.DUMMYFUNCTION("""COMPUTED_VALUE"""),FALSE)</f>
        <v>0</v>
      </c>
      <c r="H152" s="11" t="str">
        <f>IFERROR(__xludf.DUMMYFUNCTION("""COMPUTED_VALUE"""),"Clutch, Funnel Boost Media, SmartSites, Victorious, Acadia, WebFX, Intero Digital, Ignite Visibility, Elit-Web, Searchbloom, Thrive Internet Marketing Agency, HawkSEM, KlientBoost, Disruptive Advertising, Storm Brain, Digital Authority Partners, RevenueZe"&amp;"n")</f>
        <v>Clutch, Funnel Boost Media, SmartSites, Victorious, Acadia, WebFX, Intero Digital, Ignite Visibility, Elit-Web, Searchbloom, Thrive Internet Marketing Agency, HawkSEM, KlientBoost, Disruptive Advertising, Storm Brain, Digital Authority Partners, RevenueZen</v>
      </c>
      <c r="I152" s="11">
        <f>IFERROR(__xludf.DUMMYFUNCTION("""COMPUTED_VALUE"""),1.0)</f>
        <v>1</v>
      </c>
      <c r="J152" s="11">
        <f>IFERROR(__xludf.DUMMYFUNCTION("""COMPUTED_VALUE"""),0.0)</f>
        <v>0</v>
      </c>
      <c r="K152" s="11">
        <f>IFERROR(__xludf.DUMMYFUNCTION("""COMPUTED_VALUE"""),0.0)</f>
        <v>0</v>
      </c>
    </row>
    <row r="153" ht="15.75" customHeight="1">
      <c r="A153" s="10" t="str">
        <f>IFERROR(__xludf.DUMMYFUNCTION("""COMPUTED_VALUE"""),"https://clutch.co/us/seo-firms/international")</f>
        <v>https://clutch.co/us/seo-firms/international</v>
      </c>
      <c r="B153" s="11" t="str">
        <f>IFERROR(__xludf.DUMMYFUNCTION("""COMPUTED_VALUE"""),"Top International SEO Agencies in the United States - Jul 2026 Rankings \| Clutch.co")</f>
        <v>Top International SEO Agencies in the United States - Jul 2026 Rankings \| Clutch.co</v>
      </c>
      <c r="C153" s="10" t="str">
        <f>IFERROR(__xludf.DUMMYFUNCTION("""COMPUTED_VALUE"""),"clutch.co")</f>
        <v>clutch.co</v>
      </c>
      <c r="D153" s="11" t="str">
        <f>IFERROR(__xludf.DUMMYFUNCTION("""COMPUTED_VALUE"""),"CATEGORY_PAGE")</f>
        <v>CATEGORY_PAGE</v>
      </c>
      <c r="E153" s="11" t="str">
        <f>IFERROR(__xludf.DUMMYFUNCTION("""COMPUTED_VALUE"""),"COMPETITOR")</f>
        <v>COMPETITOR</v>
      </c>
      <c r="F153" s="11" t="str">
        <f>IFERROR(__xludf.DUMMYFUNCTION("""COMPUTED_VALUE"""),"Category Page")</f>
        <v>Category Page</v>
      </c>
      <c r="G153" s="11" t="b">
        <f>IFERROR(__xludf.DUMMYFUNCTION("""COMPUTED_VALUE"""),FALSE)</f>
        <v>0</v>
      </c>
      <c r="H153" s="11" t="str">
        <f>IFERROR(__xludf.DUMMYFUNCTION("""COMPUTED_VALUE"""),"Clutch, Elit-Web, Searchbloom, Storm Brain, Acadia, NinjaPromo")</f>
        <v>Clutch, Elit-Web, Searchbloom, Storm Brain, Acadia, NinjaPromo</v>
      </c>
      <c r="I153" s="11">
        <f>IFERROR(__xludf.DUMMYFUNCTION("""COMPUTED_VALUE"""),1.0)</f>
        <v>1</v>
      </c>
      <c r="J153" s="11">
        <f>IFERROR(__xludf.DUMMYFUNCTION("""COMPUTED_VALUE"""),0.0)</f>
        <v>0</v>
      </c>
      <c r="K153" s="11">
        <f>IFERROR(__xludf.DUMMYFUNCTION("""COMPUTED_VALUE"""),1.0)</f>
        <v>1</v>
      </c>
    </row>
    <row r="154" ht="15.75" customHeight="1">
      <c r="A154" s="10" t="str">
        <f>IFERROR(__xludf.DUMMYFUNCTION("""COMPUTED_VALUE"""),"https://clutch.co/us/seo-firms/media-industry")</f>
        <v>https://clutch.co/us/seo-firms/media-industry</v>
      </c>
      <c r="B154" s="11" t="str">
        <f>IFERROR(__xludf.DUMMYFUNCTION("""COMPUTED_VALUE"""),"Top SEO Companies for Media in the United States - Jul 2026 Rankings \| Clutch.co")</f>
        <v>Top SEO Companies for Media in the United States - Jul 2026 Rankings \| Clutch.co</v>
      </c>
      <c r="C154" s="10" t="str">
        <f>IFERROR(__xludf.DUMMYFUNCTION("""COMPUTED_VALUE"""),"clutch.co")</f>
        <v>clutch.co</v>
      </c>
      <c r="D154" s="11" t="str">
        <f>IFERROR(__xludf.DUMMYFUNCTION("""COMPUTED_VALUE"""),"CATEGORY_PAGE")</f>
        <v>CATEGORY_PAGE</v>
      </c>
      <c r="E154" s="11" t="str">
        <f>IFERROR(__xludf.DUMMYFUNCTION("""COMPUTED_VALUE"""),"COMPETITOR")</f>
        <v>COMPETITOR</v>
      </c>
      <c r="F154" s="11" t="str">
        <f>IFERROR(__xludf.DUMMYFUNCTION("""COMPUTED_VALUE"""),"Category Page")</f>
        <v>Category Page</v>
      </c>
      <c r="G154" s="11" t="b">
        <f>IFERROR(__xludf.DUMMYFUNCTION("""COMPUTED_VALUE"""),FALSE)</f>
        <v>0</v>
      </c>
      <c r="H154" s="11" t="str">
        <f>IFERROR(__xludf.DUMMYFUNCTION("""COMPUTED_VALUE"""),"Clutch, SmartSites, Funnel Boost Media")</f>
        <v>Clutch, SmartSites, Funnel Boost Media</v>
      </c>
      <c r="I154" s="11">
        <f>IFERROR(__xludf.DUMMYFUNCTION("""COMPUTED_VALUE"""),1.0)</f>
        <v>1</v>
      </c>
      <c r="J154" s="11">
        <f>IFERROR(__xludf.DUMMYFUNCTION("""COMPUTED_VALUE"""),0.0)</f>
        <v>0</v>
      </c>
      <c r="K154" s="11">
        <f>IFERROR(__xludf.DUMMYFUNCTION("""COMPUTED_VALUE"""),0.0)</f>
        <v>0</v>
      </c>
    </row>
    <row r="155" ht="15.75" customHeight="1">
      <c r="A155" s="10" t="str">
        <f>IFERROR(__xludf.DUMMYFUNCTION("""COMPUTED_VALUE"""),"https://clutch.co/video-production/post-production")</f>
        <v>https://clutch.co/video-production/post-production</v>
      </c>
      <c r="B155" s="11" t="str">
        <f>IFERROR(__xludf.DUMMYFUNCTION("""COMPUTED_VALUE"""),"Top Post Production Services - Jul 2026 Rankings \| Clutch.co")</f>
        <v>Top Post Production Services - Jul 2026 Rankings \| Clutch.co</v>
      </c>
      <c r="C155" s="10" t="str">
        <f>IFERROR(__xludf.DUMMYFUNCTION("""COMPUTED_VALUE"""),"clutch.co")</f>
        <v>clutch.co</v>
      </c>
      <c r="D155" s="11" t="str">
        <f>IFERROR(__xludf.DUMMYFUNCTION("""COMPUTED_VALUE"""),"CATEGORY_PAGE")</f>
        <v>CATEGORY_PAGE</v>
      </c>
      <c r="E155" s="11" t="str">
        <f>IFERROR(__xludf.DUMMYFUNCTION("""COMPUTED_VALUE"""),"COMPETITOR")</f>
        <v>COMPETITOR</v>
      </c>
      <c r="F155" s="11" t="str">
        <f>IFERROR(__xludf.DUMMYFUNCTION("""COMPUTED_VALUE"""),"Category Page")</f>
        <v>Category Page</v>
      </c>
      <c r="G155" s="11" t="b">
        <f>IFERROR(__xludf.DUMMYFUNCTION("""COMPUTED_VALUE"""),FALSE)</f>
        <v>0</v>
      </c>
      <c r="H155" s="11" t="str">
        <f>IFERROR(__xludf.DUMMYFUNCTION("""COMPUTED_VALUE"""),"Clutch")</f>
        <v>Clutch</v>
      </c>
      <c r="I155" s="11">
        <f>IFERROR(__xludf.DUMMYFUNCTION("""COMPUTED_VALUE"""),1.0)</f>
        <v>1</v>
      </c>
      <c r="J155" s="11">
        <f>IFERROR(__xludf.DUMMYFUNCTION("""COMPUTED_VALUE"""),0.0)</f>
        <v>0</v>
      </c>
      <c r="K155" s="11">
        <f>IFERROR(__xludf.DUMMYFUNCTION("""COMPUTED_VALUE"""),0.0)</f>
        <v>0</v>
      </c>
    </row>
    <row r="156" ht="15.75" customHeight="1">
      <c r="A156" s="10" t="str">
        <f>IFERROR(__xludf.DUMMYFUNCTION("""COMPUTED_VALUE"""),"https://www.columnfivemedia.com/top-b2b-marketing-agency-for-ai-saas/")</f>
        <v>https://www.columnfivemedia.com/top-b2b-marketing-agency-for-ai-saas/</v>
      </c>
      <c r="B156" s="11" t="str">
        <f>IFERROR(__xludf.DUMMYFUNCTION("""COMPUTED_VALUE"""),"Top B2B Marketing Agency for AI SaaS: 2026 list")</f>
        <v>Top B2B Marketing Agency for AI SaaS: 2026 list</v>
      </c>
      <c r="C156" s="10" t="str">
        <f>IFERROR(__xludf.DUMMYFUNCTION("""COMPUTED_VALUE"""),"columnfivemedia.com")</f>
        <v>columnfivemedia.com</v>
      </c>
      <c r="D156" s="11" t="str">
        <f>IFERROR(__xludf.DUMMYFUNCTION("""COMPUTED_VALUE"""),"CATEGORY_PAGE")</f>
        <v>CATEGORY_PAGE</v>
      </c>
      <c r="E156" s="11" t="str">
        <f>IFERROR(__xludf.DUMMYFUNCTION("""COMPUTED_VALUE"""),"CORPORATE")</f>
        <v>CORPORATE</v>
      </c>
      <c r="F156" s="11" t="str">
        <f>IFERROR(__xludf.DUMMYFUNCTION("""COMPUTED_VALUE"""),"Category Page")</f>
        <v>Category Page</v>
      </c>
      <c r="G156" s="11" t="b">
        <f>IFERROR(__xludf.DUMMYFUNCTION("""COMPUTED_VALUE"""),FALSE)</f>
        <v>0</v>
      </c>
      <c r="H156" s="11" t="str">
        <f>IFERROR(__xludf.DUMMYFUNCTION("""COMPUTED_VALUE"""),"Momentum, Omniscient Digital")</f>
        <v>Momentum, Omniscient Digital</v>
      </c>
      <c r="I156" s="11">
        <f>IFERROR(__xludf.DUMMYFUNCTION("""COMPUTED_VALUE"""),1.0)</f>
        <v>1</v>
      </c>
      <c r="J156" s="11">
        <f>IFERROR(__xludf.DUMMYFUNCTION("""COMPUTED_VALUE"""),0.0)</f>
        <v>0</v>
      </c>
      <c r="K156" s="11">
        <f>IFERROR(__xludf.DUMMYFUNCTION("""COMPUTED_VALUE"""),1.0)</f>
        <v>1</v>
      </c>
    </row>
    <row r="157" ht="15.75" customHeight="1">
      <c r="A157" s="10" t="str">
        <f>IFERROR(__xludf.DUMMYFUNCTION("""COMPUTED_VALUE"""),"https://www.designrush.com/agency/ad-agencies/missouri/kansas-city")</f>
        <v>https://www.designrush.com/agency/ad-agencies/missouri/kansas-city</v>
      </c>
      <c r="B157" s="11" t="str">
        <f>IFERROR(__xludf.DUMMYFUNCTION("""COMPUTED_VALUE"""),"Top Advertising Agencies in Kansas City | 2026")</f>
        <v>Top Advertising Agencies in Kansas City | 2026</v>
      </c>
      <c r="C157" s="10" t="str">
        <f>IFERROR(__xludf.DUMMYFUNCTION("""COMPUTED_VALUE"""),"designrush.com")</f>
        <v>designrush.com</v>
      </c>
      <c r="D157" s="11" t="str">
        <f>IFERROR(__xludf.DUMMYFUNCTION("""COMPUTED_VALUE"""),"CATEGORY_PAGE")</f>
        <v>CATEGORY_PAGE</v>
      </c>
      <c r="E157" s="11" t="str">
        <f>IFERROR(__xludf.DUMMYFUNCTION("""COMPUTED_VALUE"""),"CORPORATE")</f>
        <v>CORPORATE</v>
      </c>
      <c r="F157" s="11" t="str">
        <f>IFERROR(__xludf.DUMMYFUNCTION("""COMPUTED_VALUE"""),"Category Page")</f>
        <v>Category Page</v>
      </c>
      <c r="G157" s="11" t="b">
        <f>IFERROR(__xludf.DUMMYFUNCTION("""COMPUTED_VALUE"""),FALSE)</f>
        <v>0</v>
      </c>
      <c r="H157" s="11" t="str">
        <f>IFERROR(__xludf.DUMMYFUNCTION("""COMPUTED_VALUE"""),"Searchbloom, Funnel Boost Media, Huge, SmartSites, Disruptive Advertising, VML")</f>
        <v>Searchbloom, Funnel Boost Media, Huge, SmartSites, Disruptive Advertising, VML</v>
      </c>
      <c r="I157" s="11">
        <f>IFERROR(__xludf.DUMMYFUNCTION("""COMPUTED_VALUE"""),1.0)</f>
        <v>1</v>
      </c>
      <c r="J157" s="11">
        <f>IFERROR(__xludf.DUMMYFUNCTION("""COMPUTED_VALUE"""),0.0)</f>
        <v>0</v>
      </c>
      <c r="K157" s="11">
        <f>IFERROR(__xludf.DUMMYFUNCTION("""COMPUTED_VALUE"""),0.0)</f>
        <v>0</v>
      </c>
    </row>
    <row r="158" ht="15.75" customHeight="1">
      <c r="A158" s="10" t="str">
        <f>IFERROR(__xludf.DUMMYFUNCTION("""COMPUTED_VALUE"""),"https://www.designrush.com/agency/digital-marketing/digital-advertising/us")</f>
        <v>https://www.designrush.com/agency/digital-marketing/digital-advertising/us</v>
      </c>
      <c r="B158" s="11" t="str">
        <f>IFERROR(__xludf.DUMMYFUNCTION("""COMPUTED_VALUE"""),"Top Digital Advertising Agencies in the United States | 2026")</f>
        <v>Top Digital Advertising Agencies in the United States | 2026</v>
      </c>
      <c r="C158" s="10" t="str">
        <f>IFERROR(__xludf.DUMMYFUNCTION("""COMPUTED_VALUE"""),"designrush.com")</f>
        <v>designrush.com</v>
      </c>
      <c r="D158" s="11" t="str">
        <f>IFERROR(__xludf.DUMMYFUNCTION("""COMPUTED_VALUE"""),"CATEGORY_PAGE")</f>
        <v>CATEGORY_PAGE</v>
      </c>
      <c r="E158" s="11" t="str">
        <f>IFERROR(__xludf.DUMMYFUNCTION("""COMPUTED_VALUE"""),"CORPORATE")</f>
        <v>CORPORATE</v>
      </c>
      <c r="F158" s="11" t="str">
        <f>IFERROR(__xludf.DUMMYFUNCTION("""COMPUTED_VALUE"""),"Category Page")</f>
        <v>Category Page</v>
      </c>
      <c r="G158" s="11" t="b">
        <f>IFERROR(__xludf.DUMMYFUNCTION("""COMPUTED_VALUE"""),FALSE)</f>
        <v>0</v>
      </c>
      <c r="H158" s="11" t="str">
        <f>IFERROR(__xludf.DUMMYFUNCTION("""COMPUTED_VALUE"""),"Searchbloom, Funnel Boost Media, Huge, SmartSites, Disruptive Advertising, IBM, Silverback Strategies, Intero Digital, PwC, NinjaPromo, Elit-Web, Major Tom")</f>
        <v>Searchbloom, Funnel Boost Media, Huge, SmartSites, Disruptive Advertising, IBM, Silverback Strategies, Intero Digital, PwC, NinjaPromo, Elit-Web, Major Tom</v>
      </c>
      <c r="I158" s="11">
        <f>IFERROR(__xludf.DUMMYFUNCTION("""COMPUTED_VALUE"""),1.0)</f>
        <v>1</v>
      </c>
      <c r="J158" s="11">
        <f>IFERROR(__xludf.DUMMYFUNCTION("""COMPUTED_VALUE"""),0.0)</f>
        <v>0</v>
      </c>
      <c r="K158" s="11">
        <f>IFERROR(__xludf.DUMMYFUNCTION("""COMPUTED_VALUE"""),0.0)</f>
        <v>0</v>
      </c>
    </row>
    <row r="159" ht="15.75" customHeight="1">
      <c r="A159" s="10" t="str">
        <f>IFERROR(__xludf.DUMMYFUNCTION("""COMPUTED_VALUE"""),"https://www.designrush.com/agency/media-buying-agencies/us")</f>
        <v>https://www.designrush.com/agency/media-buying-agencies/us</v>
      </c>
      <c r="B159" s="11" t="str">
        <f>IFERROR(__xludf.DUMMYFUNCTION("""COMPUTED_VALUE"""),"Top Media Buying Agencies in US 2026 | DesignRush")</f>
        <v>Top Media Buying Agencies in US 2026 | DesignRush</v>
      </c>
      <c r="C159" s="10" t="str">
        <f>IFERROR(__xludf.DUMMYFUNCTION("""COMPUTED_VALUE"""),"designrush.com")</f>
        <v>designrush.com</v>
      </c>
      <c r="D159" s="11" t="str">
        <f>IFERROR(__xludf.DUMMYFUNCTION("""COMPUTED_VALUE"""),"CATEGORY_PAGE")</f>
        <v>CATEGORY_PAGE</v>
      </c>
      <c r="E159" s="11" t="str">
        <f>IFERROR(__xludf.DUMMYFUNCTION("""COMPUTED_VALUE"""),"CORPORATE")</f>
        <v>CORPORATE</v>
      </c>
      <c r="F159" s="11" t="str">
        <f>IFERROR(__xludf.DUMMYFUNCTION("""COMPUTED_VALUE"""),"Category Page")</f>
        <v>Category Page</v>
      </c>
      <c r="G159" s="11" t="b">
        <f>IFERROR(__xludf.DUMMYFUNCTION("""COMPUTED_VALUE"""),FALSE)</f>
        <v>0</v>
      </c>
      <c r="H159" s="11" t="str">
        <f>IFERROR(__xludf.DUMMYFUNCTION("""COMPUTED_VALUE"""),"Searchbloom, AdVenture Media, Clutch, Nielsen, Web Tonic, Measured")</f>
        <v>Searchbloom, AdVenture Media, Clutch, Nielsen, Web Tonic, Measured</v>
      </c>
      <c r="I159" s="11">
        <f>IFERROR(__xludf.DUMMYFUNCTION("""COMPUTED_VALUE"""),1.0)</f>
        <v>1</v>
      </c>
      <c r="J159" s="11">
        <f>IFERROR(__xludf.DUMMYFUNCTION("""COMPUTED_VALUE"""),0.0)</f>
        <v>0</v>
      </c>
      <c r="K159" s="11">
        <f>IFERROR(__xludf.DUMMYFUNCTION("""COMPUTED_VALUE"""),0.0)</f>
        <v>0</v>
      </c>
    </row>
    <row r="160" ht="15.75" customHeight="1">
      <c r="A160" s="10" t="str">
        <f>IFERROR(__xludf.DUMMYFUNCTION("""COMPUTED_VALUE"""),"https://digitalagencynetwork.com/agencies/san-diego/")</f>
        <v>https://digitalagencynetwork.com/agencies/san-diego/</v>
      </c>
      <c r="B160" s="11" t="str">
        <f>IFERROR(__xludf.DUMMYFUNCTION("""COMPUTED_VALUE"""),"Best Digital Marketing Agencies in San Diego | Digital Agency Network")</f>
        <v>Best Digital Marketing Agencies in San Diego | Digital Agency Network</v>
      </c>
      <c r="C160" s="10" t="str">
        <f>IFERROR(__xludf.DUMMYFUNCTION("""COMPUTED_VALUE"""),"digitalagencynetwork.com")</f>
        <v>digitalagencynetwork.com</v>
      </c>
      <c r="D160" s="11" t="str">
        <f>IFERROR(__xludf.DUMMYFUNCTION("""COMPUTED_VALUE"""),"CATEGORY_PAGE")</f>
        <v>CATEGORY_PAGE</v>
      </c>
      <c r="E160" s="11" t="str">
        <f>IFERROR(__xludf.DUMMYFUNCTION("""COMPUTED_VALUE"""),"REFERENCE")</f>
        <v>REFERENCE</v>
      </c>
      <c r="F160" s="11" t="str">
        <f>IFERROR(__xludf.DUMMYFUNCTION("""COMPUTED_VALUE"""),"Category Page")</f>
        <v>Category Page</v>
      </c>
      <c r="G160" s="11" t="b">
        <f>IFERROR(__xludf.DUMMYFUNCTION("""COMPUTED_VALUE"""),FALSE)</f>
        <v>0</v>
      </c>
      <c r="H160" s="11" t="str">
        <f>IFERROR(__xludf.DUMMYFUNCTION("""COMPUTED_VALUE"""),"Ignite Visibility, SmartSites, Amsive, Power Digital, Storm Brain")</f>
        <v>Ignite Visibility, SmartSites, Amsive, Power Digital, Storm Brain</v>
      </c>
      <c r="I160" s="11">
        <f>IFERROR(__xludf.DUMMYFUNCTION("""COMPUTED_VALUE"""),1.0)</f>
        <v>1</v>
      </c>
      <c r="J160" s="11">
        <f>IFERROR(__xludf.DUMMYFUNCTION("""COMPUTED_VALUE"""),0.0)</f>
        <v>0</v>
      </c>
      <c r="K160" s="11">
        <f>IFERROR(__xludf.DUMMYFUNCTION("""COMPUTED_VALUE"""),1.0)</f>
        <v>1</v>
      </c>
    </row>
    <row r="161" ht="15.75" customHeight="1">
      <c r="A161" s="10" t="str">
        <f>IFERROR(__xludf.DUMMYFUNCTION("""COMPUTED_VALUE"""),"https://digitalagencynetwork.com/agencies/usa/industry/travel-tourism/")</f>
        <v>https://digitalagencynetwork.com/agencies/usa/industry/travel-tourism/</v>
      </c>
      <c r="B161" s="11" t="str">
        <f>IFERROR(__xludf.DUMMYFUNCTION("""COMPUTED_VALUE"""),"Top Travel &amp;amp; Tourism Marketing Agencies in USA | Digital Agency Network")</f>
        <v>Top Travel &amp;amp; Tourism Marketing Agencies in USA | Digital Agency Network</v>
      </c>
      <c r="C161" s="10" t="str">
        <f>IFERROR(__xludf.DUMMYFUNCTION("""COMPUTED_VALUE"""),"digitalagencynetwork.com")</f>
        <v>digitalagencynetwork.com</v>
      </c>
      <c r="D161" s="11" t="str">
        <f>IFERROR(__xludf.DUMMYFUNCTION("""COMPUTED_VALUE"""),"CATEGORY_PAGE")</f>
        <v>CATEGORY_PAGE</v>
      </c>
      <c r="E161" s="11" t="str">
        <f>IFERROR(__xludf.DUMMYFUNCTION("""COMPUTED_VALUE"""),"REFERENCE")</f>
        <v>REFERENCE</v>
      </c>
      <c r="F161" s="11" t="str">
        <f>IFERROR(__xludf.DUMMYFUNCTION("""COMPUTED_VALUE"""),"Category Page")</f>
        <v>Category Page</v>
      </c>
      <c r="G161" s="11" t="b">
        <f>IFERROR(__xludf.DUMMYFUNCTION("""COMPUTED_VALUE"""),FALSE)</f>
        <v>0</v>
      </c>
      <c r="H161" s="11" t="str">
        <f>IFERROR(__xludf.DUMMYFUNCTION("""COMPUTED_VALUE"""),"Victorious, BCG, Monks, Web Tonic, Major Tom, PwC")</f>
        <v>Victorious, BCG, Monks, Web Tonic, Major Tom, PwC</v>
      </c>
      <c r="I161" s="11">
        <f>IFERROR(__xludf.DUMMYFUNCTION("""COMPUTED_VALUE"""),1.0)</f>
        <v>1</v>
      </c>
      <c r="J161" s="11">
        <f>IFERROR(__xludf.DUMMYFUNCTION("""COMPUTED_VALUE"""),0.0)</f>
        <v>0</v>
      </c>
      <c r="K161" s="11">
        <f>IFERROR(__xludf.DUMMYFUNCTION("""COMPUTED_VALUE"""),1.0)</f>
        <v>1</v>
      </c>
    </row>
    <row r="162" ht="15.75" customHeight="1">
      <c r="A162" s="10" t="str">
        <f>IFERROR(__xludf.DUMMYFUNCTION("""COMPUTED_VALUE"""),"https://www.featuredcustomers.com/services/digital-marketing-agencies")</f>
        <v>https://www.featuredcustomers.com/services/digital-marketing-agencies</v>
      </c>
      <c r="B162" s="11" t="str">
        <f>IFERROR(__xludf.DUMMYFUNCTION("""COMPUTED_VALUE"""),"Best Digital Marketing Agencies 2026 - Reviews, Case Studies &amp;amp; Videos")</f>
        <v>Best Digital Marketing Agencies 2026 - Reviews, Case Studies &amp;amp; Videos</v>
      </c>
      <c r="C162" s="10" t="str">
        <f>IFERROR(__xludf.DUMMYFUNCTION("""COMPUTED_VALUE"""),"featuredcustomers.com")</f>
        <v>featuredcustomers.com</v>
      </c>
      <c r="D162" s="11" t="str">
        <f>IFERROR(__xludf.DUMMYFUNCTION("""COMPUTED_VALUE"""),"CATEGORY_PAGE")</f>
        <v>CATEGORY_PAGE</v>
      </c>
      <c r="E162" s="11" t="str">
        <f>IFERROR(__xludf.DUMMYFUNCTION("""COMPUTED_VALUE"""),"REFERENCE")</f>
        <v>REFERENCE</v>
      </c>
      <c r="F162" s="11" t="str">
        <f>IFERROR(__xludf.DUMMYFUNCTION("""COMPUTED_VALUE"""),"Category Page")</f>
        <v>Category Page</v>
      </c>
      <c r="G162" s="11" t="b">
        <f>IFERROR(__xludf.DUMMYFUNCTION("""COMPUTED_VALUE"""),FALSE)</f>
        <v>0</v>
      </c>
      <c r="H162" s="11" t="str">
        <f>IFERROR(__xludf.DUMMYFUNCTION("""COMPUTED_VALUE"""),"Huge")</f>
        <v>Huge</v>
      </c>
      <c r="I162" s="11">
        <f>IFERROR(__xludf.DUMMYFUNCTION("""COMPUTED_VALUE"""),1.0)</f>
        <v>1</v>
      </c>
      <c r="J162" s="11">
        <f>IFERROR(__xludf.DUMMYFUNCTION("""COMPUTED_VALUE"""),0.0)</f>
        <v>0</v>
      </c>
      <c r="K162" s="11">
        <f>IFERROR(__xludf.DUMMYFUNCTION("""COMPUTED_VALUE"""),0.0)</f>
        <v>0</v>
      </c>
    </row>
    <row r="163" ht="15.75" customHeight="1">
      <c r="A163" s="10" t="str">
        <f>IFERROR(__xludf.DUMMYFUNCTION("""COMPUTED_VALUE"""),"https://www.featuredcustomers.com/software/customer-data-audience-activation")</f>
        <v>https://www.featuredcustomers.com/software/customer-data-audience-activation</v>
      </c>
      <c r="B163" s="11" t="str">
        <f>IFERROR(__xludf.DUMMYFUNCTION("""COMPUTED_VALUE"""),"Best Customer Data &amp;amp; Audience Activation 2026 - Reviews, Case Studies &amp;amp; Videos")</f>
        <v>Best Customer Data &amp;amp; Audience Activation 2026 - Reviews, Case Studies &amp;amp; Videos</v>
      </c>
      <c r="C163" s="10" t="str">
        <f>IFERROR(__xludf.DUMMYFUNCTION("""COMPUTED_VALUE"""),"featuredcustomers.com")</f>
        <v>featuredcustomers.com</v>
      </c>
      <c r="D163" s="11" t="str">
        <f>IFERROR(__xludf.DUMMYFUNCTION("""COMPUTED_VALUE"""),"CATEGORY_PAGE")</f>
        <v>CATEGORY_PAGE</v>
      </c>
      <c r="E163" s="11" t="str">
        <f>IFERROR(__xludf.DUMMYFUNCTION("""COMPUTED_VALUE"""),"REFERENCE")</f>
        <v>REFERENCE</v>
      </c>
      <c r="F163" s="11" t="str">
        <f>IFERROR(__xludf.DUMMYFUNCTION("""COMPUTED_VALUE"""),"Category Page")</f>
        <v>Category Page</v>
      </c>
      <c r="G163" s="11" t="b">
        <f>IFERROR(__xludf.DUMMYFUNCTION("""COMPUTED_VALUE"""),FALSE)</f>
        <v>0</v>
      </c>
      <c r="H163" s="11"/>
      <c r="I163" s="11">
        <f>IFERROR(__xludf.DUMMYFUNCTION("""COMPUTED_VALUE"""),1.0)</f>
        <v>1</v>
      </c>
      <c r="J163" s="11">
        <f>IFERROR(__xludf.DUMMYFUNCTION("""COMPUTED_VALUE"""),0.0)</f>
        <v>0</v>
      </c>
      <c r="K163" s="11">
        <f>IFERROR(__xludf.DUMMYFUNCTION("""COMPUTED_VALUE"""),0.0)</f>
        <v>0</v>
      </c>
    </row>
    <row r="164" ht="15.75" customHeight="1">
      <c r="A164" s="10" t="str">
        <f>IFERROR(__xludf.DUMMYFUNCTION("""COMPUTED_VALUE"""),"https://www.featuredcustomers.com/software/first-party-data-solutions")</f>
        <v>https://www.featuredcustomers.com/software/first-party-data-solutions</v>
      </c>
      <c r="B164" s="11" t="str">
        <f>IFERROR(__xludf.DUMMYFUNCTION("""COMPUTED_VALUE"""),"Best First-Party Data Solutions 2026 - Reviews, Case Studies &amp;amp; Videos")</f>
        <v>Best First-Party Data Solutions 2026 - Reviews, Case Studies &amp;amp; Videos</v>
      </c>
      <c r="C164" s="10" t="str">
        <f>IFERROR(__xludf.DUMMYFUNCTION("""COMPUTED_VALUE"""),"featuredcustomers.com")</f>
        <v>featuredcustomers.com</v>
      </c>
      <c r="D164" s="11" t="str">
        <f>IFERROR(__xludf.DUMMYFUNCTION("""COMPUTED_VALUE"""),"CATEGORY_PAGE")</f>
        <v>CATEGORY_PAGE</v>
      </c>
      <c r="E164" s="11" t="str">
        <f>IFERROR(__xludf.DUMMYFUNCTION("""COMPUTED_VALUE"""),"REFERENCE")</f>
        <v>REFERENCE</v>
      </c>
      <c r="F164" s="11" t="str">
        <f>IFERROR(__xludf.DUMMYFUNCTION("""COMPUTED_VALUE"""),"Category Page")</f>
        <v>Category Page</v>
      </c>
      <c r="G164" s="11" t="b">
        <f>IFERROR(__xludf.DUMMYFUNCTION("""COMPUTED_VALUE"""),FALSE)</f>
        <v>0</v>
      </c>
      <c r="H164" s="11"/>
      <c r="I164" s="11">
        <f>IFERROR(__xludf.DUMMYFUNCTION("""COMPUTED_VALUE"""),1.0)</f>
        <v>1</v>
      </c>
      <c r="J164" s="11">
        <f>IFERROR(__xludf.DUMMYFUNCTION("""COMPUTED_VALUE"""),0.0)</f>
        <v>0</v>
      </c>
      <c r="K164" s="11">
        <f>IFERROR(__xludf.DUMMYFUNCTION("""COMPUTED_VALUE"""),0.0)</f>
        <v>0</v>
      </c>
    </row>
    <row r="165" ht="15.75" customHeight="1">
      <c r="A165" s="10" t="str">
        <f>IFERROR(__xludf.DUMMYFUNCTION("""COMPUTED_VALUE"""),"https://www.g2.com/categories/data-governance-tools")</f>
        <v>https://www.g2.com/categories/data-governance-tools</v>
      </c>
      <c r="B165" s="11" t="str">
        <f>IFERROR(__xludf.DUMMYFUNCTION("""COMPUTED_VALUE"""),"Best Data Governance Tools: User Reviews from July 2026")</f>
        <v>Best Data Governance Tools: User Reviews from July 2026</v>
      </c>
      <c r="C165" s="10" t="str">
        <f>IFERROR(__xludf.DUMMYFUNCTION("""COMPUTED_VALUE"""),"g2.com")</f>
        <v>g2.com</v>
      </c>
      <c r="D165" s="11" t="str">
        <f>IFERROR(__xludf.DUMMYFUNCTION("""COMPUTED_VALUE"""),"CATEGORY_PAGE")</f>
        <v>CATEGORY_PAGE</v>
      </c>
      <c r="E165" s="11" t="str">
        <f>IFERROR(__xludf.DUMMYFUNCTION("""COMPUTED_VALUE"""),"UGC")</f>
        <v>UGC</v>
      </c>
      <c r="F165" s="11" t="str">
        <f>IFERROR(__xludf.DUMMYFUNCTION("""COMPUTED_VALUE"""),"Category Page")</f>
        <v>Category Page</v>
      </c>
      <c r="G165" s="11" t="b">
        <f>IFERROR(__xludf.DUMMYFUNCTION("""COMPUTED_VALUE"""),FALSE)</f>
        <v>0</v>
      </c>
      <c r="H165" s="11" t="str">
        <f>IFERROR(__xludf.DUMMYFUNCTION("""COMPUTED_VALUE"""),"IBM, Momentum, Huge, SmartSites")</f>
        <v>IBM, Momentum, Huge, SmartSites</v>
      </c>
      <c r="I165" s="11">
        <f>IFERROR(__xludf.DUMMYFUNCTION("""COMPUTED_VALUE"""),1.0)</f>
        <v>1</v>
      </c>
      <c r="J165" s="11">
        <f>IFERROR(__xludf.DUMMYFUNCTION("""COMPUTED_VALUE"""),0.0)</f>
        <v>0</v>
      </c>
      <c r="K165" s="11">
        <f>IFERROR(__xludf.DUMMYFUNCTION("""COMPUTED_VALUE"""),1.0)</f>
        <v>1</v>
      </c>
    </row>
    <row r="166" ht="15.75" customHeight="1">
      <c r="A166" s="10" t="str">
        <f>IFERROR(__xludf.DUMMYFUNCTION("""COMPUTED_VALUE"""),"https://www.goodfirms.co/advertising-companies/creative/usa?page=6")</f>
        <v>https://www.goodfirms.co/advertising-companies/creative/usa?page=6</v>
      </c>
      <c r="B166" s="11" t="str">
        <f>IFERROR(__xludf.DUMMYFUNCTION("""COMPUTED_VALUE"""),"Top Creative Agencies in the United States - 2026 Reviews | Goodfirms")</f>
        <v>Top Creative Agencies in the United States - 2026 Reviews | Goodfirms</v>
      </c>
      <c r="C166" s="10" t="str">
        <f>IFERROR(__xludf.DUMMYFUNCTION("""COMPUTED_VALUE"""),"goodfirms.co")</f>
        <v>goodfirms.co</v>
      </c>
      <c r="D166" s="11" t="str">
        <f>IFERROR(__xludf.DUMMYFUNCTION("""COMPUTED_VALUE"""),"CATEGORY_PAGE")</f>
        <v>CATEGORY_PAGE</v>
      </c>
      <c r="E166" s="11" t="str">
        <f>IFERROR(__xludf.DUMMYFUNCTION("""COMPUTED_VALUE"""),"UGC")</f>
        <v>UGC</v>
      </c>
      <c r="F166" s="11" t="str">
        <f>IFERROR(__xludf.DUMMYFUNCTION("""COMPUTED_VALUE"""),"Category Page")</f>
        <v>Category Page</v>
      </c>
      <c r="G166" s="11" t="b">
        <f>IFERROR(__xludf.DUMMYFUNCTION("""COMPUTED_VALUE"""),FALSE)</f>
        <v>0</v>
      </c>
      <c r="H166" s="11" t="str">
        <f>IFERROR(__xludf.DUMMYFUNCTION("""COMPUTED_VALUE"""),"Momentum, Accelerated Digital Media")</f>
        <v>Momentum, Accelerated Digital Media</v>
      </c>
      <c r="I166" s="11">
        <f>IFERROR(__xludf.DUMMYFUNCTION("""COMPUTED_VALUE"""),1.0)</f>
        <v>1</v>
      </c>
      <c r="J166" s="11">
        <f>IFERROR(__xludf.DUMMYFUNCTION("""COMPUTED_VALUE"""),0.0)</f>
        <v>0</v>
      </c>
      <c r="K166" s="11">
        <f>IFERROR(__xludf.DUMMYFUNCTION("""COMPUTED_VALUE"""),0.0)</f>
        <v>0</v>
      </c>
    </row>
    <row r="167" ht="15.75" customHeight="1">
      <c r="A167" s="10" t="str">
        <f>IFERROR(__xludf.DUMMYFUNCTION("""COMPUTED_VALUE"""),"https://www.goodfirms.co/advertising-companies/usa")</f>
        <v>https://www.goodfirms.co/advertising-companies/usa</v>
      </c>
      <c r="B167" s="11" t="str">
        <f>IFERROR(__xludf.DUMMYFUNCTION("""COMPUTED_VALUE"""),"Top Advertising Agencies in the USA - 2026 Reviews | Goodfirms")</f>
        <v>Top Advertising Agencies in the USA - 2026 Reviews | Goodfirms</v>
      </c>
      <c r="C167" s="10" t="str">
        <f>IFERROR(__xludf.DUMMYFUNCTION("""COMPUTED_VALUE"""),"goodfirms.co")</f>
        <v>goodfirms.co</v>
      </c>
      <c r="D167" s="11" t="str">
        <f>IFERROR(__xludf.DUMMYFUNCTION("""COMPUTED_VALUE"""),"CATEGORY_PAGE")</f>
        <v>CATEGORY_PAGE</v>
      </c>
      <c r="E167" s="11" t="str">
        <f>IFERROR(__xludf.DUMMYFUNCTION("""COMPUTED_VALUE"""),"UGC")</f>
        <v>UGC</v>
      </c>
      <c r="F167" s="11" t="str">
        <f>IFERROR(__xludf.DUMMYFUNCTION("""COMPUTED_VALUE"""),"Category Page")</f>
        <v>Category Page</v>
      </c>
      <c r="G167" s="11" t="b">
        <f>IFERROR(__xludf.DUMMYFUNCTION("""COMPUTED_VALUE"""),FALSE)</f>
        <v>0</v>
      </c>
      <c r="H167" s="11" t="str">
        <f>IFERROR(__xludf.DUMMYFUNCTION("""COMPUTED_VALUE"""),"Funnel Boost Media")</f>
        <v>Funnel Boost Media</v>
      </c>
      <c r="I167" s="11">
        <f>IFERROR(__xludf.DUMMYFUNCTION("""COMPUTED_VALUE"""),1.0)</f>
        <v>1</v>
      </c>
      <c r="J167" s="11">
        <f>IFERROR(__xludf.DUMMYFUNCTION("""COMPUTED_VALUE"""),0.0)</f>
        <v>0</v>
      </c>
      <c r="K167" s="11">
        <f>IFERROR(__xludf.DUMMYFUNCTION("""COMPUTED_VALUE"""),0.0)</f>
        <v>0</v>
      </c>
    </row>
    <row r="168" ht="15.75" customHeight="1">
      <c r="A168" s="10" t="str">
        <f>IFERROR(__xludf.DUMMYFUNCTION("""COMPUTED_VALUE"""),"https://www.goodfirms.co/directory/marketing-services/top-digital-marketing-companies")</f>
        <v>https://www.goodfirms.co/directory/marketing-services/top-digital-marketing-companies</v>
      </c>
      <c r="B168" s="11" t="str">
        <f>IFERROR(__xludf.DUMMYFUNCTION("""COMPUTED_VALUE"""),"Top Digital Marketing Companies - 2026 Reviews | Goodfirms")</f>
        <v>Top Digital Marketing Companies - 2026 Reviews | Goodfirms</v>
      </c>
      <c r="C168" s="10" t="str">
        <f>IFERROR(__xludf.DUMMYFUNCTION("""COMPUTED_VALUE"""),"goodfirms.co")</f>
        <v>goodfirms.co</v>
      </c>
      <c r="D168" s="11" t="str">
        <f>IFERROR(__xludf.DUMMYFUNCTION("""COMPUTED_VALUE"""),"CATEGORY_PAGE")</f>
        <v>CATEGORY_PAGE</v>
      </c>
      <c r="E168" s="11" t="str">
        <f>IFERROR(__xludf.DUMMYFUNCTION("""COMPUTED_VALUE"""),"UGC")</f>
        <v>UGC</v>
      </c>
      <c r="F168" s="11" t="str">
        <f>IFERROR(__xludf.DUMMYFUNCTION("""COMPUTED_VALUE"""),"Category Page")</f>
        <v>Category Page</v>
      </c>
      <c r="G168" s="11" t="b">
        <f>IFERROR(__xludf.DUMMYFUNCTION("""COMPUTED_VALUE"""),FALSE)</f>
        <v>0</v>
      </c>
      <c r="H168" s="11" t="str">
        <f>IFERROR(__xludf.DUMMYFUNCTION("""COMPUTED_VALUE"""),"WebFX, Searchbloom, SmartSites, Funnel Boost Media, Elit-Web, Power Digital")</f>
        <v>WebFX, Searchbloom, SmartSites, Funnel Boost Media, Elit-Web, Power Digital</v>
      </c>
      <c r="I168" s="11">
        <f>IFERROR(__xludf.DUMMYFUNCTION("""COMPUTED_VALUE"""),1.0)</f>
        <v>1</v>
      </c>
      <c r="J168" s="11">
        <f>IFERROR(__xludf.DUMMYFUNCTION("""COMPUTED_VALUE"""),0.0)</f>
        <v>0</v>
      </c>
      <c r="K168" s="11">
        <f>IFERROR(__xludf.DUMMYFUNCTION("""COMPUTED_VALUE"""),0.0)</f>
        <v>0</v>
      </c>
    </row>
    <row r="169" ht="15.75" customHeight="1">
      <c r="A169" s="10" t="str">
        <f>IFERROR(__xludf.DUMMYFUNCTION("""COMPUTED_VALUE"""),"https://www.goodfirms.co/directory/marketing-services/top-digital-marketing-companies/generative-engine-optimization")</f>
        <v>https://www.goodfirms.co/directory/marketing-services/top-digital-marketing-companies/generative-engine-optimization</v>
      </c>
      <c r="B169" s="11" t="str">
        <f>IFERROR(__xludf.DUMMYFUNCTION("""COMPUTED_VALUE"""),"Top Generative Engine Optimization (GEO) Companies - 2026 Reviews | Goodfirms")</f>
        <v>Top Generative Engine Optimization (GEO) Companies - 2026 Reviews | Goodfirms</v>
      </c>
      <c r="C169" s="10" t="str">
        <f>IFERROR(__xludf.DUMMYFUNCTION("""COMPUTED_VALUE"""),"goodfirms.co")</f>
        <v>goodfirms.co</v>
      </c>
      <c r="D169" s="11" t="str">
        <f>IFERROR(__xludf.DUMMYFUNCTION("""COMPUTED_VALUE"""),"CATEGORY_PAGE")</f>
        <v>CATEGORY_PAGE</v>
      </c>
      <c r="E169" s="11" t="str">
        <f>IFERROR(__xludf.DUMMYFUNCTION("""COMPUTED_VALUE"""),"UGC")</f>
        <v>UGC</v>
      </c>
      <c r="F169" s="11" t="str">
        <f>IFERROR(__xludf.DUMMYFUNCTION("""COMPUTED_VALUE"""),"Category Page")</f>
        <v>Category Page</v>
      </c>
      <c r="G169" s="11" t="b">
        <f>IFERROR(__xludf.DUMMYFUNCTION("""COMPUTED_VALUE"""),FALSE)</f>
        <v>0</v>
      </c>
      <c r="H169" s="11" t="str">
        <f>IFERROR(__xludf.DUMMYFUNCTION("""COMPUTED_VALUE"""),"WebFX, Searchbloom, Elit-Web, Intero Digital, Go Fish Digital, Ignite Visibility, Measured, Funnel Boost Media")</f>
        <v>WebFX, Searchbloom, Elit-Web, Intero Digital, Go Fish Digital, Ignite Visibility, Measured, Funnel Boost Media</v>
      </c>
      <c r="I169" s="11">
        <f>IFERROR(__xludf.DUMMYFUNCTION("""COMPUTED_VALUE"""),1.0)</f>
        <v>1</v>
      </c>
      <c r="J169" s="11">
        <f>IFERROR(__xludf.DUMMYFUNCTION("""COMPUTED_VALUE"""),0.0)</f>
        <v>0</v>
      </c>
      <c r="K169" s="11">
        <f>IFERROR(__xludf.DUMMYFUNCTION("""COMPUTED_VALUE"""),0.0)</f>
        <v>0</v>
      </c>
    </row>
    <row r="170" ht="15.75" customHeight="1">
      <c r="A170" s="10" t="str">
        <f>IFERROR(__xludf.DUMMYFUNCTION("""COMPUTED_VALUE"""),"https://www.greenbook.org/market-research-firms/tracking")</f>
        <v>https://www.greenbook.org/market-research-firms/tracking</v>
      </c>
      <c r="B170" s="11" t="str">
        <f>IFERROR(__xludf.DUMMYFUNCTION("""COMPUTED_VALUE"""),"Top Tracking Research Companies — Greenbook")</f>
        <v>Top Tracking Research Companies — Greenbook</v>
      </c>
      <c r="C170" s="10" t="str">
        <f>IFERROR(__xludf.DUMMYFUNCTION("""COMPUTED_VALUE"""),"greenbook.org")</f>
        <v>greenbook.org</v>
      </c>
      <c r="D170" s="11" t="str">
        <f>IFERROR(__xludf.DUMMYFUNCTION("""COMPUTED_VALUE"""),"CATEGORY_PAGE")</f>
        <v>CATEGORY_PAGE</v>
      </c>
      <c r="E170" s="11" t="str">
        <f>IFERROR(__xludf.DUMMYFUNCTION("""COMPUTED_VALUE"""),"REFERENCE")</f>
        <v>REFERENCE</v>
      </c>
      <c r="F170" s="11" t="str">
        <f>IFERROR(__xludf.DUMMYFUNCTION("""COMPUTED_VALUE"""),"Category Page")</f>
        <v>Category Page</v>
      </c>
      <c r="G170" s="11" t="b">
        <f>IFERROR(__xludf.DUMMYFUNCTION("""COMPUTED_VALUE"""),FALSE)</f>
        <v>0</v>
      </c>
      <c r="H170" s="11"/>
      <c r="I170" s="11">
        <f>IFERROR(__xludf.DUMMYFUNCTION("""COMPUTED_VALUE"""),1.0)</f>
        <v>1</v>
      </c>
      <c r="J170" s="11">
        <f>IFERROR(__xludf.DUMMYFUNCTION("""COMPUTED_VALUE"""),0.0)</f>
        <v>0</v>
      </c>
      <c r="K170" s="11">
        <f>IFERROR(__xludf.DUMMYFUNCTION("""COMPUTED_VALUE"""),0.0)</f>
        <v>0</v>
      </c>
    </row>
    <row r="171" ht="15.75" customHeight="1">
      <c r="A171" s="10" t="str">
        <f>IFERROR(__xludf.DUMMYFUNCTION("""COMPUTED_VALUE"""),"https://infotrust.com/articles/category/marketing/google-marketing-platform-gmp/")</f>
        <v>https://infotrust.com/articles/category/marketing/google-marketing-platform-gmp/</v>
      </c>
      <c r="B171" s="11" t="str">
        <f>IFERROR(__xludf.DUMMYFUNCTION("""COMPUTED_VALUE"""),"Google Marketing Platform (GMP) Archives - InfoTrust")</f>
        <v>Google Marketing Platform (GMP) Archives - InfoTrust</v>
      </c>
      <c r="C171" s="10" t="str">
        <f>IFERROR(__xludf.DUMMYFUNCTION("""COMPUTED_VALUE"""),"infotrust.com")</f>
        <v>infotrust.com</v>
      </c>
      <c r="D171" s="11" t="str">
        <f>IFERROR(__xludf.DUMMYFUNCTION("""COMPUTED_VALUE"""),"CATEGORY_PAGE")</f>
        <v>CATEGORY_PAGE</v>
      </c>
      <c r="E171" s="11" t="str">
        <f>IFERROR(__xludf.DUMMYFUNCTION("""COMPUTED_VALUE"""),"COMPETITOR")</f>
        <v>COMPETITOR</v>
      </c>
      <c r="F171" s="11" t="str">
        <f>IFERROR(__xludf.DUMMYFUNCTION("""COMPUTED_VALUE"""),"Category Page")</f>
        <v>Category Page</v>
      </c>
      <c r="G171" s="11" t="b">
        <f>IFERROR(__xludf.DUMMYFUNCTION("""COMPUTED_VALUE"""),FALSE)</f>
        <v>0</v>
      </c>
      <c r="H171" s="11" t="str">
        <f>IFERROR(__xludf.DUMMYFUNCTION("""COMPUTED_VALUE"""),"InfoTrust, Publicis Groupe")</f>
        <v>InfoTrust, Publicis Groupe</v>
      </c>
      <c r="I171" s="11">
        <f>IFERROR(__xludf.DUMMYFUNCTION("""COMPUTED_VALUE"""),1.0)</f>
        <v>1</v>
      </c>
      <c r="J171" s="11">
        <f>IFERROR(__xludf.DUMMYFUNCTION("""COMPUTED_VALUE"""),0.0)</f>
        <v>0</v>
      </c>
      <c r="K171" s="11">
        <f>IFERROR(__xludf.DUMMYFUNCTION("""COMPUTED_VALUE"""),1.0)</f>
        <v>1</v>
      </c>
    </row>
    <row r="172" ht="15.75" customHeight="1">
      <c r="A172" s="10" t="str">
        <f>IFERROR(__xludf.DUMMYFUNCTION("""COMPUTED_VALUE"""),"https://www.intellibright.com/all-case-studies/")</f>
        <v>https://www.intellibright.com/all-case-studies/</v>
      </c>
      <c r="B172" s="11" t="str">
        <f>IFERROR(__xludf.DUMMYFUNCTION("""COMPUTED_VALUE"""),"Digital Marketing Case Studies&amp;nbsp;-&amp;nbsp;Intellibright Results")</f>
        <v>Digital Marketing Case Studies&amp;nbsp;-&amp;nbsp;Intellibright Results</v>
      </c>
      <c r="C172" s="10" t="str">
        <f>IFERROR(__xludf.DUMMYFUNCTION("""COMPUTED_VALUE"""),"intellibright.com")</f>
        <v>intellibright.com</v>
      </c>
      <c r="D172" s="11" t="str">
        <f>IFERROR(__xludf.DUMMYFUNCTION("""COMPUTED_VALUE"""),"CATEGORY_PAGE")</f>
        <v>CATEGORY_PAGE</v>
      </c>
      <c r="E172" s="11" t="str">
        <f>IFERROR(__xludf.DUMMYFUNCTION("""COMPUTED_VALUE"""),"CORPORATE")</f>
        <v>CORPORATE</v>
      </c>
      <c r="F172" s="11" t="str">
        <f>IFERROR(__xludf.DUMMYFUNCTION("""COMPUTED_VALUE"""),"Category Page")</f>
        <v>Category Page</v>
      </c>
      <c r="G172" s="11" t="b">
        <f>IFERROR(__xludf.DUMMYFUNCTION("""COMPUTED_VALUE"""),FALSE)</f>
        <v>0</v>
      </c>
      <c r="H172" s="11"/>
      <c r="I172" s="11">
        <f>IFERROR(__xludf.DUMMYFUNCTION("""COMPUTED_VALUE"""),1.0)</f>
        <v>1</v>
      </c>
      <c r="J172" s="11">
        <f>IFERROR(__xludf.DUMMYFUNCTION("""COMPUTED_VALUE"""),0.0)</f>
        <v>0</v>
      </c>
      <c r="K172" s="11">
        <f>IFERROR(__xludf.DUMMYFUNCTION("""COMPUTED_VALUE"""),0.0)</f>
        <v>0</v>
      </c>
    </row>
    <row r="173" ht="15.75" customHeight="1">
      <c r="A173" s="10" t="str">
        <f>IFERROR(__xludf.DUMMYFUNCTION("""COMPUTED_VALUE"""),"https://www.interodigital.com/case-studies/")</f>
        <v>https://www.interodigital.com/case-studies/</v>
      </c>
      <c r="B173" s="11" t="str">
        <f>IFERROR(__xludf.DUMMYFUNCTION("""COMPUTED_VALUE"""),"Digital Marketing Agency Case Studies - Intero Digital Results")</f>
        <v>Digital Marketing Agency Case Studies - Intero Digital Results</v>
      </c>
      <c r="C173" s="10" t="str">
        <f>IFERROR(__xludf.DUMMYFUNCTION("""COMPUTED_VALUE"""),"interodigital.com")</f>
        <v>interodigital.com</v>
      </c>
      <c r="D173" s="11" t="str">
        <f>IFERROR(__xludf.DUMMYFUNCTION("""COMPUTED_VALUE"""),"CATEGORY_PAGE")</f>
        <v>CATEGORY_PAGE</v>
      </c>
      <c r="E173" s="11" t="str">
        <f>IFERROR(__xludf.DUMMYFUNCTION("""COMPUTED_VALUE"""),"COMPETITOR")</f>
        <v>COMPETITOR</v>
      </c>
      <c r="F173" s="11" t="str">
        <f>IFERROR(__xludf.DUMMYFUNCTION("""COMPUTED_VALUE"""),"Category Page")</f>
        <v>Category Page</v>
      </c>
      <c r="G173" s="11" t="b">
        <f>IFERROR(__xludf.DUMMYFUNCTION("""COMPUTED_VALUE"""),FALSE)</f>
        <v>0</v>
      </c>
      <c r="H173" s="11" t="str">
        <f>IFERROR(__xludf.DUMMYFUNCTION("""COMPUTED_VALUE"""),"Intero Digital")</f>
        <v>Intero Digital</v>
      </c>
      <c r="I173" s="11">
        <f>IFERROR(__xludf.DUMMYFUNCTION("""COMPUTED_VALUE"""),1.0)</f>
        <v>1</v>
      </c>
      <c r="J173" s="11">
        <f>IFERROR(__xludf.DUMMYFUNCTION("""COMPUTED_VALUE"""),0.0)</f>
        <v>0</v>
      </c>
      <c r="K173" s="11">
        <f>IFERROR(__xludf.DUMMYFUNCTION("""COMPUTED_VALUE"""),0.0)</f>
        <v>0</v>
      </c>
    </row>
    <row r="174" ht="15.75" customHeight="1">
      <c r="A174" s="10" t="str">
        <f>IFERROR(__xludf.DUMMYFUNCTION("""COMPUTED_VALUE"""),"https://itprofiles.com/services/media-planning-and-buying/united-states")</f>
        <v>https://itprofiles.com/services/media-planning-and-buying/united-states</v>
      </c>
      <c r="B174" s="11" t="str">
        <f>IFERROR(__xludf.DUMMYFUNCTION("""COMPUTED_VALUE"""),"Top-Performing Media Planning and Buying Companies in United States Ranked by ITP Score – Jul 2026 | ITProfiles")</f>
        <v>Top-Performing Media Planning and Buying Companies in United States Ranked by ITP Score – Jul 2026 | ITProfiles</v>
      </c>
      <c r="C174" s="10" t="str">
        <f>IFERROR(__xludf.DUMMYFUNCTION("""COMPUTED_VALUE"""),"itprofiles.com")</f>
        <v>itprofiles.com</v>
      </c>
      <c r="D174" s="11" t="str">
        <f>IFERROR(__xludf.DUMMYFUNCTION("""COMPUTED_VALUE"""),"CATEGORY_PAGE")</f>
        <v>CATEGORY_PAGE</v>
      </c>
      <c r="E174" s="11" t="str">
        <f>IFERROR(__xludf.DUMMYFUNCTION("""COMPUTED_VALUE"""),"REFERENCE")</f>
        <v>REFERENCE</v>
      </c>
      <c r="F174" s="11" t="str">
        <f>IFERROR(__xludf.DUMMYFUNCTION("""COMPUTED_VALUE"""),"Category Page")</f>
        <v>Category Page</v>
      </c>
      <c r="G174" s="11" t="b">
        <f>IFERROR(__xludf.DUMMYFUNCTION("""COMPUTED_VALUE"""),FALSE)</f>
        <v>0</v>
      </c>
      <c r="H174" s="11" t="str">
        <f>IFERROR(__xludf.DUMMYFUNCTION("""COMPUTED_VALUE"""),"MuteSix, Tinuiti, GroupM, Omnicom Media Group, Dentsu, Horizon Media")</f>
        <v>MuteSix, Tinuiti, GroupM, Omnicom Media Group, Dentsu, Horizon Media</v>
      </c>
      <c r="I174" s="11">
        <f>IFERROR(__xludf.DUMMYFUNCTION("""COMPUTED_VALUE"""),1.0)</f>
        <v>1</v>
      </c>
      <c r="J174" s="11">
        <f>IFERROR(__xludf.DUMMYFUNCTION("""COMPUTED_VALUE"""),0.0)</f>
        <v>0</v>
      </c>
      <c r="K174" s="11">
        <f>IFERROR(__xludf.DUMMYFUNCTION("""COMPUTED_VALUE"""),0.0)</f>
        <v>0</v>
      </c>
    </row>
    <row r="175" ht="15.75" customHeight="1">
      <c r="A175" s="10" t="str">
        <f>IFERROR(__xludf.DUMMYFUNCTION("""COMPUTED_VALUE"""),"https://newcombin.com/success-stories/")</f>
        <v>https://newcombin.com/success-stories/</v>
      </c>
      <c r="B175" s="11" t="str">
        <f>IFERROR(__xludf.DUMMYFUNCTION("""COMPUTED_VALUE"""),"LATAM Talent Success Stories &amp;amp; Case Studies | NewCombin")</f>
        <v>LATAM Talent Success Stories &amp;amp; Case Studies | NewCombin</v>
      </c>
      <c r="C175" s="10" t="str">
        <f>IFERROR(__xludf.DUMMYFUNCTION("""COMPUTED_VALUE"""),"newcombin.com")</f>
        <v>newcombin.com</v>
      </c>
      <c r="D175" s="11" t="str">
        <f>IFERROR(__xludf.DUMMYFUNCTION("""COMPUTED_VALUE"""),"CATEGORY_PAGE")</f>
        <v>CATEGORY_PAGE</v>
      </c>
      <c r="E175" s="11" t="str">
        <f>IFERROR(__xludf.DUMMYFUNCTION("""COMPUTED_VALUE"""),"CORPORATE")</f>
        <v>CORPORATE</v>
      </c>
      <c r="F175" s="11" t="str">
        <f>IFERROR(__xludf.DUMMYFUNCTION("""COMPUTED_VALUE"""),"Category Page")</f>
        <v>Category Page</v>
      </c>
      <c r="G175" s="11" t="b">
        <f>IFERROR(__xludf.DUMMYFUNCTION("""COMPUTED_VALUE"""),FALSE)</f>
        <v>0</v>
      </c>
      <c r="H175" s="11" t="str">
        <f>IFERROR(__xludf.DUMMYFUNCTION("""COMPUTED_VALUE"""),"Recast, Clutch")</f>
        <v>Recast, Clutch</v>
      </c>
      <c r="I175" s="11">
        <f>IFERROR(__xludf.DUMMYFUNCTION("""COMPUTED_VALUE"""),1.0)</f>
        <v>1</v>
      </c>
      <c r="J175" s="11">
        <f>IFERROR(__xludf.DUMMYFUNCTION("""COMPUTED_VALUE"""),0.0)</f>
        <v>0</v>
      </c>
      <c r="K175" s="11">
        <f>IFERROR(__xludf.DUMMYFUNCTION("""COMPUTED_VALUE"""),1.0)</f>
        <v>1</v>
      </c>
    </row>
    <row r="176" ht="15.75" customHeight="1">
      <c r="A176" s="10" t="str">
        <f>IFERROR(__xludf.DUMMYFUNCTION("""COMPUTED_VALUE"""),"https://www.oneclub.org/awards/adcawards/-archive/agency/2025/38/all/1/840")</f>
        <v>https://www.oneclub.org/awards/adcawards/-archive/agency/2025/38/all/1/840</v>
      </c>
      <c r="B176" s="11" t="str">
        <f>IFERROR(__xludf.DUMMYFUNCTION("""COMPUTED_VALUE"""),"ADC Awards | Agency Rankings | 2025 | Advertising | North America | United States")</f>
        <v>ADC Awards | Agency Rankings | 2025 | Advertising | North America | United States</v>
      </c>
      <c r="C176" s="10" t="str">
        <f>IFERROR(__xludf.DUMMYFUNCTION("""COMPUTED_VALUE"""),"oneclub.org")</f>
        <v>oneclub.org</v>
      </c>
      <c r="D176" s="11" t="str">
        <f>IFERROR(__xludf.DUMMYFUNCTION("""COMPUTED_VALUE"""),"CATEGORY_PAGE")</f>
        <v>CATEGORY_PAGE</v>
      </c>
      <c r="E176" s="11" t="str">
        <f>IFERROR(__xludf.DUMMYFUNCTION("""COMPUTED_VALUE"""),"INSTITUTIONAL")</f>
        <v>INSTITUTIONAL</v>
      </c>
      <c r="F176" s="11" t="str">
        <f>IFERROR(__xludf.DUMMYFUNCTION("""COMPUTED_VALUE"""),"Category Page")</f>
        <v>Category Page</v>
      </c>
      <c r="G176" s="11" t="b">
        <f>IFERROR(__xludf.DUMMYFUNCTION("""COMPUTED_VALUE"""),FALSE)</f>
        <v>0</v>
      </c>
      <c r="H176" s="11" t="str">
        <f>IFERROR(__xludf.DUMMYFUNCTION("""COMPUTED_VALUE"""),"BBDO, Accenture Song, Droga5, 72andSunny, Dentsu")</f>
        <v>BBDO, Accenture Song, Droga5, 72andSunny, Dentsu</v>
      </c>
      <c r="I176" s="11">
        <f>IFERROR(__xludf.DUMMYFUNCTION("""COMPUTED_VALUE"""),1.0)</f>
        <v>1</v>
      </c>
      <c r="J176" s="11">
        <f>IFERROR(__xludf.DUMMYFUNCTION("""COMPUTED_VALUE"""),0.0)</f>
        <v>0</v>
      </c>
      <c r="K176" s="11">
        <f>IFERROR(__xludf.DUMMYFUNCTION("""COMPUTED_VALUE"""),0.0)</f>
        <v>0</v>
      </c>
    </row>
    <row r="177" ht="15.75" customHeight="1">
      <c r="A177" s="10" t="str">
        <f>IFERROR(__xludf.DUMMYFUNCTION("""COMPUTED_VALUE"""),"https://www.oneclub.org/awards/adcawards/-archive/agency/2025/61/all/1/all")</f>
        <v>https://www.oneclub.org/awards/adcawards/-archive/agency/2025/61/all/1/all</v>
      </c>
      <c r="B177" s="11" t="str">
        <f>IFERROR(__xludf.DUMMYFUNCTION("""COMPUTED_VALUE"""),"ADC Awards | Agency Rankings | 2025 | Interactive | North America")</f>
        <v>ADC Awards | Agency Rankings | 2025 | Interactive | North America</v>
      </c>
      <c r="C177" s="10" t="str">
        <f>IFERROR(__xludf.DUMMYFUNCTION("""COMPUTED_VALUE"""),"oneclub.org")</f>
        <v>oneclub.org</v>
      </c>
      <c r="D177" s="11" t="str">
        <f>IFERROR(__xludf.DUMMYFUNCTION("""COMPUTED_VALUE"""),"CATEGORY_PAGE")</f>
        <v>CATEGORY_PAGE</v>
      </c>
      <c r="E177" s="11" t="str">
        <f>IFERROR(__xludf.DUMMYFUNCTION("""COMPUTED_VALUE"""),"INSTITUTIONAL")</f>
        <v>INSTITUTIONAL</v>
      </c>
      <c r="F177" s="11" t="str">
        <f>IFERROR(__xludf.DUMMYFUNCTION("""COMPUTED_VALUE"""),"Category Page")</f>
        <v>Category Page</v>
      </c>
      <c r="G177" s="11" t="b">
        <f>IFERROR(__xludf.DUMMYFUNCTION("""COMPUTED_VALUE"""),FALSE)</f>
        <v>0</v>
      </c>
      <c r="H177" s="11" t="str">
        <f>IFERROR(__xludf.DUMMYFUNCTION("""COMPUTED_VALUE"""),"Dentsu, Accenture Song, Droga5")</f>
        <v>Dentsu, Accenture Song, Droga5</v>
      </c>
      <c r="I177" s="11">
        <f>IFERROR(__xludf.DUMMYFUNCTION("""COMPUTED_VALUE"""),1.0)</f>
        <v>1</v>
      </c>
      <c r="J177" s="11">
        <f>IFERROR(__xludf.DUMMYFUNCTION("""COMPUTED_VALUE"""),0.0)</f>
        <v>0</v>
      </c>
      <c r="K177" s="11">
        <f>IFERROR(__xludf.DUMMYFUNCTION("""COMPUTED_VALUE"""),0.0)</f>
        <v>0</v>
      </c>
    </row>
    <row r="178" ht="15.75" customHeight="1">
      <c r="A178" s="10" t="str">
        <f>IFERROR(__xludf.DUMMYFUNCTION("""COMPUTED_VALUE"""),"https://scopicstudios.com/blog/best-geo-agencies-ai-search-visibility-2026/")</f>
        <v>https://scopicstudios.com/blog/best-geo-agencies-ai-search-visibility-2026/</v>
      </c>
      <c r="B178" s="11" t="str">
        <f>IFERROR(__xludf.DUMMYFUNCTION("""COMPUTED_VALUE"""),"10 Best GEO Agencies for AI Search Brand Visibility")</f>
        <v>10 Best GEO Agencies for AI Search Brand Visibility</v>
      </c>
      <c r="C178" s="10" t="str">
        <f>IFERROR(__xludf.DUMMYFUNCTION("""COMPUTED_VALUE"""),"scopicstudios.com")</f>
        <v>scopicstudios.com</v>
      </c>
      <c r="D178" s="11" t="str">
        <f>IFERROR(__xludf.DUMMYFUNCTION("""COMPUTED_VALUE"""),"CATEGORY_PAGE")</f>
        <v>CATEGORY_PAGE</v>
      </c>
      <c r="E178" s="11" t="str">
        <f>IFERROR(__xludf.DUMMYFUNCTION("""COMPUTED_VALUE"""),"CORPORATE")</f>
        <v>CORPORATE</v>
      </c>
      <c r="F178" s="11" t="str">
        <f>IFERROR(__xludf.DUMMYFUNCTION("""COMPUTED_VALUE"""),"Category Page")</f>
        <v>Category Page</v>
      </c>
      <c r="G178" s="11" t="b">
        <f>IFERROR(__xludf.DUMMYFUNCTION("""COMPUTED_VALUE"""),FALSE)</f>
        <v>0</v>
      </c>
      <c r="H178" s="11" t="str">
        <f>IFERROR(__xludf.DUMMYFUNCTION("""COMPUTED_VALUE"""),"Clutch")</f>
        <v>Clutch</v>
      </c>
      <c r="I178" s="11">
        <f>IFERROR(__xludf.DUMMYFUNCTION("""COMPUTED_VALUE"""),1.0)</f>
        <v>1</v>
      </c>
      <c r="J178" s="11">
        <f>IFERROR(__xludf.DUMMYFUNCTION("""COMPUTED_VALUE"""),0.0)</f>
        <v>0</v>
      </c>
      <c r="K178" s="11">
        <f>IFERROR(__xludf.DUMMYFUNCTION("""COMPUTED_VALUE"""),0.0)</f>
        <v>0</v>
      </c>
    </row>
    <row r="179" ht="15.75" customHeight="1">
      <c r="A179" s="10" t="str">
        <f>IFERROR(__xludf.DUMMYFUNCTION("""COMPUTED_VALUE"""),"https://selectedfirms.co/companies/digital-marketing-agencies/usa")</f>
        <v>https://selectedfirms.co/companies/digital-marketing-agencies/usa</v>
      </c>
      <c r="B179" s="11" t="str">
        <f>IFERROR(__xludf.DUMMYFUNCTION("""COMPUTED_VALUE"""),"Top Digital Marketing Companies in USA (2026) — SelectedFirms")</f>
        <v>Top Digital Marketing Companies in USA (2026) — SelectedFirms</v>
      </c>
      <c r="C179" s="10" t="str">
        <f>IFERROR(__xludf.DUMMYFUNCTION("""COMPUTED_VALUE"""),"selectedfirms.co")</f>
        <v>selectedfirms.co</v>
      </c>
      <c r="D179" s="11" t="str">
        <f>IFERROR(__xludf.DUMMYFUNCTION("""COMPUTED_VALUE"""),"CATEGORY_PAGE")</f>
        <v>CATEGORY_PAGE</v>
      </c>
      <c r="E179" s="11" t="str">
        <f>IFERROR(__xludf.DUMMYFUNCTION("""COMPUTED_VALUE"""),"CORPORATE")</f>
        <v>CORPORATE</v>
      </c>
      <c r="F179" s="11" t="str">
        <f>IFERROR(__xludf.DUMMYFUNCTION("""COMPUTED_VALUE"""),"Category Page")</f>
        <v>Category Page</v>
      </c>
      <c r="G179" s="11" t="b">
        <f>IFERROR(__xludf.DUMMYFUNCTION("""COMPUTED_VALUE"""),FALSE)</f>
        <v>0</v>
      </c>
      <c r="H179" s="11" t="str">
        <f>IFERROR(__xludf.DUMMYFUNCTION("""COMPUTED_VALUE"""),"IBM, Elit-Web, Clutch, Huge, Momentum, AdVenture Media, HawkSEM, Silverback Strategies, RevenueZen")</f>
        <v>IBM, Elit-Web, Clutch, Huge, Momentum, AdVenture Media, HawkSEM, Silverback Strategies, RevenueZen</v>
      </c>
      <c r="I179" s="11">
        <f>IFERROR(__xludf.DUMMYFUNCTION("""COMPUTED_VALUE"""),1.0)</f>
        <v>1</v>
      </c>
      <c r="J179" s="11">
        <f>IFERROR(__xludf.DUMMYFUNCTION("""COMPUTED_VALUE"""),0.0)</f>
        <v>0</v>
      </c>
      <c r="K179" s="11">
        <f>IFERROR(__xludf.DUMMYFUNCTION("""COMPUTED_VALUE"""),0.0)</f>
        <v>0</v>
      </c>
    </row>
    <row r="180" ht="15.75" customHeight="1">
      <c r="A180" s="10" t="str">
        <f>IFERROR(__xludf.DUMMYFUNCTION("""COMPUTED_VALUE"""),"https://slashdot.org/software/incrementality-testing/")</f>
        <v>https://slashdot.org/software/incrementality-testing/</v>
      </c>
      <c r="B180" s="11" t="str">
        <f>IFERROR(__xludf.DUMMYFUNCTION("""COMPUTED_VALUE"""),"Top Incrementality Testing Tools in 2026")</f>
        <v>Top Incrementality Testing Tools in 2026</v>
      </c>
      <c r="C180" s="10" t="str">
        <f>IFERROR(__xludf.DUMMYFUNCTION("""COMPUTED_VALUE"""),"slashdot.org")</f>
        <v>slashdot.org</v>
      </c>
      <c r="D180" s="11" t="str">
        <f>IFERROR(__xludf.DUMMYFUNCTION("""COMPUTED_VALUE"""),"CATEGORY_PAGE")</f>
        <v>CATEGORY_PAGE</v>
      </c>
      <c r="E180" s="11" t="str">
        <f>IFERROR(__xludf.DUMMYFUNCTION("""COMPUTED_VALUE"""),"EDITORIAL")</f>
        <v>EDITORIAL</v>
      </c>
      <c r="F180" s="11" t="str">
        <f>IFERROR(__xludf.DUMMYFUNCTION("""COMPUTED_VALUE"""),"Category Page")</f>
        <v>Category Page</v>
      </c>
      <c r="G180" s="11" t="b">
        <f>IFERROR(__xludf.DUMMYFUNCTION("""COMPUTED_VALUE"""),FALSE)</f>
        <v>0</v>
      </c>
      <c r="H180" s="11" t="str">
        <f>IFERROR(__xludf.DUMMYFUNCTION("""COMPUTED_VALUE"""),"Measured, LifeSight, Sellforte, Rockerbox, Recast, Haus, Analytic Partners, Momentum")</f>
        <v>Measured, LifeSight, Sellforte, Rockerbox, Recast, Haus, Analytic Partners, Momentum</v>
      </c>
      <c r="I180" s="11">
        <f>IFERROR(__xludf.DUMMYFUNCTION("""COMPUTED_VALUE"""),1.0)</f>
        <v>1</v>
      </c>
      <c r="J180" s="11">
        <f>IFERROR(__xludf.DUMMYFUNCTION("""COMPUTED_VALUE"""),0.0)</f>
        <v>0</v>
      </c>
      <c r="K180" s="11">
        <f>IFERROR(__xludf.DUMMYFUNCTION("""COMPUTED_VALUE"""),0.0)</f>
        <v>0</v>
      </c>
    </row>
    <row r="181" ht="15.75" customHeight="1">
      <c r="A181" s="10" t="str">
        <f>IFERROR(__xludf.DUMMYFUNCTION("""COMPUTED_VALUE"""),"https://slashdot.org/software/incrementality-testing/in-usa/")</f>
        <v>https://slashdot.org/software/incrementality-testing/in-usa/</v>
      </c>
      <c r="B181" s="11" t="str">
        <f>IFERROR(__xludf.DUMMYFUNCTION("""COMPUTED_VALUE"""),"Top Incrementality Testing Tools in the USA in 2026")</f>
        <v>Top Incrementality Testing Tools in the USA in 2026</v>
      </c>
      <c r="C181" s="10" t="str">
        <f>IFERROR(__xludf.DUMMYFUNCTION("""COMPUTED_VALUE"""),"slashdot.org")</f>
        <v>slashdot.org</v>
      </c>
      <c r="D181" s="11" t="str">
        <f>IFERROR(__xludf.DUMMYFUNCTION("""COMPUTED_VALUE"""),"CATEGORY_PAGE")</f>
        <v>CATEGORY_PAGE</v>
      </c>
      <c r="E181" s="11" t="str">
        <f>IFERROR(__xludf.DUMMYFUNCTION("""COMPUTED_VALUE"""),"EDITORIAL")</f>
        <v>EDITORIAL</v>
      </c>
      <c r="F181" s="11" t="str">
        <f>IFERROR(__xludf.DUMMYFUNCTION("""COMPUTED_VALUE"""),"Category Page")</f>
        <v>Category Page</v>
      </c>
      <c r="G181" s="11" t="b">
        <f>IFERROR(__xludf.DUMMYFUNCTION("""COMPUTED_VALUE"""),FALSE)</f>
        <v>0</v>
      </c>
      <c r="H181" s="11" t="str">
        <f>IFERROR(__xludf.DUMMYFUNCTION("""COMPUTED_VALUE"""),"Measured, LifeSight, Sellforte, Rockerbox, Recast, Haus, Analytic Partners")</f>
        <v>Measured, LifeSight, Sellforte, Rockerbox, Recast, Haus, Analytic Partners</v>
      </c>
      <c r="I181" s="11">
        <f>IFERROR(__xludf.DUMMYFUNCTION("""COMPUTED_VALUE"""),1.0)</f>
        <v>1</v>
      </c>
      <c r="J181" s="11">
        <f>IFERROR(__xludf.DUMMYFUNCTION("""COMPUTED_VALUE"""),0.0)</f>
        <v>0</v>
      </c>
      <c r="K181" s="11">
        <f>IFERROR(__xludf.DUMMYFUNCTION("""COMPUTED_VALUE"""),0.0)</f>
        <v>0</v>
      </c>
    </row>
    <row r="182" ht="15.75" customHeight="1">
      <c r="A182" s="10" t="str">
        <f>IFERROR(__xludf.DUMMYFUNCTION("""COMPUTED_VALUE"""),"https://www.sortlist.com/digital-marketing/doha-qa")</f>
        <v>https://www.sortlist.com/digital-marketing/doha-qa</v>
      </c>
      <c r="B182" s="11" t="str">
        <f>IFERROR(__xludf.DUMMYFUNCTION("""COMPUTED_VALUE"""),"The 10 Best Digital Marketing Agencies in Doha - 2026 Reviews")</f>
        <v>The 10 Best Digital Marketing Agencies in Doha - 2026 Reviews</v>
      </c>
      <c r="C182" s="10" t="str">
        <f>IFERROR(__xludf.DUMMYFUNCTION("""COMPUTED_VALUE"""),"sortlist.com")</f>
        <v>sortlist.com</v>
      </c>
      <c r="D182" s="11" t="str">
        <f>IFERROR(__xludf.DUMMYFUNCTION("""COMPUTED_VALUE"""),"CATEGORY_PAGE")</f>
        <v>CATEGORY_PAGE</v>
      </c>
      <c r="E182" s="11" t="str">
        <f>IFERROR(__xludf.DUMMYFUNCTION("""COMPUTED_VALUE"""),"CORPORATE")</f>
        <v>CORPORATE</v>
      </c>
      <c r="F182" s="11" t="str">
        <f>IFERROR(__xludf.DUMMYFUNCTION("""COMPUTED_VALUE"""),"Category Page")</f>
        <v>Category Page</v>
      </c>
      <c r="G182" s="11" t="b">
        <f>IFERROR(__xludf.DUMMYFUNCTION("""COMPUTED_VALUE"""),FALSE)</f>
        <v>0</v>
      </c>
      <c r="H182" s="11" t="str">
        <f>IFERROR(__xludf.DUMMYFUNCTION("""COMPUTED_VALUE"""),"Clutch, Directive")</f>
        <v>Clutch, Directive</v>
      </c>
      <c r="I182" s="11">
        <f>IFERROR(__xludf.DUMMYFUNCTION("""COMPUTED_VALUE"""),1.0)</f>
        <v>1</v>
      </c>
      <c r="J182" s="11">
        <f>IFERROR(__xludf.DUMMYFUNCTION("""COMPUTED_VALUE"""),0.0)</f>
        <v>0</v>
      </c>
      <c r="K182" s="11">
        <f>IFERROR(__xludf.DUMMYFUNCTION("""COMPUTED_VALUE"""),0.0)</f>
        <v>0</v>
      </c>
    </row>
    <row r="183" ht="15.75" customHeight="1">
      <c r="A183" s="10" t="str">
        <f>IFERROR(__xludf.DUMMYFUNCTION("""COMPUTED_VALUE"""),"https://www.sortlist.com/paid-media#:~:text=Instead%20of%20traditional%20agencies%20that%20bill%20per,marketing%20across%20all%20key%20channels%20and%20disciplines.")</f>
        <v>https://www.sortlist.com/paid-media#:~:text=Instead%20of%20traditional%20agencies%20that%20bill%20per,marketing%20across%20all%20key%20channels%20and%20disciplines.</v>
      </c>
      <c r="B183" s="11" t="str">
        <f>IFERROR(__xludf.DUMMYFUNCTION("""COMPUTED_VALUE"""),"The 100 Best Paid Media Agencies - 2026 Reviews")</f>
        <v>The 100 Best Paid Media Agencies - 2026 Reviews</v>
      </c>
      <c r="C183" s="10" t="str">
        <f>IFERROR(__xludf.DUMMYFUNCTION("""COMPUTED_VALUE"""),"sortlist.com")</f>
        <v>sortlist.com</v>
      </c>
      <c r="D183" s="11" t="str">
        <f>IFERROR(__xludf.DUMMYFUNCTION("""COMPUTED_VALUE"""),"CATEGORY_PAGE")</f>
        <v>CATEGORY_PAGE</v>
      </c>
      <c r="E183" s="11" t="str">
        <f>IFERROR(__xludf.DUMMYFUNCTION("""COMPUTED_VALUE"""),"CORPORATE")</f>
        <v>CORPORATE</v>
      </c>
      <c r="F183" s="11" t="str">
        <f>IFERROR(__xludf.DUMMYFUNCTION("""COMPUTED_VALUE"""),"Category Page")</f>
        <v>Category Page</v>
      </c>
      <c r="G183" s="11" t="b">
        <f>IFERROR(__xludf.DUMMYFUNCTION("""COMPUTED_VALUE"""),FALSE)</f>
        <v>0</v>
      </c>
      <c r="H183" s="11" t="str">
        <f>IFERROR(__xludf.DUMMYFUNCTION("""COMPUTED_VALUE"""),"NinjaPromo, Triple Whale, Northbeam, HockeyStack")</f>
        <v>NinjaPromo, Triple Whale, Northbeam, HockeyStack</v>
      </c>
      <c r="I183" s="11">
        <f>IFERROR(__xludf.DUMMYFUNCTION("""COMPUTED_VALUE"""),1.0)</f>
        <v>1</v>
      </c>
      <c r="J183" s="11">
        <f>IFERROR(__xludf.DUMMYFUNCTION("""COMPUTED_VALUE"""),0.0)</f>
        <v>0</v>
      </c>
      <c r="K183" s="11">
        <f>IFERROR(__xludf.DUMMYFUNCTION("""COMPUTED_VALUE"""),2.0)</f>
        <v>2</v>
      </c>
    </row>
    <row r="184" ht="15.75" customHeight="1">
      <c r="A184" s="10" t="str">
        <f>IFERROR(__xludf.DUMMYFUNCTION("""COMPUTED_VALUE"""),"https://www.sortlist.com/performance-marketing")</f>
        <v>https://www.sortlist.com/performance-marketing</v>
      </c>
      <c r="B184" s="11" t="str">
        <f>IFERROR(__xludf.DUMMYFUNCTION("""COMPUTED_VALUE"""),"The 100 Best Performance Marketing Agencies - 2026 Reviews")</f>
        <v>The 100 Best Performance Marketing Agencies - 2026 Reviews</v>
      </c>
      <c r="C184" s="10" t="str">
        <f>IFERROR(__xludf.DUMMYFUNCTION("""COMPUTED_VALUE"""),"sortlist.com")</f>
        <v>sortlist.com</v>
      </c>
      <c r="D184" s="11" t="str">
        <f>IFERROR(__xludf.DUMMYFUNCTION("""COMPUTED_VALUE"""),"CATEGORY_PAGE")</f>
        <v>CATEGORY_PAGE</v>
      </c>
      <c r="E184" s="11" t="str">
        <f>IFERROR(__xludf.DUMMYFUNCTION("""COMPUTED_VALUE"""),"CORPORATE")</f>
        <v>CORPORATE</v>
      </c>
      <c r="F184" s="11" t="str">
        <f>IFERROR(__xludf.DUMMYFUNCTION("""COMPUTED_VALUE"""),"Category Page")</f>
        <v>Category Page</v>
      </c>
      <c r="G184" s="11" t="b">
        <f>IFERROR(__xludf.DUMMYFUNCTION("""COMPUTED_VALUE"""),FALSE)</f>
        <v>0</v>
      </c>
      <c r="H184" s="11" t="str">
        <f>IFERROR(__xludf.DUMMYFUNCTION("""COMPUTED_VALUE"""),"Triple Whale, Northbeam, HockeyStack, Measured")</f>
        <v>Triple Whale, Northbeam, HockeyStack, Measured</v>
      </c>
      <c r="I184" s="11">
        <f>IFERROR(__xludf.DUMMYFUNCTION("""COMPUTED_VALUE"""),1.0)</f>
        <v>1</v>
      </c>
      <c r="J184" s="11">
        <f>IFERROR(__xludf.DUMMYFUNCTION("""COMPUTED_VALUE"""),0.0)</f>
        <v>0</v>
      </c>
      <c r="K184" s="11">
        <f>IFERROR(__xludf.DUMMYFUNCTION("""COMPUTED_VALUE"""),0.0)</f>
        <v>0</v>
      </c>
    </row>
    <row r="185" ht="15.75" customHeight="1">
      <c r="A185" s="10" t="str">
        <f>IFERROR(__xludf.DUMMYFUNCTION("""COMPUTED_VALUE"""),"https://www.sortlist.com/s/artificial-intelligence/united-states-us")</f>
        <v>https://www.sortlist.com/s/artificial-intelligence/united-states-us</v>
      </c>
      <c r="B185" s="11" t="str">
        <f>IFERROR(__xludf.DUMMYFUNCTION("""COMPUTED_VALUE"""),"The 10 Best Artificial Intelligence Agencies in the United States - 2026 Reviews")</f>
        <v>The 10 Best Artificial Intelligence Agencies in the United States - 2026 Reviews</v>
      </c>
      <c r="C185" s="10" t="str">
        <f>IFERROR(__xludf.DUMMYFUNCTION("""COMPUTED_VALUE"""),"sortlist.com")</f>
        <v>sortlist.com</v>
      </c>
      <c r="D185" s="11" t="str">
        <f>IFERROR(__xludf.DUMMYFUNCTION("""COMPUTED_VALUE"""),"CATEGORY_PAGE")</f>
        <v>CATEGORY_PAGE</v>
      </c>
      <c r="E185" s="11" t="str">
        <f>IFERROR(__xludf.DUMMYFUNCTION("""COMPUTED_VALUE"""),"CORPORATE")</f>
        <v>CORPORATE</v>
      </c>
      <c r="F185" s="11" t="str">
        <f>IFERROR(__xludf.DUMMYFUNCTION("""COMPUTED_VALUE"""),"Category Page")</f>
        <v>Category Page</v>
      </c>
      <c r="G185" s="11" t="b">
        <f>IFERROR(__xludf.DUMMYFUNCTION("""COMPUTED_VALUE"""),FALSE)</f>
        <v>0</v>
      </c>
      <c r="H185" s="11" t="str">
        <f>IFERROR(__xludf.DUMMYFUNCTION("""COMPUTED_VALUE"""),"Clutch")</f>
        <v>Clutch</v>
      </c>
      <c r="I185" s="11">
        <f>IFERROR(__xludf.DUMMYFUNCTION("""COMPUTED_VALUE"""),1.0)</f>
        <v>1</v>
      </c>
      <c r="J185" s="11">
        <f>IFERROR(__xludf.DUMMYFUNCTION("""COMPUTED_VALUE"""),0.0)</f>
        <v>0</v>
      </c>
      <c r="K185" s="11">
        <f>IFERROR(__xludf.DUMMYFUNCTION("""COMPUTED_VALUE"""),0.0)</f>
        <v>0</v>
      </c>
    </row>
    <row r="186" ht="15.75" customHeight="1">
      <c r="A186" s="10" t="str">
        <f>IFERROR(__xludf.DUMMYFUNCTION("""COMPUTED_VALUE"""),"https://www.sortlist.com/s/display-advertising/los-angeles-ca-us")</f>
        <v>https://www.sortlist.com/s/display-advertising/los-angeles-ca-us</v>
      </c>
      <c r="B186" s="11" t="str">
        <f>IFERROR(__xludf.DUMMYFUNCTION("""COMPUTED_VALUE"""),"The 10 Best Display Advertising Agencies in Los Angeles, CA - 2026 Reviews")</f>
        <v>The 10 Best Display Advertising Agencies in Los Angeles, CA - 2026 Reviews</v>
      </c>
      <c r="C186" s="10" t="str">
        <f>IFERROR(__xludf.DUMMYFUNCTION("""COMPUTED_VALUE"""),"sortlist.com")</f>
        <v>sortlist.com</v>
      </c>
      <c r="D186" s="11" t="str">
        <f>IFERROR(__xludf.DUMMYFUNCTION("""COMPUTED_VALUE"""),"CATEGORY_PAGE")</f>
        <v>CATEGORY_PAGE</v>
      </c>
      <c r="E186" s="11" t="str">
        <f>IFERROR(__xludf.DUMMYFUNCTION("""COMPUTED_VALUE"""),"CORPORATE")</f>
        <v>CORPORATE</v>
      </c>
      <c r="F186" s="11" t="str">
        <f>IFERROR(__xludf.DUMMYFUNCTION("""COMPUTED_VALUE"""),"Category Page")</f>
        <v>Category Page</v>
      </c>
      <c r="G186" s="11" t="b">
        <f>IFERROR(__xludf.DUMMYFUNCTION("""COMPUTED_VALUE"""),FALSE)</f>
        <v>0</v>
      </c>
      <c r="H186" s="11" t="str">
        <f>IFERROR(__xludf.DUMMYFUNCTION("""COMPUTED_VALUE"""),"NinjaPromo, IBM, Clutch, Clay")</f>
        <v>NinjaPromo, IBM, Clutch, Clay</v>
      </c>
      <c r="I186" s="11">
        <f>IFERROR(__xludf.DUMMYFUNCTION("""COMPUTED_VALUE"""),1.0)</f>
        <v>1</v>
      </c>
      <c r="J186" s="11">
        <f>IFERROR(__xludf.DUMMYFUNCTION("""COMPUTED_VALUE"""),0.0)</f>
        <v>0</v>
      </c>
      <c r="K186" s="11">
        <f>IFERROR(__xludf.DUMMYFUNCTION("""COMPUTED_VALUE"""),0.0)</f>
        <v>0</v>
      </c>
    </row>
    <row r="187" ht="15.75" customHeight="1">
      <c r="A187" s="10" t="str">
        <f>IFERROR(__xludf.DUMMYFUNCTION("""COMPUTED_VALUE"""),"https://www.sortlist.com/s/display-advertising/nashville-tn-us")</f>
        <v>https://www.sortlist.com/s/display-advertising/nashville-tn-us</v>
      </c>
      <c r="B187" s="11" t="str">
        <f>IFERROR(__xludf.DUMMYFUNCTION("""COMPUTED_VALUE"""),"The 10 Best Display Advertising Agencies in Nashville - 2026 Reviews")</f>
        <v>The 10 Best Display Advertising Agencies in Nashville - 2026 Reviews</v>
      </c>
      <c r="C187" s="10" t="str">
        <f>IFERROR(__xludf.DUMMYFUNCTION("""COMPUTED_VALUE"""),"sortlist.com")</f>
        <v>sortlist.com</v>
      </c>
      <c r="D187" s="11" t="str">
        <f>IFERROR(__xludf.DUMMYFUNCTION("""COMPUTED_VALUE"""),"CATEGORY_PAGE")</f>
        <v>CATEGORY_PAGE</v>
      </c>
      <c r="E187" s="11" t="str">
        <f>IFERROR(__xludf.DUMMYFUNCTION("""COMPUTED_VALUE"""),"CORPORATE")</f>
        <v>CORPORATE</v>
      </c>
      <c r="F187" s="11" t="str">
        <f>IFERROR(__xludf.DUMMYFUNCTION("""COMPUTED_VALUE"""),"Category Page")</f>
        <v>Category Page</v>
      </c>
      <c r="G187" s="11" t="b">
        <f>IFERROR(__xludf.DUMMYFUNCTION("""COMPUTED_VALUE"""),FALSE)</f>
        <v>0</v>
      </c>
      <c r="H187" s="11" t="str">
        <f>IFERROR(__xludf.DUMMYFUNCTION("""COMPUTED_VALUE"""),"NinjaPromo, IBM, Clutch, Clay, Nielsen")</f>
        <v>NinjaPromo, IBM, Clutch, Clay, Nielsen</v>
      </c>
      <c r="I187" s="11">
        <f>IFERROR(__xludf.DUMMYFUNCTION("""COMPUTED_VALUE"""),1.0)</f>
        <v>1</v>
      </c>
      <c r="J187" s="11">
        <f>IFERROR(__xludf.DUMMYFUNCTION("""COMPUTED_VALUE"""),0.0)</f>
        <v>0</v>
      </c>
      <c r="K187" s="11">
        <f>IFERROR(__xludf.DUMMYFUNCTION("""COMPUTED_VALUE"""),0.0)</f>
        <v>0</v>
      </c>
    </row>
    <row r="188" ht="15.75" customHeight="1">
      <c r="A188" s="10" t="str">
        <f>IFERROR(__xludf.DUMMYFUNCTION("""COMPUTED_VALUE"""),"https://www.sortlist.com/s/performance-marketing/atlanta-ga-us")</f>
        <v>https://www.sortlist.com/s/performance-marketing/atlanta-ga-us</v>
      </c>
      <c r="B188" s="11" t="str">
        <f>IFERROR(__xludf.DUMMYFUNCTION("""COMPUTED_VALUE"""),"The 10 Best Performance Marketing Agencies in Atlanta, GA - 2026 Reviews")</f>
        <v>The 10 Best Performance Marketing Agencies in Atlanta, GA - 2026 Reviews</v>
      </c>
      <c r="C188" s="10" t="str">
        <f>IFERROR(__xludf.DUMMYFUNCTION("""COMPUTED_VALUE"""),"sortlist.com")</f>
        <v>sortlist.com</v>
      </c>
      <c r="D188" s="11" t="str">
        <f>IFERROR(__xludf.DUMMYFUNCTION("""COMPUTED_VALUE"""),"CATEGORY_PAGE")</f>
        <v>CATEGORY_PAGE</v>
      </c>
      <c r="E188" s="11" t="str">
        <f>IFERROR(__xludf.DUMMYFUNCTION("""COMPUTED_VALUE"""),"CORPORATE")</f>
        <v>CORPORATE</v>
      </c>
      <c r="F188" s="11" t="str">
        <f>IFERROR(__xludf.DUMMYFUNCTION("""COMPUTED_VALUE"""),"Category Page")</f>
        <v>Category Page</v>
      </c>
      <c r="G188" s="11" t="b">
        <f>IFERROR(__xludf.DUMMYFUNCTION("""COMPUTED_VALUE"""),FALSE)</f>
        <v>0</v>
      </c>
      <c r="H188" s="11" t="str">
        <f>IFERROR(__xludf.DUMMYFUNCTION("""COMPUTED_VALUE"""),"IBM, Clutch, Clay, Anomaly")</f>
        <v>IBM, Clutch, Clay, Anomaly</v>
      </c>
      <c r="I188" s="11">
        <f>IFERROR(__xludf.DUMMYFUNCTION("""COMPUTED_VALUE"""),1.0)</f>
        <v>1</v>
      </c>
      <c r="J188" s="11">
        <f>IFERROR(__xludf.DUMMYFUNCTION("""COMPUTED_VALUE"""),0.0)</f>
        <v>0</v>
      </c>
      <c r="K188" s="11">
        <f>IFERROR(__xludf.DUMMYFUNCTION("""COMPUTED_VALUE"""),0.0)</f>
        <v>0</v>
      </c>
    </row>
    <row r="189" ht="15.75" customHeight="1">
      <c r="A189" s="10" t="str">
        <f>IFERROR(__xludf.DUMMYFUNCTION("""COMPUTED_VALUE"""),"https://themanifest.com/us/social-media/instagram/agencies")</f>
        <v>https://themanifest.com/us/social-media/instagram/agencies</v>
      </c>
      <c r="B189" s="11" t="str">
        <f>IFERROR(__xludf.DUMMYFUNCTION("""COMPUTED_VALUE"""),"The Best Instagram Advertising Companies in United States - Jul 2026 | The Manifest")</f>
        <v>The Best Instagram Advertising Companies in United States - Jul 2026 | The Manifest</v>
      </c>
      <c r="C189" s="10" t="str">
        <f>IFERROR(__xludf.DUMMYFUNCTION("""COMPUTED_VALUE"""),"themanifest.com")</f>
        <v>themanifest.com</v>
      </c>
      <c r="D189" s="11" t="str">
        <f>IFERROR(__xludf.DUMMYFUNCTION("""COMPUTED_VALUE"""),"CATEGORY_PAGE")</f>
        <v>CATEGORY_PAGE</v>
      </c>
      <c r="E189" s="11" t="str">
        <f>IFERROR(__xludf.DUMMYFUNCTION("""COMPUTED_VALUE"""),"REFERENCE")</f>
        <v>REFERENCE</v>
      </c>
      <c r="F189" s="11" t="str">
        <f>IFERROR(__xludf.DUMMYFUNCTION("""COMPUTED_VALUE"""),"Category Page")</f>
        <v>Category Page</v>
      </c>
      <c r="G189" s="11" t="b">
        <f>IFERROR(__xludf.DUMMYFUNCTION("""COMPUTED_VALUE"""),FALSE)</f>
        <v>0</v>
      </c>
      <c r="H189" s="11" t="str">
        <f>IFERROR(__xludf.DUMMYFUNCTION("""COMPUTED_VALUE"""),"Clutch, LYFE Marketing, Elit-Web, Power Digital, Disruptive Advertising, Sociallyin, SmartSites, AdVenture Media, HawkSEM, Brighter Click, NinjaPromo")</f>
        <v>Clutch, LYFE Marketing, Elit-Web, Power Digital, Disruptive Advertising, Sociallyin, SmartSites, AdVenture Media, HawkSEM, Brighter Click, NinjaPromo</v>
      </c>
      <c r="I189" s="11">
        <f>IFERROR(__xludf.DUMMYFUNCTION("""COMPUTED_VALUE"""),1.0)</f>
        <v>1</v>
      </c>
      <c r="J189" s="11">
        <f>IFERROR(__xludf.DUMMYFUNCTION("""COMPUTED_VALUE"""),0.0)</f>
        <v>0</v>
      </c>
      <c r="K189" s="11">
        <f>IFERROR(__xludf.DUMMYFUNCTION("""COMPUTED_VALUE"""),0.0)</f>
        <v>0</v>
      </c>
    </row>
    <row r="190" ht="15.75" customHeight="1">
      <c r="A190" s="10" t="str">
        <f>IFERROR(__xludf.DUMMYFUNCTION("""COMPUTED_VALUE"""),"https://tinuiti.com/services/")</f>
        <v>https://tinuiti.com/services/</v>
      </c>
      <c r="B190" s="11" t="str">
        <f>IFERROR(__xludf.DUMMYFUNCTION("""COMPUTED_VALUE"""),"Performance Marketing Services | Tinuiti")</f>
        <v>Performance Marketing Services | Tinuiti</v>
      </c>
      <c r="C190" s="10" t="str">
        <f>IFERROR(__xludf.DUMMYFUNCTION("""COMPUTED_VALUE"""),"tinuiti.com")</f>
        <v>tinuiti.com</v>
      </c>
      <c r="D190" s="11" t="str">
        <f>IFERROR(__xludf.DUMMYFUNCTION("""COMPUTED_VALUE"""),"CATEGORY_PAGE")</f>
        <v>CATEGORY_PAGE</v>
      </c>
      <c r="E190" s="11" t="str">
        <f>IFERROR(__xludf.DUMMYFUNCTION("""COMPUTED_VALUE"""),"COMPETITOR")</f>
        <v>COMPETITOR</v>
      </c>
      <c r="F190" s="11" t="str">
        <f>IFERROR(__xludf.DUMMYFUNCTION("""COMPUTED_VALUE"""),"Category Page")</f>
        <v>Category Page</v>
      </c>
      <c r="G190" s="11" t="b">
        <f>IFERROR(__xludf.DUMMYFUNCTION("""COMPUTED_VALUE"""),FALSE)</f>
        <v>0</v>
      </c>
      <c r="H190" s="11" t="str">
        <f>IFERROR(__xludf.DUMMYFUNCTION("""COMPUTED_VALUE"""),"Tinuiti, InfoTrust")</f>
        <v>Tinuiti, InfoTrust</v>
      </c>
      <c r="I190" s="11">
        <f>IFERROR(__xludf.DUMMYFUNCTION("""COMPUTED_VALUE"""),1.0)</f>
        <v>1</v>
      </c>
      <c r="J190" s="11">
        <f>IFERROR(__xludf.DUMMYFUNCTION("""COMPUTED_VALUE"""),0.0)</f>
        <v>0</v>
      </c>
      <c r="K190" s="11">
        <f>IFERROR(__xludf.DUMMYFUNCTION("""COMPUTED_VALUE"""),2.0)</f>
        <v>2</v>
      </c>
    </row>
    <row r="191" ht="15.75" customHeight="1">
      <c r="A191" s="10" t="str">
        <f>IFERROR(__xludf.DUMMYFUNCTION("""COMPUTED_VALUE"""),"https://topmarketingagencies.com/case-studies/")</f>
        <v>https://topmarketingagencies.com/case-studies/</v>
      </c>
      <c r="B191" s="11" t="str">
        <f>IFERROR(__xludf.DUMMYFUNCTION("""COMPUTED_VALUE"""),"Case Studies")</f>
        <v>Case Studies</v>
      </c>
      <c r="C191" s="10" t="str">
        <f>IFERROR(__xludf.DUMMYFUNCTION("""COMPUTED_VALUE"""),"topmarketingagencies.com")</f>
        <v>topmarketingagencies.com</v>
      </c>
      <c r="D191" s="11" t="str">
        <f>IFERROR(__xludf.DUMMYFUNCTION("""COMPUTED_VALUE"""),"CATEGORY_PAGE")</f>
        <v>CATEGORY_PAGE</v>
      </c>
      <c r="E191" s="11" t="str">
        <f>IFERROR(__xludf.DUMMYFUNCTION("""COMPUTED_VALUE"""),"REFERENCE")</f>
        <v>REFERENCE</v>
      </c>
      <c r="F191" s="11" t="str">
        <f>IFERROR(__xludf.DUMMYFUNCTION("""COMPUTED_VALUE"""),"Category Page")</f>
        <v>Category Page</v>
      </c>
      <c r="G191" s="11" t="b">
        <f>IFERROR(__xludf.DUMMYFUNCTION("""COMPUTED_VALUE"""),FALSE)</f>
        <v>0</v>
      </c>
      <c r="H191" s="11" t="str">
        <f>IFERROR(__xludf.DUMMYFUNCTION("""COMPUTED_VALUE"""),"Nielsen")</f>
        <v>Nielsen</v>
      </c>
      <c r="I191" s="11">
        <f>IFERROR(__xludf.DUMMYFUNCTION("""COMPUTED_VALUE"""),1.0)</f>
        <v>1</v>
      </c>
      <c r="J191" s="11">
        <f>IFERROR(__xludf.DUMMYFUNCTION("""COMPUTED_VALUE"""),0.0)</f>
        <v>0</v>
      </c>
      <c r="K191" s="11">
        <f>IFERROR(__xludf.DUMMYFUNCTION("""COMPUTED_VALUE"""),0.0)</f>
        <v>0</v>
      </c>
    </row>
    <row r="192" ht="15.75" customHeight="1">
      <c r="A192" s="10" t="str">
        <f>IFERROR(__xludf.DUMMYFUNCTION("""COMPUTED_VALUE"""),"https://weblystudio.com/work/")</f>
        <v>https://weblystudio.com/work/</v>
      </c>
      <c r="B192" s="11" t="str">
        <f>IFERROR(__xludf.DUMMYFUNCTION("""COMPUTED_VALUE"""),"Digital marketing case studies for US businesses · Webly Studio")</f>
        <v>Digital marketing case studies for US businesses · Webly Studio</v>
      </c>
      <c r="C192" s="10" t="str">
        <f>IFERROR(__xludf.DUMMYFUNCTION("""COMPUTED_VALUE"""),"weblystudio.com")</f>
        <v>weblystudio.com</v>
      </c>
      <c r="D192" s="11" t="str">
        <f>IFERROR(__xludf.DUMMYFUNCTION("""COMPUTED_VALUE"""),"CATEGORY_PAGE")</f>
        <v>CATEGORY_PAGE</v>
      </c>
      <c r="E192" s="11" t="str">
        <f>IFERROR(__xludf.DUMMYFUNCTION("""COMPUTED_VALUE"""),"CORPORATE")</f>
        <v>CORPORATE</v>
      </c>
      <c r="F192" s="11" t="str">
        <f>IFERROR(__xludf.DUMMYFUNCTION("""COMPUTED_VALUE"""),"Category Page")</f>
        <v>Category Page</v>
      </c>
      <c r="G192" s="11" t="b">
        <f>IFERROR(__xludf.DUMMYFUNCTION("""COMPUTED_VALUE"""),FALSE)</f>
        <v>0</v>
      </c>
      <c r="H192" s="11"/>
      <c r="I192" s="11">
        <f>IFERROR(__xludf.DUMMYFUNCTION("""COMPUTED_VALUE"""),1.0)</f>
        <v>1</v>
      </c>
      <c r="J192" s="11">
        <f>IFERROR(__xludf.DUMMYFUNCTION("""COMPUTED_VALUE"""),0.0)</f>
        <v>0</v>
      </c>
      <c r="K192" s="11">
        <f>IFERROR(__xludf.DUMMYFUNCTION("""COMPUTED_VALUE"""),0.0)</f>
        <v>0</v>
      </c>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A39"/>
    <hyperlink r:id="rId74" ref="C39"/>
    <hyperlink r:id="rId75" ref="A40"/>
    <hyperlink r:id="rId76" ref="C40"/>
    <hyperlink r:id="rId77"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C113"/>
    <hyperlink r:id="rId221" ref="A114"/>
    <hyperlink r:id="rId222" ref="C114"/>
    <hyperlink r:id="rId223" ref="A115"/>
    <hyperlink r:id="rId224" ref="C115"/>
    <hyperlink r:id="rId225" ref="A116"/>
    <hyperlink r:id="rId226" ref="C116"/>
    <hyperlink r:id="rId227" ref="A117"/>
    <hyperlink r:id="rId228" ref="C117"/>
    <hyperlink r:id="rId229" ref="A118"/>
    <hyperlink r:id="rId230" ref="C118"/>
    <hyperlink r:id="rId231" ref="A119"/>
    <hyperlink r:id="rId232" ref="C119"/>
    <hyperlink r:id="rId233" ref="A120"/>
    <hyperlink r:id="rId234" ref="C120"/>
    <hyperlink r:id="rId235" ref="A121"/>
    <hyperlink r:id="rId236" ref="C121"/>
    <hyperlink r:id="rId237" ref="A122"/>
    <hyperlink r:id="rId238" ref="C122"/>
    <hyperlink r:id="rId239" ref="A123"/>
    <hyperlink r:id="rId240" ref="C123"/>
    <hyperlink r:id="rId241" ref="A124"/>
    <hyperlink r:id="rId242" ref="C124"/>
    <hyperlink r:id="rId243" ref="A125"/>
    <hyperlink r:id="rId244" ref="C125"/>
    <hyperlink r:id="rId245" ref="A126"/>
    <hyperlink r:id="rId246" ref="C126"/>
    <hyperlink r:id="rId247" ref="A127"/>
    <hyperlink r:id="rId248" ref="C127"/>
    <hyperlink r:id="rId249" ref="A128"/>
    <hyperlink r:id="rId250" ref="C128"/>
    <hyperlink r:id="rId251" ref="A129"/>
    <hyperlink r:id="rId252" ref="C129"/>
    <hyperlink r:id="rId253" ref="A130"/>
    <hyperlink r:id="rId254" ref="C130"/>
    <hyperlink r:id="rId255" ref="A131"/>
    <hyperlink r:id="rId256" ref="C131"/>
    <hyperlink r:id="rId257" ref="A132"/>
    <hyperlink r:id="rId258" ref="C132"/>
    <hyperlink r:id="rId259" ref="A133"/>
    <hyperlink r:id="rId260" ref="C133"/>
    <hyperlink r:id="rId261" ref="A134"/>
    <hyperlink r:id="rId262" ref="C134"/>
    <hyperlink r:id="rId263" ref="A135"/>
    <hyperlink r:id="rId264" ref="C135"/>
    <hyperlink r:id="rId265" ref="A136"/>
    <hyperlink r:id="rId266" ref="C136"/>
    <hyperlink r:id="rId267" ref="A137"/>
    <hyperlink r:id="rId268" ref="C137"/>
    <hyperlink r:id="rId269" ref="A138"/>
    <hyperlink r:id="rId270" ref="C138"/>
    <hyperlink r:id="rId271" ref="A139"/>
    <hyperlink r:id="rId272" ref="C139"/>
    <hyperlink r:id="rId273" ref="A140"/>
    <hyperlink r:id="rId274" ref="C140"/>
    <hyperlink r:id="rId275" ref="A141"/>
    <hyperlink r:id="rId276" ref="C141"/>
    <hyperlink r:id="rId277" ref="A142"/>
    <hyperlink r:id="rId278" ref="C142"/>
    <hyperlink r:id="rId279" ref="A143"/>
    <hyperlink r:id="rId280" ref="C143"/>
    <hyperlink r:id="rId281" ref="A144"/>
    <hyperlink r:id="rId282" ref="C144"/>
    <hyperlink r:id="rId283" ref="A145"/>
    <hyperlink r:id="rId284" ref="C145"/>
    <hyperlink r:id="rId285" ref="A146"/>
    <hyperlink r:id="rId286" ref="C146"/>
    <hyperlink r:id="rId287" ref="A147"/>
    <hyperlink r:id="rId288" ref="C147"/>
    <hyperlink r:id="rId289" ref="A148"/>
    <hyperlink r:id="rId290" ref="C148"/>
    <hyperlink r:id="rId291" ref="A149"/>
    <hyperlink r:id="rId292" ref="C149"/>
    <hyperlink r:id="rId293" ref="A150"/>
    <hyperlink r:id="rId294" ref="C150"/>
    <hyperlink r:id="rId295" ref="A151"/>
    <hyperlink r:id="rId296" ref="C151"/>
    <hyperlink r:id="rId297" ref="A152"/>
    <hyperlink r:id="rId298" ref="C152"/>
    <hyperlink r:id="rId299" ref="A153"/>
    <hyperlink r:id="rId300" ref="C153"/>
    <hyperlink r:id="rId301" ref="A154"/>
    <hyperlink r:id="rId302" ref="C154"/>
    <hyperlink r:id="rId303" ref="A155"/>
    <hyperlink r:id="rId304" ref="C155"/>
    <hyperlink r:id="rId305" ref="A156"/>
    <hyperlink r:id="rId306" ref="C156"/>
    <hyperlink r:id="rId307" ref="A157"/>
    <hyperlink r:id="rId308" ref="C157"/>
    <hyperlink r:id="rId309" ref="A158"/>
    <hyperlink r:id="rId310" ref="C158"/>
    <hyperlink r:id="rId311" ref="A159"/>
    <hyperlink r:id="rId312" ref="C159"/>
    <hyperlink r:id="rId313" ref="A160"/>
    <hyperlink r:id="rId314" ref="C160"/>
    <hyperlink r:id="rId315" ref="A161"/>
    <hyperlink r:id="rId316" ref="C161"/>
    <hyperlink r:id="rId317" ref="A162"/>
    <hyperlink r:id="rId318" ref="C162"/>
    <hyperlink r:id="rId319" ref="A163"/>
    <hyperlink r:id="rId320" ref="C163"/>
    <hyperlink r:id="rId321" ref="A164"/>
    <hyperlink r:id="rId322" ref="C164"/>
    <hyperlink r:id="rId323" ref="A165"/>
    <hyperlink r:id="rId324" ref="C165"/>
    <hyperlink r:id="rId325" ref="A166"/>
    <hyperlink r:id="rId326" ref="C166"/>
    <hyperlink r:id="rId327" ref="A167"/>
    <hyperlink r:id="rId328" ref="C167"/>
    <hyperlink r:id="rId329" ref="A168"/>
    <hyperlink r:id="rId330" ref="C168"/>
    <hyperlink r:id="rId331" ref="A169"/>
    <hyperlink r:id="rId332" ref="C169"/>
    <hyperlink r:id="rId333" ref="A170"/>
    <hyperlink r:id="rId334" ref="C170"/>
    <hyperlink r:id="rId335" ref="A171"/>
    <hyperlink r:id="rId336" ref="C171"/>
    <hyperlink r:id="rId337" ref="A172"/>
    <hyperlink r:id="rId338" ref="C172"/>
    <hyperlink r:id="rId339" ref="A173"/>
    <hyperlink r:id="rId340" ref="C173"/>
    <hyperlink r:id="rId341" ref="A174"/>
    <hyperlink r:id="rId342" ref="C174"/>
    <hyperlink r:id="rId343" ref="A175"/>
    <hyperlink r:id="rId344" ref="C175"/>
    <hyperlink r:id="rId345" ref="A176"/>
    <hyperlink r:id="rId346" ref="C176"/>
    <hyperlink r:id="rId347" ref="A177"/>
    <hyperlink r:id="rId348" ref="C177"/>
    <hyperlink r:id="rId349" ref="A178"/>
    <hyperlink r:id="rId350" ref="C178"/>
    <hyperlink r:id="rId351" ref="A179"/>
    <hyperlink r:id="rId352" ref="C179"/>
    <hyperlink r:id="rId353" ref="A180"/>
    <hyperlink r:id="rId354" ref="C180"/>
    <hyperlink r:id="rId355" ref="A181"/>
    <hyperlink r:id="rId356" ref="C181"/>
    <hyperlink r:id="rId357" ref="A182"/>
    <hyperlink r:id="rId358" ref="C182"/>
    <hyperlink r:id="rId359" location=":~:text=Instead%20of%20traditional%20agencies%20that%20bill%20per,marketing%20across%20all%20key%20channels%20and%20disciplines." ref="A183"/>
    <hyperlink r:id="rId360" ref="C183"/>
    <hyperlink r:id="rId361" ref="A184"/>
    <hyperlink r:id="rId362" ref="C184"/>
    <hyperlink r:id="rId363" ref="A185"/>
    <hyperlink r:id="rId364" ref="C185"/>
    <hyperlink r:id="rId365" ref="A186"/>
    <hyperlink r:id="rId366" ref="C186"/>
    <hyperlink r:id="rId367" ref="A187"/>
    <hyperlink r:id="rId368" ref="C187"/>
    <hyperlink r:id="rId369" ref="A188"/>
    <hyperlink r:id="rId370" ref="C188"/>
    <hyperlink r:id="rId371" ref="A189"/>
    <hyperlink r:id="rId372" ref="C189"/>
    <hyperlink r:id="rId373" ref="A190"/>
    <hyperlink r:id="rId374" ref="C190"/>
    <hyperlink r:id="rId375" ref="A191"/>
    <hyperlink r:id="rId376" ref="C191"/>
    <hyperlink r:id="rId377" ref="A192"/>
    <hyperlink r:id="rId378" ref="C192"/>
  </hyperlinks>
  <drawing r:id="rId37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All'!D2:D1000)))=""comparison""
  ),
  """"
)"),"https://www.triplewhale.com/blog/best-incrementality-testing-tools")</f>
        <v>https://www.triplewhale.com/blog/best-incrementality-testing-tools</v>
      </c>
      <c r="B2" s="11" t="str">
        <f>IFERROR(__xludf.DUMMYFUNCTION("""COMPUTED_VALUE"""),"The Best Incrementality Testing Tools for Marketers in 2026 | Triple Whale")</f>
        <v>The Best Incrementality Testing Tools for Marketers in 2026 | Triple Whale</v>
      </c>
      <c r="C2" s="10" t="str">
        <f>IFERROR(__xludf.DUMMYFUNCTION("""COMPUTED_VALUE"""),"triplewhale.com")</f>
        <v>triplewhale.com</v>
      </c>
      <c r="D2" s="11" t="str">
        <f>IFERROR(__xludf.DUMMYFUNCTION("""COMPUTED_VALUE"""),"COMPARISON")</f>
        <v>COMPARISON</v>
      </c>
      <c r="E2" s="11" t="str">
        <f>IFERROR(__xludf.DUMMYFUNCTION("""COMPUTED_VALUE"""),"COMPETITOR")</f>
        <v>COMPETITOR</v>
      </c>
      <c r="F2" s="11" t="str">
        <f>IFERROR(__xludf.DUMMYFUNCTION("""COMPUTED_VALUE"""),"Comparison")</f>
        <v>Comparison</v>
      </c>
      <c r="G2" s="11" t="b">
        <f>IFERROR(__xludf.DUMMYFUNCTION("""COMPUTED_VALUE"""),FALSE)</f>
        <v>0</v>
      </c>
      <c r="H2" s="11" t="str">
        <f>IFERROR(__xludf.DUMMYFUNCTION("""COMPUTED_VALUE"""),"Triple Whale, Haus, Measured, INCRMNTAL")</f>
        <v>Triple Whale, Haus, Measured, INCRMNTAL</v>
      </c>
      <c r="I2" s="11">
        <f>IFERROR(__xludf.DUMMYFUNCTION("""COMPUTED_VALUE"""),41.0)</f>
        <v>41</v>
      </c>
      <c r="J2" s="11">
        <f>IFERROR(__xludf.DUMMYFUNCTION("""COMPUTED_VALUE"""),0.04)</f>
        <v>0.04</v>
      </c>
      <c r="K2" s="11">
        <f>IFERROR(__xludf.DUMMYFUNCTION("""COMPUTED_VALUE"""),0.83)</f>
        <v>0.83</v>
      </c>
    </row>
    <row r="3" ht="15.75" customHeight="1">
      <c r="A3" s="10" t="str">
        <f>IFERROR(__xludf.DUMMYFUNCTION("""COMPUTED_VALUE"""),"https://sellforte.com/blog/best-incrementality-testing-tools")</f>
        <v>https://sellforte.com/blog/best-incrementality-testing-tools</v>
      </c>
      <c r="B3" s="11" t="str">
        <f>IFERROR(__xludf.DUMMYFUNCTION("""COMPUTED_VALUE"""),"Best Incrementality Testing Tools in 2026: In-depth Vendor Comparison")</f>
        <v>Best Incrementality Testing Tools in 2026: In-depth Vendor Comparison</v>
      </c>
      <c r="C3" s="10" t="str">
        <f>IFERROR(__xludf.DUMMYFUNCTION("""COMPUTED_VALUE"""),"sellforte.com")</f>
        <v>sellforte.com</v>
      </c>
      <c r="D3" s="11" t="str">
        <f>IFERROR(__xludf.DUMMYFUNCTION("""COMPUTED_VALUE"""),"COMPARISON")</f>
        <v>COMPARISON</v>
      </c>
      <c r="E3" s="11" t="str">
        <f>IFERROR(__xludf.DUMMYFUNCTION("""COMPUTED_VALUE"""),"COMPETITOR")</f>
        <v>COMPETITOR</v>
      </c>
      <c r="F3" s="11" t="str">
        <f>IFERROR(__xludf.DUMMYFUNCTION("""COMPUTED_VALUE"""),"Comparison")</f>
        <v>Comparison</v>
      </c>
      <c r="G3" s="11" t="b">
        <f>IFERROR(__xludf.DUMMYFUNCTION("""COMPUTED_VALUE"""),FALSE)</f>
        <v>0</v>
      </c>
      <c r="H3" s="11" t="str">
        <f>IFERROR(__xludf.DUMMYFUNCTION("""COMPUTED_VALUE"""),"Sellforte, Measured, Haus, Recast, BCG")</f>
        <v>Sellforte, Measured, Haus, Recast, BCG</v>
      </c>
      <c r="I3" s="11">
        <f>IFERROR(__xludf.DUMMYFUNCTION("""COMPUTED_VALUE"""),30.0)</f>
        <v>30</v>
      </c>
      <c r="J3" s="11">
        <f>IFERROR(__xludf.DUMMYFUNCTION("""COMPUTED_VALUE"""),0.03)</f>
        <v>0.03</v>
      </c>
      <c r="K3" s="11">
        <f>IFERROR(__xludf.DUMMYFUNCTION("""COMPUTED_VALUE"""),1.27)</f>
        <v>1.27</v>
      </c>
    </row>
    <row r="4" ht="15.75" customHeight="1">
      <c r="A4" s="10" t="str">
        <f>IFERROR(__xludf.DUMMYFUNCTION("""COMPUTED_VALUE"""),"https://www.techradar.com/pro/aeo-vs-seo-whats-the-difference-and-do-you-need-both")</f>
        <v>https://www.techradar.com/pro/aeo-vs-seo-whats-the-difference-and-do-you-need-both</v>
      </c>
      <c r="B4" s="11" t="str">
        <f>IFERROR(__xludf.DUMMYFUNCTION("""COMPUTED_VALUE"""),"AEO vs SEO: What's the difference &amp;amp; do you need both? | TechRadar")</f>
        <v>AEO vs SEO: What's the difference &amp;amp; do you need both? | TechRadar</v>
      </c>
      <c r="C4" s="10" t="str">
        <f>IFERROR(__xludf.DUMMYFUNCTION("""COMPUTED_VALUE"""),"techradar.com")</f>
        <v>techradar.com</v>
      </c>
      <c r="D4" s="11" t="str">
        <f>IFERROR(__xludf.DUMMYFUNCTION("""COMPUTED_VALUE"""),"COMPARISON")</f>
        <v>COMPARISON</v>
      </c>
      <c r="E4" s="11" t="str">
        <f>IFERROR(__xludf.DUMMYFUNCTION("""COMPUTED_VALUE"""),"EDITORIAL")</f>
        <v>EDITORIAL</v>
      </c>
      <c r="F4" s="11" t="str">
        <f>IFERROR(__xludf.DUMMYFUNCTION("""COMPUTED_VALUE"""),"Comparison")</f>
        <v>Comparison</v>
      </c>
      <c r="G4" s="11" t="b">
        <f>IFERROR(__xludf.DUMMYFUNCTION("""COMPUTED_VALUE"""),FALSE)</f>
        <v>0</v>
      </c>
      <c r="H4" s="11" t="str">
        <f>IFERROR(__xludf.DUMMYFUNCTION("""COMPUTED_VALUE"""),"Huge")</f>
        <v>Huge</v>
      </c>
      <c r="I4" s="11">
        <f>IFERROR(__xludf.DUMMYFUNCTION("""COMPUTED_VALUE"""),12.0)</f>
        <v>12</v>
      </c>
      <c r="J4" s="11">
        <f>IFERROR(__xludf.DUMMYFUNCTION("""COMPUTED_VALUE"""),0.01)</f>
        <v>0.01</v>
      </c>
      <c r="K4" s="11">
        <f>IFERROR(__xludf.DUMMYFUNCTION("""COMPUTED_VALUE"""),2.33)</f>
        <v>2.33</v>
      </c>
    </row>
    <row r="5" ht="15.75" customHeight="1">
      <c r="A5" s="10" t="str">
        <f>IFERROR(__xludf.DUMMYFUNCTION("""COMPUTED_VALUE"""),"https://liftlab.com/blog/best-mmm-platforms-2026/")</f>
        <v>https://liftlab.com/blog/best-mmm-platforms-2026/</v>
      </c>
      <c r="B5" s="11" t="str">
        <f>IFERROR(__xludf.DUMMYFUNCTION("""COMPUTED_VALUE"""),"Best MMM Platforms 2026: LiftLab vs Measured vs Recast vs Haus")</f>
        <v>Best MMM Platforms 2026: LiftLab vs Measured vs Recast vs Haus</v>
      </c>
      <c r="C5" s="10" t="str">
        <f>IFERROR(__xludf.DUMMYFUNCTION("""COMPUTED_VALUE"""),"liftlab.com")</f>
        <v>liftlab.com</v>
      </c>
      <c r="D5" s="11" t="str">
        <f>IFERROR(__xludf.DUMMYFUNCTION("""COMPUTED_VALUE"""),"COMPARISON")</f>
        <v>COMPARISON</v>
      </c>
      <c r="E5" s="11" t="str">
        <f>IFERROR(__xludf.DUMMYFUNCTION("""COMPUTED_VALUE"""),"COMPETITOR")</f>
        <v>COMPETITOR</v>
      </c>
      <c r="F5" s="11" t="str">
        <f>IFERROR(__xludf.DUMMYFUNCTION("""COMPUTED_VALUE"""),"Comparison")</f>
        <v>Comparison</v>
      </c>
      <c r="G5" s="11" t="b">
        <f>IFERROR(__xludf.DUMMYFUNCTION("""COMPUTED_VALUE"""),FALSE)</f>
        <v>0</v>
      </c>
      <c r="H5" s="11" t="str">
        <f>IFERROR(__xludf.DUMMYFUNCTION("""COMPUTED_VALUE"""),"LiftLab, Measured, Recast, Haus")</f>
        <v>LiftLab, Measured, Recast, Haus</v>
      </c>
      <c r="I5" s="11">
        <f>IFERROR(__xludf.DUMMYFUNCTION("""COMPUTED_VALUE"""),8.0)</f>
        <v>8</v>
      </c>
      <c r="J5" s="11">
        <f>IFERROR(__xludf.DUMMYFUNCTION("""COMPUTED_VALUE"""),0.01)</f>
        <v>0.01</v>
      </c>
      <c r="K5" s="11">
        <f>IFERROR(__xludf.DUMMYFUNCTION("""COMPUTED_VALUE"""),0.5)</f>
        <v>0.5</v>
      </c>
    </row>
    <row r="6" ht="15.75" customHeight="1">
      <c r="A6" s="10" t="str">
        <f>IFERROR(__xludf.DUMMYFUNCTION("""COMPUTED_VALUE"""),"https://improvado.io/blog/multi-touch-attribution-solutions")</f>
        <v>https://improvado.io/blog/multi-touch-attribution-solutions</v>
      </c>
      <c r="B6" s="11" t="str">
        <f>IFERROR(__xludf.DUMMYFUNCTION("""COMPUTED_VALUE"""),"12 Best Multi-Touch Attribution Solutions (2026)")</f>
        <v>12 Best Multi-Touch Attribution Solutions (2026)</v>
      </c>
      <c r="C6" s="10" t="str">
        <f>IFERROR(__xludf.DUMMYFUNCTION("""COMPUTED_VALUE"""),"improvado.io")</f>
        <v>improvado.io</v>
      </c>
      <c r="D6" s="11" t="str">
        <f>IFERROR(__xludf.DUMMYFUNCTION("""COMPUTED_VALUE"""),"COMPARISON")</f>
        <v>COMPARISON</v>
      </c>
      <c r="E6" s="11" t="str">
        <f>IFERROR(__xludf.DUMMYFUNCTION("""COMPUTED_VALUE"""),"CORPORATE")</f>
        <v>CORPORATE</v>
      </c>
      <c r="F6" s="11" t="str">
        <f>IFERROR(__xludf.DUMMYFUNCTION("""COMPUTED_VALUE"""),"Comparison")</f>
        <v>Comparison</v>
      </c>
      <c r="G6" s="11" t="b">
        <f>IFERROR(__xludf.DUMMYFUNCTION("""COMPUTED_VALUE"""),FALSE)</f>
        <v>0</v>
      </c>
      <c r="H6" s="11" t="str">
        <f>IFERROR(__xludf.DUMMYFUNCTION("""COMPUTED_VALUE"""),"Rockerbox, Triple Whale, SegmentStream, Northbeam, HockeyStack, Ruler Analytics, Neustar")</f>
        <v>Rockerbox, Triple Whale, SegmentStream, Northbeam, HockeyStack, Ruler Analytics, Neustar</v>
      </c>
      <c r="I6" s="11">
        <f>IFERROR(__xludf.DUMMYFUNCTION("""COMPUTED_VALUE"""),7.0)</f>
        <v>7</v>
      </c>
      <c r="J6" s="11">
        <f>IFERROR(__xludf.DUMMYFUNCTION("""COMPUTED_VALUE"""),0.01)</f>
        <v>0.01</v>
      </c>
      <c r="K6" s="11">
        <f>IFERROR(__xludf.DUMMYFUNCTION("""COMPUTED_VALUE"""),0.86)</f>
        <v>0.86</v>
      </c>
    </row>
    <row r="7" ht="15.75" customHeight="1">
      <c r="A7" s="10" t="str">
        <f>IFERROR(__xludf.DUMMYFUNCTION("""COMPUTED_VALUE"""),"https://presenc.ai/compare/measured-vs-haus-vs-statsig")</f>
        <v>https://presenc.ai/compare/measured-vs-haus-vs-statsig</v>
      </c>
      <c r="B7" s="11" t="str">
        <f>IFERROR(__xludf.DUMMYFUNCTION("""COMPUTED_VALUE"""),"Measured vs Haus vs Statsig: Lift Testing Vendors | Presenc AI")</f>
        <v>Measured vs Haus vs Statsig: Lift Testing Vendors | Presenc AI</v>
      </c>
      <c r="C7" s="10" t="str">
        <f>IFERROR(__xludf.DUMMYFUNCTION("""COMPUTED_VALUE"""),"presenc.ai")</f>
        <v>presenc.ai</v>
      </c>
      <c r="D7" s="11" t="str">
        <f>IFERROR(__xludf.DUMMYFUNCTION("""COMPUTED_VALUE"""),"COMPARISON")</f>
        <v>COMPARISON</v>
      </c>
      <c r="E7" s="11" t="str">
        <f>IFERROR(__xludf.DUMMYFUNCTION("""COMPUTED_VALUE"""),"CORPORATE")</f>
        <v>CORPORATE</v>
      </c>
      <c r="F7" s="11" t="str">
        <f>IFERROR(__xludf.DUMMYFUNCTION("""COMPUTED_VALUE"""),"Comparison")</f>
        <v>Comparison</v>
      </c>
      <c r="G7" s="11" t="b">
        <f>IFERROR(__xludf.DUMMYFUNCTION("""COMPUTED_VALUE"""),FALSE)</f>
        <v>0</v>
      </c>
      <c r="H7" s="11" t="str">
        <f>IFERROR(__xludf.DUMMYFUNCTION("""COMPUTED_VALUE"""),"Measured, Haus")</f>
        <v>Measured, Haus</v>
      </c>
      <c r="I7" s="11">
        <f>IFERROR(__xludf.DUMMYFUNCTION("""COMPUTED_VALUE"""),7.0)</f>
        <v>7</v>
      </c>
      <c r="J7" s="11">
        <f>IFERROR(__xludf.DUMMYFUNCTION("""COMPUTED_VALUE"""),0.01)</f>
        <v>0.01</v>
      </c>
      <c r="K7" s="11">
        <f>IFERROR(__xludf.DUMMYFUNCTION("""COMPUTED_VALUE"""),1.0)</f>
        <v>1</v>
      </c>
    </row>
    <row r="8" ht="15.75" customHeight="1">
      <c r="A8" s="10" t="str">
        <f>IFERROR(__xludf.DUMMYFUNCTION("""COMPUTED_VALUE"""),"https://www.campaignlive.com/article/horizon-media-battles-publicis-new-business-supremacy-may-us-media-agency-rankings/1918167")</f>
        <v>https://www.campaignlive.com/article/horizon-media-battles-publicis-new-business-supremacy-may-us-media-agency-rankings/1918167</v>
      </c>
      <c r="B8" s="11" t="str">
        <f>IFERROR(__xludf.DUMMYFUNCTION("""COMPUTED_VALUE"""),"Horizon Media battles Publicis for new-business supremacy in May US media agency rankings | Campaign US")</f>
        <v>Horizon Media battles Publicis for new-business supremacy in May US media agency rankings | Campaign US</v>
      </c>
      <c r="C8" s="10" t="str">
        <f>IFERROR(__xludf.DUMMYFUNCTION("""COMPUTED_VALUE"""),"campaignlive.com")</f>
        <v>campaignlive.com</v>
      </c>
      <c r="D8" s="11" t="str">
        <f>IFERROR(__xludf.DUMMYFUNCTION("""COMPUTED_VALUE"""),"COMPARISON")</f>
        <v>COMPARISON</v>
      </c>
      <c r="E8" s="11" t="str">
        <f>IFERROR(__xludf.DUMMYFUNCTION("""COMPUTED_VALUE"""),"EDITORIAL")</f>
        <v>EDITORIAL</v>
      </c>
      <c r="F8" s="11" t="str">
        <f>IFERROR(__xludf.DUMMYFUNCTION("""COMPUTED_VALUE"""),"Comparison")</f>
        <v>Comparison</v>
      </c>
      <c r="G8" s="11" t="b">
        <f>IFERROR(__xludf.DUMMYFUNCTION("""COMPUTED_VALUE"""),FALSE)</f>
        <v>0</v>
      </c>
      <c r="H8" s="11" t="str">
        <f>IFERROR(__xludf.DUMMYFUNCTION("""COMPUTED_VALUE"""),"Horizon Media, Publicis Groupe, Digitas, Dentsu, Omnicom Media Group, Momentum, WPP")</f>
        <v>Horizon Media, Publicis Groupe, Digitas, Dentsu, Omnicom Media Group, Momentum, WPP</v>
      </c>
      <c r="I8" s="11">
        <f>IFERROR(__xludf.DUMMYFUNCTION("""COMPUTED_VALUE"""),4.0)</f>
        <v>4</v>
      </c>
      <c r="J8" s="11">
        <f>IFERROR(__xludf.DUMMYFUNCTION("""COMPUTED_VALUE"""),0.0)</f>
        <v>0</v>
      </c>
      <c r="K8" s="11">
        <f>IFERROR(__xludf.DUMMYFUNCTION("""COMPUTED_VALUE"""),0.0)</f>
        <v>0</v>
      </c>
    </row>
    <row r="9" ht="15.75" customHeight="1">
      <c r="A9" s="10" t="str">
        <f>IFERROR(__xludf.DUMMYFUNCTION("""COMPUTED_VALUE"""),"https://prescientai.com/blog/top-marketing-attribution-software-solutions")</f>
        <v>https://prescientai.com/blog/top-marketing-attribution-software-solutions</v>
      </c>
      <c r="B9" s="11" t="str">
        <f>IFERROR(__xludf.DUMMYFUNCTION("""COMPUTED_VALUE"""),"12 top marketing attribution software solutions: 2026 comparison guide | Prescient AI")</f>
        <v>12 top marketing attribution software solutions: 2026 comparison guide | Prescient AI</v>
      </c>
      <c r="C9" s="10" t="str">
        <f>IFERROR(__xludf.DUMMYFUNCTION("""COMPUTED_VALUE"""),"prescientai.com")</f>
        <v>prescientai.com</v>
      </c>
      <c r="D9" s="11" t="str">
        <f>IFERROR(__xludf.DUMMYFUNCTION("""COMPUTED_VALUE"""),"COMPARISON")</f>
        <v>COMPARISON</v>
      </c>
      <c r="E9" s="11" t="str">
        <f>IFERROR(__xludf.DUMMYFUNCTION("""COMPUTED_VALUE"""),"CORPORATE")</f>
        <v>CORPORATE</v>
      </c>
      <c r="F9" s="11" t="str">
        <f>IFERROR(__xludf.DUMMYFUNCTION("""COMPUTED_VALUE"""),"Comparison")</f>
        <v>Comparison</v>
      </c>
      <c r="G9" s="11" t="b">
        <f>IFERROR(__xludf.DUMMYFUNCTION("""COMPUTED_VALUE"""),FALSE)</f>
        <v>0</v>
      </c>
      <c r="H9" s="11" t="str">
        <f>IFERROR(__xludf.DUMMYFUNCTION("""COMPUTED_VALUE"""),"Nielsen, Ruler Analytics, HockeyStack, Triple Whale")</f>
        <v>Nielsen, Ruler Analytics, HockeyStack, Triple Whale</v>
      </c>
      <c r="I9" s="11">
        <f>IFERROR(__xludf.DUMMYFUNCTION("""COMPUTED_VALUE"""),4.0)</f>
        <v>4</v>
      </c>
      <c r="J9" s="11">
        <f>IFERROR(__xludf.DUMMYFUNCTION("""COMPUTED_VALUE"""),0.0)</f>
        <v>0</v>
      </c>
      <c r="K9" s="11">
        <f>IFERROR(__xludf.DUMMYFUNCTION("""COMPUTED_VALUE"""),0.25)</f>
        <v>0.25</v>
      </c>
    </row>
    <row r="10" ht="15.75" customHeight="1">
      <c r="A10" s="10" t="str">
        <f>IFERROR(__xludf.DUMMYFUNCTION("""COMPUTED_VALUE"""),"https://clickz.com/faq/mmm-vs-mta-vs-incrementality-measurement-stack/")</f>
        <v>https://clickz.com/faq/mmm-vs-mta-vs-incrementality-measurement-stack/</v>
      </c>
      <c r="B10" s="11" t="str">
        <f>IFERROR(__xludf.DUMMYFUNCTION("""COMPUTED_VALUE"""),"MMM vs MTA vs Incrementality Testing: What Does Your Ecommerce Measurement Stack Actually Need? - ClickZ")</f>
        <v>MMM vs MTA vs Incrementality Testing: What Does Your Ecommerce Measurement Stack Actually Need? - ClickZ</v>
      </c>
      <c r="C10" s="10" t="str">
        <f>IFERROR(__xludf.DUMMYFUNCTION("""COMPUTED_VALUE"""),"clickz.com")</f>
        <v>clickz.com</v>
      </c>
      <c r="D10" s="11" t="str">
        <f>IFERROR(__xludf.DUMMYFUNCTION("""COMPUTED_VALUE"""),"COMPARISON")</f>
        <v>COMPARISON</v>
      </c>
      <c r="E10" s="11" t="str">
        <f>IFERROR(__xludf.DUMMYFUNCTION("""COMPUTED_VALUE"""),"EDITORIAL")</f>
        <v>EDITORIAL</v>
      </c>
      <c r="F10" s="11" t="str">
        <f>IFERROR(__xludf.DUMMYFUNCTION("""COMPUTED_VALUE"""),"Comparison")</f>
        <v>Comparison</v>
      </c>
      <c r="G10" s="11" t="b">
        <f>IFERROR(__xludf.DUMMYFUNCTION("""COMPUTED_VALUE"""),FALSE)</f>
        <v>0</v>
      </c>
      <c r="H10" s="11" t="str">
        <f>IFERROR(__xludf.DUMMYFUNCTION("""COMPUTED_VALUE"""),"Analytic Partners, Nielsen, Northbeam, Triple Whale, Measured, Haus, Recast, Merkle")</f>
        <v>Analytic Partners, Nielsen, Northbeam, Triple Whale, Measured, Haus, Recast, Merkle</v>
      </c>
      <c r="I10" s="11">
        <f>IFERROR(__xludf.DUMMYFUNCTION("""COMPUTED_VALUE"""),3.0)</f>
        <v>3</v>
      </c>
      <c r="J10" s="11">
        <f>IFERROR(__xludf.DUMMYFUNCTION("""COMPUTED_VALUE"""),0.0)</f>
        <v>0</v>
      </c>
      <c r="K10" s="11">
        <f>IFERROR(__xludf.DUMMYFUNCTION("""COMPUTED_VALUE"""),0.67)</f>
        <v>0.67</v>
      </c>
    </row>
    <row r="11" ht="15.75" customHeight="1">
      <c r="A11" s="10" t="str">
        <f>IFERROR(__xludf.DUMMYFUNCTION("""COMPUTED_VALUE"""),"https://www.objectiveplatform.com/blog/marketing-mix-modelling-solutions-compared")</f>
        <v>https://www.objectiveplatform.com/blog/marketing-mix-modelling-solutions-compared</v>
      </c>
      <c r="B11" s="11" t="str">
        <f>IFERROR(__xludf.DUMMYFUNCTION("""COMPUTED_VALUE"""),"Marketing Mix Modelling Solutions Compared 2026")</f>
        <v>Marketing Mix Modelling Solutions Compared 2026</v>
      </c>
      <c r="C11" s="10" t="str">
        <f>IFERROR(__xludf.DUMMYFUNCTION("""COMPUTED_VALUE"""),"objectiveplatform.com")</f>
        <v>objectiveplatform.com</v>
      </c>
      <c r="D11" s="11" t="str">
        <f>IFERROR(__xludf.DUMMYFUNCTION("""COMPUTED_VALUE"""),"COMPARISON")</f>
        <v>COMPARISON</v>
      </c>
      <c r="E11" s="11" t="str">
        <f>IFERROR(__xludf.DUMMYFUNCTION("""COMPUTED_VALUE"""),"CORPORATE")</f>
        <v>CORPORATE</v>
      </c>
      <c r="F11" s="11" t="str">
        <f>IFERROR(__xludf.DUMMYFUNCTION("""COMPUTED_VALUE"""),"Comparison")</f>
        <v>Comparison</v>
      </c>
      <c r="G11" s="11" t="b">
        <f>IFERROR(__xludf.DUMMYFUNCTION("""COMPUTED_VALUE"""),FALSE)</f>
        <v>0</v>
      </c>
      <c r="H11" s="11" t="str">
        <f>IFERROR(__xludf.DUMMYFUNCTION("""COMPUTED_VALUE"""),"Analytic Partners, Gain Theory, Acxiom, Kantar, Circana, Merkle, Measured, WPP")</f>
        <v>Analytic Partners, Gain Theory, Acxiom, Kantar, Circana, Merkle, Measured, WPP</v>
      </c>
      <c r="I11" s="11">
        <f>IFERROR(__xludf.DUMMYFUNCTION("""COMPUTED_VALUE"""),3.0)</f>
        <v>3</v>
      </c>
      <c r="J11" s="11">
        <f>IFERROR(__xludf.DUMMYFUNCTION("""COMPUTED_VALUE"""),0.0)</f>
        <v>0</v>
      </c>
      <c r="K11" s="11">
        <f>IFERROR(__xludf.DUMMYFUNCTION("""COMPUTED_VALUE"""),0.0)</f>
        <v>0</v>
      </c>
    </row>
    <row r="12" ht="15.75" customHeight="1">
      <c r="A12" s="10" t="str">
        <f>IFERROR(__xludf.DUMMYFUNCTION("""COMPUTED_VALUE"""),"https://www.youtube.com/watch?v=jA6Bn5bI298&amp;t=242")</f>
        <v>https://www.youtube.com/watch?v=jA6Bn5bI298&amp;t=242</v>
      </c>
      <c r="B12" s="11" t="str">
        <f>IFERROR(__xludf.DUMMYFUNCTION("""COMPUTED_VALUE"""),"Best Performance Marketing Agency? What Actually Matters")</f>
        <v>Best Performance Marketing Agency? What Actually Matters</v>
      </c>
      <c r="C12" s="10" t="str">
        <f>IFERROR(__xludf.DUMMYFUNCTION("""COMPUTED_VALUE"""),"youtube.com")</f>
        <v>youtube.com</v>
      </c>
      <c r="D12" s="11" t="str">
        <f>IFERROR(__xludf.DUMMYFUNCTION("""COMPUTED_VALUE"""),"COMPARISON")</f>
        <v>COMPARISON</v>
      </c>
      <c r="E12" s="11" t="str">
        <f>IFERROR(__xludf.DUMMYFUNCTION("""COMPUTED_VALUE"""),"UGC")</f>
        <v>UGC</v>
      </c>
      <c r="F12" s="11" t="str">
        <f>IFERROR(__xludf.DUMMYFUNCTION("""COMPUTED_VALUE"""),"Comparison")</f>
        <v>Comparison</v>
      </c>
      <c r="G12" s="11" t="b">
        <f>IFERROR(__xludf.DUMMYFUNCTION("""COMPUTED_VALUE"""),FALSE)</f>
        <v>0</v>
      </c>
      <c r="H12" s="11" t="str">
        <f>IFERROR(__xludf.DUMMYFUNCTION("""COMPUTED_VALUE"""),"Right Side Up")</f>
        <v>Right Side Up</v>
      </c>
      <c r="I12" s="11">
        <f>IFERROR(__xludf.DUMMYFUNCTION("""COMPUTED_VALUE"""),3.0)</f>
        <v>3</v>
      </c>
      <c r="J12" s="11">
        <f>IFERROR(__xludf.DUMMYFUNCTION("""COMPUTED_VALUE"""),0.0)</f>
        <v>0</v>
      </c>
      <c r="K12" s="11">
        <f>IFERROR(__xludf.DUMMYFUNCTION("""COMPUTED_VALUE"""),1.0)</f>
        <v>1</v>
      </c>
    </row>
    <row r="13" ht="15.75" customHeight="1">
      <c r="A13" s="10" t="str">
        <f>IFERROR(__xludf.DUMMYFUNCTION("""COMPUTED_VALUE"""),"https://liftlab.com/blog/marketing-mix-modeling-platforms/#:~:text=Different%20platforms%20approach%20calibration%20differently,making%20the%20model's%20confidence%20visible.")</f>
        <v>https://liftlab.com/blog/marketing-mix-modeling-platforms/#:~:text=Different%20platforms%20approach%20calibration%20differently,making%20the%20model's%20confidence%20visible.</v>
      </c>
      <c r="B13" s="11" t="str">
        <f>IFERROR(__xludf.DUMMYFUNCTION("""COMPUTED_VALUE"""),"Top Marketing Mix Modeling Platforms in 2026: A Buyer's Guide for CMOs and CFOs - Liftlab")</f>
        <v>Top Marketing Mix Modeling Platforms in 2026: A Buyer's Guide for CMOs and CFOs - Liftlab</v>
      </c>
      <c r="C13" s="10" t="str">
        <f>IFERROR(__xludf.DUMMYFUNCTION("""COMPUTED_VALUE"""),"liftlab.com")</f>
        <v>liftlab.com</v>
      </c>
      <c r="D13" s="11" t="str">
        <f>IFERROR(__xludf.DUMMYFUNCTION("""COMPUTED_VALUE"""),"COMPARISON")</f>
        <v>COMPARISON</v>
      </c>
      <c r="E13" s="11" t="str">
        <f>IFERROR(__xludf.DUMMYFUNCTION("""COMPUTED_VALUE"""),"COMPETITOR")</f>
        <v>COMPETITOR</v>
      </c>
      <c r="F13" s="11" t="str">
        <f>IFERROR(__xludf.DUMMYFUNCTION("""COMPUTED_VALUE"""),"Comparison")</f>
        <v>Comparison</v>
      </c>
      <c r="G13" s="11" t="b">
        <f>IFERROR(__xludf.DUMMYFUNCTION("""COMPUTED_VALUE"""),FALSE)</f>
        <v>0</v>
      </c>
      <c r="H13" s="11" t="str">
        <f>IFERROR(__xludf.DUMMYFUNCTION("""COMPUTED_VALUE"""),"LiftLab, Measured, Recast, Haus, Analytic Partners")</f>
        <v>LiftLab, Measured, Recast, Haus, Analytic Partners</v>
      </c>
      <c r="I13" s="11">
        <f>IFERROR(__xludf.DUMMYFUNCTION("""COMPUTED_VALUE"""),2.0)</f>
        <v>2</v>
      </c>
      <c r="J13" s="11">
        <f>IFERROR(__xludf.DUMMYFUNCTION("""COMPUTED_VALUE"""),0.0)</f>
        <v>0</v>
      </c>
      <c r="K13" s="11">
        <f>IFERROR(__xludf.DUMMYFUNCTION("""COMPUTED_VALUE"""),1.0)</f>
        <v>1</v>
      </c>
    </row>
    <row r="14" ht="15.75" customHeight="1">
      <c r="A14" s="10" t="str">
        <f>IFERROR(__xludf.DUMMYFUNCTION("""COMPUTED_VALUE"""),"https://sellforte.com/blog/best-ai-tools-for-mmm-and-incrementality-testing")</f>
        <v>https://sellforte.com/blog/best-ai-tools-for-mmm-and-incrementality-testing</v>
      </c>
      <c r="B14" s="11" t="str">
        <f>IFERROR(__xludf.DUMMYFUNCTION("""COMPUTED_VALUE"""),"5 Best Conversational AI Tools for MMM and Incrementality Testing in 2026: An In-Depth Comparison")</f>
        <v>5 Best Conversational AI Tools for MMM and Incrementality Testing in 2026: An In-Depth Comparison</v>
      </c>
      <c r="C14" s="10" t="str">
        <f>IFERROR(__xludf.DUMMYFUNCTION("""COMPUTED_VALUE"""),"sellforte.com")</f>
        <v>sellforte.com</v>
      </c>
      <c r="D14" s="11" t="str">
        <f>IFERROR(__xludf.DUMMYFUNCTION("""COMPUTED_VALUE"""),"COMPARISON")</f>
        <v>COMPARISON</v>
      </c>
      <c r="E14" s="11" t="str">
        <f>IFERROR(__xludf.DUMMYFUNCTION("""COMPUTED_VALUE"""),"COMPETITOR")</f>
        <v>COMPETITOR</v>
      </c>
      <c r="F14" s="11" t="str">
        <f>IFERROR(__xludf.DUMMYFUNCTION("""COMPUTED_VALUE"""),"Comparison")</f>
        <v>Comparison</v>
      </c>
      <c r="G14" s="11" t="b">
        <f>IFERROR(__xludf.DUMMYFUNCTION("""COMPUTED_VALUE"""),FALSE)</f>
        <v>0</v>
      </c>
      <c r="H14" s="11" t="str">
        <f>IFERROR(__xludf.DUMMYFUNCTION("""COMPUTED_VALUE"""),"Sellforte, LifeSight, Triple Whale, Measured, Recast, INCRMNTAL, BCG")</f>
        <v>Sellforte, LifeSight, Triple Whale, Measured, Recast, INCRMNTAL, BCG</v>
      </c>
      <c r="I14" s="11">
        <f>IFERROR(__xludf.DUMMYFUNCTION("""COMPUTED_VALUE"""),2.0)</f>
        <v>2</v>
      </c>
      <c r="J14" s="11">
        <f>IFERROR(__xludf.DUMMYFUNCTION("""COMPUTED_VALUE"""),0.0)</f>
        <v>0</v>
      </c>
      <c r="K14" s="11">
        <f>IFERROR(__xludf.DUMMYFUNCTION("""COMPUTED_VALUE"""),0.0)</f>
        <v>0</v>
      </c>
    </row>
    <row r="15" ht="15.75" customHeight="1">
      <c r="A15" s="10" t="str">
        <f>IFERROR(__xludf.DUMMYFUNCTION("""COMPUTED_VALUE"""),"https://www.shuttergen.com/research/attribution-platforms-compared")</f>
        <v>https://www.shuttergen.com/research/attribution-platforms-compared</v>
      </c>
      <c r="B15" s="11" t="str">
        <f>IFERROR(__xludf.DUMMYFUNCTION("""COMPUTED_VALUE"""),"DTC attribution platforms compared: Triplewhale, Elevar, Northbeam, Hyros, Polar, Funnel, Daasity, Wicked, Rockerbox &amp;amp; GA4 (2026) | Shuttergen")</f>
        <v>DTC attribution platforms compared: Triplewhale, Elevar, Northbeam, Hyros, Polar, Funnel, Daasity, Wicked, Rockerbox &amp;amp; GA4 (2026) | Shuttergen</v>
      </c>
      <c r="C15" s="10" t="str">
        <f>IFERROR(__xludf.DUMMYFUNCTION("""COMPUTED_VALUE"""),"shuttergen.com")</f>
        <v>shuttergen.com</v>
      </c>
      <c r="D15" s="11" t="str">
        <f>IFERROR(__xludf.DUMMYFUNCTION("""COMPUTED_VALUE"""),"COMPARISON")</f>
        <v>COMPARISON</v>
      </c>
      <c r="E15" s="11" t="str">
        <f>IFERROR(__xludf.DUMMYFUNCTION("""COMPUTED_VALUE"""),"CORPORATE")</f>
        <v>CORPORATE</v>
      </c>
      <c r="F15" s="11" t="str">
        <f>IFERROR(__xludf.DUMMYFUNCTION("""COMPUTED_VALUE"""),"Comparison")</f>
        <v>Comparison</v>
      </c>
      <c r="G15" s="11" t="b">
        <f>IFERROR(__xludf.DUMMYFUNCTION("""COMPUTED_VALUE"""),FALSE)</f>
        <v>0</v>
      </c>
      <c r="H15" s="11" t="str">
        <f>IFERROR(__xludf.DUMMYFUNCTION("""COMPUTED_VALUE"""),"Triple Whale, Northbeam, Rockerbox, Common Thread Collective")</f>
        <v>Triple Whale, Northbeam, Rockerbox, Common Thread Collective</v>
      </c>
      <c r="I15" s="11">
        <f>IFERROR(__xludf.DUMMYFUNCTION("""COMPUTED_VALUE"""),2.0)</f>
        <v>2</v>
      </c>
      <c r="J15" s="11">
        <f>IFERROR(__xludf.DUMMYFUNCTION("""COMPUTED_VALUE"""),0.0)</f>
        <v>0</v>
      </c>
      <c r="K15" s="11">
        <f>IFERROR(__xludf.DUMMYFUNCTION("""COMPUTED_VALUE"""),0.0)</f>
        <v>0</v>
      </c>
    </row>
    <row r="16" ht="15.75" customHeight="1">
      <c r="A16" s="10" t="str">
        <f>IFERROR(__xludf.DUMMYFUNCTION("""COMPUTED_VALUE"""),"https://12amagency.com/blog/digital-marketing-agency-for-small-business-comparison/")</f>
        <v>https://12amagency.com/blog/digital-marketing-agency-for-small-business-comparison/</v>
      </c>
      <c r="B16" s="11" t="str">
        <f>IFERROR(__xludf.DUMMYFUNCTION("""COMPUTED_VALUE"""),"Best digital marketing agency for small business – Expert Comparison 2025 - 12AM Agency")</f>
        <v>Best digital marketing agency for small business – Expert Comparison 2025 - 12AM Agency</v>
      </c>
      <c r="C16" s="10" t="str">
        <f>IFERROR(__xludf.DUMMYFUNCTION("""COMPUTED_VALUE"""),"12amagency.com")</f>
        <v>12amagency.com</v>
      </c>
      <c r="D16" s="11" t="str">
        <f>IFERROR(__xludf.DUMMYFUNCTION("""COMPUTED_VALUE"""),"COMPARISON")</f>
        <v>COMPARISON</v>
      </c>
      <c r="E16" s="11" t="str">
        <f>IFERROR(__xludf.DUMMYFUNCTION("""COMPUTED_VALUE"""),"CORPORATE")</f>
        <v>CORPORATE</v>
      </c>
      <c r="F16" s="11" t="str">
        <f>IFERROR(__xludf.DUMMYFUNCTION("""COMPUTED_VALUE"""),"Comparison")</f>
        <v>Comparison</v>
      </c>
      <c r="G16" s="11" t="b">
        <f>IFERROR(__xludf.DUMMYFUNCTION("""COMPUTED_VALUE"""),FALSE)</f>
        <v>0</v>
      </c>
      <c r="H16" s="11" t="str">
        <f>IFERROR(__xludf.DUMMYFUNCTION("""COMPUTED_VALUE"""),"Ignite Visibility, SmartSites, Thrive Internet Marketing Agency, WebFX")</f>
        <v>Ignite Visibility, SmartSites, Thrive Internet Marketing Agency, WebFX</v>
      </c>
      <c r="I16" s="11">
        <f>IFERROR(__xludf.DUMMYFUNCTION("""COMPUTED_VALUE"""),1.0)</f>
        <v>1</v>
      </c>
      <c r="J16" s="11">
        <f>IFERROR(__xludf.DUMMYFUNCTION("""COMPUTED_VALUE"""),0.0)</f>
        <v>0</v>
      </c>
      <c r="K16" s="11">
        <f>IFERROR(__xludf.DUMMYFUNCTION("""COMPUTED_VALUE"""),1.0)</f>
        <v>1</v>
      </c>
    </row>
    <row r="17" ht="15.75" customHeight="1">
      <c r="A17" s="10" t="str">
        <f>IFERROR(__xludf.DUMMYFUNCTION("""COMPUTED_VALUE"""),"https://aiadvantageagency.com/facebook-ads-agency/")</f>
        <v>https://aiadvantageagency.com/facebook-ads-agency/</v>
      </c>
      <c r="B17" s="11" t="str">
        <f>IFERROR(__xludf.DUMMYFUNCTION("""COMPUTED_VALUE"""),"Best Facebook Ads Agency for Ecommerce: 7 Agencies Ranked")</f>
        <v>Best Facebook Ads Agency for Ecommerce: 7 Agencies Ranked</v>
      </c>
      <c r="C17" s="10" t="str">
        <f>IFERROR(__xludf.DUMMYFUNCTION("""COMPUTED_VALUE"""),"aiadvantageagency.com")</f>
        <v>aiadvantageagency.com</v>
      </c>
      <c r="D17" s="11" t="str">
        <f>IFERROR(__xludf.DUMMYFUNCTION("""COMPUTED_VALUE"""),"COMPARISON")</f>
        <v>COMPARISON</v>
      </c>
      <c r="E17" s="11" t="str">
        <f>IFERROR(__xludf.DUMMYFUNCTION("""COMPUTED_VALUE"""),"CORPORATE")</f>
        <v>CORPORATE</v>
      </c>
      <c r="F17" s="11" t="str">
        <f>IFERROR(__xludf.DUMMYFUNCTION("""COMPUTED_VALUE"""),"Comparison")</f>
        <v>Comparison</v>
      </c>
      <c r="G17" s="11" t="b">
        <f>IFERROR(__xludf.DUMMYFUNCTION("""COMPUTED_VALUE"""),FALSE)</f>
        <v>0</v>
      </c>
      <c r="H17" s="11" t="str">
        <f>IFERROR(__xludf.DUMMYFUNCTION("""COMPUTED_VALUE"""),"Common Thread Collective, MuteSix, Dentsu, Disruptive Advertising, KlientBoost, LYFE Marketing")</f>
        <v>Common Thread Collective, MuteSix, Dentsu, Disruptive Advertising, KlientBoost, LYFE Marketing</v>
      </c>
      <c r="I17" s="11">
        <f>IFERROR(__xludf.DUMMYFUNCTION("""COMPUTED_VALUE"""),1.0)</f>
        <v>1</v>
      </c>
      <c r="J17" s="11">
        <f>IFERROR(__xludf.DUMMYFUNCTION("""COMPUTED_VALUE"""),0.0)</f>
        <v>0</v>
      </c>
      <c r="K17" s="11">
        <f>IFERROR(__xludf.DUMMYFUNCTION("""COMPUTED_VALUE"""),1.0)</f>
        <v>1</v>
      </c>
    </row>
    <row r="18" ht="15.75" customHeight="1">
      <c r="A18" s="10" t="str">
        <f>IFERROR(__xludf.DUMMYFUNCTION("""COMPUTED_VALUE"""),"https://www.aidigital.com/blog/marketing-measurement-and-attribution-vs-mmm")</f>
        <v>https://www.aidigital.com/blog/marketing-measurement-and-attribution-vs-mmm</v>
      </c>
      <c r="B18" s="11" t="str">
        <f>IFERROR(__xludf.DUMMYFUNCTION("""COMPUTED_VALUE"""),"Attribution vs MMM vs Marketing Measurement: Key Differences")</f>
        <v>Attribution vs MMM vs Marketing Measurement: Key Differences</v>
      </c>
      <c r="C18" s="10" t="str">
        <f>IFERROR(__xludf.DUMMYFUNCTION("""COMPUTED_VALUE"""),"aidigital.com")</f>
        <v>aidigital.com</v>
      </c>
      <c r="D18" s="11" t="str">
        <f>IFERROR(__xludf.DUMMYFUNCTION("""COMPUTED_VALUE"""),"COMPARISON")</f>
        <v>COMPARISON</v>
      </c>
      <c r="E18" s="11" t="str">
        <f>IFERROR(__xludf.DUMMYFUNCTION("""COMPUTED_VALUE"""),"CORPORATE")</f>
        <v>CORPORATE</v>
      </c>
      <c r="F18" s="11" t="str">
        <f>IFERROR(__xludf.DUMMYFUNCTION("""COMPUTED_VALUE"""),"Comparison")</f>
        <v>Comparison</v>
      </c>
      <c r="G18" s="11" t="b">
        <f>IFERROR(__xludf.DUMMYFUNCTION("""COMPUTED_VALUE"""),FALSE)</f>
        <v>0</v>
      </c>
      <c r="H18" s="11" t="str">
        <f>IFERROR(__xludf.DUMMYFUNCTION("""COMPUTED_VALUE"""),"Nielsen, Measured")</f>
        <v>Nielsen, Measured</v>
      </c>
      <c r="I18" s="11">
        <f>IFERROR(__xludf.DUMMYFUNCTION("""COMPUTED_VALUE"""),1.0)</f>
        <v>1</v>
      </c>
      <c r="J18" s="11">
        <f>IFERROR(__xludf.DUMMYFUNCTION("""COMPUTED_VALUE"""),0.0)</f>
        <v>0</v>
      </c>
      <c r="K18" s="11">
        <f>IFERROR(__xludf.DUMMYFUNCTION("""COMPUTED_VALUE"""),1.0)</f>
        <v>1</v>
      </c>
    </row>
    <row r="19" ht="15.75" customHeight="1">
      <c r="A19" s="10" t="str">
        <f>IFERROR(__xludf.DUMMYFUNCTION("""COMPUTED_VALUE"""),"https://www.bloggingtips.com/assets/outsourcing/seo")</f>
        <v>https://www.bloggingtips.com/assets/outsourcing/seo</v>
      </c>
      <c r="B19" s="11" t="str">
        <f>IFERROR(__xludf.DUMMYFUNCTION("""COMPUTED_VALUE"""),"15+ Best SEO Agencies For 2024 [Ranked]")</f>
        <v>15+ Best SEO Agencies For 2024 [Ranked]</v>
      </c>
      <c r="C19" s="10" t="str">
        <f>IFERROR(__xludf.DUMMYFUNCTION("""COMPUTED_VALUE"""),"bloggingtips.com")</f>
        <v>bloggingtips.com</v>
      </c>
      <c r="D19" s="11" t="str">
        <f>IFERROR(__xludf.DUMMYFUNCTION("""COMPUTED_VALUE"""),"COMPARISON")</f>
        <v>COMPARISON</v>
      </c>
      <c r="E19" s="11" t="str">
        <f>IFERROR(__xludf.DUMMYFUNCTION("""COMPUTED_VALUE"""),"EDITORIAL")</f>
        <v>EDITORIAL</v>
      </c>
      <c r="F19" s="11" t="str">
        <f>IFERROR(__xludf.DUMMYFUNCTION("""COMPUTED_VALUE"""),"Comparison")</f>
        <v>Comparison</v>
      </c>
      <c r="G19" s="11" t="b">
        <f>IFERROR(__xludf.DUMMYFUNCTION("""COMPUTED_VALUE"""),FALSE)</f>
        <v>0</v>
      </c>
      <c r="H19" s="11" t="str">
        <f>IFERROR(__xludf.DUMMYFUNCTION("""COMPUTED_VALUE"""),"Ignite Visibility, SmartSites, WebFX, Seer Interactive")</f>
        <v>Ignite Visibility, SmartSites, WebFX, Seer Interactive</v>
      </c>
      <c r="I19" s="11">
        <f>IFERROR(__xludf.DUMMYFUNCTION("""COMPUTED_VALUE"""),1.0)</f>
        <v>1</v>
      </c>
      <c r="J19" s="11">
        <f>IFERROR(__xludf.DUMMYFUNCTION("""COMPUTED_VALUE"""),0.0)</f>
        <v>0</v>
      </c>
      <c r="K19" s="11">
        <f>IFERROR(__xludf.DUMMYFUNCTION("""COMPUTED_VALUE"""),1.0)</f>
        <v>1</v>
      </c>
    </row>
    <row r="20" ht="15.75" customHeight="1">
      <c r="A20" s="10" t="str">
        <f>IFERROR(__xludf.DUMMYFUNCTION("""COMPUTED_VALUE"""),"https://disruptiveadvertising.com/blog/ppc/display-vs-search-ads/")</f>
        <v>https://disruptiveadvertising.com/blog/ppc/display-vs-search-ads/</v>
      </c>
      <c r="B20" s="11" t="str">
        <f>IFERROR(__xludf.DUMMYFUNCTION("""COMPUTED_VALUE"""),"Display vs Search Advertising: Everything You Need to Know")</f>
        <v>Display vs Search Advertising: Everything You Need to Know</v>
      </c>
      <c r="C20" s="10" t="str">
        <f>IFERROR(__xludf.DUMMYFUNCTION("""COMPUTED_VALUE"""),"disruptiveadvertising.com")</f>
        <v>disruptiveadvertising.com</v>
      </c>
      <c r="D20" s="11" t="str">
        <f>IFERROR(__xludf.DUMMYFUNCTION("""COMPUTED_VALUE"""),"COMPARISON")</f>
        <v>COMPARISON</v>
      </c>
      <c r="E20" s="11" t="str">
        <f>IFERROR(__xludf.DUMMYFUNCTION("""COMPUTED_VALUE"""),"COMPETITOR")</f>
        <v>COMPETITOR</v>
      </c>
      <c r="F20" s="11" t="str">
        <f>IFERROR(__xludf.DUMMYFUNCTION("""COMPUTED_VALUE"""),"Comparison")</f>
        <v>Comparison</v>
      </c>
      <c r="G20" s="11" t="b">
        <f>IFERROR(__xludf.DUMMYFUNCTION("""COMPUTED_VALUE"""),FALSE)</f>
        <v>0</v>
      </c>
      <c r="H20" s="11" t="str">
        <f>IFERROR(__xludf.DUMMYFUNCTION("""COMPUTED_VALUE"""),"Disruptive Advertising, Measured")</f>
        <v>Disruptive Advertising, Measured</v>
      </c>
      <c r="I20" s="11">
        <f>IFERROR(__xludf.DUMMYFUNCTION("""COMPUTED_VALUE"""),1.0)</f>
        <v>1</v>
      </c>
      <c r="J20" s="11">
        <f>IFERROR(__xludf.DUMMYFUNCTION("""COMPUTED_VALUE"""),0.0)</f>
        <v>0</v>
      </c>
      <c r="K20" s="11">
        <f>IFERROR(__xludf.DUMMYFUNCTION("""COMPUTED_VALUE"""),2.0)</f>
        <v>2</v>
      </c>
    </row>
    <row r="21" ht="15.75" customHeight="1">
      <c r="A21" s="10" t="str">
        <f>IFERROR(__xludf.DUMMYFUNCTION("""COMPUTED_VALUE"""),"https://www.gomega.ai/blog/ai-marketing-agency/")</f>
        <v>https://www.gomega.ai/blog/ai-marketing-agency/</v>
      </c>
      <c r="B21" s="11" t="str">
        <f>IFERROR(__xludf.DUMMYFUNCTION("""COMPUTED_VALUE"""),"5 Best AI Marketing Agencies &amp;amp; How to Choose One")</f>
        <v>5 Best AI Marketing Agencies &amp;amp; How to Choose One</v>
      </c>
      <c r="C21" s="10" t="str">
        <f>IFERROR(__xludf.DUMMYFUNCTION("""COMPUTED_VALUE"""),"gomega.ai")</f>
        <v>gomega.ai</v>
      </c>
      <c r="D21" s="11" t="str">
        <f>IFERROR(__xludf.DUMMYFUNCTION("""COMPUTED_VALUE"""),"COMPARISON")</f>
        <v>COMPARISON</v>
      </c>
      <c r="E21" s="11" t="str">
        <f>IFERROR(__xludf.DUMMYFUNCTION("""COMPUTED_VALUE"""),"CORPORATE")</f>
        <v>CORPORATE</v>
      </c>
      <c r="F21" s="11" t="str">
        <f>IFERROR(__xludf.DUMMYFUNCTION("""COMPUTED_VALUE"""),"Comparison")</f>
        <v>Comparison</v>
      </c>
      <c r="G21" s="11" t="b">
        <f>IFERROR(__xludf.DUMMYFUNCTION("""COMPUTED_VALUE"""),FALSE)</f>
        <v>0</v>
      </c>
      <c r="H21" s="11" t="str">
        <f>IFERROR(__xludf.DUMMYFUNCTION("""COMPUTED_VALUE"""),"Anomaly")</f>
        <v>Anomaly</v>
      </c>
      <c r="I21" s="11">
        <f>IFERROR(__xludf.DUMMYFUNCTION("""COMPUTED_VALUE"""),1.0)</f>
        <v>1</v>
      </c>
      <c r="J21" s="11">
        <f>IFERROR(__xludf.DUMMYFUNCTION("""COMPUTED_VALUE"""),0.0)</f>
        <v>0</v>
      </c>
      <c r="K21" s="11">
        <f>IFERROR(__xludf.DUMMYFUNCTION("""COMPUTED_VALUE"""),3.0)</f>
        <v>3</v>
      </c>
    </row>
    <row r="22" ht="15.75" customHeight="1">
      <c r="A22" s="10" t="str">
        <f>IFERROR(__xludf.DUMMYFUNCTION("""COMPUTED_VALUE"""),"https://www.hamstergarage.com/article/best-partner-marketing-agency-guide")</f>
        <v>https://www.hamstergarage.com/article/best-partner-marketing-agency-guide</v>
      </c>
      <c r="B22" s="11" t="str">
        <f>IFERROR(__xludf.DUMMYFUNCTION("""COMPUTED_VALUE"""),"Best Partner Marketing Agencies for 2026: Top 7 Picks by Use Case, Pricing, and Fit")</f>
        <v>Best Partner Marketing Agencies for 2026: Top 7 Picks by Use Case, Pricing, and Fit</v>
      </c>
      <c r="C22" s="10" t="str">
        <f>IFERROR(__xludf.DUMMYFUNCTION("""COMPUTED_VALUE"""),"hamstergarage.com")</f>
        <v>hamstergarage.com</v>
      </c>
      <c r="D22" s="11" t="str">
        <f>IFERROR(__xludf.DUMMYFUNCTION("""COMPUTED_VALUE"""),"COMPARISON")</f>
        <v>COMPARISON</v>
      </c>
      <c r="E22" s="11" t="str">
        <f>IFERROR(__xludf.DUMMYFUNCTION("""COMPUTED_VALUE"""),"OTHER")</f>
        <v>OTHER</v>
      </c>
      <c r="F22" s="11" t="str">
        <f>IFERROR(__xludf.DUMMYFUNCTION("""COMPUTED_VALUE"""),"Comparison")</f>
        <v>Comparison</v>
      </c>
      <c r="G22" s="11" t="b">
        <f>IFERROR(__xludf.DUMMYFUNCTION("""COMPUTED_VALUE"""),FALSE)</f>
        <v>0</v>
      </c>
      <c r="H22" s="11" t="str">
        <f>IFERROR(__xludf.DUMMYFUNCTION("""COMPUTED_VALUE"""),"Hawke Media, Clutch, Measured")</f>
        <v>Hawke Media, Clutch, Measured</v>
      </c>
      <c r="I22" s="11">
        <f>IFERROR(__xludf.DUMMYFUNCTION("""COMPUTED_VALUE"""),1.0)</f>
        <v>1</v>
      </c>
      <c r="J22" s="11">
        <f>IFERROR(__xludf.DUMMYFUNCTION("""COMPUTED_VALUE"""),0.0)</f>
        <v>0</v>
      </c>
      <c r="K22" s="11">
        <f>IFERROR(__xludf.DUMMYFUNCTION("""COMPUTED_VALUE"""),1.0)</f>
        <v>1</v>
      </c>
    </row>
    <row r="23" ht="15.75" customHeight="1">
      <c r="A23" s="10" t="str">
        <f>IFERROR(__xludf.DUMMYFUNCTION("""COMPUTED_VALUE"""),"https://marrinadecisions.com/mmm-vs-attribution-in-2026-which-one-drives-revenue-when-you-need-both/")</f>
        <v>https://marrinadecisions.com/mmm-vs-attribution-in-2026-which-one-drives-revenue-when-you-need-both/</v>
      </c>
      <c r="B23" s="11" t="str">
        <f>IFERROR(__xludf.DUMMYFUNCTION("""COMPUTED_VALUE"""),"MMM Vs. Attribution in 2026: Which One Drives Revenue &amp;amp; When You Need Both - Marrina Decisions")</f>
        <v>MMM Vs. Attribution in 2026: Which One Drives Revenue &amp;amp; When You Need Both - Marrina Decisions</v>
      </c>
      <c r="C23" s="10" t="str">
        <f>IFERROR(__xludf.DUMMYFUNCTION("""COMPUTED_VALUE"""),"marrinadecisions.com")</f>
        <v>marrinadecisions.com</v>
      </c>
      <c r="D23" s="11" t="str">
        <f>IFERROR(__xludf.DUMMYFUNCTION("""COMPUTED_VALUE"""),"COMPARISON")</f>
        <v>COMPARISON</v>
      </c>
      <c r="E23" s="11" t="str">
        <f>IFERROR(__xludf.DUMMYFUNCTION("""COMPUTED_VALUE"""),"CORPORATE")</f>
        <v>CORPORATE</v>
      </c>
      <c r="F23" s="11" t="str">
        <f>IFERROR(__xludf.DUMMYFUNCTION("""COMPUTED_VALUE"""),"Comparison")</f>
        <v>Comparison</v>
      </c>
      <c r="G23" s="11" t="b">
        <f>IFERROR(__xludf.DUMMYFUNCTION("""COMPUTED_VALUE"""),FALSE)</f>
        <v>0</v>
      </c>
      <c r="H23" s="11"/>
      <c r="I23" s="11">
        <f>IFERROR(__xludf.DUMMYFUNCTION("""COMPUTED_VALUE"""),1.0)</f>
        <v>1</v>
      </c>
      <c r="J23" s="11">
        <f>IFERROR(__xludf.DUMMYFUNCTION("""COMPUTED_VALUE"""),0.0)</f>
        <v>0</v>
      </c>
      <c r="K23" s="11">
        <f>IFERROR(__xludf.DUMMYFUNCTION("""COMPUTED_VALUE"""),1.0)</f>
        <v>1</v>
      </c>
    </row>
    <row r="24" ht="15.75" customHeight="1">
      <c r="A24" s="10" t="str">
        <f>IFERROR(__xludf.DUMMYFUNCTION("""COMPUTED_VALUE"""),"https://www.medianug.com/blog/paid-social-advertising-agency-vs-performance-marketing-agency-which-does-your-business-actually-need")</f>
        <v>https://www.medianug.com/blog/paid-social-advertising-agency-vs-performance-marketing-agency-which-does-your-business-actually-need</v>
      </c>
      <c r="B24" s="11" t="str">
        <f>IFERROR(__xludf.DUMMYFUNCTION("""COMPUTED_VALUE"""),"Paid Social Advertising Agency vs. Performance Marketing Agency: Which Does Your Business Actually Need?")</f>
        <v>Paid Social Advertising Agency vs. Performance Marketing Agency: Which Does Your Business Actually Need?</v>
      </c>
      <c r="C24" s="10" t="str">
        <f>IFERROR(__xludf.DUMMYFUNCTION("""COMPUTED_VALUE"""),"medianug.com")</f>
        <v>medianug.com</v>
      </c>
      <c r="D24" s="11" t="str">
        <f>IFERROR(__xludf.DUMMYFUNCTION("""COMPUTED_VALUE"""),"COMPARISON")</f>
        <v>COMPARISON</v>
      </c>
      <c r="E24" s="11" t="str">
        <f>IFERROR(__xludf.DUMMYFUNCTION("""COMPUTED_VALUE"""),"OTHER")</f>
        <v>OTHER</v>
      </c>
      <c r="F24" s="11" t="str">
        <f>IFERROR(__xludf.DUMMYFUNCTION("""COMPUTED_VALUE"""),"Comparison")</f>
        <v>Comparison</v>
      </c>
      <c r="G24" s="11" t="b">
        <f>IFERROR(__xludf.DUMMYFUNCTION("""COMPUTED_VALUE"""),FALSE)</f>
        <v>0</v>
      </c>
      <c r="H24" s="11" t="str">
        <f>IFERROR(__xludf.DUMMYFUNCTION("""COMPUTED_VALUE"""),"Momentum")</f>
        <v>Momentum</v>
      </c>
      <c r="I24" s="11">
        <f>IFERROR(__xludf.DUMMYFUNCTION("""COMPUTED_VALUE"""),1.0)</f>
        <v>1</v>
      </c>
      <c r="J24" s="11">
        <f>IFERROR(__xludf.DUMMYFUNCTION("""COMPUTED_VALUE"""),0.0)</f>
        <v>0</v>
      </c>
      <c r="K24" s="11">
        <f>IFERROR(__xludf.DUMMYFUNCTION("""COMPUTED_VALUE"""),1.0)</f>
        <v>1</v>
      </c>
    </row>
    <row r="25" ht="15.75" customHeight="1">
      <c r="A25" s="10" t="str">
        <f>IFERROR(__xludf.DUMMYFUNCTION("""COMPUTED_VALUE"""),"https://medium.com/data-science-at-microsoft/how-do-you-know-your-ai-actually-works-b1a380a07825")</f>
        <v>https://medium.com/data-science-at-microsoft/how-do-you-know-your-ai-actually-works-b1a380a07825</v>
      </c>
      <c r="B25" s="11" t="str">
        <f>IFERROR(__xludf.DUMMYFUNCTION("""COMPUTED_VALUE"""),"AI evals platforms: A comparative guide for production AI systems | by Francesca Lazzeri | Data Science + AI at Microsoft | Medium")</f>
        <v>AI evals platforms: A comparative guide for production AI systems | by Francesca Lazzeri | Data Science + AI at Microsoft | Medium</v>
      </c>
      <c r="C25" s="10" t="str">
        <f>IFERROR(__xludf.DUMMYFUNCTION("""COMPUTED_VALUE"""),"medium.com")</f>
        <v>medium.com</v>
      </c>
      <c r="D25" s="11" t="str">
        <f>IFERROR(__xludf.DUMMYFUNCTION("""COMPUTED_VALUE"""),"COMPARISON")</f>
        <v>COMPARISON</v>
      </c>
      <c r="E25" s="11" t="str">
        <f>IFERROR(__xludf.DUMMYFUNCTION("""COMPUTED_VALUE"""),"UGC")</f>
        <v>UGC</v>
      </c>
      <c r="F25" s="11" t="str">
        <f>IFERROR(__xludf.DUMMYFUNCTION("""COMPUTED_VALUE"""),"Comparison")</f>
        <v>Comparison</v>
      </c>
      <c r="G25" s="11" t="b">
        <f>IFERROR(__xludf.DUMMYFUNCTION("""COMPUTED_VALUE"""),FALSE)</f>
        <v>0</v>
      </c>
      <c r="H25" s="11"/>
      <c r="I25" s="11">
        <f>IFERROR(__xludf.DUMMYFUNCTION("""COMPUTED_VALUE"""),1.0)</f>
        <v>1</v>
      </c>
      <c r="J25" s="11">
        <f>IFERROR(__xludf.DUMMYFUNCTION("""COMPUTED_VALUE"""),0.0)</f>
        <v>0</v>
      </c>
      <c r="K25" s="11">
        <f>IFERROR(__xludf.DUMMYFUNCTION("""COMPUTED_VALUE"""),1.0)</f>
        <v>1</v>
      </c>
    </row>
    <row r="26" ht="15.75" customHeight="1">
      <c r="A26" s="10" t="str">
        <f>IFERROR(__xludf.DUMMYFUNCTION("""COMPUTED_VALUE"""),"https://www.meioemensagem.com.br/comunicacao/agency-report-omnicom-lidera-e-publicis-ultrapassa-wpp")</f>
        <v>https://www.meioemensagem.com.br/comunicacao/agency-report-omnicom-lidera-e-publicis-ultrapassa-wpp</v>
      </c>
      <c r="B26" s="11" t="str">
        <f>IFERROR(__xludf.DUMMYFUNCTION("""COMPUTED_VALUE"""),"Agency Report: Omnicom lidera e Publicis ultrapassa WPP")</f>
        <v>Agency Report: Omnicom lidera e Publicis ultrapassa WPP</v>
      </c>
      <c r="C26" s="10" t="str">
        <f>IFERROR(__xludf.DUMMYFUNCTION("""COMPUTED_VALUE"""),"meioemensagem.com.br")</f>
        <v>meioemensagem.com.br</v>
      </c>
      <c r="D26" s="11" t="str">
        <f>IFERROR(__xludf.DUMMYFUNCTION("""COMPUTED_VALUE"""),"COMPARISON")</f>
        <v>COMPARISON</v>
      </c>
      <c r="E26" s="11" t="str">
        <f>IFERROR(__xludf.DUMMYFUNCTION("""COMPUTED_VALUE"""),"EDITORIAL")</f>
        <v>EDITORIAL</v>
      </c>
      <c r="F26" s="11" t="str">
        <f>IFERROR(__xludf.DUMMYFUNCTION("""COMPUTED_VALUE"""),"Comparison")</f>
        <v>Comparison</v>
      </c>
      <c r="G26" s="11" t="b">
        <f>IFERROR(__xludf.DUMMYFUNCTION("""COMPUTED_VALUE"""),FALSE)</f>
        <v>0</v>
      </c>
      <c r="H26" s="11" t="str">
        <f>IFERROR(__xludf.DUMMYFUNCTION("""COMPUTED_VALUE"""),"WPP, Publicis Groupe, Accenture Song, Dentsu, Deloitte Digital, IBM, R/GA")</f>
        <v>WPP, Publicis Groupe, Accenture Song, Dentsu, Deloitte Digital, IBM, R/GA</v>
      </c>
      <c r="I26" s="11">
        <f>IFERROR(__xludf.DUMMYFUNCTION("""COMPUTED_VALUE"""),1.0)</f>
        <v>1</v>
      </c>
      <c r="J26" s="11">
        <f>IFERROR(__xludf.DUMMYFUNCTION("""COMPUTED_VALUE"""),0.0)</f>
        <v>0</v>
      </c>
      <c r="K26" s="11">
        <f>IFERROR(__xludf.DUMMYFUNCTION("""COMPUTED_VALUE"""),0.0)</f>
        <v>0</v>
      </c>
    </row>
    <row r="27" ht="15.75" customHeight="1">
      <c r="A27" s="10" t="str">
        <f>IFERROR(__xludf.DUMMYFUNCTION("""COMPUTED_VALUE"""),"https://royaldigitalagency.com/blogs/ai-vs-search-engine/")</f>
        <v>https://royaldigitalagency.com/blogs/ai-vs-search-engine/</v>
      </c>
      <c r="B27" s="11" t="str">
        <f>IFERROR(__xludf.DUMMYFUNCTION("""COMPUTED_VALUE"""),"What's The Difference Between AI And Search Engine? - Royal Digital Agency")</f>
        <v>What's The Difference Between AI And Search Engine? - Royal Digital Agency</v>
      </c>
      <c r="C27" s="10" t="str">
        <f>IFERROR(__xludf.DUMMYFUNCTION("""COMPUTED_VALUE"""),"royaldigitalagency.com")</f>
        <v>royaldigitalagency.com</v>
      </c>
      <c r="D27" s="11" t="str">
        <f>IFERROR(__xludf.DUMMYFUNCTION("""COMPUTED_VALUE"""),"COMPARISON")</f>
        <v>COMPARISON</v>
      </c>
      <c r="E27" s="11" t="str">
        <f>IFERROR(__xludf.DUMMYFUNCTION("""COMPUTED_VALUE"""),"CORPORATE")</f>
        <v>CORPORATE</v>
      </c>
      <c r="F27" s="11" t="str">
        <f>IFERROR(__xludf.DUMMYFUNCTION("""COMPUTED_VALUE"""),"Comparison")</f>
        <v>Comparison</v>
      </c>
      <c r="G27" s="11" t="b">
        <f>IFERROR(__xludf.DUMMYFUNCTION("""COMPUTED_VALUE"""),FALSE)</f>
        <v>0</v>
      </c>
      <c r="H27" s="11" t="str">
        <f>IFERROR(__xludf.DUMMYFUNCTION("""COMPUTED_VALUE"""),"Huge")</f>
        <v>Huge</v>
      </c>
      <c r="I27" s="11">
        <f>IFERROR(__xludf.DUMMYFUNCTION("""COMPUTED_VALUE"""),1.0)</f>
        <v>1</v>
      </c>
      <c r="J27" s="11">
        <f>IFERROR(__xludf.DUMMYFUNCTION("""COMPUTED_VALUE"""),0.0)</f>
        <v>0</v>
      </c>
      <c r="K27" s="11">
        <f>IFERROR(__xludf.DUMMYFUNCTION("""COMPUTED_VALUE"""),1.0)</f>
        <v>1</v>
      </c>
    </row>
    <row r="28" ht="15.75" customHeight="1">
      <c r="A28" s="10" t="str">
        <f>IFERROR(__xludf.DUMMYFUNCTION("""COMPUTED_VALUE"""),"https://salesduo.com/blog/amazon-product-ads-management-agencies-comparison/")</f>
        <v>https://salesduo.com/blog/amazon-product-ads-management-agencies-comparison/</v>
      </c>
      <c r="B28" s="11" t="str">
        <f>IFERROR(__xludf.DUMMYFUNCTION("""COMPUTED_VALUE"""),"Best Amazon Product Ads Management Agencies in 2026")</f>
        <v>Best Amazon Product Ads Management Agencies in 2026</v>
      </c>
      <c r="C28" s="10" t="str">
        <f>IFERROR(__xludf.DUMMYFUNCTION("""COMPUTED_VALUE"""),"salesduo.com")</f>
        <v>salesduo.com</v>
      </c>
      <c r="D28" s="11" t="str">
        <f>IFERROR(__xludf.DUMMYFUNCTION("""COMPUTED_VALUE"""),"COMPARISON")</f>
        <v>COMPARISON</v>
      </c>
      <c r="E28" s="11" t="str">
        <f>IFERROR(__xludf.DUMMYFUNCTION("""COMPUTED_VALUE"""),"CORPORATE")</f>
        <v>CORPORATE</v>
      </c>
      <c r="F28" s="11" t="str">
        <f>IFERROR(__xludf.DUMMYFUNCTION("""COMPUTED_VALUE"""),"Comparison")</f>
        <v>Comparison</v>
      </c>
      <c r="G28" s="11" t="b">
        <f>IFERROR(__xludf.DUMMYFUNCTION("""COMPUTED_VALUE"""),FALSE)</f>
        <v>0</v>
      </c>
      <c r="H28" s="11" t="str">
        <f>IFERROR(__xludf.DUMMYFUNCTION("""COMPUTED_VALUE"""),"Tinuiti, Disruptive Advertising, Measured")</f>
        <v>Tinuiti, Disruptive Advertising, Measured</v>
      </c>
      <c r="I28" s="11">
        <f>IFERROR(__xludf.DUMMYFUNCTION("""COMPUTED_VALUE"""),1.0)</f>
        <v>1</v>
      </c>
      <c r="J28" s="11">
        <f>IFERROR(__xludf.DUMMYFUNCTION("""COMPUTED_VALUE"""),0.0)</f>
        <v>0</v>
      </c>
      <c r="K28" s="11">
        <f>IFERROR(__xludf.DUMMYFUNCTION("""COMPUTED_VALUE"""),1.0)</f>
        <v>1</v>
      </c>
    </row>
    <row r="29" ht="15.75" customHeight="1">
      <c r="A29" s="10" t="str">
        <f>IFERROR(__xludf.DUMMYFUNCTION("""COMPUTED_VALUE"""),"https://www.triplewhale.com/blog/incrementality-testing")</f>
        <v>https://www.triplewhale.com/blog/incrementality-testing</v>
      </c>
      <c r="B29" s="11" t="str">
        <f>IFERROR(__xludf.DUMMYFUNCTION("""COMPUTED_VALUE"""),"What Is Incrementality Testing? The Ultimate Guide for Modern Marketers | Triple Whale")</f>
        <v>What Is Incrementality Testing? The Ultimate Guide for Modern Marketers | Triple Whale</v>
      </c>
      <c r="C29" s="10" t="str">
        <f>IFERROR(__xludf.DUMMYFUNCTION("""COMPUTED_VALUE"""),"triplewhale.com")</f>
        <v>triplewhale.com</v>
      </c>
      <c r="D29" s="11" t="str">
        <f>IFERROR(__xludf.DUMMYFUNCTION("""COMPUTED_VALUE"""),"COMPARISON")</f>
        <v>COMPARISON</v>
      </c>
      <c r="E29" s="11" t="str">
        <f>IFERROR(__xludf.DUMMYFUNCTION("""COMPUTED_VALUE"""),"COMPETITOR")</f>
        <v>COMPETITOR</v>
      </c>
      <c r="F29" s="11" t="str">
        <f>IFERROR(__xludf.DUMMYFUNCTION("""COMPUTED_VALUE"""),"Comparison")</f>
        <v>Comparison</v>
      </c>
      <c r="G29" s="11" t="b">
        <f>IFERROR(__xludf.DUMMYFUNCTION("""COMPUTED_VALUE"""),FALSE)</f>
        <v>0</v>
      </c>
      <c r="H29" s="11" t="str">
        <f>IFERROR(__xludf.DUMMYFUNCTION("""COMPUTED_VALUE"""),"Triple Whale")</f>
        <v>Triple Whale</v>
      </c>
      <c r="I29" s="11">
        <f>IFERROR(__xludf.DUMMYFUNCTION("""COMPUTED_VALUE"""),1.0)</f>
        <v>1</v>
      </c>
      <c r="J29" s="11">
        <f>IFERROR(__xludf.DUMMYFUNCTION("""COMPUTED_VALUE"""),0.0)</f>
        <v>0</v>
      </c>
      <c r="K29" s="11">
        <f>IFERROR(__xludf.DUMMYFUNCTION("""COMPUTED_VALUE"""),0.0)</f>
        <v>0</v>
      </c>
    </row>
    <row r="30" ht="15.75" customHeight="1">
      <c r="A30" s="10" t="str">
        <f>IFERROR(__xludf.DUMMYFUNCTION("""COMPUTED_VALUE"""),"https://www.youtube.com/watch?v=VQQ_1ODhyvo&amp;vl=en")</f>
        <v>https://www.youtube.com/watch?v=VQQ_1ODhyvo&amp;vl=en</v>
      </c>
      <c r="B30" s="11" t="str">
        <f>IFERROR(__xludf.DUMMYFUNCTION("""COMPUTED_VALUE"""),"HubSpot AEO vs Profound vs Rankability: What's Best for Agencies?")</f>
        <v>HubSpot AEO vs Profound vs Rankability: What's Best for Agencies?</v>
      </c>
      <c r="C30" s="10" t="str">
        <f>IFERROR(__xludf.DUMMYFUNCTION("""COMPUTED_VALUE"""),"youtube.com")</f>
        <v>youtube.com</v>
      </c>
      <c r="D30" s="11" t="str">
        <f>IFERROR(__xludf.DUMMYFUNCTION("""COMPUTED_VALUE"""),"COMPARISON")</f>
        <v>COMPARISON</v>
      </c>
      <c r="E30" s="11" t="str">
        <f>IFERROR(__xludf.DUMMYFUNCTION("""COMPUTED_VALUE"""),"UGC")</f>
        <v>UGC</v>
      </c>
      <c r="F30" s="11" t="str">
        <f>IFERROR(__xludf.DUMMYFUNCTION("""COMPUTED_VALUE"""),"Comparison")</f>
        <v>Comparison</v>
      </c>
      <c r="G30" s="11" t="b">
        <f>IFERROR(__xludf.DUMMYFUNCTION("""COMPUTED_VALUE"""),FALSE)</f>
        <v>0</v>
      </c>
      <c r="H30" s="11" t="str">
        <f>IFERROR(__xludf.DUMMYFUNCTION("""COMPUTED_VALUE"""),"Huge")</f>
        <v>Huge</v>
      </c>
      <c r="I30" s="11">
        <f>IFERROR(__xludf.DUMMYFUNCTION("""COMPUTED_VALUE"""),1.0)</f>
        <v>1</v>
      </c>
      <c r="J30" s="11">
        <f>IFERROR(__xludf.DUMMYFUNCTION("""COMPUTED_VALUE"""),0.0)</f>
        <v>0</v>
      </c>
      <c r="K30" s="11">
        <f>IFERROR(__xludf.DUMMYFUNCTION("""COMPUTED_VALUE"""),1.0)</f>
        <v>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location=":~:text=Different%20platforms%20approach%20calibration%20differently,making%20the%20model's%20confidence%20visible."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s>
  <drawing r:id="rId58"/>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All'!D2:D1000)))=""discussion""
  ),
  """"
)"),"https://www.reddit.com/r/MktgSupermarket/comments/1qom30j/compiled_a_directory_of_25_ai_marketing_agencies/")</f>
        <v>https://www.reddit.com/r/MktgSupermarket/comments/1qom30j/compiled_a_directory_of_25_ai_marketing_agencies/</v>
      </c>
      <c r="B2" s="11" t="str">
        <f>IFERROR(__xludf.DUMMYFUNCTION("""COMPUTED_VALUE"""),"Compiled a directory of 25 AI marketing agencies — here's the breakdown by category")</f>
        <v>Compiled a directory of 25 AI marketing agencies — here's the breakdown by category</v>
      </c>
      <c r="C2" s="10"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IFERROR(__xludf.DUMMYFUNCTION("""COMPUTED_VALUE"""),"SmartSites, Single Grain, Superside, DEPT, NoGood, NinjaPromo, Keenfolks, Omniscient Digital")</f>
        <v>SmartSites, Single Grain, Superside, DEPT, NoGood, NinjaPromo, Keenfolks, Omniscient Digital</v>
      </c>
      <c r="I2" s="11">
        <f>IFERROR(__xludf.DUMMYFUNCTION("""COMPUTED_VALUE"""),11.0)</f>
        <v>11</v>
      </c>
      <c r="J2" s="11">
        <f>IFERROR(__xludf.DUMMYFUNCTION("""COMPUTED_VALUE"""),0.01)</f>
        <v>0.01</v>
      </c>
      <c r="K2" s="11">
        <f>IFERROR(__xludf.DUMMYFUNCTION("""COMPUTED_VALUE"""),1.73)</f>
        <v>1.73</v>
      </c>
    </row>
    <row r="3" ht="15.75" customHeight="1">
      <c r="A3" s="10" t="str">
        <f>IFERROR(__xludf.DUMMYFUNCTION("""COMPUTED_VALUE"""),"https://www.reddit.com/r/TheTopAgencies/comments/1mjdxiv/the_best_generative_engine_optimization_agencies/")</f>
        <v>https://www.reddit.com/r/TheTopAgencies/comments/1mjdxiv/the_best_generative_engine_optimization_agencies/</v>
      </c>
      <c r="B3" s="11" t="str">
        <f>IFERROR(__xludf.DUMMYFUNCTION("""COMPUTED_VALUE"""),"The Best Generative Engine Optimization Agencies In The United States")</f>
        <v>The Best Generative Engine Optimization Agencies In The United States</v>
      </c>
      <c r="C3" s="10"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IFERROR(__xludf.DUMMYFUNCTION("""COMPUTED_VALUE"""),"Brainlabs, Siege Media, Victorious, HawkSEM, Animalz, Omniscient Digital, iPullRank")</f>
        <v>Brainlabs, Siege Media, Victorious, HawkSEM, Animalz, Omniscient Digital, iPullRank</v>
      </c>
      <c r="I3" s="11">
        <f>IFERROR(__xludf.DUMMYFUNCTION("""COMPUTED_VALUE"""),11.0)</f>
        <v>11</v>
      </c>
      <c r="J3" s="11">
        <f>IFERROR(__xludf.DUMMYFUNCTION("""COMPUTED_VALUE"""),0.01)</f>
        <v>0.01</v>
      </c>
      <c r="K3" s="11">
        <f>IFERROR(__xludf.DUMMYFUNCTION("""COMPUTED_VALUE"""),3.0)</f>
        <v>3</v>
      </c>
    </row>
    <row r="4" ht="15.75" customHeight="1">
      <c r="A4" s="10" t="str">
        <f>IFERROR(__xludf.DUMMYFUNCTION("""COMPUTED_VALUE"""),"https://www.reddit.com/r/SaaS/comments/1scwc2o/who_is_the_best_answer_engine_optimization_aeo/")</f>
        <v>https://www.reddit.com/r/SaaS/comments/1scwc2o/who_is_the_best_answer_engine_optimization_aeo/</v>
      </c>
      <c r="B4" s="11" t="str">
        <f>IFERROR(__xludf.DUMMYFUNCTION("""COMPUTED_VALUE"""),"Who is the best Answer Engine Optimization (AEO) Agency in USA?")</f>
        <v>Who is the best Answer Engine Optimization (AEO) Agency in USA?</v>
      </c>
      <c r="C4" s="10"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IFERROR(__xludf.DUMMYFUNCTION("""COMPUTED_VALUE"""),"Animalz, NoGood")</f>
        <v>Animalz, NoGood</v>
      </c>
      <c r="I4" s="11">
        <f>IFERROR(__xludf.DUMMYFUNCTION("""COMPUTED_VALUE"""),10.0)</f>
        <v>10</v>
      </c>
      <c r="J4" s="11">
        <f>IFERROR(__xludf.DUMMYFUNCTION("""COMPUTED_VALUE"""),0.01)</f>
        <v>0.01</v>
      </c>
      <c r="K4" s="11">
        <f>IFERROR(__xludf.DUMMYFUNCTION("""COMPUTED_VALUE"""),1.2)</f>
        <v>1.2</v>
      </c>
    </row>
    <row r="5" ht="15.75" customHeight="1">
      <c r="A5" s="10" t="str">
        <f>IFERROR(__xludf.DUMMYFUNCTION("""COMPUTED_VALUE"""),"https://www.reddit.com/r/ecommerce/comments/1qusfa4/looking_for_best_incrementality_testing_tools/")</f>
        <v>https://www.reddit.com/r/ecommerce/comments/1qusfa4/looking_for_best_incrementality_testing_tools/</v>
      </c>
      <c r="B5" s="11" t="str">
        <f>IFERROR(__xludf.DUMMYFUNCTION("""COMPUTED_VALUE"""),"Looking for best incrementality testing tools (advice/recommendation)")</f>
        <v>Looking for best incrementality testing tools (advice/recommendation)</v>
      </c>
      <c r="C5" s="10" t="str">
        <f>IFERROR(__xludf.DUMMYFUNCTION("""COMPUTED_VALUE"""),"reddit.com")</f>
        <v>reddit.com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IFERROR(__xludf.DUMMYFUNCTION("""COMPUTED_VALUE"""),"Haus, LifeSight, Measured, SegmentStream, Recast, Rockerbox, Northbeam")</f>
        <v>Haus, LifeSight, Measured, SegmentStream, Recast, Rockerbox, Northbeam</v>
      </c>
      <c r="I5" s="11">
        <f>IFERROR(__xludf.DUMMYFUNCTION("""COMPUTED_VALUE"""),10.0)</f>
        <v>10</v>
      </c>
      <c r="J5" s="11">
        <f>IFERROR(__xludf.DUMMYFUNCTION("""COMPUTED_VALUE"""),0.01)</f>
        <v>0.01</v>
      </c>
      <c r="K5" s="11">
        <f>IFERROR(__xludf.DUMMYFUNCTION("""COMPUTED_VALUE"""),1.4)</f>
        <v>1.4</v>
      </c>
    </row>
    <row r="6" ht="15.75" customHeight="1">
      <c r="A6" s="10" t="str">
        <f>IFERROR(__xludf.DUMMYFUNCTION("""COMPUTED_VALUE"""),"https://www.reddit.com/r/u_Large_Let1715/comments/1tdt8px/best_marketing_analytics_firms_a_complete/")</f>
        <v>https://www.reddit.com/r/u_Large_Let1715/comments/1tdt8px/best_marketing_analytics_firms_a_complete/</v>
      </c>
      <c r="B6" s="11" t="str">
        <f>IFERROR(__xludf.DUMMYFUNCTION("""COMPUTED_VALUE"""),"Best Marketing Analytics firms - a complete breakdown in the USA")</f>
        <v>Best Marketing Analytics firms - a complete breakdown in the USA</v>
      </c>
      <c r="C6" s="10"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IFERROR(__xludf.DUMMYFUNCTION("""COMPUTED_VALUE"""),"LatentView Analytics, Fractal Analytics")</f>
        <v>LatentView Analytics, Fractal Analytics</v>
      </c>
      <c r="I6" s="11">
        <f>IFERROR(__xludf.DUMMYFUNCTION("""COMPUTED_VALUE"""),8.0)</f>
        <v>8</v>
      </c>
      <c r="J6" s="11">
        <f>IFERROR(__xludf.DUMMYFUNCTION("""COMPUTED_VALUE"""),0.01)</f>
        <v>0.01</v>
      </c>
      <c r="K6" s="11">
        <f>IFERROR(__xludf.DUMMYFUNCTION("""COMPUTED_VALUE"""),3.63)</f>
        <v>3.63</v>
      </c>
    </row>
    <row r="7" ht="15.75" customHeight="1">
      <c r="A7" s="10" t="str">
        <f>IFERROR(__xludf.DUMMYFUNCTION("""COMPUTED_VALUE"""),"https://www.reddit.com/r/TheTopAgencies/comments/1me9pid/the_best_digital_marketing_agencies_in_the_united/")</f>
        <v>https://www.reddit.com/r/TheTopAgencies/comments/1me9pid/the_best_digital_marketing_agencies_in_the_united/</v>
      </c>
      <c r="B7" s="11" t="str">
        <f>IFERROR(__xludf.DUMMYFUNCTION("""COMPUTED_VALUE"""),"The Best Digital Marketing Agencies In The United States")</f>
        <v>The Best Digital Marketing Agencies In The United States</v>
      </c>
      <c r="C7" s="10"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IFERROR(__xludf.DUMMYFUNCTION("""COMPUTED_VALUE"""),"LYFE Marketing, Ignite Visibility, Thrive Internet Marketing Agency, Disruptive Advertising, Sociallyin, WebFX, Victorious, Tinuiti, Power Digital, Metric Theory, Brainlabs, Silverback Strategies, Single Grain, HawkSEM, SmartSites, Directive, KlientBoost,"&amp;" First Page Sage, Refine Labs, Kobe Digital, Ogilvy, VaynerMedia")</f>
        <v>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v>
      </c>
      <c r="I7" s="11">
        <f>IFERROR(__xludf.DUMMYFUNCTION("""COMPUTED_VALUE"""),7.0)</f>
        <v>7</v>
      </c>
      <c r="J7" s="11">
        <f>IFERROR(__xludf.DUMMYFUNCTION("""COMPUTED_VALUE"""),0.01)</f>
        <v>0.01</v>
      </c>
      <c r="K7" s="11">
        <f>IFERROR(__xludf.DUMMYFUNCTION("""COMPUTED_VALUE"""),1.43)</f>
        <v>1.43</v>
      </c>
    </row>
    <row r="8" ht="15.75" customHeight="1">
      <c r="A8" s="10" t="str">
        <f>IFERROR(__xludf.DUMMYFUNCTION("""COMPUTED_VALUE"""),"https://www.reddit.com/r/agency/comments/1ok212i/performance_marketing_incrementality/")</f>
        <v>https://www.reddit.com/r/agency/comments/1ok212i/performance_marketing_incrementality/</v>
      </c>
      <c r="B8" s="11" t="str">
        <f>IFERROR(__xludf.DUMMYFUNCTION("""COMPUTED_VALUE"""),"Performance Marketing Incrementality")</f>
        <v>Performance Marketing Incrementality</v>
      </c>
      <c r="C8" s="10"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t="str">
        <f>IFERROR(__xludf.DUMMYFUNCTION("""COMPUTED_VALUE"""),"Haus, Measured, Recast")</f>
        <v>Haus, Measured, Recast</v>
      </c>
      <c r="I8" s="11">
        <f>IFERROR(__xludf.DUMMYFUNCTION("""COMPUTED_VALUE"""),7.0)</f>
        <v>7</v>
      </c>
      <c r="J8" s="11">
        <f>IFERROR(__xludf.DUMMYFUNCTION("""COMPUTED_VALUE"""),0.01)</f>
        <v>0.01</v>
      </c>
      <c r="K8" s="11">
        <f>IFERROR(__xludf.DUMMYFUNCTION("""COMPUTED_VALUE"""),2.0)</f>
        <v>2</v>
      </c>
    </row>
    <row r="9" ht="15.75" customHeight="1">
      <c r="A9" s="10" t="str">
        <f>IFERROR(__xludf.DUMMYFUNCTION("""COMPUTED_VALUE"""),"https://www.reddit.com/r/b2bmarketing/comments/1rl47cr/the_10_best_visibility_companies_and_agencies_for/#:~:text=Conductor%20is%20the%20enterprise%20tool%20behind%20the,else%20is%20doing.%20Lemonshadehere.%20%E2%80%A2%204mo%20ago.")</f>
        <v>https://www.reddit.com/r/b2bmarketing/comments/1rl47cr/the_10_best_visibility_companies_and_agencies_for/#:~:text=Conductor%20is%20the%20enterprise%20tool%20behind%20the,else%20is%20doing.%20Lemonshadehere.%20%E2%80%A2%204mo%20ago.</v>
      </c>
      <c r="B9" s="11" t="str">
        <f>IFERROR(__xludf.DUMMYFUNCTION("""COMPUTED_VALUE"""),"The 10 Best Visibility Companies and Agencies for SEO and GEO?")</f>
        <v>The 10 Best Visibility Companies and Agencies for SEO and GEO?</v>
      </c>
      <c r="C9" s="10"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t="b">
        <f>IFERROR(__xludf.DUMMYFUNCTION("""COMPUTED_VALUE"""),FALSE)</f>
        <v>0</v>
      </c>
      <c r="H9" s="11" t="str">
        <f>IFERROR(__xludf.DUMMYFUNCTION("""COMPUTED_VALUE"""),"Seer Interactive, Funnel Boost Media, Huge, Siege Media, Single Grain, First Page Sage, iPullRank, Clutch, Directive")</f>
        <v>Seer Interactive, Funnel Boost Media, Huge, Siege Media, Single Grain, First Page Sage, iPullRank, Clutch, Directive</v>
      </c>
      <c r="I9" s="11">
        <f>IFERROR(__xludf.DUMMYFUNCTION("""COMPUTED_VALUE"""),7.0)</f>
        <v>7</v>
      </c>
      <c r="J9" s="11">
        <f>IFERROR(__xludf.DUMMYFUNCTION("""COMPUTED_VALUE"""),0.01)</f>
        <v>0.01</v>
      </c>
      <c r="K9" s="11">
        <f>IFERROR(__xludf.DUMMYFUNCTION("""COMPUTED_VALUE"""),1.14)</f>
        <v>1.14</v>
      </c>
    </row>
    <row r="10" ht="15.75" customHeight="1">
      <c r="A10" s="10" t="str">
        <f>IFERROR(__xludf.DUMMYFUNCTION("""COMPUTED_VALUE"""),"https://www.reddit.com/r/ecommerce/comments/1c4too8/best_tools_for_paid_marketing_attribution/")</f>
        <v>https://www.reddit.com/r/ecommerce/comments/1c4too8/best_tools_for_paid_marketing_attribution/</v>
      </c>
      <c r="B10" s="11" t="str">
        <f>IFERROR(__xludf.DUMMYFUNCTION("""COMPUTED_VALUE"""),"Best tools for paid marketing attribution?")</f>
        <v>Best tools for paid marketing attribution?</v>
      </c>
      <c r="C10" s="10" t="str">
        <f>IFERROR(__xludf.DUMMYFUNCTION("""COMPUTED_VALUE"""),"reddit.com")</f>
        <v>reddit.com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t="str">
        <f>IFERROR(__xludf.DUMMYFUNCTION("""COMPUTED_VALUE"""),"Cometly, Huge, Ruler Analytics, Triple Whale, Northbeam, Rockerbox, HockeyStack, SegmentStream")</f>
        <v>Cometly, Huge, Ruler Analytics, Triple Whale, Northbeam, Rockerbox, HockeyStack, SegmentStream</v>
      </c>
      <c r="I10" s="11">
        <f>IFERROR(__xludf.DUMMYFUNCTION("""COMPUTED_VALUE"""),6.0)</f>
        <v>6</v>
      </c>
      <c r="J10" s="11">
        <f>IFERROR(__xludf.DUMMYFUNCTION("""COMPUTED_VALUE"""),0.01)</f>
        <v>0.01</v>
      </c>
      <c r="K10" s="11">
        <f>IFERROR(__xludf.DUMMYFUNCTION("""COMPUTED_VALUE"""),1.17)</f>
        <v>1.17</v>
      </c>
    </row>
    <row r="11" ht="15.75" customHeight="1">
      <c r="A11" s="10" t="str">
        <f>IFERROR(__xludf.DUMMYFUNCTION("""COMPUTED_VALUE"""),"https://www.reddit.com/r/SearchTides/comments/1uu5d0d/10_best_geo_agencies_for_brands_that_want_to_win/")</f>
        <v>https://www.reddit.com/r/SearchTides/comments/1uu5d0d/10_best_geo_agencies_for_brands_that_want_to_win/</v>
      </c>
      <c r="B11" s="11" t="str">
        <f>IFERROR(__xludf.DUMMYFUNCTION("""COMPUTED_VALUE"""),"10 Best GEO Agencies for Brands That Want to Win AI Search, Featuring SearchTides")</f>
        <v>10 Best GEO Agencies for Brands That Want to Win AI Search, Featuring SearchTides</v>
      </c>
      <c r="C11" s="10"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IFERROR(__xludf.DUMMYFUNCTION("""COMPUTED_VALUE"""),"Seer Interactive, Funnel Boost Media")</f>
        <v>Seer Interactive, Funnel Boost Media</v>
      </c>
      <c r="I11" s="11">
        <f>IFERROR(__xludf.DUMMYFUNCTION("""COMPUTED_VALUE"""),5.0)</f>
        <v>5</v>
      </c>
      <c r="J11" s="11">
        <f>IFERROR(__xludf.DUMMYFUNCTION("""COMPUTED_VALUE"""),0.0)</f>
        <v>0</v>
      </c>
      <c r="K11" s="11">
        <f>IFERROR(__xludf.DUMMYFUNCTION("""COMPUTED_VALUE"""),2.8)</f>
        <v>2.8</v>
      </c>
    </row>
    <row r="12" ht="15.75" customHeight="1">
      <c r="A12" s="10" t="str">
        <f>IFERROR(__xludf.DUMMYFUNCTION("""COMPUTED_VALUE"""),"https://www.reddit.com/r/b2bmarketing/comments/1t546si/the_7_leading_ai_seo_agencies_for_modern_search/")</f>
        <v>https://www.reddit.com/r/b2bmarketing/comments/1t546si/the_7_leading_ai_seo_agencies_for_modern_search/</v>
      </c>
      <c r="B12" s="11" t="str">
        <f>IFERROR(__xludf.DUMMYFUNCTION("""COMPUTED_VALUE"""),"The 7 Leading AI SEO Agencies for Modern Search")</f>
        <v>The 7 Leading AI SEO Agencies for Modern Search</v>
      </c>
      <c r="C12" s="10"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IFERROR(__xludf.DUMMYFUNCTION("""COMPUTED_VALUE"""),"Omniscient Digital, Siege Media, Seer Interactive, iPullRank")</f>
        <v>Omniscient Digital, Siege Media, Seer Interactive, iPullRank</v>
      </c>
      <c r="I12" s="11">
        <f>IFERROR(__xludf.DUMMYFUNCTION("""COMPUTED_VALUE"""),5.0)</f>
        <v>5</v>
      </c>
      <c r="J12" s="11">
        <f>IFERROR(__xludf.DUMMYFUNCTION("""COMPUTED_VALUE"""),0.0)</f>
        <v>0</v>
      </c>
      <c r="K12" s="11">
        <f>IFERROR(__xludf.DUMMYFUNCTION("""COMPUTED_VALUE"""),1.0)</f>
        <v>1</v>
      </c>
    </row>
    <row r="13" ht="15.75" customHeight="1">
      <c r="A13" s="10" t="str">
        <f>IFERROR(__xludf.DUMMYFUNCTION("""COMPUTED_VALUE"""),"https://www.reddit.com/r/Superframeworks/comments/1twfxf1/10_best_ai_seo_geoaeo_agencies_for_2026_no/")</f>
        <v>https://www.reddit.com/r/Superframeworks/comments/1twfxf1/10_best_ai_seo_geoaeo_agencies_for_2026_no/</v>
      </c>
      <c r="B13" s="11" t="str">
        <f>IFERROR(__xludf.DUMMYFUNCTION("""COMPUTED_VALUE"""),"10 Best AI SEO (GEO/AEO) Agencies for 2026: No Self-Ranking, Verified by Clutch Reviews and Real AI-Citation Proof")</f>
        <v>10 Best AI SEO (GEO/AEO) Agencies for 2026: No Self-Ranking, Verified by Clutch Reviews and Real AI-Citation Proof</v>
      </c>
      <c r="C13" s="10"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IFERROR(__xludf.DUMMYFUNCTION("""COMPUTED_VALUE"""),"First Page Sage, Single Grain, Clutch, NoGood, iPullRank, Victorious")</f>
        <v>First Page Sage, Single Grain, Clutch, NoGood, iPullRank, Victorious</v>
      </c>
      <c r="I13" s="11">
        <f>IFERROR(__xludf.DUMMYFUNCTION("""COMPUTED_VALUE"""),4.0)</f>
        <v>4</v>
      </c>
      <c r="J13" s="11">
        <f>IFERROR(__xludf.DUMMYFUNCTION("""COMPUTED_VALUE"""),0.0)</f>
        <v>0</v>
      </c>
      <c r="K13" s="11">
        <f>IFERROR(__xludf.DUMMYFUNCTION("""COMPUTED_VALUE"""),1.25)</f>
        <v>1.25</v>
      </c>
    </row>
    <row r="14" ht="15.75" customHeight="1">
      <c r="A14" s="10" t="str">
        <f>IFERROR(__xludf.DUMMYFUNCTION("""COMPUTED_VALUE"""),"https://www.reddit.com/r/AISEOTricks/comments/1t9xk64/what_are_the_best_seo_agencies_right_now/")</f>
        <v>https://www.reddit.com/r/AISEOTricks/comments/1t9xk64/what_are_the_best_seo_agencies_right_now/</v>
      </c>
      <c r="B14" s="11" t="str">
        <f>IFERROR(__xludf.DUMMYFUNCTION("""COMPUTED_VALUE"""),"What Are the Best SEO Agencies Right Now?")</f>
        <v>What Are the Best SEO Agencies Right Now?</v>
      </c>
      <c r="C14" s="10" t="str">
        <f>IFERROR(__xludf.DUMMYFUNCTION("""COMPUTED_VALUE"""),"reddit.com")</f>
        <v>reddit.com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IFERROR(__xludf.DUMMYFUNCTION("""COMPUTED_VALUE"""),"Siege Media, Omniscient Digital, First Page Sage, Searchbloom, Intero Digital, iPullRank, Victorious")</f>
        <v>Siege Media, Omniscient Digital, First Page Sage, Searchbloom, Intero Digital, iPullRank, Victorious</v>
      </c>
      <c r="I14" s="11">
        <f>IFERROR(__xludf.DUMMYFUNCTION("""COMPUTED_VALUE"""),2.0)</f>
        <v>2</v>
      </c>
      <c r="J14" s="11">
        <f>IFERROR(__xludf.DUMMYFUNCTION("""COMPUTED_VALUE"""),0.0)</f>
        <v>0</v>
      </c>
      <c r="K14" s="11">
        <f>IFERROR(__xludf.DUMMYFUNCTION("""COMPUTED_VALUE"""),2.0)</f>
        <v>2</v>
      </c>
    </row>
    <row r="15" ht="15.75" customHeight="1">
      <c r="A15" s="10" t="str">
        <f>IFERROR(__xludf.DUMMYFUNCTION("""COMPUTED_VALUE"""),"https://www.reddit.com/r/LLMTraffic/comments/1t44tn7/which_geo_marketing_agencies_are_actually_worth/#:~:text=The%20strategy%20includes%20digital%20PR,designed%20to%20increase%20citation%20probability.")</f>
        <v>https://www.reddit.com/r/LLMTraffic/comments/1t44tn7/which_geo_marketing_agencies_are_actually_worth/#:~:text=The%20strategy%20includes%20digital%20PR,designed%20to%20increase%20citation%20probability.</v>
      </c>
      <c r="B15" s="11" t="str">
        <f>IFERROR(__xludf.DUMMYFUNCTION("""COMPUTED_VALUE"""),"Which ""GEO marketing"" agencies are actually worth talking to?")</f>
        <v>Which "GEO marketing" agencies are actually worth talking to?</v>
      </c>
      <c r="C15" s="10" t="str">
        <f>IFERROR(__xludf.DUMMYFUNCTION("""COMPUTED_VALUE"""),"reddit.com")</f>
        <v>reddit.com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t="str">
        <f>IFERROR(__xludf.DUMMYFUNCTION("""COMPUTED_VALUE"""),"Measured")</f>
        <v>Measured</v>
      </c>
      <c r="I15" s="11">
        <f>IFERROR(__xludf.DUMMYFUNCTION("""COMPUTED_VALUE"""),2.0)</f>
        <v>2</v>
      </c>
      <c r="J15" s="11">
        <f>IFERROR(__xludf.DUMMYFUNCTION("""COMPUTED_VALUE"""),0.0)</f>
        <v>0</v>
      </c>
      <c r="K15" s="11">
        <f>IFERROR(__xludf.DUMMYFUNCTION("""COMPUTED_VALUE"""),1.5)</f>
        <v>1.5</v>
      </c>
    </row>
    <row r="16" ht="15.75" customHeight="1">
      <c r="A16" s="10" t="str">
        <f>IFERROR(__xludf.DUMMYFUNCTION("""COMPUTED_VALUE"""),"https://www.reddit.com/r/SocialMediaMarketing/comments/18gblts/what_are_some_trusted_legit_a_social_media/")</f>
        <v>https://www.reddit.com/r/SocialMediaMarketing/comments/18gblts/what_are_some_trusted_legit_a_social_media/</v>
      </c>
      <c r="B16" s="11" t="str">
        <f>IFERROR(__xludf.DUMMYFUNCTION("""COMPUTED_VALUE"""),"What are some trusted legit A+ social media marketing agencies?")</f>
        <v>What are some trusted legit A+ social media marketing agencies?</v>
      </c>
      <c r="C16" s="10" t="str">
        <f>IFERROR(__xludf.DUMMYFUNCTION("""COMPUTED_VALUE"""),"reddit.com")</f>
        <v>reddit.com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t="str">
        <f>IFERROR(__xludf.DUMMYFUNCTION("""COMPUTED_VALUE"""),"Huge, Sociallyin, LYFE Marketing, KlientBoost")</f>
        <v>Huge, Sociallyin, LYFE Marketing, KlientBoost</v>
      </c>
      <c r="I16" s="11">
        <f>IFERROR(__xludf.DUMMYFUNCTION("""COMPUTED_VALUE"""),2.0)</f>
        <v>2</v>
      </c>
      <c r="J16" s="11">
        <f>IFERROR(__xludf.DUMMYFUNCTION("""COMPUTED_VALUE"""),0.0)</f>
        <v>0</v>
      </c>
      <c r="K16" s="11">
        <f>IFERROR(__xludf.DUMMYFUNCTION("""COMPUTED_VALUE"""),1.0)</f>
        <v>1</v>
      </c>
    </row>
    <row r="17" ht="15.75" customHeight="1">
      <c r="A17" s="10" t="str">
        <f>IFERROR(__xludf.DUMMYFUNCTION("""COMPUTED_VALUE"""),"https://www.reddit.com/r/hiredevelopers_/comments/1n84jms/list_of_best_ai_consulting_companies_in_usa/")</f>
        <v>https://www.reddit.com/r/hiredevelopers_/comments/1n84jms/list_of_best_ai_consulting_companies_in_usa/</v>
      </c>
      <c r="B17" s="11" t="str">
        <f>IFERROR(__xludf.DUMMYFUNCTION("""COMPUTED_VALUE"""),"List of Best Ai consulting companies in USA")</f>
        <v>List of Best Ai consulting companies in USA</v>
      </c>
      <c r="C17" s="10" t="str">
        <f>IFERROR(__xludf.DUMMYFUNCTION("""COMPUTED_VALUE"""),"reddit.com")</f>
        <v>reddit.com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IFERROR(__xludf.DUMMYFUNCTION("""COMPUTED_VALUE"""),"McKinsey, QuantumBlack, Huge, PwC, BCG, Slalom, IBM")</f>
        <v>McKinsey, QuantumBlack, Huge, PwC, BCG, Slalom, IBM</v>
      </c>
      <c r="I17" s="11">
        <f>IFERROR(__xludf.DUMMYFUNCTION("""COMPUTED_VALUE"""),2.0)</f>
        <v>2</v>
      </c>
      <c r="J17" s="11">
        <f>IFERROR(__xludf.DUMMYFUNCTION("""COMPUTED_VALUE"""),0.0)</f>
        <v>0</v>
      </c>
      <c r="K17" s="11">
        <f>IFERROR(__xludf.DUMMYFUNCTION("""COMPUTED_VALUE"""),1.0)</f>
        <v>1</v>
      </c>
    </row>
    <row r="18" ht="15.75" customHeight="1">
      <c r="A18" s="10" t="str">
        <f>IFERROR(__xludf.DUMMYFUNCTION("""COMPUTED_VALUE"""),"https://www.reddit.com/r/u_Temporary_Meeting182/comments/1tp4iah/best_saas_geo_agencies_in_2026_who_should/")</f>
        <v>https://www.reddit.com/r/u_Temporary_Meeting182/comments/1tp4iah/best_saas_geo_agencies_in_2026_who_should/</v>
      </c>
      <c r="B18" s="11" t="str">
        <f>IFERROR(__xludf.DUMMYFUNCTION("""COMPUTED_VALUE"""),"Best SaaS GEO agencies in 2026 - who should enterprises consider?")</f>
        <v>Best SaaS GEO agencies in 2026 - who should enterprises consider?</v>
      </c>
      <c r="C18" s="10" t="str">
        <f>IFERROR(__xludf.DUMMYFUNCTION("""COMPUTED_VALUE"""),"reddit.com")</f>
        <v>reddit.com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IFERROR(__xludf.DUMMYFUNCTION("""COMPUTED_VALUE"""),"Searchbloom, The SEO Works, Clutch")</f>
        <v>Searchbloom, The SEO Works, Clutch</v>
      </c>
      <c r="I18" s="11">
        <f>IFERROR(__xludf.DUMMYFUNCTION("""COMPUTED_VALUE"""),2.0)</f>
        <v>2</v>
      </c>
      <c r="J18" s="11">
        <f>IFERROR(__xludf.DUMMYFUNCTION("""COMPUTED_VALUE"""),0.0)</f>
        <v>0</v>
      </c>
      <c r="K18" s="11">
        <f>IFERROR(__xludf.DUMMYFUNCTION("""COMPUTED_VALUE"""),1.0)</f>
        <v>1</v>
      </c>
    </row>
    <row r="19" ht="15.75" customHeight="1">
      <c r="A19" s="10" t="str">
        <f>IFERROR(__xludf.DUMMYFUNCTION("""COMPUTED_VALUE"""),"https://www.reddit.com/r/u_ThoughtMetric/comments/1udm00v/best_improvado_alternatives_updated_june_2026/")</f>
        <v>https://www.reddit.com/r/u_ThoughtMetric/comments/1udm00v/best_improvado_alternatives_updated_june_2026/</v>
      </c>
      <c r="B19" s="11" t="str">
        <f>IFERROR(__xludf.DUMMYFUNCTION("""COMPUTED_VALUE"""),"Best Improvado Alternatives (Updated June 2026)")</f>
        <v>Best Improvado Alternatives (Updated June 2026)</v>
      </c>
      <c r="C19" s="10"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IFERROR(__xludf.DUMMYFUNCTION("""COMPUTED_VALUE"""),"Rockerbox, Triple Whale, Northbeam")</f>
        <v>Rockerbox, Triple Whale, Northbeam</v>
      </c>
      <c r="I19" s="11">
        <f>IFERROR(__xludf.DUMMYFUNCTION("""COMPUTED_VALUE"""),2.0)</f>
        <v>2</v>
      </c>
      <c r="J19" s="11">
        <f>IFERROR(__xludf.DUMMYFUNCTION("""COMPUTED_VALUE"""),0.0)</f>
        <v>0</v>
      </c>
      <c r="K19" s="11">
        <f>IFERROR(__xludf.DUMMYFUNCTION("""COMPUTED_VALUE"""),2.0)</f>
        <v>2</v>
      </c>
    </row>
    <row r="20" ht="15.75" customHeight="1">
      <c r="A20" s="10" t="str">
        <f>IFERROR(__xludf.DUMMYFUNCTION("""COMPUTED_VALUE"""),"https://www.linkedin.com/posts/clutch-co_bestofclutch-digitalmarketing-webdevelopment-activity-7323717286719090688-G6i3")</f>
        <v>https://www.linkedin.com/posts/clutch-co_bestofclutch-digitalmarketing-webdevelopment-activity-7323717286719090688-G6i3</v>
      </c>
      <c r="B20" s="11" t="str">
        <f>IFERROR(__xludf.DUMMYFUNCTION("""COMPUTED_VALUE"""),"#bestofclutch #digitalmarketing #webdevelopment #webdesign | Clutch | 20 comments")</f>
        <v>#bestofclutch #digitalmarketing #webdevelopment #webdesign | Clutch | 20 comments</v>
      </c>
      <c r="C20" s="10" t="str">
        <f>IFERROR(__xludf.DUMMYFUNCTION("""COMPUTED_VALUE"""),"linkedin.com")</f>
        <v>linkedin.com</v>
      </c>
      <c r="D20" s="11" t="str">
        <f>IFERROR(__xludf.DUMMYFUNCTION("""COMPUTED_VALUE"""),"DISCUSSION")</f>
        <v>DISCUSSION</v>
      </c>
      <c r="E20" s="11" t="str">
        <f>IFERROR(__xludf.DUMMYFUNCTION("""COMPUTED_VALUE"""),"UGC")</f>
        <v>UGC</v>
      </c>
      <c r="F20" s="11" t="str">
        <f>IFERROR(__xludf.DUMMYFUNCTION("""COMPUTED_VALUE"""),"Discussion")</f>
        <v>Discussion</v>
      </c>
      <c r="G20" s="11" t="b">
        <f>IFERROR(__xludf.DUMMYFUNCTION("""COMPUTED_VALUE"""),FALSE)</f>
        <v>0</v>
      </c>
      <c r="H20" s="11" t="str">
        <f>IFERROR(__xludf.DUMMYFUNCTION("""COMPUTED_VALUE"""),"Clutch, Ignite Visibility, Victorious, Huge")</f>
        <v>Clutch, Ignite Visibility, Victorious, Huge</v>
      </c>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IFERROR(__xludf.DUMMYFUNCTION("""COMPUTED_VALUE"""),"https://www.linkedin.com/posts/clutch-co_top-15-ppc-agencies-clutch-global-fall-2025-activity-7421548745084932096-DYA_")</f>
        <v>https://www.linkedin.com/posts/clutch-co_top-15-ppc-agencies-clutch-global-fall-2025-activity-7421548745084932096-DYA_</v>
      </c>
      <c r="B21" s="11" t="str">
        <f>IFERROR(__xludf.DUMMYFUNCTION("""COMPUTED_VALUE"""),"Top 15 PPC Agencies: Clutch Global Fall 2025 | Clutch | 10 comments")</f>
        <v>Top 15 PPC Agencies: Clutch Global Fall 2025 | Clutch | 10 comments</v>
      </c>
      <c r="C21" s="10" t="str">
        <f>IFERROR(__xludf.DUMMYFUNCTION("""COMPUTED_VALUE"""),"linkedin.com")</f>
        <v>linkedin.com</v>
      </c>
      <c r="D21" s="11" t="str">
        <f>IFERROR(__xludf.DUMMYFUNCTION("""COMPUTED_VALUE"""),"DISCUSSION")</f>
        <v>DISCUSSION</v>
      </c>
      <c r="E21" s="11" t="str">
        <f>IFERROR(__xludf.DUMMYFUNCTION("""COMPUTED_VALUE"""),"UGC")</f>
        <v>UGC</v>
      </c>
      <c r="F21" s="11" t="str">
        <f>IFERROR(__xludf.DUMMYFUNCTION("""COMPUTED_VALUE"""),"Discussion")</f>
        <v>Discussion</v>
      </c>
      <c r="G21" s="11" t="b">
        <f>IFERROR(__xludf.DUMMYFUNCTION("""COMPUTED_VALUE"""),FALSE)</f>
        <v>0</v>
      </c>
      <c r="H21" s="11" t="str">
        <f>IFERROR(__xludf.DUMMYFUNCTION("""COMPUTED_VALUE"""),"Clutch, KlientBoost, Disruptive Advertising, AdVenture Media, HawkSEM, Elit-Web, SmartSites")</f>
        <v>Clutch, KlientBoost, Disruptive Advertising, AdVenture Media, HawkSEM, Elit-Web, SmartSites</v>
      </c>
      <c r="I21" s="11">
        <f>IFERROR(__xludf.DUMMYFUNCTION("""COMPUTED_VALUE"""),1.0)</f>
        <v>1</v>
      </c>
      <c r="J21" s="11">
        <f>IFERROR(__xludf.DUMMYFUNCTION("""COMPUTED_VALUE"""),0.0)</f>
        <v>0</v>
      </c>
      <c r="K21" s="11">
        <f>IFERROR(__xludf.DUMMYFUNCTION("""COMPUTED_VALUE"""),0.0)</f>
        <v>0</v>
      </c>
    </row>
    <row r="22" ht="15.75" customHeight="1">
      <c r="A22" s="10" t="str">
        <f>IFERROR(__xludf.DUMMYFUNCTION("""COMPUTED_VALUE"""),"https://www.quora.com/What-are-some-AI-SEO-agencies")</f>
        <v>https://www.quora.com/What-are-some-AI-SEO-agencies</v>
      </c>
      <c r="B22" s="11" t="str">
        <f>IFERROR(__xludf.DUMMYFUNCTION("""COMPUTED_VALUE"""),"What are some AI SEO agencies? - Quora")</f>
        <v>What are some AI SEO agencies? - Quora</v>
      </c>
      <c r="C22" s="10" t="str">
        <f>IFERROR(__xludf.DUMMYFUNCTION("""COMPUTED_VALUE"""),"quora.com")</f>
        <v>quora.com</v>
      </c>
      <c r="D22" s="11" t="str">
        <f>IFERROR(__xludf.DUMMYFUNCTION("""COMPUTED_VALUE"""),"DISCUSSION")</f>
        <v>DISCUSSION</v>
      </c>
      <c r="E22" s="11" t="str">
        <f>IFERROR(__xludf.DUMMYFUNCTION("""COMPUTED_VALUE"""),"UGC")</f>
        <v>UGC</v>
      </c>
      <c r="F22" s="11" t="str">
        <f>IFERROR(__xludf.DUMMYFUNCTION("""COMPUTED_VALUE"""),"Discussion")</f>
        <v>Discussion</v>
      </c>
      <c r="G22" s="11" t="b">
        <f>IFERROR(__xludf.DUMMYFUNCTION("""COMPUTED_VALUE"""),FALSE)</f>
        <v>0</v>
      </c>
      <c r="H22" s="11" t="str">
        <f>IFERROR(__xludf.DUMMYFUNCTION("""COMPUTED_VALUE"""),"NP Digital, Directive, Victorious, Single Grain, Siege Media")</f>
        <v>NP Digital, Directive, Victorious, Single Grain, Siege Media</v>
      </c>
      <c r="I22" s="11">
        <f>IFERROR(__xludf.DUMMYFUNCTION("""COMPUTED_VALUE"""),1.0)</f>
        <v>1</v>
      </c>
      <c r="J22" s="11">
        <f>IFERROR(__xludf.DUMMYFUNCTION("""COMPUTED_VALUE"""),0.0)</f>
        <v>0</v>
      </c>
      <c r="K22" s="11">
        <f>IFERROR(__xludf.DUMMYFUNCTION("""COMPUTED_VALUE"""),1.0)</f>
        <v>1</v>
      </c>
    </row>
    <row r="23" ht="15.75" customHeight="1">
      <c r="A23" s="10" t="str">
        <f>IFERROR(__xludf.DUMMYFUNCTION("""COMPUTED_VALUE"""),"https://www.reddit.com/r/Agentic_Marketing/comments/1ue8msc/top_ai_consulting_firms_in_the_usa_driving/")</f>
        <v>https://www.reddit.com/r/Agentic_Marketing/comments/1ue8msc/top_ai_consulting_firms_in_the_usa_driving/</v>
      </c>
      <c r="B23" s="11" t="str">
        <f>IFERROR(__xludf.DUMMYFUNCTION("""COMPUTED_VALUE"""),"Top AI Consulting Firms in the USA: Driving Innovation and Business Transformation in 2026")</f>
        <v>Top AI Consulting Firms in the USA: Driving Innovation and Business Transformation in 2026</v>
      </c>
      <c r="C23" s="10" t="str">
        <f>IFERROR(__xludf.DUMMYFUNCTION("""COMPUTED_VALUE"""),"reddit.com")</f>
        <v>reddit.com</v>
      </c>
      <c r="D23" s="11" t="str">
        <f>IFERROR(__xludf.DUMMYFUNCTION("""COMPUTED_VALUE"""),"DISCUSSION")</f>
        <v>DISCUSSION</v>
      </c>
      <c r="E23" s="11" t="str">
        <f>IFERROR(__xludf.DUMMYFUNCTION("""COMPUTED_VALUE"""),"UGC")</f>
        <v>UGC</v>
      </c>
      <c r="F23" s="11" t="str">
        <f>IFERROR(__xludf.DUMMYFUNCTION("""COMPUTED_VALUE"""),"Discussion")</f>
        <v>Discussion</v>
      </c>
      <c r="G23" s="11"/>
      <c r="H23" s="11" t="str">
        <f>IFERROR(__xludf.DUMMYFUNCTION("""COMPUTED_VALUE"""),"Unknown")</f>
        <v>Unknown</v>
      </c>
      <c r="I23" s="11">
        <f>IFERROR(__xludf.DUMMYFUNCTION("""COMPUTED_VALUE"""),1.0)</f>
        <v>1</v>
      </c>
      <c r="J23" s="11">
        <f>IFERROR(__xludf.DUMMYFUNCTION("""COMPUTED_VALUE"""),0.0)</f>
        <v>0</v>
      </c>
      <c r="K23" s="11">
        <f>IFERROR(__xludf.DUMMYFUNCTION("""COMPUTED_VALUE"""),0.0)</f>
        <v>0</v>
      </c>
    </row>
    <row r="24" ht="15.75" customHeight="1">
      <c r="A24" s="10" t="str">
        <f>IFERROR(__xludf.DUMMYFUNCTION("""COMPUTED_VALUE"""),"https://www.reddit.com/r/AskMarketing/comments/1jwyn6z/a_client_is_looking_for_a_cheaper_incrementality/")</f>
        <v>https://www.reddit.com/r/AskMarketing/comments/1jwyn6z/a_client_is_looking_for_a_cheaper_incrementality/</v>
      </c>
      <c r="B24" s="11" t="str">
        <f>IFERROR(__xludf.DUMMYFUNCTION("""COMPUTED_VALUE"""),"A client is looking for a cheaper incrementality testing alternative.")</f>
        <v>A client is looking for a cheaper incrementality testing alternative.</v>
      </c>
      <c r="C24" s="10" t="str">
        <f>IFERROR(__xludf.DUMMYFUNCTION("""COMPUTED_VALUE"""),"reddit.com")</f>
        <v>reddit.com</v>
      </c>
      <c r="D24" s="11" t="str">
        <f>IFERROR(__xludf.DUMMYFUNCTION("""COMPUTED_VALUE"""),"DISCUSSION")</f>
        <v>DISCUSSION</v>
      </c>
      <c r="E24" s="11" t="str">
        <f>IFERROR(__xludf.DUMMYFUNCTION("""COMPUTED_VALUE"""),"UGC")</f>
        <v>UGC</v>
      </c>
      <c r="F24" s="11" t="str">
        <f>IFERROR(__xludf.DUMMYFUNCTION("""COMPUTED_VALUE"""),"Discussion")</f>
        <v>Discussion</v>
      </c>
      <c r="G24" s="11" t="b">
        <f>IFERROR(__xludf.DUMMYFUNCTION("""COMPUTED_VALUE"""),FALSE)</f>
        <v>0</v>
      </c>
      <c r="H24" s="11" t="str">
        <f>IFERROR(__xludf.DUMMYFUNCTION("""COMPUTED_VALUE"""),"Measured, Haus, LifeSight, INCRMNTAL, Huge, Northbeam, LiftLab")</f>
        <v>Measured, Haus, LifeSight, INCRMNTAL, Huge, Northbeam, LiftLab</v>
      </c>
      <c r="I24" s="11">
        <f>IFERROR(__xludf.DUMMYFUNCTION("""COMPUTED_VALUE"""),1.0)</f>
        <v>1</v>
      </c>
      <c r="J24" s="11">
        <f>IFERROR(__xludf.DUMMYFUNCTION("""COMPUTED_VALUE"""),0.0)</f>
        <v>0</v>
      </c>
      <c r="K24" s="11">
        <f>IFERROR(__xludf.DUMMYFUNCTION("""COMPUTED_VALUE"""),2.0)</f>
        <v>2</v>
      </c>
    </row>
    <row r="25" ht="15.75" customHeight="1">
      <c r="A25" s="10" t="str">
        <f>IFERROR(__xludf.DUMMYFUNCTION("""COMPUTED_VALUE"""),"https://www.reddit.com/r/DigitalMarketing/comments/1rwxybs/which_agencies_are_actually_wellknown_worldwide/")</f>
        <v>https://www.reddit.com/r/DigitalMarketing/comments/1rwxybs/which_agencies_are_actually_wellknown_worldwide/</v>
      </c>
      <c r="B25" s="11" t="str">
        <f>IFERROR(__xludf.DUMMYFUNCTION("""COMPUTED_VALUE"""),"Which agencies are actually well-known worldwide right now")</f>
        <v>Which agencies are actually well-known worldwide right now</v>
      </c>
      <c r="C25" s="10" t="str">
        <f>IFERROR(__xludf.DUMMYFUNCTION("""COMPUTED_VALUE"""),"reddit.com")</f>
        <v>reddit.com</v>
      </c>
      <c r="D25" s="11" t="str">
        <f>IFERROR(__xludf.DUMMYFUNCTION("""COMPUTED_VALUE"""),"DISCUSSION")</f>
        <v>DISCUSSION</v>
      </c>
      <c r="E25" s="11" t="str">
        <f>IFERROR(__xludf.DUMMYFUNCTION("""COMPUTED_VALUE"""),"UGC")</f>
        <v>UGC</v>
      </c>
      <c r="F25" s="11" t="str">
        <f>IFERROR(__xludf.DUMMYFUNCTION("""COMPUTED_VALUE"""),"Discussion")</f>
        <v>Discussion</v>
      </c>
      <c r="G25" s="11" t="b">
        <f>IFERROR(__xludf.DUMMYFUNCTION("""COMPUTED_VALUE"""),FALSE)</f>
        <v>0</v>
      </c>
      <c r="H25" s="11"/>
      <c r="I25" s="11">
        <f>IFERROR(__xludf.DUMMYFUNCTION("""COMPUTED_VALUE"""),1.0)</f>
        <v>1</v>
      </c>
      <c r="J25" s="11">
        <f>IFERROR(__xludf.DUMMYFUNCTION("""COMPUTED_VALUE"""),0.0)</f>
        <v>0</v>
      </c>
      <c r="K25" s="11">
        <f>IFERROR(__xludf.DUMMYFUNCTION("""COMPUTED_VALUE"""),1.0)</f>
        <v>1</v>
      </c>
    </row>
    <row r="26" ht="15.75" customHeight="1">
      <c r="A26" s="10" t="str">
        <f>IFERROR(__xludf.DUMMYFUNCTION("""COMPUTED_VALUE"""),"https://www.reddit.com/r/DigitalMarketing/comments/1tdfcjb/every_seo_agency_now_lists_ai_search_optimization/")</f>
        <v>https://www.reddit.com/r/DigitalMarketing/comments/1tdfcjb/every_seo_agency_now_lists_ai_search_optimization/</v>
      </c>
      <c r="B26" s="11" t="str">
        <f>IFERROR(__xludf.DUMMYFUNCTION("""COMPUTED_VALUE"""),"Every SEO agency now lists AI search optimization. Most are describing the wrong thing.")</f>
        <v>Every SEO agency now lists AI search optimization. Most are describing the wrong thing.</v>
      </c>
      <c r="C26" s="10" t="str">
        <f>IFERROR(__xludf.DUMMYFUNCTION("""COMPUTED_VALUE"""),"reddit.com")</f>
        <v>reddit.com</v>
      </c>
      <c r="D26" s="11" t="str">
        <f>IFERROR(__xludf.DUMMYFUNCTION("""COMPUTED_VALUE"""),"DISCUSSION")</f>
        <v>DISCUSSION</v>
      </c>
      <c r="E26" s="11" t="str">
        <f>IFERROR(__xludf.DUMMYFUNCTION("""COMPUTED_VALUE"""),"UGC")</f>
        <v>UGC</v>
      </c>
      <c r="F26" s="11" t="str">
        <f>IFERROR(__xludf.DUMMYFUNCTION("""COMPUTED_VALUE"""),"Discussion")</f>
        <v>Discussion</v>
      </c>
      <c r="G26" s="11" t="b">
        <f>IFERROR(__xludf.DUMMYFUNCTION("""COMPUTED_VALUE"""),FALSE)</f>
        <v>0</v>
      </c>
      <c r="H26" s="11" t="str">
        <f>IFERROR(__xludf.DUMMYFUNCTION("""COMPUTED_VALUE"""),"Anomaly")</f>
        <v>Anomaly</v>
      </c>
      <c r="I26" s="11">
        <f>IFERROR(__xludf.DUMMYFUNCTION("""COMPUTED_VALUE"""),1.0)</f>
        <v>1</v>
      </c>
      <c r="J26" s="11">
        <f>IFERROR(__xludf.DUMMYFUNCTION("""COMPUTED_VALUE"""),0.0)</f>
        <v>0</v>
      </c>
      <c r="K26" s="11">
        <f>IFERROR(__xludf.DUMMYFUNCTION("""COMPUTED_VALUE"""),2.0)</f>
        <v>2</v>
      </c>
    </row>
    <row r="27" ht="15.75" customHeight="1">
      <c r="A27" s="10" t="str">
        <f>IFERROR(__xludf.DUMMYFUNCTION("""COMPUTED_VALUE"""),"https://www.reddit.com/r/DigitalMarketing/comments/1tpb0sw/mmm_tools_for_50k200kmo_ad_spend_brands_recast_vs/")</f>
        <v>https://www.reddit.com/r/DigitalMarketing/comments/1tpb0sw/mmm_tools_for_50k200kmo_ad_spend_brands_recast_vs/</v>
      </c>
      <c r="B27" s="11" t="str">
        <f>IFERROR(__xludf.DUMMYFUNCTION("""COMPUTED_VALUE"""),"MMM tools for $50K-$200K/mo ad spend brands. Recast vs Lifesight vs in-house. real-world experience?")</f>
        <v>MMM tools for $50K-$200K/mo ad spend brands. Recast vs Lifesight vs in-house. real-world experience?</v>
      </c>
      <c r="C27" s="10" t="str">
        <f>IFERROR(__xludf.DUMMYFUNCTION("""COMPUTED_VALUE"""),"reddit.com")</f>
        <v>reddit.com</v>
      </c>
      <c r="D27" s="11" t="str">
        <f>IFERROR(__xludf.DUMMYFUNCTION("""COMPUTED_VALUE"""),"DISCUSSION")</f>
        <v>DISCUSSION</v>
      </c>
      <c r="E27" s="11" t="str">
        <f>IFERROR(__xludf.DUMMYFUNCTION("""COMPUTED_VALUE"""),"UGC")</f>
        <v>UGC</v>
      </c>
      <c r="F27" s="11" t="str">
        <f>IFERROR(__xludf.DUMMYFUNCTION("""COMPUTED_VALUE"""),"Discussion")</f>
        <v>Discussion</v>
      </c>
      <c r="G27" s="11" t="b">
        <f>IFERROR(__xludf.DUMMYFUNCTION("""COMPUTED_VALUE"""),FALSE)</f>
        <v>0</v>
      </c>
      <c r="H27" s="11" t="str">
        <f>IFERROR(__xludf.DUMMYFUNCTION("""COMPUTED_VALUE"""),"Recast, LifeSight")</f>
        <v>Recast, LifeSight</v>
      </c>
      <c r="I27" s="11">
        <f>IFERROR(__xludf.DUMMYFUNCTION("""COMPUTED_VALUE"""),1.0)</f>
        <v>1</v>
      </c>
      <c r="J27" s="11">
        <f>IFERROR(__xludf.DUMMYFUNCTION("""COMPUTED_VALUE"""),0.0)</f>
        <v>0</v>
      </c>
      <c r="K27" s="11">
        <f>IFERROR(__xludf.DUMMYFUNCTION("""COMPUTED_VALUE"""),2.0)</f>
        <v>2</v>
      </c>
    </row>
    <row r="28" ht="15.75" customHeight="1">
      <c r="A28" s="10" t="str">
        <f>IFERROR(__xludf.DUMMYFUNCTION("""COMPUTED_VALUE"""),"https://www.reddit.com/r/FacebookAds/comments/1nhohty/meta_insights_based_on_640_incrementality_tests/")</f>
        <v>https://www.reddit.com/r/FacebookAds/comments/1nhohty/meta_insights_based_on_640_incrementality_tests/</v>
      </c>
      <c r="B28" s="11" t="str">
        <f>IFERROR(__xludf.DUMMYFUNCTION("""COMPUTED_VALUE"""),"Meta Insights based on 640 Incrementality Tests")</f>
        <v>Meta Insights based on 640 Incrementality Tests</v>
      </c>
      <c r="C28" s="10" t="str">
        <f>IFERROR(__xludf.DUMMYFUNCTION("""COMPUTED_VALUE"""),"reddit.com")</f>
        <v>reddit.com</v>
      </c>
      <c r="D28" s="11" t="str">
        <f>IFERROR(__xludf.DUMMYFUNCTION("""COMPUTED_VALUE"""),"DISCUSSION")</f>
        <v>DISCUSSION</v>
      </c>
      <c r="E28" s="11" t="str">
        <f>IFERROR(__xludf.DUMMYFUNCTION("""COMPUTED_VALUE"""),"UGC")</f>
        <v>UGC</v>
      </c>
      <c r="F28" s="11" t="str">
        <f>IFERROR(__xludf.DUMMYFUNCTION("""COMPUTED_VALUE"""),"Discussion")</f>
        <v>Discussion</v>
      </c>
      <c r="G28" s="11" t="b">
        <f>IFERROR(__xludf.DUMMYFUNCTION("""COMPUTED_VALUE"""),FALSE)</f>
        <v>0</v>
      </c>
      <c r="H28" s="11" t="str">
        <f>IFERROR(__xludf.DUMMYFUNCTION("""COMPUTED_VALUE"""),"Haus, Huge")</f>
        <v>Haus, Huge</v>
      </c>
      <c r="I28" s="11">
        <f>IFERROR(__xludf.DUMMYFUNCTION("""COMPUTED_VALUE"""),1.0)</f>
        <v>1</v>
      </c>
      <c r="J28" s="11">
        <f>IFERROR(__xludf.DUMMYFUNCTION("""COMPUTED_VALUE"""),0.0)</f>
        <v>0</v>
      </c>
      <c r="K28" s="11">
        <f>IFERROR(__xludf.DUMMYFUNCTION("""COMPUTED_VALUE"""),3.0)</f>
        <v>3</v>
      </c>
    </row>
    <row r="29" ht="15.75" customHeight="1">
      <c r="A29" s="10" t="str">
        <f>IFERROR(__xludf.DUMMYFUNCTION("""COMPUTED_VALUE"""),"https://www.reddit.com/r/GenEngineOptimization/comments/1qab4rt/what_are_the_top_geo_agencies_and_what_softwares/")</f>
        <v>https://www.reddit.com/r/GenEngineOptimization/comments/1qab4rt/what_are_the_top_geo_agencies_and_what_softwares/</v>
      </c>
      <c r="B29" s="11" t="str">
        <f>IFERROR(__xludf.DUMMYFUNCTION("""COMPUTED_VALUE"""),"What are the top GEO Agencies and what softwares are they using?")</f>
        <v>What are the top GEO Agencies and what softwares are they using?</v>
      </c>
      <c r="C29" s="10" t="str">
        <f>IFERROR(__xludf.DUMMYFUNCTION("""COMPUTED_VALUE"""),"reddit.com")</f>
        <v>reddit.com</v>
      </c>
      <c r="D29" s="11" t="str">
        <f>IFERROR(__xludf.DUMMYFUNCTION("""COMPUTED_VALUE"""),"DISCUSSION")</f>
        <v>DISCUSSION</v>
      </c>
      <c r="E29" s="11" t="str">
        <f>IFERROR(__xludf.DUMMYFUNCTION("""COMPUTED_VALUE"""),"UGC")</f>
        <v>UGC</v>
      </c>
      <c r="F29" s="11" t="str">
        <f>IFERROR(__xludf.DUMMYFUNCTION("""COMPUTED_VALUE"""),"Discussion")</f>
        <v>Discussion</v>
      </c>
      <c r="G29" s="11" t="b">
        <f>IFERROR(__xludf.DUMMYFUNCTION("""COMPUTED_VALUE"""),FALSE)</f>
        <v>0</v>
      </c>
      <c r="H29" s="11"/>
      <c r="I29" s="11">
        <f>IFERROR(__xludf.DUMMYFUNCTION("""COMPUTED_VALUE"""),1.0)</f>
        <v>1</v>
      </c>
      <c r="J29" s="11">
        <f>IFERROR(__xludf.DUMMYFUNCTION("""COMPUTED_VALUE"""),0.0)</f>
        <v>0</v>
      </c>
      <c r="K29" s="11">
        <f>IFERROR(__xludf.DUMMYFUNCTION("""COMPUTED_VALUE"""),1.0)</f>
        <v>1</v>
      </c>
    </row>
    <row r="30" ht="15.75" customHeight="1">
      <c r="A30" s="10" t="str">
        <f>IFERROR(__xludf.DUMMYFUNCTION("""COMPUTED_VALUE"""),"https://www.reddit.com/r/GrowthHacking/comments/1rri9ch/searching_for_10_ai_visibility_agency_brands_are/")</f>
        <v>https://www.reddit.com/r/GrowthHacking/comments/1rri9ch/searching_for_10_ai_visibility_agency_brands_are/</v>
      </c>
      <c r="B30" s="11" t="str">
        <f>IFERROR(__xludf.DUMMYFUNCTION("""COMPUTED_VALUE"""),"Searching for 10 AI visibility agency brands are talking about right now?")</f>
        <v>Searching for 10 AI visibility agency brands are talking about right now?</v>
      </c>
      <c r="C30" s="10" t="str">
        <f>IFERROR(__xludf.DUMMYFUNCTION("""COMPUTED_VALUE"""),"reddit.com")</f>
        <v>reddit.com</v>
      </c>
      <c r="D30" s="11" t="str">
        <f>IFERROR(__xludf.DUMMYFUNCTION("""COMPUTED_VALUE"""),"DISCUSSION")</f>
        <v>DISCUSSION</v>
      </c>
      <c r="E30" s="11" t="str">
        <f>IFERROR(__xludf.DUMMYFUNCTION("""COMPUTED_VALUE"""),"UGC")</f>
        <v>UGC</v>
      </c>
      <c r="F30" s="11" t="str">
        <f>IFERROR(__xludf.DUMMYFUNCTION("""COMPUTED_VALUE"""),"Discussion")</f>
        <v>Discussion</v>
      </c>
      <c r="G30" s="11" t="b">
        <f>IFERROR(__xludf.DUMMYFUNCTION("""COMPUTED_VALUE"""),FALSE)</f>
        <v>0</v>
      </c>
      <c r="H30" s="11"/>
      <c r="I30" s="11">
        <f>IFERROR(__xludf.DUMMYFUNCTION("""COMPUTED_VALUE"""),1.0)</f>
        <v>1</v>
      </c>
      <c r="J30" s="11">
        <f>IFERROR(__xludf.DUMMYFUNCTION("""COMPUTED_VALUE"""),0.0)</f>
        <v>0</v>
      </c>
      <c r="K30" s="11">
        <f>IFERROR(__xludf.DUMMYFUNCTION("""COMPUTED_VALUE"""),0.0)</f>
        <v>0</v>
      </c>
    </row>
    <row r="31" ht="15.75" customHeight="1">
      <c r="A31" s="10" t="str">
        <f>IFERROR(__xludf.DUMMYFUNCTION("""COMPUTED_VALUE"""),"https://www.reddit.com/r/SaaS/comments/1rd9bem/whats_the_best_marketing_agency_youve_worked_with/")</f>
        <v>https://www.reddit.com/r/SaaS/comments/1rd9bem/whats_the_best_marketing_agency_youve_worked_with/</v>
      </c>
      <c r="B31" s="11" t="str">
        <f>IFERROR(__xludf.DUMMYFUNCTION("""COMPUTED_VALUE"""),"What’s the best marketing agency you’ve worked with, and what did they actually do well?")</f>
        <v>What’s the best marketing agency you’ve worked with, and what did they actually do well?</v>
      </c>
      <c r="C31" s="10" t="str">
        <f>IFERROR(__xludf.DUMMYFUNCTION("""COMPUTED_VALUE"""),"reddit.com")</f>
        <v>reddit.com</v>
      </c>
      <c r="D31" s="11" t="str">
        <f>IFERROR(__xludf.DUMMYFUNCTION("""COMPUTED_VALUE"""),"DISCUSSION")</f>
        <v>DISCUSSION</v>
      </c>
      <c r="E31" s="11" t="str">
        <f>IFERROR(__xludf.DUMMYFUNCTION("""COMPUTED_VALUE"""),"UGC")</f>
        <v>UGC</v>
      </c>
      <c r="F31" s="11" t="str">
        <f>IFERROR(__xludf.DUMMYFUNCTION("""COMPUTED_VALUE"""),"Discussion")</f>
        <v>Discussion</v>
      </c>
      <c r="G31" s="11" t="b">
        <f>IFERROR(__xludf.DUMMYFUNCTION("""COMPUTED_VALUE"""),FALSE)</f>
        <v>0</v>
      </c>
      <c r="H31" s="11" t="str">
        <f>IFERROR(__xludf.DUMMYFUNCTION("""COMPUTED_VALUE"""),"Measured, Huge, Animalz")</f>
        <v>Measured, Huge, Animalz</v>
      </c>
      <c r="I31" s="11">
        <f>IFERROR(__xludf.DUMMYFUNCTION("""COMPUTED_VALUE"""),1.0)</f>
        <v>1</v>
      </c>
      <c r="J31" s="11">
        <f>IFERROR(__xludf.DUMMYFUNCTION("""COMPUTED_VALUE"""),0.0)</f>
        <v>0</v>
      </c>
      <c r="K31" s="11">
        <f>IFERROR(__xludf.DUMMYFUNCTION("""COMPUTED_VALUE"""),1.0)</f>
        <v>1</v>
      </c>
    </row>
    <row r="32" ht="15.75" customHeight="1">
      <c r="A32" s="10" t="str">
        <f>IFERROR(__xludf.DUMMYFUNCTION("""COMPUTED_VALUE"""),"https://www.reddit.com/r/TheTopAgencies/comments/1m6imy5/the_best_digital_marketing_agencies_in_seattle/")</f>
        <v>https://www.reddit.com/r/TheTopAgencies/comments/1m6imy5/the_best_digital_marketing_agencies_in_seattle/</v>
      </c>
      <c r="B32" s="11" t="str">
        <f>IFERROR(__xludf.DUMMYFUNCTION("""COMPUTED_VALUE"""),"The Best Digital Marketing Agencies in Seattle")</f>
        <v>The Best Digital Marketing Agencies in Seattle</v>
      </c>
      <c r="C32" s="10" t="str">
        <f>IFERROR(__xludf.DUMMYFUNCTION("""COMPUTED_VALUE"""),"reddit.com")</f>
        <v>reddit.com</v>
      </c>
      <c r="D32" s="11" t="str">
        <f>IFERROR(__xludf.DUMMYFUNCTION("""COMPUTED_VALUE"""),"DISCUSSION")</f>
        <v>DISCUSSION</v>
      </c>
      <c r="E32" s="11" t="str">
        <f>IFERROR(__xludf.DUMMYFUNCTION("""COMPUTED_VALUE"""),"UGC")</f>
        <v>UGC</v>
      </c>
      <c r="F32" s="11" t="str">
        <f>IFERROR(__xludf.DUMMYFUNCTION("""COMPUTED_VALUE"""),"Discussion")</f>
        <v>Discussion</v>
      </c>
      <c r="G32" s="11" t="b">
        <f>IFERROR(__xludf.DUMMYFUNCTION("""COMPUTED_VALUE"""),FALSE)</f>
        <v>0</v>
      </c>
      <c r="H32" s="11" t="str">
        <f>IFERROR(__xludf.DUMMYFUNCTION("""COMPUTED_VALUE"""),"Thrive Internet Marketing Agency, Brainlabs, NoGood")</f>
        <v>Thrive Internet Marketing Agency, Brainlabs, NoGood</v>
      </c>
      <c r="I32" s="11">
        <f>IFERROR(__xludf.DUMMYFUNCTION("""COMPUTED_VALUE"""),1.0)</f>
        <v>1</v>
      </c>
      <c r="J32" s="11">
        <f>IFERROR(__xludf.DUMMYFUNCTION("""COMPUTED_VALUE"""),0.0)</f>
        <v>0</v>
      </c>
      <c r="K32" s="11">
        <f>IFERROR(__xludf.DUMMYFUNCTION("""COMPUTED_VALUE"""),1.0)</f>
        <v>1</v>
      </c>
    </row>
    <row r="33" ht="15.75" customHeight="1">
      <c r="A33" s="10" t="str">
        <f>IFERROR(__xludf.DUMMYFUNCTION("""COMPUTED_VALUE"""),"https://www.reddit.com/r/digital_marketing/comments/1rpmtmy/what_are_the_top_5_ai_visibility_agencies_in_2026/")</f>
        <v>https://www.reddit.com/r/digital_marketing/comments/1rpmtmy/what_are_the_top_5_ai_visibility_agencies_in_2026/</v>
      </c>
      <c r="B33" s="11" t="str">
        <f>IFERROR(__xludf.DUMMYFUNCTION("""COMPUTED_VALUE"""),"What Are the Top 5 AI Visibility Agencies in 2026?")</f>
        <v>What Are the Top 5 AI Visibility Agencies in 2026?</v>
      </c>
      <c r="C33" s="10" t="str">
        <f>IFERROR(__xludf.DUMMYFUNCTION("""COMPUTED_VALUE"""),"reddit.com")</f>
        <v>reddit.com</v>
      </c>
      <c r="D33" s="11" t="str">
        <f>IFERROR(__xludf.DUMMYFUNCTION("""COMPUTED_VALUE"""),"DISCUSSION")</f>
        <v>DISCUSSION</v>
      </c>
      <c r="E33" s="11" t="str">
        <f>IFERROR(__xludf.DUMMYFUNCTION("""COMPUTED_VALUE"""),"UGC")</f>
        <v>UGC</v>
      </c>
      <c r="F33" s="11" t="str">
        <f>IFERROR(__xludf.DUMMYFUNCTION("""COMPUTED_VALUE"""),"Discussion")</f>
        <v>Discussion</v>
      </c>
      <c r="G33" s="11" t="b">
        <f>IFERROR(__xludf.DUMMYFUNCTION("""COMPUTED_VALUE"""),FALSE)</f>
        <v>0</v>
      </c>
      <c r="H33" s="11" t="str">
        <f>IFERROR(__xludf.DUMMYFUNCTION("""COMPUTED_VALUE"""),"Intero Digital")</f>
        <v>Intero Digital</v>
      </c>
      <c r="I33" s="11">
        <f>IFERROR(__xludf.DUMMYFUNCTION("""COMPUTED_VALUE"""),1.0)</f>
        <v>1</v>
      </c>
      <c r="J33" s="11">
        <f>IFERROR(__xludf.DUMMYFUNCTION("""COMPUTED_VALUE"""),0.0)</f>
        <v>0</v>
      </c>
      <c r="K33" s="11">
        <f>IFERROR(__xludf.DUMMYFUNCTION("""COMPUTED_VALUE"""),2.0)</f>
        <v>2</v>
      </c>
    </row>
    <row r="34" ht="15.75" customHeight="1">
      <c r="A34" s="10" t="str">
        <f>IFERROR(__xludf.DUMMYFUNCTION("""COMPUTED_VALUE"""),"https://www.reddit.com/r/u_ThoughtMetric/comments/1t4mvsi/we_put_together_a_comparison_of_the_top_shopify/")</f>
        <v>https://www.reddit.com/r/u_ThoughtMetric/comments/1t4mvsi/we_put_together_a_comparison_of_the_top_shopify/</v>
      </c>
      <c r="B34" s="11" t="str">
        <f>IFERROR(__xludf.DUMMYFUNCTION("""COMPUTED_VALUE"""),"We put together a comparison of the top Shopify attribution tools (features, pricing, and who they fit)")</f>
        <v>We put together a comparison of the top Shopify attribution tools (features, pricing, and who they fit)</v>
      </c>
      <c r="C34" s="10" t="str">
        <f>IFERROR(__xludf.DUMMYFUNCTION("""COMPUTED_VALUE"""),"reddit.com")</f>
        <v>reddit.com</v>
      </c>
      <c r="D34" s="11" t="str">
        <f>IFERROR(__xludf.DUMMYFUNCTION("""COMPUTED_VALUE"""),"DISCUSSION")</f>
        <v>DISCUSSION</v>
      </c>
      <c r="E34" s="11" t="str">
        <f>IFERROR(__xludf.DUMMYFUNCTION("""COMPUTED_VALUE"""),"UGC")</f>
        <v>UGC</v>
      </c>
      <c r="F34" s="11" t="str">
        <f>IFERROR(__xludf.DUMMYFUNCTION("""COMPUTED_VALUE"""),"Discussion")</f>
        <v>Discussion</v>
      </c>
      <c r="G34" s="11" t="b">
        <f>IFERROR(__xludf.DUMMYFUNCTION("""COMPUTED_VALUE"""),FALSE)</f>
        <v>0</v>
      </c>
      <c r="H34" s="11" t="str">
        <f>IFERROR(__xludf.DUMMYFUNCTION("""COMPUTED_VALUE"""),"Rockerbox, Triple Whale, Northbeam")</f>
        <v>Rockerbox, Triple Whale, Northbeam</v>
      </c>
      <c r="I34" s="11">
        <f>IFERROR(__xludf.DUMMYFUNCTION("""COMPUTED_VALUE"""),1.0)</f>
        <v>1</v>
      </c>
      <c r="J34" s="11">
        <f>IFERROR(__xludf.DUMMYFUNCTION("""COMPUTED_VALUE"""),0.0)</f>
        <v>0</v>
      </c>
      <c r="K34" s="11">
        <f>IFERROR(__xludf.DUMMYFUNCTION("""COMPUTED_VALUE"""),2.0)</f>
        <v>2</v>
      </c>
    </row>
    <row r="35" ht="15.75" customHeight="1">
      <c r="A35" s="10" t="str">
        <f>IFERROR(__xludf.DUMMYFUNCTION("""COMPUTED_VALUE"""),"https://www.reddit.com/r/u_ThoughtMetric/comments/1tdbr6w/top_hyros_alternatives_updated_may_2026/")</f>
        <v>https://www.reddit.com/r/u_ThoughtMetric/comments/1tdbr6w/top_hyros_alternatives_updated_may_2026/</v>
      </c>
      <c r="B35" s="11" t="str">
        <f>IFERROR(__xludf.DUMMYFUNCTION("""COMPUTED_VALUE"""),"Top Hyros alternatives (updated May 2026)")</f>
        <v>Top Hyros alternatives (updated May 2026)</v>
      </c>
      <c r="C35" s="10" t="str">
        <f>IFERROR(__xludf.DUMMYFUNCTION("""COMPUTED_VALUE"""),"reddit.com")</f>
        <v>reddit.com</v>
      </c>
      <c r="D35" s="11" t="str">
        <f>IFERROR(__xludf.DUMMYFUNCTION("""COMPUTED_VALUE"""),"DISCUSSION")</f>
        <v>DISCUSSION</v>
      </c>
      <c r="E35" s="11" t="str">
        <f>IFERROR(__xludf.DUMMYFUNCTION("""COMPUTED_VALUE"""),"UGC")</f>
        <v>UGC</v>
      </c>
      <c r="F35" s="11" t="str">
        <f>IFERROR(__xludf.DUMMYFUNCTION("""COMPUTED_VALUE"""),"Discussion")</f>
        <v>Discussion</v>
      </c>
      <c r="G35" s="11" t="b">
        <f>IFERROR(__xludf.DUMMYFUNCTION("""COMPUTED_VALUE"""),FALSE)</f>
        <v>0</v>
      </c>
      <c r="H35" s="11" t="str">
        <f>IFERROR(__xludf.DUMMYFUNCTION("""COMPUTED_VALUE"""),"Rockerbox, Northbeam, Triple Whale")</f>
        <v>Rockerbox, Northbeam, Triple Whale</v>
      </c>
      <c r="I35" s="11">
        <f>IFERROR(__xludf.DUMMYFUNCTION("""COMPUTED_VALUE"""),1.0)</f>
        <v>1</v>
      </c>
      <c r="J35" s="11">
        <f>IFERROR(__xludf.DUMMYFUNCTION("""COMPUTED_VALUE"""),0.0)</f>
        <v>0</v>
      </c>
      <c r="K35" s="11">
        <f>IFERROR(__xludf.DUMMYFUNCTION("""COMPUTED_VALUE"""),1.0)</f>
        <v>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location=":~:text=Conductor%20is%20the%20enterprise%20tool%20behind%20the,else%20is%20doing.%20Lemonshadehere.%20%E2%80%A2%204mo%20ago."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The%20strategy%20includes%20digital%20PR,designed%20to%20increase%20citation%20probability."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s>
  <drawing r:id="rId6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All'!D2:D1000)))=""homepage""
  ),
  """"
)"),"https://partnersdirectory.withgoogle.com/")</f>
        <v>https://partnersdirectory.withgoogle.com/</v>
      </c>
      <c r="B2" s="11" t="str">
        <f>IFERROR(__xludf.DUMMYFUNCTION("""COMPUTED_VALUE"""),"Google Partners Directory - Find a Partner for Business Growth")</f>
        <v>Google Partners Directory - Find a Partner for Business Growth</v>
      </c>
      <c r="C2" s="10" t="str">
        <f>IFERROR(__xludf.DUMMYFUNCTION("""COMPUTED_VALUE"""),"withgoogle.com")</f>
        <v>withgoogle.com</v>
      </c>
      <c r="D2" s="11" t="str">
        <f>IFERROR(__xludf.DUMMYFUNCTION("""COMPUTED_VALUE"""),"HOMEPAGE")</f>
        <v>HOMEPAGE</v>
      </c>
      <c r="E2" s="11" t="str">
        <f>IFERROR(__xludf.DUMMYFUNCTION("""COMPUTED_VALUE"""),"CORPORATE")</f>
        <v>CORPORATE</v>
      </c>
      <c r="F2" s="11" t="str">
        <f>IFERROR(__xludf.DUMMYFUNCTION("""COMPUTED_VALUE"""),"Homepage")</f>
        <v>Homepage</v>
      </c>
      <c r="G2" s="11" t="b">
        <f>IFERROR(__xludf.DUMMYFUNCTION("""COMPUTED_VALUE"""),FALSE)</f>
        <v>0</v>
      </c>
      <c r="H2" s="11" t="str">
        <f>IFERROR(__xludf.DUMMYFUNCTION("""COMPUTED_VALUE"""),"Acadia, Accelerated Digital Media")</f>
        <v>Acadia, Accelerated Digital Media</v>
      </c>
      <c r="I2" s="11">
        <f>IFERROR(__xludf.DUMMYFUNCTION("""COMPUTED_VALUE"""),20.0)</f>
        <v>20</v>
      </c>
      <c r="J2" s="11">
        <f>IFERROR(__xludf.DUMMYFUNCTION("""COMPUTED_VALUE"""),0.02)</f>
        <v>0.02</v>
      </c>
      <c r="K2" s="11">
        <f>IFERROR(__xludf.DUMMYFUNCTION("""COMPUTED_VALUE"""),0.55)</f>
        <v>0.55</v>
      </c>
    </row>
    <row r="3" ht="15.75" customHeight="1">
      <c r="A3" s="10" t="str">
        <f>IFERROR(__xludf.DUMMYFUNCTION("""COMPUTED_VALUE"""),"https://www.getapexanalytics.com/")</f>
        <v>https://www.getapexanalytics.com/</v>
      </c>
      <c r="B3" s="11" t="str">
        <f>IFERROR(__xludf.DUMMYFUNCTION("""COMPUTED_VALUE"""),"Apex Analytics: Marketing Attribution &amp;amp; Incrementality Measurement")</f>
        <v>Apex Analytics: Marketing Attribution &amp;amp; Incrementality Measurement</v>
      </c>
      <c r="C3" s="10" t="str">
        <f>IFERROR(__xludf.DUMMYFUNCTION("""COMPUTED_VALUE"""),"getapexanalytics.com")</f>
        <v>getapexanalytics.com</v>
      </c>
      <c r="D3" s="11" t="str">
        <f>IFERROR(__xludf.DUMMYFUNCTION("""COMPUTED_VALUE"""),"HOMEPAGE")</f>
        <v>HOMEPAGE</v>
      </c>
      <c r="E3" s="11" t="str">
        <f>IFERROR(__xludf.DUMMYFUNCTION("""COMPUTED_VALUE"""),"CORPORATE")</f>
        <v>CORPORATE</v>
      </c>
      <c r="F3" s="11" t="str">
        <f>IFERROR(__xludf.DUMMYFUNCTION("""COMPUTED_VALUE"""),"Homepage")</f>
        <v>Homepage</v>
      </c>
      <c r="G3" s="11" t="b">
        <f>IFERROR(__xludf.DUMMYFUNCTION("""COMPUTED_VALUE"""),FALSE)</f>
        <v>0</v>
      </c>
      <c r="H3" s="11" t="str">
        <f>IFERROR(__xludf.DUMMYFUNCTION("""COMPUTED_VALUE"""),"Measured")</f>
        <v>Measured</v>
      </c>
      <c r="I3" s="11">
        <f>IFERROR(__xludf.DUMMYFUNCTION("""COMPUTED_VALUE"""),18.0)</f>
        <v>18</v>
      </c>
      <c r="J3" s="11">
        <f>IFERROR(__xludf.DUMMYFUNCTION("""COMPUTED_VALUE"""),0.02)</f>
        <v>0.02</v>
      </c>
      <c r="K3" s="11">
        <f>IFERROR(__xludf.DUMMYFUNCTION("""COMPUTED_VALUE"""),0.44)</f>
        <v>0.44</v>
      </c>
    </row>
    <row r="4" ht="15.75" customHeight="1">
      <c r="A4" s="10" t="str">
        <f>IFERROR(__xludf.DUMMYFUNCTION("""COMPUTED_VALUE"""),"https://topgeoagencies.com/")</f>
        <v>https://topgeoagencies.com/</v>
      </c>
      <c r="B4" s="11" t="str">
        <f>IFERROR(__xludf.DUMMYFUNCTION("""COMPUTED_VALUE"""),"The GEO 250 — Best Generative Engine Optimization (GEO) Agencies | TopGEOAgencies.com")</f>
        <v>The GEO 250 — Best Generative Engine Optimization (GEO) Agencies | TopGEOAgencies.com</v>
      </c>
      <c r="C4" s="10" t="str">
        <f>IFERROR(__xludf.DUMMYFUNCTION("""COMPUTED_VALUE"""),"topgeoagencies.com")</f>
        <v>topgeoagencies.com</v>
      </c>
      <c r="D4" s="11" t="str">
        <f>IFERROR(__xludf.DUMMYFUNCTION("""COMPUTED_VALUE"""),"HOMEPAGE")</f>
        <v>HOMEPAGE</v>
      </c>
      <c r="E4" s="11" t="str">
        <f>IFERROR(__xludf.DUMMYFUNCTION("""COMPUTED_VALUE"""),"CORPORATE")</f>
        <v>CORPORATE</v>
      </c>
      <c r="F4" s="11" t="str">
        <f>IFERROR(__xludf.DUMMYFUNCTION("""COMPUTED_VALUE"""),"Homepage")</f>
        <v>Homepage</v>
      </c>
      <c r="G4" s="11" t="b">
        <f>IFERROR(__xludf.DUMMYFUNCTION("""COMPUTED_VALUE"""),FALSE)</f>
        <v>0</v>
      </c>
      <c r="H4" s="11" t="str">
        <f>IFERROR(__xludf.DUMMYFUNCTION("""COMPUTED_VALUE"""),"Clutch, Siege Media, iPullRank, Silverback Strategies, First Page Sage, Graphite")</f>
        <v>Clutch, Siege Media, iPullRank, Silverback Strategies, First Page Sage, Graphite</v>
      </c>
      <c r="I4" s="11">
        <f>IFERROR(__xludf.DUMMYFUNCTION("""COMPUTED_VALUE"""),16.0)</f>
        <v>16</v>
      </c>
      <c r="J4" s="11">
        <f>IFERROR(__xludf.DUMMYFUNCTION("""COMPUTED_VALUE"""),0.02)</f>
        <v>0.02</v>
      </c>
      <c r="K4" s="11">
        <f>IFERROR(__xludf.DUMMYFUNCTION("""COMPUTED_VALUE"""),0.25)</f>
        <v>0.25</v>
      </c>
    </row>
    <row r="5" ht="15.75" customHeight="1">
      <c r="A5" s="10" t="str">
        <f>IFERROR(__xludf.DUMMYFUNCTION("""COMPUTED_VALUE"""),"https://aeoagency.us/")</f>
        <v>https://aeoagency.us/</v>
      </c>
      <c r="B5" s="11" t="str">
        <f>IFERROR(__xludf.DUMMYFUNCTION("""COMPUTED_VALUE"""),"AEO Agency USA | #1 Answer Engine Optimization Agency in the US")</f>
        <v>AEO Agency USA | #1 Answer Engine Optimization Agency in the US</v>
      </c>
      <c r="C5" s="10" t="str">
        <f>IFERROR(__xludf.DUMMYFUNCTION("""COMPUTED_VALUE"""),"aeoagency.us")</f>
        <v>aeoagency.us</v>
      </c>
      <c r="D5" s="11" t="str">
        <f>IFERROR(__xludf.DUMMYFUNCTION("""COMPUTED_VALUE"""),"HOMEPAGE")</f>
        <v>HOMEPAGE</v>
      </c>
      <c r="E5" s="11" t="str">
        <f>IFERROR(__xludf.DUMMYFUNCTION("""COMPUTED_VALUE"""),"CORPORATE")</f>
        <v>CORPORATE</v>
      </c>
      <c r="F5" s="11" t="str">
        <f>IFERROR(__xludf.DUMMYFUNCTION("""COMPUTED_VALUE"""),"Homepage")</f>
        <v>Homepage</v>
      </c>
      <c r="G5" s="11" t="b">
        <f>IFERROR(__xludf.DUMMYFUNCTION("""COMPUTED_VALUE"""),FALSE)</f>
        <v>0</v>
      </c>
      <c r="H5" s="11"/>
      <c r="I5" s="11">
        <f>IFERROR(__xludf.DUMMYFUNCTION("""COMPUTED_VALUE"""),15.0)</f>
        <v>15</v>
      </c>
      <c r="J5" s="11">
        <f>IFERROR(__xludf.DUMMYFUNCTION("""COMPUTED_VALUE"""),0.01)</f>
        <v>0.01</v>
      </c>
      <c r="K5" s="11">
        <f>IFERROR(__xludf.DUMMYFUNCTION("""COMPUTED_VALUE"""),0.13)</f>
        <v>0.13</v>
      </c>
    </row>
    <row r="6" ht="15.75" customHeight="1">
      <c r="A6" s="10" t="str">
        <f>IFERROR(__xludf.DUMMYFUNCTION("""COMPUTED_VALUE"""),"https://www.nationalmarketingawards.com/")</f>
        <v>https://www.nationalmarketingawards.com/</v>
      </c>
      <c r="B6" s="11" t="str">
        <f>IFERROR(__xludf.DUMMYFUNCTION("""COMPUTED_VALUE"""),"Best Marketing Agencies in the US, Ranked (2026) | National Marketing Awards")</f>
        <v>Best Marketing Agencies in the US, Ranked (2026) | National Marketing Awards</v>
      </c>
      <c r="C6" s="10" t="str">
        <f>IFERROR(__xludf.DUMMYFUNCTION("""COMPUTED_VALUE"""),"nationalmarketingawards.com")</f>
        <v>nationalmarketingawards.com</v>
      </c>
      <c r="D6" s="11" t="str">
        <f>IFERROR(__xludf.DUMMYFUNCTION("""COMPUTED_VALUE"""),"HOMEPAGE")</f>
        <v>HOMEPAGE</v>
      </c>
      <c r="E6" s="11" t="str">
        <f>IFERROR(__xludf.DUMMYFUNCTION("""COMPUTED_VALUE"""),"REFERENCE")</f>
        <v>REFERENCE</v>
      </c>
      <c r="F6" s="11" t="str">
        <f>IFERROR(__xludf.DUMMYFUNCTION("""COMPUTED_VALUE"""),"Homepage")</f>
        <v>Homepage</v>
      </c>
      <c r="G6" s="11" t="b">
        <f>IFERROR(__xludf.DUMMYFUNCTION("""COMPUTED_VALUE"""),FALSE)</f>
        <v>0</v>
      </c>
      <c r="H6" s="11" t="str">
        <f>IFERROR(__xludf.DUMMYFUNCTION("""COMPUTED_VALUE"""),"WebFX, Ignite Visibility, SmartSites")</f>
        <v>WebFX, Ignite Visibility, SmartSites</v>
      </c>
      <c r="I6" s="11">
        <f>IFERROR(__xludf.DUMMYFUNCTION("""COMPUTED_VALUE"""),15.0)</f>
        <v>15</v>
      </c>
      <c r="J6" s="11">
        <f>IFERROR(__xludf.DUMMYFUNCTION("""COMPUTED_VALUE"""),0.01)</f>
        <v>0.01</v>
      </c>
      <c r="K6" s="11">
        <f>IFERROR(__xludf.DUMMYFUNCTION("""COMPUTED_VALUE"""),0.33)</f>
        <v>0.33</v>
      </c>
    </row>
    <row r="7" ht="15.75" customHeight="1">
      <c r="A7" s="10" t="str">
        <f>IFERROR(__xludf.DUMMYFUNCTION("""COMPUTED_VALUE"""),"https://inflectionpointe.com/")</f>
        <v>https://inflectionpointe.com/</v>
      </c>
      <c r="B7" s="11" t="str">
        <f>IFERROR(__xludf.DUMMYFUNCTION("""COMPUTED_VALUE"""),"Inflection Pointe | AI GTM Strategy &amp;amp; Implementation for B2B Revenue Teams")</f>
        <v>Inflection Pointe | AI GTM Strategy &amp;amp; Implementation for B2B Revenue Teams</v>
      </c>
      <c r="C7" s="10" t="str">
        <f>IFERROR(__xludf.DUMMYFUNCTION("""COMPUTED_VALUE"""),"inflectionpointe.com")</f>
        <v>inflectionpointe.com</v>
      </c>
      <c r="D7" s="11" t="str">
        <f>IFERROR(__xludf.DUMMYFUNCTION("""COMPUTED_VALUE"""),"HOMEPAGE")</f>
        <v>HOMEPAGE</v>
      </c>
      <c r="E7" s="11" t="str">
        <f>IFERROR(__xludf.DUMMYFUNCTION("""COMPUTED_VALUE"""),"CORPORATE")</f>
        <v>CORPORATE</v>
      </c>
      <c r="F7" s="11" t="str">
        <f>IFERROR(__xludf.DUMMYFUNCTION("""COMPUTED_VALUE"""),"Homepage")</f>
        <v>Homepage</v>
      </c>
      <c r="G7" s="11" t="b">
        <f>IFERROR(__xludf.DUMMYFUNCTION("""COMPUTED_VALUE"""),FALSE)</f>
        <v>0</v>
      </c>
      <c r="H7" s="11" t="str">
        <f>IFERROR(__xludf.DUMMYFUNCTION("""COMPUTED_VALUE"""),"Clay")</f>
        <v>Clay</v>
      </c>
      <c r="I7" s="11">
        <f>IFERROR(__xludf.DUMMYFUNCTION("""COMPUTED_VALUE"""),13.0)</f>
        <v>13</v>
      </c>
      <c r="J7" s="11">
        <f>IFERROR(__xludf.DUMMYFUNCTION("""COMPUTED_VALUE"""),0.01)</f>
        <v>0.01</v>
      </c>
      <c r="K7" s="11">
        <f>IFERROR(__xludf.DUMMYFUNCTION("""COMPUTED_VALUE"""),0.0)</f>
        <v>0</v>
      </c>
    </row>
    <row r="8" ht="15.75" customHeight="1">
      <c r="A8" s="10" t="str">
        <f>IFERROR(__xludf.DUMMYFUNCTION("""COMPUTED_VALUE"""),"https://www.measured.com/")</f>
        <v>https://www.measured.com/</v>
      </c>
      <c r="B8" s="11" t="str">
        <f>IFERROR(__xludf.DUMMYFUNCTION("""COMPUTED_VALUE"""),"Measured | Media Effectiveness Platform")</f>
        <v>Measured | Media Effectiveness Platform</v>
      </c>
      <c r="C8" s="10" t="str">
        <f>IFERROR(__xludf.DUMMYFUNCTION("""COMPUTED_VALUE"""),"measured.com")</f>
        <v>measured.com</v>
      </c>
      <c r="D8" s="11" t="str">
        <f>IFERROR(__xludf.DUMMYFUNCTION("""COMPUTED_VALUE"""),"HOMEPAGE")</f>
        <v>HOMEPAGE</v>
      </c>
      <c r="E8" s="11" t="str">
        <f>IFERROR(__xludf.DUMMYFUNCTION("""COMPUTED_VALUE"""),"COMPETITOR")</f>
        <v>COMPETITOR</v>
      </c>
      <c r="F8" s="11" t="str">
        <f>IFERROR(__xludf.DUMMYFUNCTION("""COMPUTED_VALUE"""),"Homepage")</f>
        <v>Homepage</v>
      </c>
      <c r="G8" s="11" t="b">
        <f>IFERROR(__xludf.DUMMYFUNCTION("""COMPUTED_VALUE"""),FALSE)</f>
        <v>0</v>
      </c>
      <c r="H8" s="11" t="str">
        <f>IFERROR(__xludf.DUMMYFUNCTION("""COMPUTED_VALUE"""),"Measured")</f>
        <v>Measured</v>
      </c>
      <c r="I8" s="11">
        <f>IFERROR(__xludf.DUMMYFUNCTION("""COMPUTED_VALUE"""),13.0)</f>
        <v>13</v>
      </c>
      <c r="J8" s="11">
        <f>IFERROR(__xludf.DUMMYFUNCTION("""COMPUTED_VALUE"""),0.01)</f>
        <v>0.01</v>
      </c>
      <c r="K8" s="11">
        <f>IFERROR(__xludf.DUMMYFUNCTION("""COMPUTED_VALUE"""),0.92)</f>
        <v>0.92</v>
      </c>
    </row>
    <row r="9" ht="15.75" customHeight="1">
      <c r="A9" s="10" t="str">
        <f>IFERROR(__xludf.DUMMYFUNCTION("""COMPUTED_VALUE"""),"https://sellforte.com/")</f>
        <v>https://sellforte.com/</v>
      </c>
      <c r="B9" s="11" t="str">
        <f>IFERROR(__xludf.DUMMYFUNCTION("""COMPUTED_VALUE"""),"MMM, Incrementality Testing &amp;amp; Attribution | Sellforte")</f>
        <v>MMM, Incrementality Testing &amp;amp; Attribution | Sellforte</v>
      </c>
      <c r="C9" s="10" t="str">
        <f>IFERROR(__xludf.DUMMYFUNCTION("""COMPUTED_VALUE"""),"sellforte.com")</f>
        <v>sellforte.com</v>
      </c>
      <c r="D9" s="11" t="str">
        <f>IFERROR(__xludf.DUMMYFUNCTION("""COMPUTED_VALUE"""),"HOMEPAGE")</f>
        <v>HOMEPAGE</v>
      </c>
      <c r="E9" s="11" t="str">
        <f>IFERROR(__xludf.DUMMYFUNCTION("""COMPUTED_VALUE"""),"COMPETITOR")</f>
        <v>COMPETITOR</v>
      </c>
      <c r="F9" s="11" t="str">
        <f>IFERROR(__xludf.DUMMYFUNCTION("""COMPUTED_VALUE"""),"Homepage")</f>
        <v>Homepage</v>
      </c>
      <c r="G9" s="11" t="b">
        <f>IFERROR(__xludf.DUMMYFUNCTION("""COMPUTED_VALUE"""),FALSE)</f>
        <v>0</v>
      </c>
      <c r="H9" s="11" t="str">
        <f>IFERROR(__xludf.DUMMYFUNCTION("""COMPUTED_VALUE"""),"Sellforte, Huge, Measured")</f>
        <v>Sellforte, Huge, Measured</v>
      </c>
      <c r="I9" s="11">
        <f>IFERROR(__xludf.DUMMYFUNCTION("""COMPUTED_VALUE"""),13.0)</f>
        <v>13</v>
      </c>
      <c r="J9" s="11">
        <f>IFERROR(__xludf.DUMMYFUNCTION("""COMPUTED_VALUE"""),0.01)</f>
        <v>0.01</v>
      </c>
      <c r="K9" s="11">
        <f>IFERROR(__xludf.DUMMYFUNCTION("""COMPUTED_VALUE"""),0.46)</f>
        <v>0.46</v>
      </c>
    </row>
    <row r="10" ht="15.75" customHeight="1">
      <c r="A10" s="10" t="str">
        <f>IFERROR(__xludf.DUMMYFUNCTION("""COMPUTED_VALUE"""),"https://www.deducive.com/")</f>
        <v>https://www.deducive.com/</v>
      </c>
      <c r="B10" s="11" t="str">
        <f>IFERROR(__xludf.DUMMYFUNCTION("""COMPUTED_VALUE"""),"Deducive - Decision-Grade Marketing Measurement")</f>
        <v>Deducive - Decision-Grade Marketing Measurement</v>
      </c>
      <c r="C10" s="10" t="str">
        <f>IFERROR(__xludf.DUMMYFUNCTION("""COMPUTED_VALUE"""),"deducive.com")</f>
        <v>deducive.com</v>
      </c>
      <c r="D10" s="11" t="str">
        <f>IFERROR(__xludf.DUMMYFUNCTION("""COMPUTED_VALUE"""),"HOMEPAGE")</f>
        <v>HOMEPAGE</v>
      </c>
      <c r="E10" s="11" t="str">
        <f>IFERROR(__xludf.DUMMYFUNCTION("""COMPUTED_VALUE"""),"CORPORATE")</f>
        <v>CORPORATE</v>
      </c>
      <c r="F10" s="11" t="str">
        <f>IFERROR(__xludf.DUMMYFUNCTION("""COMPUTED_VALUE"""),"Homepage")</f>
        <v>Homepage</v>
      </c>
      <c r="G10" s="11" t="b">
        <f>IFERROR(__xludf.DUMMYFUNCTION("""COMPUTED_VALUE"""),FALSE)</f>
        <v>0</v>
      </c>
      <c r="H10" s="11"/>
      <c r="I10" s="11">
        <f>IFERROR(__xludf.DUMMYFUNCTION("""COMPUTED_VALUE"""),12.0)</f>
        <v>12</v>
      </c>
      <c r="J10" s="11">
        <f>IFERROR(__xludf.DUMMYFUNCTION("""COMPUTED_VALUE"""),0.01)</f>
        <v>0.01</v>
      </c>
      <c r="K10" s="11">
        <f>IFERROR(__xludf.DUMMYFUNCTION("""COMPUTED_VALUE"""),1.5)</f>
        <v>1.5</v>
      </c>
    </row>
    <row r="11" ht="15.75" customHeight="1">
      <c r="A11" s="10" t="str">
        <f>IFERROR(__xludf.DUMMYFUNCTION("""COMPUTED_VALUE"""),"https://www.incremental.com/#:~:text=Incremental's%20automated%20model%20creation%20and%20continuous%20learning,measurement%20%E2%80%93%20you%20have%20a%20sales%20pitch.")</f>
        <v>https://www.incremental.com/#:~:text=Incremental's%20automated%20model%20creation%20and%20continuous%20learning,measurement%20%E2%80%93%20you%20have%20a%20sales%20pitch.</v>
      </c>
      <c r="B11" s="11" t="str">
        <f>IFERROR(__xludf.DUMMYFUNCTION("""COMPUTED_VALUE"""),"Incremental | Causal Intelligence for Commerce Media")</f>
        <v>Incremental | Causal Intelligence for Commerce Media</v>
      </c>
      <c r="C11" s="10" t="str">
        <f>IFERROR(__xludf.DUMMYFUNCTION("""COMPUTED_VALUE"""),"incremental.com")</f>
        <v>incremental.com</v>
      </c>
      <c r="D11" s="11" t="str">
        <f>IFERROR(__xludf.DUMMYFUNCTION("""COMPUTED_VALUE"""),"HOMEPAGE")</f>
        <v>HOMEPAGE</v>
      </c>
      <c r="E11" s="11" t="str">
        <f>IFERROR(__xludf.DUMMYFUNCTION("""COMPUTED_VALUE"""),"CORPORATE")</f>
        <v>CORPORATE</v>
      </c>
      <c r="F11" s="11" t="str">
        <f>IFERROR(__xludf.DUMMYFUNCTION("""COMPUTED_VALUE"""),"Homepage")</f>
        <v>Homepage</v>
      </c>
      <c r="G11" s="11" t="b">
        <f>IFERROR(__xludf.DUMMYFUNCTION("""COMPUTED_VALUE"""),FALSE)</f>
        <v>0</v>
      </c>
      <c r="H11" s="11"/>
      <c r="I11" s="11">
        <f>IFERROR(__xludf.DUMMYFUNCTION("""COMPUTED_VALUE"""),12.0)</f>
        <v>12</v>
      </c>
      <c r="J11" s="11">
        <f>IFERROR(__xludf.DUMMYFUNCTION("""COMPUTED_VALUE"""),0.01)</f>
        <v>0.01</v>
      </c>
      <c r="K11" s="11">
        <f>IFERROR(__xludf.DUMMYFUNCTION("""COMPUTED_VALUE"""),1.5)</f>
        <v>1.5</v>
      </c>
    </row>
    <row r="12" ht="15.75" customHeight="1">
      <c r="A12" s="10" t="str">
        <f>IFERROR(__xludf.DUMMYFUNCTION("""COMPUTED_VALUE"""),"https://www.bconic.com/")</f>
        <v>https://www.bconic.com/</v>
      </c>
      <c r="B12" s="11" t="str">
        <f>IFERROR(__xludf.DUMMYFUNCTION("""COMPUTED_VALUE"""),"Bconic: Independent Marketing Measurement Platform")</f>
        <v>Bconic: Independent Marketing Measurement Platform</v>
      </c>
      <c r="C12" s="10" t="str">
        <f>IFERROR(__xludf.DUMMYFUNCTION("""COMPUTED_VALUE"""),"bconic.com")</f>
        <v>bconic.com</v>
      </c>
      <c r="D12" s="11" t="str">
        <f>IFERROR(__xludf.DUMMYFUNCTION("""COMPUTED_VALUE"""),"HOMEPAGE")</f>
        <v>HOMEPAGE</v>
      </c>
      <c r="E12" s="11" t="str">
        <f>IFERROR(__xludf.DUMMYFUNCTION("""COMPUTED_VALUE"""),"CORPORATE")</f>
        <v>CORPORATE</v>
      </c>
      <c r="F12" s="11" t="str">
        <f>IFERROR(__xludf.DUMMYFUNCTION("""COMPUTED_VALUE"""),"Homepage")</f>
        <v>Homepage</v>
      </c>
      <c r="G12" s="11" t="b">
        <f>IFERROR(__xludf.DUMMYFUNCTION("""COMPUTED_VALUE"""),FALSE)</f>
        <v>0</v>
      </c>
      <c r="H12" s="11" t="str">
        <f>IFERROR(__xludf.DUMMYFUNCTION("""COMPUTED_VALUE"""),"Measured")</f>
        <v>Measured</v>
      </c>
      <c r="I12" s="11">
        <f>IFERROR(__xludf.DUMMYFUNCTION("""COMPUTED_VALUE"""),11.0)</f>
        <v>11</v>
      </c>
      <c r="J12" s="11">
        <f>IFERROR(__xludf.DUMMYFUNCTION("""COMPUTED_VALUE"""),0.01)</f>
        <v>0.01</v>
      </c>
      <c r="K12" s="11">
        <f>IFERROR(__xludf.DUMMYFUNCTION("""COMPUTED_VALUE"""),0.0)</f>
        <v>0</v>
      </c>
    </row>
    <row r="13" ht="15.75" customHeight="1">
      <c r="A13" s="10" t="str">
        <f>IFERROR(__xludf.DUMMYFUNCTION("""COMPUTED_VALUE"""),"https://aimadethisbrand.com/")</f>
        <v>https://aimadethisbrand.com/</v>
      </c>
      <c r="B13" s="11" t="str">
        <f>IFERROR(__xludf.DUMMYFUNCTION("""COMPUTED_VALUE"""),"AI Readiness &amp;amp; Training for Government &amp;amp; Marketing Teams | AI Made This Brand")</f>
        <v>AI Readiness &amp;amp; Training for Government &amp;amp; Marketing Teams | AI Made This Brand</v>
      </c>
      <c r="C13" s="10" t="str">
        <f>IFERROR(__xludf.DUMMYFUNCTION("""COMPUTED_VALUE"""),"aimadethisbrand.com")</f>
        <v>aimadethisbrand.com</v>
      </c>
      <c r="D13" s="11" t="str">
        <f>IFERROR(__xludf.DUMMYFUNCTION("""COMPUTED_VALUE"""),"HOMEPAGE")</f>
        <v>HOMEPAGE</v>
      </c>
      <c r="E13" s="11" t="str">
        <f>IFERROR(__xludf.DUMMYFUNCTION("""COMPUTED_VALUE"""),"CORPORATE")</f>
        <v>CORPORATE</v>
      </c>
      <c r="F13" s="11" t="str">
        <f>IFERROR(__xludf.DUMMYFUNCTION("""COMPUTED_VALUE"""),"Homepage")</f>
        <v>Homepage</v>
      </c>
      <c r="G13" s="11" t="b">
        <f>IFERROR(__xludf.DUMMYFUNCTION("""COMPUTED_VALUE"""),FALSE)</f>
        <v>0</v>
      </c>
      <c r="H13" s="11" t="str">
        <f>IFERROR(__xludf.DUMMYFUNCTION("""COMPUTED_VALUE"""),"Momentum")</f>
        <v>Momentum</v>
      </c>
      <c r="I13" s="11">
        <f>IFERROR(__xludf.DUMMYFUNCTION("""COMPUTED_VALUE"""),10.0)</f>
        <v>10</v>
      </c>
      <c r="J13" s="11">
        <f>IFERROR(__xludf.DUMMYFUNCTION("""COMPUTED_VALUE"""),0.01)</f>
        <v>0.01</v>
      </c>
      <c r="K13" s="11">
        <f>IFERROR(__xludf.DUMMYFUNCTION("""COMPUTED_VALUE"""),0.4)</f>
        <v>0.4</v>
      </c>
    </row>
    <row r="14" ht="15.75" customHeight="1">
      <c r="A14" s="10" t="str">
        <f>IFERROR(__xludf.DUMMYFUNCTION("""COMPUTED_VALUE"""),"https://www.chiefoutsiders.com/ai")</f>
        <v>https://www.chiefoutsiders.com/ai</v>
      </c>
      <c r="B14" s="11" t="str">
        <f>IFERROR(__xludf.DUMMYFUNCTION("""COMPUTED_VALUE"""),"AI Marketing &amp;amp; Sales Consultants | Chief Outsiders")</f>
        <v>AI Marketing &amp;amp; Sales Consultants | Chief Outsiders</v>
      </c>
      <c r="C14" s="10" t="str">
        <f>IFERROR(__xludf.DUMMYFUNCTION("""COMPUTED_VALUE"""),"chiefoutsiders.com")</f>
        <v>chiefoutsiders.com</v>
      </c>
      <c r="D14" s="11" t="str">
        <f>IFERROR(__xludf.DUMMYFUNCTION("""COMPUTED_VALUE"""),"HOMEPAGE")</f>
        <v>HOMEPAGE</v>
      </c>
      <c r="E14" s="11" t="str">
        <f>IFERROR(__xludf.DUMMYFUNCTION("""COMPUTED_VALUE"""),"CORPORATE")</f>
        <v>CORPORATE</v>
      </c>
      <c r="F14" s="11" t="str">
        <f>IFERROR(__xludf.DUMMYFUNCTION("""COMPUTED_VALUE"""),"Homepage")</f>
        <v>Homepage</v>
      </c>
      <c r="G14" s="11" t="b">
        <f>IFERROR(__xludf.DUMMYFUNCTION("""COMPUTED_VALUE"""),FALSE)</f>
        <v>0</v>
      </c>
      <c r="H14" s="11"/>
      <c r="I14" s="11">
        <f>IFERROR(__xludf.DUMMYFUNCTION("""COMPUTED_VALUE"""),9.0)</f>
        <v>9</v>
      </c>
      <c r="J14" s="11">
        <f>IFERROR(__xludf.DUMMYFUNCTION("""COMPUTED_VALUE"""),0.01)</f>
        <v>0.01</v>
      </c>
      <c r="K14" s="11">
        <f>IFERROR(__xludf.DUMMYFUNCTION("""COMPUTED_VALUE"""),1.11)</f>
        <v>1.11</v>
      </c>
    </row>
    <row r="15" ht="15.75" customHeight="1">
      <c r="A15" s="10" t="str">
        <f>IFERROR(__xludf.DUMMYFUNCTION("""COMPUTED_VALUE"""),"https://compass-360.ai/")</f>
        <v>https://compass-360.ai/</v>
      </c>
      <c r="B15" s="11"/>
      <c r="C15" s="10" t="str">
        <f>IFERROR(__xludf.DUMMYFUNCTION("""COMPUTED_VALUE"""),"compass-360.ai")</f>
        <v>compass-360.ai</v>
      </c>
      <c r="D15" s="11" t="str">
        <f>IFERROR(__xludf.DUMMYFUNCTION("""COMPUTED_VALUE"""),"HOMEPAGE")</f>
        <v>HOMEPAGE</v>
      </c>
      <c r="E15" s="11" t="str">
        <f>IFERROR(__xludf.DUMMYFUNCTION("""COMPUTED_VALUE"""),"CORPORATE")</f>
        <v>CORPORATE</v>
      </c>
      <c r="F15" s="11" t="str">
        <f>IFERROR(__xludf.DUMMYFUNCTION("""COMPUTED_VALUE"""),"Homepage")</f>
        <v>Homepage</v>
      </c>
      <c r="G15" s="11"/>
      <c r="H15" s="11" t="str">
        <f>IFERROR(__xludf.DUMMYFUNCTION("""COMPUTED_VALUE"""),"Unknown")</f>
        <v>Unknown</v>
      </c>
      <c r="I15" s="11">
        <f>IFERROR(__xludf.DUMMYFUNCTION("""COMPUTED_VALUE"""),9.0)</f>
        <v>9</v>
      </c>
      <c r="J15" s="11">
        <f>IFERROR(__xludf.DUMMYFUNCTION("""COMPUTED_VALUE"""),0.01)</f>
        <v>0.01</v>
      </c>
      <c r="K15" s="11">
        <f>IFERROR(__xludf.DUMMYFUNCTION("""COMPUTED_VALUE"""),0.0)</f>
        <v>0</v>
      </c>
    </row>
    <row r="16" ht="15.75" customHeight="1">
      <c r="A16" s="10" t="str">
        <f>IFERROR(__xludf.DUMMYFUNCTION("""COMPUTED_VALUE"""),"https://www.intlda.com/")</f>
        <v>https://www.intlda.com/</v>
      </c>
      <c r="B16" s="11" t="str">
        <f>IFERROR(__xludf.DUMMYFUNCTION("""COMPUTED_VALUE"""),"INTLDA | Data &amp;amp; AI Consulting Firm")</f>
        <v>INTLDA | Data &amp;amp; AI Consulting Firm</v>
      </c>
      <c r="C16" s="10" t="str">
        <f>IFERROR(__xludf.DUMMYFUNCTION("""COMPUTED_VALUE"""),"intlda.com")</f>
        <v>intlda.com</v>
      </c>
      <c r="D16" s="11" t="str">
        <f>IFERROR(__xludf.DUMMYFUNCTION("""COMPUTED_VALUE"""),"HOMEPAGE")</f>
        <v>HOMEPAGE</v>
      </c>
      <c r="E16" s="11" t="str">
        <f>IFERROR(__xludf.DUMMYFUNCTION("""COMPUTED_VALUE"""),"CORPORATE")</f>
        <v>CORPORATE</v>
      </c>
      <c r="F16" s="11" t="str">
        <f>IFERROR(__xludf.DUMMYFUNCTION("""COMPUTED_VALUE"""),"Homepage")</f>
        <v>Homepage</v>
      </c>
      <c r="G16" s="11" t="b">
        <f>IFERROR(__xludf.DUMMYFUNCTION("""COMPUTED_VALUE"""),FALSE)</f>
        <v>0</v>
      </c>
      <c r="H16" s="11"/>
      <c r="I16" s="11">
        <f>IFERROR(__xludf.DUMMYFUNCTION("""COMPUTED_VALUE"""),8.0)</f>
        <v>8</v>
      </c>
      <c r="J16" s="11">
        <f>IFERROR(__xludf.DUMMYFUNCTION("""COMPUTED_VALUE"""),0.01)</f>
        <v>0.01</v>
      </c>
      <c r="K16" s="11">
        <f>IFERROR(__xludf.DUMMYFUNCTION("""COMPUTED_VALUE"""),0.5)</f>
        <v>0.5</v>
      </c>
    </row>
    <row r="17" ht="15.75" customHeight="1">
      <c r="A17" s="10" t="str">
        <f>IFERROR(__xludf.DUMMYFUNCTION("""COMPUTED_VALUE"""),"https://strategylinc.com/")</f>
        <v>https://strategylinc.com/</v>
      </c>
      <c r="B17" s="11" t="str">
        <f>IFERROR(__xludf.DUMMYFUNCTION("""COMPUTED_VALUE"""),"StrategyLINC | AI Operations Consulting | Where Strategy Meets AI")</f>
        <v>StrategyLINC | AI Operations Consulting | Where Strategy Meets AI</v>
      </c>
      <c r="C17" s="10" t="str">
        <f>IFERROR(__xludf.DUMMYFUNCTION("""COMPUTED_VALUE"""),"strategylinc.com")</f>
        <v>strategylinc.com</v>
      </c>
      <c r="D17" s="11" t="str">
        <f>IFERROR(__xludf.DUMMYFUNCTION("""COMPUTED_VALUE"""),"HOMEPAGE")</f>
        <v>HOMEPAGE</v>
      </c>
      <c r="E17" s="11" t="str">
        <f>IFERROR(__xludf.DUMMYFUNCTION("""COMPUTED_VALUE"""),"CORPORATE")</f>
        <v>CORPORATE</v>
      </c>
      <c r="F17" s="11" t="str">
        <f>IFERROR(__xludf.DUMMYFUNCTION("""COMPUTED_VALUE"""),"Homepage")</f>
        <v>Homepage</v>
      </c>
      <c r="G17" s="11" t="b">
        <f>IFERROR(__xludf.DUMMYFUNCTION("""COMPUTED_VALUE"""),FALSE)</f>
        <v>0</v>
      </c>
      <c r="H17" s="11" t="str">
        <f>IFERROR(__xludf.DUMMYFUNCTION("""COMPUTED_VALUE"""),"McKinsey")</f>
        <v>McKinsey</v>
      </c>
      <c r="I17" s="11">
        <f>IFERROR(__xludf.DUMMYFUNCTION("""COMPUTED_VALUE"""),7.0)</f>
        <v>7</v>
      </c>
      <c r="J17" s="11">
        <f>IFERROR(__xludf.DUMMYFUNCTION("""COMPUTED_VALUE"""),0.01)</f>
        <v>0.01</v>
      </c>
      <c r="K17" s="11">
        <f>IFERROR(__xludf.DUMMYFUNCTION("""COMPUTED_VALUE"""),0.0)</f>
        <v>0</v>
      </c>
    </row>
    <row r="18" ht="15.75" customHeight="1">
      <c r="A18" s="10" t="str">
        <f>IFERROR(__xludf.DUMMYFUNCTION("""COMPUTED_VALUE"""),"https://www.thekeenfolks.com/#:~:text=To%20Fuel%20Your%20Greatness.%20Our%20Clients.%20K,Danone.%20Kellogg's.%20Diageo.%20Johnson%20%26%20Johnson.%20Reckitt.")</f>
        <v>https://www.thekeenfolks.com/#:~:text=To%20Fuel%20Your%20Greatness.%20Our%20Clients.%20K,Danone.%20Kellogg's.%20Diageo.%20Johnson%20%26%20Johnson.%20Reckitt.</v>
      </c>
      <c r="B18" s="11" t="str">
        <f>IFERROR(__xludf.DUMMYFUNCTION("""COMPUTED_VALUE"""),"AI Marketing Agency | Keenfolks")</f>
        <v>AI Marketing Agency | Keenfolks</v>
      </c>
      <c r="C18" s="10" t="str">
        <f>IFERROR(__xludf.DUMMYFUNCTION("""COMPUTED_VALUE"""),"thekeenfolks.com")</f>
        <v>thekeenfolks.com</v>
      </c>
      <c r="D18" s="11" t="str">
        <f>IFERROR(__xludf.DUMMYFUNCTION("""COMPUTED_VALUE"""),"HOMEPAGE")</f>
        <v>HOMEPAGE</v>
      </c>
      <c r="E18" s="11" t="str">
        <f>IFERROR(__xludf.DUMMYFUNCTION("""COMPUTED_VALUE"""),"COMPETITOR")</f>
        <v>COMPETITOR</v>
      </c>
      <c r="F18" s="11" t="str">
        <f>IFERROR(__xludf.DUMMYFUNCTION("""COMPUTED_VALUE"""),"Homepage")</f>
        <v>Homepage</v>
      </c>
      <c r="G18" s="11" t="b">
        <f>IFERROR(__xludf.DUMMYFUNCTION("""COMPUTED_VALUE"""),FALSE)</f>
        <v>0</v>
      </c>
      <c r="H18" s="11" t="str">
        <f>IFERROR(__xludf.DUMMYFUNCTION("""COMPUTED_VALUE"""),"Keenfolks, DEPT")</f>
        <v>Keenfolks, DEPT</v>
      </c>
      <c r="I18" s="11">
        <f>IFERROR(__xludf.DUMMYFUNCTION("""COMPUTED_VALUE"""),7.0)</f>
        <v>7</v>
      </c>
      <c r="J18" s="11">
        <f>IFERROR(__xludf.DUMMYFUNCTION("""COMPUTED_VALUE"""),0.01)</f>
        <v>0.01</v>
      </c>
      <c r="K18" s="11">
        <f>IFERROR(__xludf.DUMMYFUNCTION("""COMPUTED_VALUE"""),1.29)</f>
        <v>1.29</v>
      </c>
    </row>
    <row r="19" ht="15.75" customHeight="1">
      <c r="A19" s="10" t="str">
        <f>IFERROR(__xludf.DUMMYFUNCTION("""COMPUTED_VALUE"""),"https://www.airconsulting.ai/")</f>
        <v>https://www.airconsulting.ai/</v>
      </c>
      <c r="B19" s="11"/>
      <c r="C19" s="10" t="str">
        <f>IFERROR(__xludf.DUMMYFUNCTION("""COMPUTED_VALUE"""),"airconsulting.ai")</f>
        <v>airconsulting.ai</v>
      </c>
      <c r="D19" s="11" t="str">
        <f>IFERROR(__xludf.DUMMYFUNCTION("""COMPUTED_VALUE"""),"HOMEPAGE")</f>
        <v>HOMEPAGE</v>
      </c>
      <c r="E19" s="11" t="str">
        <f>IFERROR(__xludf.DUMMYFUNCTION("""COMPUTED_VALUE"""),"CORPORATE")</f>
        <v>CORPORATE</v>
      </c>
      <c r="F19" s="11" t="str">
        <f>IFERROR(__xludf.DUMMYFUNCTION("""COMPUTED_VALUE"""),"Homepage")</f>
        <v>Homepage</v>
      </c>
      <c r="G19" s="11"/>
      <c r="H19" s="11" t="str">
        <f>IFERROR(__xludf.DUMMYFUNCTION("""COMPUTED_VALUE"""),"Unknown")</f>
        <v>Unknown</v>
      </c>
      <c r="I19" s="11">
        <f>IFERROR(__xludf.DUMMYFUNCTION("""COMPUTED_VALUE"""),6.0)</f>
        <v>6</v>
      </c>
      <c r="J19" s="11">
        <f>IFERROR(__xludf.DUMMYFUNCTION("""COMPUTED_VALUE"""),0.01)</f>
        <v>0.01</v>
      </c>
      <c r="K19" s="11">
        <f>IFERROR(__xludf.DUMMYFUNCTION("""COMPUTED_VALUE"""),2.83)</f>
        <v>2.83</v>
      </c>
    </row>
    <row r="20" ht="15.75" customHeight="1">
      <c r="A20" s="10" t="str">
        <f>IFERROR(__xludf.DUMMYFUNCTION("""COMPUTED_VALUE"""),"https://www.amos-os.com/")</f>
        <v>https://www.amos-os.com/</v>
      </c>
      <c r="B20" s="11" t="str">
        <f>IFERROR(__xludf.DUMMYFUNCTION("""COMPUTED_VALUE"""),"AI Marketing Operating System for Executive Leaders | AMOS")</f>
        <v>AI Marketing Operating System for Executive Leaders | AMOS</v>
      </c>
      <c r="C20" s="10" t="str">
        <f>IFERROR(__xludf.DUMMYFUNCTION("""COMPUTED_VALUE"""),"amos-os.com")</f>
        <v>amos-os.com</v>
      </c>
      <c r="D20" s="11" t="str">
        <f>IFERROR(__xludf.DUMMYFUNCTION("""COMPUTED_VALUE"""),"HOMEPAGE")</f>
        <v>HOMEPAGE</v>
      </c>
      <c r="E20" s="11" t="str">
        <f>IFERROR(__xludf.DUMMYFUNCTION("""COMPUTED_VALUE"""),"CORPORATE")</f>
        <v>CORPORATE</v>
      </c>
      <c r="F20" s="11" t="str">
        <f>IFERROR(__xludf.DUMMYFUNCTION("""COMPUTED_VALUE"""),"Homepage")</f>
        <v>Homepage</v>
      </c>
      <c r="G20" s="11" t="b">
        <f>IFERROR(__xludf.DUMMYFUNCTION("""COMPUTED_VALUE"""),FALSE)</f>
        <v>0</v>
      </c>
      <c r="H20" s="11"/>
      <c r="I20" s="11">
        <f>IFERROR(__xludf.DUMMYFUNCTION("""COMPUTED_VALUE"""),6.0)</f>
        <v>6</v>
      </c>
      <c r="J20" s="11">
        <f>IFERROR(__xludf.DUMMYFUNCTION("""COMPUTED_VALUE"""),0.01)</f>
        <v>0.01</v>
      </c>
      <c r="K20" s="11">
        <f>IFERROR(__xludf.DUMMYFUNCTION("""COMPUTED_VALUE"""),1.0)</f>
        <v>1</v>
      </c>
    </row>
    <row r="21" ht="15.75" customHeight="1">
      <c r="A21" s="10" t="str">
        <f>IFERROR(__xludf.DUMMYFUNCTION("""COMPUTED_VALUE"""),"https://lifesight.io/")</f>
        <v>https://lifesight.io/</v>
      </c>
      <c r="B21" s="11" t="str">
        <f>IFERROR(__xludf.DUMMYFUNCTION("""COMPUTED_VALUE"""),"Lifesight | Agentic Unified Marketing Measurement")</f>
        <v>Lifesight | Agentic Unified Marketing Measurement</v>
      </c>
      <c r="C21" s="10" t="str">
        <f>IFERROR(__xludf.DUMMYFUNCTION("""COMPUTED_VALUE"""),"lifesight.io")</f>
        <v>lifesight.io</v>
      </c>
      <c r="D21" s="11" t="str">
        <f>IFERROR(__xludf.DUMMYFUNCTION("""COMPUTED_VALUE"""),"HOMEPAGE")</f>
        <v>HOMEPAGE</v>
      </c>
      <c r="E21" s="11" t="str">
        <f>IFERROR(__xludf.DUMMYFUNCTION("""COMPUTED_VALUE"""),"COMPETITOR")</f>
        <v>COMPETITOR</v>
      </c>
      <c r="F21" s="11" t="str">
        <f>IFERROR(__xludf.DUMMYFUNCTION("""COMPUTED_VALUE"""),"Homepage")</f>
        <v>Homepage</v>
      </c>
      <c r="G21" s="11" t="b">
        <f>IFERROR(__xludf.DUMMYFUNCTION("""COMPUTED_VALUE"""),FALSE)</f>
        <v>0</v>
      </c>
      <c r="H21" s="11" t="str">
        <f>IFERROR(__xludf.DUMMYFUNCTION("""COMPUTED_VALUE"""),"LifeSight, Measured, Anomaly, Northbeam, Haus, Recast, Triple Whale")</f>
        <v>LifeSight, Measured, Anomaly, Northbeam, Haus, Recast, Triple Whale</v>
      </c>
      <c r="I21" s="11">
        <f>IFERROR(__xludf.DUMMYFUNCTION("""COMPUTED_VALUE"""),6.0)</f>
        <v>6</v>
      </c>
      <c r="J21" s="11">
        <f>IFERROR(__xludf.DUMMYFUNCTION("""COMPUTED_VALUE"""),0.01)</f>
        <v>0.01</v>
      </c>
      <c r="K21" s="11">
        <f>IFERROR(__xludf.DUMMYFUNCTION("""COMPUTED_VALUE"""),0.67)</f>
        <v>0.67</v>
      </c>
    </row>
    <row r="22" ht="15.75" customHeight="1">
      <c r="A22" s="10" t="str">
        <f>IFERROR(__xludf.DUMMYFUNCTION("""COMPUTED_VALUE"""),"https://wearesocial.com/us/")</f>
        <v>https://wearesocial.com/us/</v>
      </c>
      <c r="B22" s="11" t="str">
        <f>IFERROR(__xludf.DUMMYFUNCTION("""COMPUTED_VALUE"""),"Creative Agency - We Are Social USA")</f>
        <v>Creative Agency - We Are Social USA</v>
      </c>
      <c r="C22" s="10" t="str">
        <f>IFERROR(__xludf.DUMMYFUNCTION("""COMPUTED_VALUE"""),"wearesocial.com")</f>
        <v>wearesocial.com</v>
      </c>
      <c r="D22" s="11" t="str">
        <f>IFERROR(__xludf.DUMMYFUNCTION("""COMPUTED_VALUE"""),"HOMEPAGE")</f>
        <v>HOMEPAGE</v>
      </c>
      <c r="E22" s="11" t="str">
        <f>IFERROR(__xludf.DUMMYFUNCTION("""COMPUTED_VALUE"""),"CORPORATE")</f>
        <v>CORPORATE</v>
      </c>
      <c r="F22" s="11" t="str">
        <f>IFERROR(__xludf.DUMMYFUNCTION("""COMPUTED_VALUE"""),"Homepage")</f>
        <v>Homepage</v>
      </c>
      <c r="G22" s="11" t="b">
        <f>IFERROR(__xludf.DUMMYFUNCTION("""COMPUTED_VALUE"""),FALSE)</f>
        <v>0</v>
      </c>
      <c r="H22" s="11"/>
      <c r="I22" s="11">
        <f>IFERROR(__xludf.DUMMYFUNCTION("""COMPUTED_VALUE"""),6.0)</f>
        <v>6</v>
      </c>
      <c r="J22" s="11">
        <f>IFERROR(__xludf.DUMMYFUNCTION("""COMPUTED_VALUE"""),0.01)</f>
        <v>0.01</v>
      </c>
      <c r="K22" s="11">
        <f>IFERROR(__xludf.DUMMYFUNCTION("""COMPUTED_VALUE"""),0.67)</f>
        <v>0.67</v>
      </c>
    </row>
    <row r="23" ht="15.75" customHeight="1">
      <c r="A23" s="10" t="str">
        <f>IFERROR(__xludf.DUMMYFUNCTION("""COMPUTED_VALUE"""),"https://disruptiveadvertising.com/")</f>
        <v>https://disruptiveadvertising.com/</v>
      </c>
      <c r="B23" s="11" t="str">
        <f>IFERROR(__xludf.DUMMYFUNCTION("""COMPUTED_VALUE"""),"Award-Winning Digital Marketing | Internet Marketing Agency")</f>
        <v>Award-Winning Digital Marketing | Internet Marketing Agency</v>
      </c>
      <c r="C23" s="10" t="str">
        <f>IFERROR(__xludf.DUMMYFUNCTION("""COMPUTED_VALUE"""),"disruptiveadvertising.com")</f>
        <v>disruptiveadvertising.com</v>
      </c>
      <c r="D23" s="11" t="str">
        <f>IFERROR(__xludf.DUMMYFUNCTION("""COMPUTED_VALUE"""),"HOMEPAGE")</f>
        <v>HOMEPAGE</v>
      </c>
      <c r="E23" s="11" t="str">
        <f>IFERROR(__xludf.DUMMYFUNCTION("""COMPUTED_VALUE"""),"COMPETITOR")</f>
        <v>COMPETITOR</v>
      </c>
      <c r="F23" s="11" t="str">
        <f>IFERROR(__xludf.DUMMYFUNCTION("""COMPUTED_VALUE"""),"Homepage")</f>
        <v>Homepage</v>
      </c>
      <c r="G23" s="11" t="b">
        <f>IFERROR(__xludf.DUMMYFUNCTION("""COMPUTED_VALUE"""),FALSE)</f>
        <v>0</v>
      </c>
      <c r="H23" s="11" t="str">
        <f>IFERROR(__xludf.DUMMYFUNCTION("""COMPUTED_VALUE"""),"Disruptive Advertising, Clutch")</f>
        <v>Disruptive Advertising, Clutch</v>
      </c>
      <c r="I23" s="11">
        <f>IFERROR(__xludf.DUMMYFUNCTION("""COMPUTED_VALUE"""),5.0)</f>
        <v>5</v>
      </c>
      <c r="J23" s="11">
        <f>IFERROR(__xludf.DUMMYFUNCTION("""COMPUTED_VALUE"""),0.0)</f>
        <v>0</v>
      </c>
      <c r="K23" s="11">
        <f>IFERROR(__xludf.DUMMYFUNCTION("""COMPUTED_VALUE"""),1.4)</f>
        <v>1.4</v>
      </c>
    </row>
    <row r="24" ht="15.75" customHeight="1">
      <c r="A24" s="10" t="str">
        <f>IFERROR(__xludf.DUMMYFUNCTION("""COMPUTED_VALUE"""),"https://pinemarsh.com/")</f>
        <v>https://pinemarsh.com/</v>
      </c>
      <c r="B24" s="11" t="str">
        <f>IFERROR(__xludf.DUMMYFUNCTION("""COMPUTED_VALUE"""),"Pinemarsh — Independent Marketing Measurement")</f>
        <v>Pinemarsh — Independent Marketing Measurement</v>
      </c>
      <c r="C24" s="10" t="str">
        <f>IFERROR(__xludf.DUMMYFUNCTION("""COMPUTED_VALUE"""),"pinemarsh.com")</f>
        <v>pinemarsh.com</v>
      </c>
      <c r="D24" s="11" t="str">
        <f>IFERROR(__xludf.DUMMYFUNCTION("""COMPUTED_VALUE"""),"HOMEPAGE")</f>
        <v>HOMEPAGE</v>
      </c>
      <c r="E24" s="11" t="str">
        <f>IFERROR(__xludf.DUMMYFUNCTION("""COMPUTED_VALUE"""),"CORPORATE")</f>
        <v>CORPORATE</v>
      </c>
      <c r="F24" s="11" t="str">
        <f>IFERROR(__xludf.DUMMYFUNCTION("""COMPUTED_VALUE"""),"Homepage")</f>
        <v>Homepage</v>
      </c>
      <c r="G24" s="11" t="b">
        <f>IFERROR(__xludf.DUMMYFUNCTION("""COMPUTED_VALUE"""),FALSE)</f>
        <v>0</v>
      </c>
      <c r="H24" s="11"/>
      <c r="I24" s="11">
        <f>IFERROR(__xludf.DUMMYFUNCTION("""COMPUTED_VALUE"""),5.0)</f>
        <v>5</v>
      </c>
      <c r="J24" s="11">
        <f>IFERROR(__xludf.DUMMYFUNCTION("""COMPUTED_VALUE"""),0.0)</f>
        <v>0</v>
      </c>
      <c r="K24" s="11">
        <f>IFERROR(__xludf.DUMMYFUNCTION("""COMPUTED_VALUE"""),1.8)</f>
        <v>1.8</v>
      </c>
    </row>
    <row r="25" ht="15.75" customHeight="1">
      <c r="A25" s="10" t="str">
        <f>IFERROR(__xludf.DUMMYFUNCTION("""COMPUTED_VALUE"""),"https://www.adcountable.com/")</f>
        <v>https://www.adcountable.com/</v>
      </c>
      <c r="B25" s="11"/>
      <c r="C25" s="10" t="str">
        <f>IFERROR(__xludf.DUMMYFUNCTION("""COMPUTED_VALUE"""),"adcountable.com")</f>
        <v>adcountable.com</v>
      </c>
      <c r="D25" s="11" t="str">
        <f>IFERROR(__xludf.DUMMYFUNCTION("""COMPUTED_VALUE"""),"HOMEPAGE")</f>
        <v>HOMEPAGE</v>
      </c>
      <c r="E25" s="11" t="str">
        <f>IFERROR(__xludf.DUMMYFUNCTION("""COMPUTED_VALUE"""),"CORPORATE")</f>
        <v>CORPORATE</v>
      </c>
      <c r="F25" s="11" t="str">
        <f>IFERROR(__xludf.DUMMYFUNCTION("""COMPUTED_VALUE"""),"Homepage")</f>
        <v>Homepage</v>
      </c>
      <c r="G25" s="11"/>
      <c r="H25" s="11" t="str">
        <f>IFERROR(__xludf.DUMMYFUNCTION("""COMPUTED_VALUE"""),"Unknown")</f>
        <v>Unknown</v>
      </c>
      <c r="I25" s="11">
        <f>IFERROR(__xludf.DUMMYFUNCTION("""COMPUTED_VALUE"""),4.0)</f>
        <v>4</v>
      </c>
      <c r="J25" s="11">
        <f>IFERROR(__xludf.DUMMYFUNCTION("""COMPUTED_VALUE"""),0.0)</f>
        <v>0</v>
      </c>
      <c r="K25" s="11">
        <f>IFERROR(__xludf.DUMMYFUNCTION("""COMPUTED_VALUE"""),0.5)</f>
        <v>0.5</v>
      </c>
    </row>
    <row r="26" ht="15.75" customHeight="1">
      <c r="A26" s="10" t="str">
        <f>IFERROR(__xludf.DUMMYFUNCTION("""COMPUTED_VALUE"""),"https://search.agency/")</f>
        <v>https://search.agency/</v>
      </c>
      <c r="B26" s="11" t="str">
        <f>IFERROR(__xludf.DUMMYFUNCTION("""COMPUTED_VALUE"""),"Search Agency: The AI Search, GEO, AEO &amp;amp; SEO Agency")</f>
        <v>Search Agency: The AI Search, GEO, AEO &amp;amp; SEO Agency</v>
      </c>
      <c r="C26" s="11" t="str">
        <f>IFERROR(__xludf.DUMMYFUNCTION("""COMPUTED_VALUE"""),"search.agency")</f>
        <v>search.agency</v>
      </c>
      <c r="D26" s="11" t="str">
        <f>IFERROR(__xludf.DUMMYFUNCTION("""COMPUTED_VALUE"""),"HOMEPAGE")</f>
        <v>HOMEPAGE</v>
      </c>
      <c r="E26" s="11" t="str">
        <f>IFERROR(__xludf.DUMMYFUNCTION("""COMPUTED_VALUE"""),"CORPORATE")</f>
        <v>CORPORATE</v>
      </c>
      <c r="F26" s="11" t="str">
        <f>IFERROR(__xludf.DUMMYFUNCTION("""COMPUTED_VALUE"""),"Homepage")</f>
        <v>Homepage</v>
      </c>
      <c r="G26" s="11" t="b">
        <f>IFERROR(__xludf.DUMMYFUNCTION("""COMPUTED_VALUE"""),FALSE)</f>
        <v>0</v>
      </c>
      <c r="H26" s="11"/>
      <c r="I26" s="11">
        <f>IFERROR(__xludf.DUMMYFUNCTION("""COMPUTED_VALUE"""),4.0)</f>
        <v>4</v>
      </c>
      <c r="J26" s="11">
        <f>IFERROR(__xludf.DUMMYFUNCTION("""COMPUTED_VALUE"""),0.0)</f>
        <v>0</v>
      </c>
      <c r="K26" s="11">
        <f>IFERROR(__xludf.DUMMYFUNCTION("""COMPUTED_VALUE"""),0.0)</f>
        <v>0</v>
      </c>
    </row>
    <row r="27" ht="15.75" customHeight="1">
      <c r="A27" s="10" t="str">
        <f>IFERROR(__xludf.DUMMYFUNCTION("""COMPUTED_VALUE"""),"https://stratevaai.com/")</f>
        <v>https://stratevaai.com/</v>
      </c>
      <c r="B27" s="11"/>
      <c r="C27" s="10" t="str">
        <f>IFERROR(__xludf.DUMMYFUNCTION("""COMPUTED_VALUE"""),"stratevaai.com")</f>
        <v>stratevaai.com</v>
      </c>
      <c r="D27" s="11" t="str">
        <f>IFERROR(__xludf.DUMMYFUNCTION("""COMPUTED_VALUE"""),"HOMEPAGE")</f>
        <v>HOMEPAGE</v>
      </c>
      <c r="E27" s="11" t="str">
        <f>IFERROR(__xludf.DUMMYFUNCTION("""COMPUTED_VALUE"""),"CORPORATE")</f>
        <v>CORPORATE</v>
      </c>
      <c r="F27" s="11" t="str">
        <f>IFERROR(__xludf.DUMMYFUNCTION("""COMPUTED_VALUE"""),"Homepage")</f>
        <v>Homepage</v>
      </c>
      <c r="G27" s="11"/>
      <c r="H27" s="11" t="str">
        <f>IFERROR(__xludf.DUMMYFUNCTION("""COMPUTED_VALUE"""),"Unknown")</f>
        <v>Unknown</v>
      </c>
      <c r="I27" s="11">
        <f>IFERROR(__xludf.DUMMYFUNCTION("""COMPUTED_VALUE"""),4.0)</f>
        <v>4</v>
      </c>
      <c r="J27" s="11">
        <f>IFERROR(__xludf.DUMMYFUNCTION("""COMPUTED_VALUE"""),0.0)</f>
        <v>0</v>
      </c>
      <c r="K27" s="11">
        <f>IFERROR(__xludf.DUMMYFUNCTION("""COMPUTED_VALUE"""),0.0)</f>
        <v>0</v>
      </c>
    </row>
    <row r="28" ht="15.75" customHeight="1">
      <c r="A28" s="10" t="str">
        <f>IFERROR(__xludf.DUMMYFUNCTION("""COMPUTED_VALUE"""),"https://www.aimediagroup.com/")</f>
        <v>https://www.aimediagroup.com/</v>
      </c>
      <c r="B28" s="11" t="str">
        <f>IFERROR(__xludf.DUMMYFUNCTION("""COMPUTED_VALUE"""),"Ai Marketing &amp;amp; Advertising Agency | Ai Media Group")</f>
        <v>Ai Marketing &amp;amp; Advertising Agency | Ai Media Group</v>
      </c>
      <c r="C28" s="10" t="str">
        <f>IFERROR(__xludf.DUMMYFUNCTION("""COMPUTED_VALUE"""),"aimediagroup.com")</f>
        <v>aimediagroup.com</v>
      </c>
      <c r="D28" s="11" t="str">
        <f>IFERROR(__xludf.DUMMYFUNCTION("""COMPUTED_VALUE"""),"HOMEPAGE")</f>
        <v>HOMEPAGE</v>
      </c>
      <c r="E28" s="11" t="str">
        <f>IFERROR(__xludf.DUMMYFUNCTION("""COMPUTED_VALUE"""),"CORPORATE")</f>
        <v>CORPORATE</v>
      </c>
      <c r="F28" s="11" t="str">
        <f>IFERROR(__xludf.DUMMYFUNCTION("""COMPUTED_VALUE"""),"Homepage")</f>
        <v>Homepage</v>
      </c>
      <c r="G28" s="11" t="b">
        <f>IFERROR(__xludf.DUMMYFUNCTION("""COMPUTED_VALUE"""),FALSE)</f>
        <v>0</v>
      </c>
      <c r="H28" s="11" t="str">
        <f>IFERROR(__xludf.DUMMYFUNCTION("""COMPUTED_VALUE"""),"BCG")</f>
        <v>BCG</v>
      </c>
      <c r="I28" s="11">
        <f>IFERROR(__xludf.DUMMYFUNCTION("""COMPUTED_VALUE"""),3.0)</f>
        <v>3</v>
      </c>
      <c r="J28" s="11">
        <f>IFERROR(__xludf.DUMMYFUNCTION("""COMPUTED_VALUE"""),0.0)</f>
        <v>0</v>
      </c>
      <c r="K28" s="11">
        <f>IFERROR(__xludf.DUMMYFUNCTION("""COMPUTED_VALUE"""),0.67)</f>
        <v>0.67</v>
      </c>
    </row>
    <row r="29" ht="15.75" customHeight="1">
      <c r="A29" s="10" t="str">
        <f>IFERROR(__xludf.DUMMYFUNCTION("""COMPUTED_VALUE"""),"https://atelligen.com/")</f>
        <v>https://atelligen.com/</v>
      </c>
      <c r="B29" s="11"/>
      <c r="C29" s="10" t="str">
        <f>IFERROR(__xludf.DUMMYFUNCTION("""COMPUTED_VALUE"""),"atelligen.com")</f>
        <v>atelligen.com</v>
      </c>
      <c r="D29" s="11" t="str">
        <f>IFERROR(__xludf.DUMMYFUNCTION("""COMPUTED_VALUE"""),"HOMEPAGE")</f>
        <v>HOMEPAGE</v>
      </c>
      <c r="E29" s="11" t="str">
        <f>IFERROR(__xludf.DUMMYFUNCTION("""COMPUTED_VALUE"""),"CORPORATE")</f>
        <v>CORPORATE</v>
      </c>
      <c r="F29" s="11" t="str">
        <f>IFERROR(__xludf.DUMMYFUNCTION("""COMPUTED_VALUE"""),"Homepage")</f>
        <v>Homepage</v>
      </c>
      <c r="G29" s="11"/>
      <c r="H29" s="11" t="str">
        <f>IFERROR(__xludf.DUMMYFUNCTION("""COMPUTED_VALUE"""),"Unknown")</f>
        <v>Unknown</v>
      </c>
      <c r="I29" s="11">
        <f>IFERROR(__xludf.DUMMYFUNCTION("""COMPUTED_VALUE"""),3.0)</f>
        <v>3</v>
      </c>
      <c r="J29" s="11">
        <f>IFERROR(__xludf.DUMMYFUNCTION("""COMPUTED_VALUE"""),0.0)</f>
        <v>0</v>
      </c>
      <c r="K29" s="11">
        <f>IFERROR(__xludf.DUMMYFUNCTION("""COMPUTED_VALUE"""),0.0)</f>
        <v>0</v>
      </c>
    </row>
    <row r="30" ht="15.75" customHeight="1">
      <c r="A30" s="10" t="str">
        <f>IFERROR(__xludf.DUMMYFUNCTION("""COMPUTED_VALUE"""),"https://www.baselinemix.com/")</f>
        <v>https://www.baselinemix.com/</v>
      </c>
      <c r="B30" s="11"/>
      <c r="C30" s="10" t="str">
        <f>IFERROR(__xludf.DUMMYFUNCTION("""COMPUTED_VALUE"""),"baselinemix.com")</f>
        <v>baselinemix.com</v>
      </c>
      <c r="D30" s="11" t="str">
        <f>IFERROR(__xludf.DUMMYFUNCTION("""COMPUTED_VALUE"""),"HOMEPAGE")</f>
        <v>HOMEPAGE</v>
      </c>
      <c r="E30" s="11" t="str">
        <f>IFERROR(__xludf.DUMMYFUNCTION("""COMPUTED_VALUE"""),"UGC")</f>
        <v>UGC</v>
      </c>
      <c r="F30" s="11" t="str">
        <f>IFERROR(__xludf.DUMMYFUNCTION("""COMPUTED_VALUE"""),"Homepage")</f>
        <v>Homepage</v>
      </c>
      <c r="G30" s="11"/>
      <c r="H30" s="11" t="str">
        <f>IFERROR(__xludf.DUMMYFUNCTION("""COMPUTED_VALUE"""),"Unknown")</f>
        <v>Unknown</v>
      </c>
      <c r="I30" s="11">
        <f>IFERROR(__xludf.DUMMYFUNCTION("""COMPUTED_VALUE"""),3.0)</f>
        <v>3</v>
      </c>
      <c r="J30" s="11">
        <f>IFERROR(__xludf.DUMMYFUNCTION("""COMPUTED_VALUE"""),0.0)</f>
        <v>0</v>
      </c>
      <c r="K30" s="11">
        <f>IFERROR(__xludf.DUMMYFUNCTION("""COMPUTED_VALUE"""),0.0)</f>
        <v>0</v>
      </c>
    </row>
    <row r="31" ht="15.75" customHeight="1">
      <c r="A31" s="10" t="str">
        <f>IFERROR(__xludf.DUMMYFUNCTION("""COMPUTED_VALUE"""),"https://www.nexusaiconsulting.com/")</f>
        <v>https://www.nexusaiconsulting.com/</v>
      </c>
      <c r="B31" s="11" t="str">
        <f>IFERROR(__xludf.DUMMYFUNCTION("""COMPUTED_VALUE"""),"Home | Nexus AI Consulting")</f>
        <v>Home | Nexus AI Consulting</v>
      </c>
      <c r="C31" s="10" t="str">
        <f>IFERROR(__xludf.DUMMYFUNCTION("""COMPUTED_VALUE"""),"nexusaiconsulting.com")</f>
        <v>nexusaiconsulting.com</v>
      </c>
      <c r="D31" s="11" t="str">
        <f>IFERROR(__xludf.DUMMYFUNCTION("""COMPUTED_VALUE"""),"HOMEPAGE")</f>
        <v>HOMEPAGE</v>
      </c>
      <c r="E31" s="11" t="str">
        <f>IFERROR(__xludf.DUMMYFUNCTION("""COMPUTED_VALUE"""),"CORPORATE")</f>
        <v>CORPORATE</v>
      </c>
      <c r="F31" s="11" t="str">
        <f>IFERROR(__xludf.DUMMYFUNCTION("""COMPUTED_VALUE"""),"Homepage")</f>
        <v>Homepage</v>
      </c>
      <c r="G31" s="11" t="b">
        <f>IFERROR(__xludf.DUMMYFUNCTION("""COMPUTED_VALUE"""),FALSE)</f>
        <v>0</v>
      </c>
      <c r="H31" s="11"/>
      <c r="I31" s="11">
        <f>IFERROR(__xludf.DUMMYFUNCTION("""COMPUTED_VALUE"""),3.0)</f>
        <v>3</v>
      </c>
      <c r="J31" s="11">
        <f>IFERROR(__xludf.DUMMYFUNCTION("""COMPUTED_VALUE"""),0.0)</f>
        <v>0</v>
      </c>
      <c r="K31" s="11">
        <f>IFERROR(__xludf.DUMMYFUNCTION("""COMPUTED_VALUE"""),0.0)</f>
        <v>0</v>
      </c>
    </row>
    <row r="32" ht="15.75" customHeight="1">
      <c r="A32" s="10" t="str">
        <f>IFERROR(__xludf.DUMMYFUNCTION("""COMPUTED_VALUE"""),"https://www.slalom.com/us/en#:~:text=Rethink%20the%20future%20of%20marketing%20with%20modular,Renown%20Health.%20Customer%20Story.%20Healthcare.%20Healthcare%20provider.")</f>
        <v>https://www.slalom.com/us/en#:~:text=Rethink%20the%20future%20of%20marketing%20with%20modular,Renown%20Health.%20Customer%20Story.%20Healthcare.%20Healthcare%20provider.</v>
      </c>
      <c r="B32" s="11" t="str">
        <f>IFERROR(__xludf.DUMMYFUNCTION("""COMPUTED_VALUE"""),"Business consulting firm &amp;amp; AI consulting firm | Slalom")</f>
        <v>Business consulting firm &amp;amp; AI consulting firm | Slalom</v>
      </c>
      <c r="C32" s="10" t="str">
        <f>IFERROR(__xludf.DUMMYFUNCTION("""COMPUTED_VALUE"""),"slalom.com")</f>
        <v>slalom.com</v>
      </c>
      <c r="D32" s="11" t="str">
        <f>IFERROR(__xludf.DUMMYFUNCTION("""COMPUTED_VALUE"""),"HOMEPAGE")</f>
        <v>HOMEPAGE</v>
      </c>
      <c r="E32" s="11" t="str">
        <f>IFERROR(__xludf.DUMMYFUNCTION("""COMPUTED_VALUE"""),"COMPETITOR")</f>
        <v>COMPETITOR</v>
      </c>
      <c r="F32" s="11" t="str">
        <f>IFERROR(__xludf.DUMMYFUNCTION("""COMPUTED_VALUE"""),"Homepage")</f>
        <v>Homepage</v>
      </c>
      <c r="G32" s="11" t="b">
        <f>IFERROR(__xludf.DUMMYFUNCTION("""COMPUTED_VALUE"""),FALSE)</f>
        <v>0</v>
      </c>
      <c r="H32" s="11" t="str">
        <f>IFERROR(__xludf.DUMMYFUNCTION("""COMPUTED_VALUE"""),"Slalom, Momentum")</f>
        <v>Slalom, Momentum</v>
      </c>
      <c r="I32" s="11">
        <f>IFERROR(__xludf.DUMMYFUNCTION("""COMPUTED_VALUE"""),3.0)</f>
        <v>3</v>
      </c>
      <c r="J32" s="11">
        <f>IFERROR(__xludf.DUMMYFUNCTION("""COMPUTED_VALUE"""),0.0)</f>
        <v>0</v>
      </c>
      <c r="K32" s="11">
        <f>IFERROR(__xludf.DUMMYFUNCTION("""COMPUTED_VALUE"""),1.0)</f>
        <v>1</v>
      </c>
    </row>
    <row r="33" ht="15.75" customHeight="1">
      <c r="A33" s="10" t="str">
        <f>IFERROR(__xludf.DUMMYFUNCTION("""COMPUTED_VALUE"""),"https://cygnal.co/")</f>
        <v>https://cygnal.co/</v>
      </c>
      <c r="B33" s="11" t="str">
        <f>IFERROR(__xludf.DUMMYFUNCTION("""COMPUTED_VALUE"""),"AI Change &amp;amp; Enablement Consulting | CYGNAL")</f>
        <v>AI Change &amp;amp; Enablement Consulting | CYGNAL</v>
      </c>
      <c r="C33" s="10" t="str">
        <f>IFERROR(__xludf.DUMMYFUNCTION("""COMPUTED_VALUE"""),"cygnal.co")</f>
        <v>cygnal.co</v>
      </c>
      <c r="D33" s="11" t="str">
        <f>IFERROR(__xludf.DUMMYFUNCTION("""COMPUTED_VALUE"""),"HOMEPAGE")</f>
        <v>HOMEPAGE</v>
      </c>
      <c r="E33" s="11" t="str">
        <f>IFERROR(__xludf.DUMMYFUNCTION("""COMPUTED_VALUE"""),"CORPORATE")</f>
        <v>CORPORATE</v>
      </c>
      <c r="F33" s="11" t="str">
        <f>IFERROR(__xludf.DUMMYFUNCTION("""COMPUTED_VALUE"""),"Homepage")</f>
        <v>Homepage</v>
      </c>
      <c r="G33" s="11" t="b">
        <f>IFERROR(__xludf.DUMMYFUNCTION("""COMPUTED_VALUE"""),FALSE)</f>
        <v>0</v>
      </c>
      <c r="H33" s="11"/>
      <c r="I33" s="11">
        <f>IFERROR(__xludf.DUMMYFUNCTION("""COMPUTED_VALUE"""),2.0)</f>
        <v>2</v>
      </c>
      <c r="J33" s="11">
        <f>IFERROR(__xludf.DUMMYFUNCTION("""COMPUTED_VALUE"""),0.0)</f>
        <v>0</v>
      </c>
      <c r="K33" s="11">
        <f>IFERROR(__xludf.DUMMYFUNCTION("""COMPUTED_VALUE"""),0.0)</f>
        <v>0</v>
      </c>
    </row>
    <row r="34" ht="15.75" customHeight="1">
      <c r="A34" s="10" t="str">
        <f>IFERROR(__xludf.DUMMYFUNCTION("""COMPUTED_VALUE"""),"https://dawnmarketing.com/")</f>
        <v>https://dawnmarketing.com/</v>
      </c>
      <c r="B34" s="11" t="str">
        <f>IFERROR(__xludf.DUMMYFUNCTION("""COMPUTED_VALUE"""),"DAWN Marketing")</f>
        <v>DAWN Marketing</v>
      </c>
      <c r="C34" s="10" t="str">
        <f>IFERROR(__xludf.DUMMYFUNCTION("""COMPUTED_VALUE"""),"dawnmarketing.com")</f>
        <v>dawnmarketing.com</v>
      </c>
      <c r="D34" s="11" t="str">
        <f>IFERROR(__xludf.DUMMYFUNCTION("""COMPUTED_VALUE"""),"HOMEPAGE")</f>
        <v>HOMEPAGE</v>
      </c>
      <c r="E34" s="11" t="str">
        <f>IFERROR(__xludf.DUMMYFUNCTION("""COMPUTED_VALUE"""),"CORPORATE")</f>
        <v>CORPORATE</v>
      </c>
      <c r="F34" s="11" t="str">
        <f>IFERROR(__xludf.DUMMYFUNCTION("""COMPUTED_VALUE"""),"Homepage")</f>
        <v>Homepage</v>
      </c>
      <c r="G34" s="11" t="b">
        <f>IFERROR(__xludf.DUMMYFUNCTION("""COMPUTED_VALUE"""),FALSE)</f>
        <v>0</v>
      </c>
      <c r="H34" s="11" t="str">
        <f>IFERROR(__xludf.DUMMYFUNCTION("""COMPUTED_VALUE"""),"Momentum")</f>
        <v>Momentum</v>
      </c>
      <c r="I34" s="11">
        <f>IFERROR(__xludf.DUMMYFUNCTION("""COMPUTED_VALUE"""),2.0)</f>
        <v>2</v>
      </c>
      <c r="J34" s="11">
        <f>IFERROR(__xludf.DUMMYFUNCTION("""COMPUTED_VALUE"""),0.0)</f>
        <v>0</v>
      </c>
      <c r="K34" s="11">
        <f>IFERROR(__xludf.DUMMYFUNCTION("""COMPUTED_VALUE"""),0.0)</f>
        <v>0</v>
      </c>
    </row>
    <row r="35" ht="15.75" customHeight="1">
      <c r="A35" s="10" t="str">
        <f>IFERROR(__xludf.DUMMYFUNCTION("""COMPUTED_VALUE"""),"https://hivergentai.com/")</f>
        <v>https://hivergentai.com/</v>
      </c>
      <c r="B35" s="11" t="str">
        <f>IFERROR(__xludf.DUMMYFUNCTION("""COMPUTED_VALUE"""),"AI Automation Consultant Dallas &amp;amp; Fort Worth | HiVergent AI")</f>
        <v>AI Automation Consultant Dallas &amp;amp; Fort Worth | HiVergent AI</v>
      </c>
      <c r="C35" s="10" t="str">
        <f>IFERROR(__xludf.DUMMYFUNCTION("""COMPUTED_VALUE"""),"hivergentai.com")</f>
        <v>hivergentai.com</v>
      </c>
      <c r="D35" s="11" t="str">
        <f>IFERROR(__xludf.DUMMYFUNCTION("""COMPUTED_VALUE"""),"HOMEPAGE")</f>
        <v>HOMEPAGE</v>
      </c>
      <c r="E35" s="11" t="str">
        <f>IFERROR(__xludf.DUMMYFUNCTION("""COMPUTED_VALUE"""),"CORPORATE")</f>
        <v>CORPORATE</v>
      </c>
      <c r="F35" s="11" t="str">
        <f>IFERROR(__xludf.DUMMYFUNCTION("""COMPUTED_VALUE"""),"Homepage")</f>
        <v>Homepage</v>
      </c>
      <c r="G35" s="11" t="b">
        <f>IFERROR(__xludf.DUMMYFUNCTION("""COMPUTED_VALUE"""),FALSE)</f>
        <v>0</v>
      </c>
      <c r="H35" s="11" t="str">
        <f>IFERROR(__xludf.DUMMYFUNCTION("""COMPUTED_VALUE"""),"McKinsey, QuantumBlack")</f>
        <v>McKinsey, QuantumBlack</v>
      </c>
      <c r="I35" s="11">
        <f>IFERROR(__xludf.DUMMYFUNCTION("""COMPUTED_VALUE"""),2.0)</f>
        <v>2</v>
      </c>
      <c r="J35" s="11">
        <f>IFERROR(__xludf.DUMMYFUNCTION("""COMPUTED_VALUE"""),0.0)</f>
        <v>0</v>
      </c>
      <c r="K35" s="11">
        <f>IFERROR(__xludf.DUMMYFUNCTION("""COMPUTED_VALUE"""),0.0)</f>
        <v>0</v>
      </c>
    </row>
    <row r="36" ht="15.75" customHeight="1">
      <c r="A36" s="10" t="str">
        <f>IFERROR(__xludf.DUMMYFUNCTION("""COMPUTED_VALUE"""),"https://www.incrmntal.com/")</f>
        <v>https://www.incrmntal.com/</v>
      </c>
      <c r="B36" s="11" t="str">
        <f>IFERROR(__xludf.DUMMYFUNCTION("""COMPUTED_VALUE"""),"AI-Powered Incremental Marketing &amp;amp; Measurement | INCRMNTAL")</f>
        <v>AI-Powered Incremental Marketing &amp;amp; Measurement | INCRMNTAL</v>
      </c>
      <c r="C36" s="10" t="str">
        <f>IFERROR(__xludf.DUMMYFUNCTION("""COMPUTED_VALUE"""),"incrmntal.com")</f>
        <v>incrmntal.com</v>
      </c>
      <c r="D36" s="11" t="str">
        <f>IFERROR(__xludf.DUMMYFUNCTION("""COMPUTED_VALUE"""),"HOMEPAGE")</f>
        <v>HOMEPAGE</v>
      </c>
      <c r="E36" s="11" t="str">
        <f>IFERROR(__xludf.DUMMYFUNCTION("""COMPUTED_VALUE"""),"COMPETITOR")</f>
        <v>COMPETITOR</v>
      </c>
      <c r="F36" s="11" t="str">
        <f>IFERROR(__xludf.DUMMYFUNCTION("""COMPUTED_VALUE"""),"Homepage")</f>
        <v>Homepage</v>
      </c>
      <c r="G36" s="11" t="b">
        <f>IFERROR(__xludf.DUMMYFUNCTION("""COMPUTED_VALUE"""),FALSE)</f>
        <v>0</v>
      </c>
      <c r="H36" s="11" t="str">
        <f>IFERROR(__xludf.DUMMYFUNCTION("""COMPUTED_VALUE"""),"INCRMNTAL, Anomaly, Measured")</f>
        <v>INCRMNTAL, Anomaly, Measured</v>
      </c>
      <c r="I36" s="11">
        <f>IFERROR(__xludf.DUMMYFUNCTION("""COMPUTED_VALUE"""),2.0)</f>
        <v>2</v>
      </c>
      <c r="J36" s="11">
        <f>IFERROR(__xludf.DUMMYFUNCTION("""COMPUTED_VALUE"""),0.0)</f>
        <v>0</v>
      </c>
      <c r="K36" s="11">
        <f>IFERROR(__xludf.DUMMYFUNCTION("""COMPUTED_VALUE"""),1.0)</f>
        <v>1</v>
      </c>
    </row>
    <row r="37" ht="15.75" customHeight="1">
      <c r="A37" s="10" t="str">
        <f>IFERROR(__xludf.DUMMYFUNCTION("""COMPUTED_VALUE"""),"https://liftlab.com/")</f>
        <v>https://liftlab.com/</v>
      </c>
      <c r="B37" s="11" t="str">
        <f>IFERROR(__xludf.DUMMYFUNCTION("""COMPUTED_VALUE"""),"Agile MMM &amp;amp; Incrementality Testing Built for Growth Leaders | LiftLab")</f>
        <v>Agile MMM &amp;amp; Incrementality Testing Built for Growth Leaders | LiftLab</v>
      </c>
      <c r="C37" s="10" t="str">
        <f>IFERROR(__xludf.DUMMYFUNCTION("""COMPUTED_VALUE"""),"liftlab.com")</f>
        <v>liftlab.com</v>
      </c>
      <c r="D37" s="11" t="str">
        <f>IFERROR(__xludf.DUMMYFUNCTION("""COMPUTED_VALUE"""),"HOMEPAGE")</f>
        <v>HOMEPAGE</v>
      </c>
      <c r="E37" s="11" t="str">
        <f>IFERROR(__xludf.DUMMYFUNCTION("""COMPUTED_VALUE"""),"COMPETITOR")</f>
        <v>COMPETITOR</v>
      </c>
      <c r="F37" s="11" t="str">
        <f>IFERROR(__xludf.DUMMYFUNCTION("""COMPUTED_VALUE"""),"Homepage")</f>
        <v>Homepage</v>
      </c>
      <c r="G37" s="11" t="b">
        <f>IFERROR(__xludf.DUMMYFUNCTION("""COMPUTED_VALUE"""),FALSE)</f>
        <v>0</v>
      </c>
      <c r="H37" s="11" t="str">
        <f>IFERROR(__xludf.DUMMYFUNCTION("""COMPUTED_VALUE"""),"LiftLab")</f>
        <v>LiftLab</v>
      </c>
      <c r="I37" s="11">
        <f>IFERROR(__xludf.DUMMYFUNCTION("""COMPUTED_VALUE"""),2.0)</f>
        <v>2</v>
      </c>
      <c r="J37" s="11">
        <f>IFERROR(__xludf.DUMMYFUNCTION("""COMPUTED_VALUE"""),0.0)</f>
        <v>0</v>
      </c>
      <c r="K37" s="11">
        <f>IFERROR(__xludf.DUMMYFUNCTION("""COMPUTED_VALUE"""),0.0)</f>
        <v>0</v>
      </c>
    </row>
    <row r="38" ht="15.75" customHeight="1">
      <c r="A38" s="10" t="str">
        <f>IFERROR(__xludf.DUMMYFUNCTION("""COMPUTED_VALUE"""),"https://www.marketingattribution.com/")</f>
        <v>https://www.marketingattribution.com/</v>
      </c>
      <c r="B38" s="11" t="str">
        <f>IFERROR(__xludf.DUMMYFUNCTION("""COMPUTED_VALUE"""),"Know What Works | Marketing Attribution")</f>
        <v>Know What Works | Marketing Attribution</v>
      </c>
      <c r="C38" s="10" t="str">
        <f>IFERROR(__xludf.DUMMYFUNCTION("""COMPUTED_VALUE"""),"marketingattribution.com")</f>
        <v>marketingattribution.com</v>
      </c>
      <c r="D38" s="11" t="str">
        <f>IFERROR(__xludf.DUMMYFUNCTION("""COMPUTED_VALUE"""),"HOMEPAGE")</f>
        <v>HOMEPAGE</v>
      </c>
      <c r="E38" s="11" t="str">
        <f>IFERROR(__xludf.DUMMYFUNCTION("""COMPUTED_VALUE"""),"CORPORATE")</f>
        <v>CORPORATE</v>
      </c>
      <c r="F38" s="11" t="str">
        <f>IFERROR(__xludf.DUMMYFUNCTION("""COMPUTED_VALUE"""),"Homepage")</f>
        <v>Homepage</v>
      </c>
      <c r="G38" s="11" t="b">
        <f>IFERROR(__xludf.DUMMYFUNCTION("""COMPUTED_VALUE"""),FALSE)</f>
        <v>0</v>
      </c>
      <c r="H38" s="11" t="str">
        <f>IFERROR(__xludf.DUMMYFUNCTION("""COMPUTED_VALUE"""),"Nielsen")</f>
        <v>Nielsen</v>
      </c>
      <c r="I38" s="11">
        <f>IFERROR(__xludf.DUMMYFUNCTION("""COMPUTED_VALUE"""),2.0)</f>
        <v>2</v>
      </c>
      <c r="J38" s="11">
        <f>IFERROR(__xludf.DUMMYFUNCTION("""COMPUTED_VALUE"""),0.0)</f>
        <v>0</v>
      </c>
      <c r="K38" s="11">
        <f>IFERROR(__xludf.DUMMYFUNCTION("""COMPUTED_VALUE"""),2.0)</f>
        <v>2</v>
      </c>
    </row>
    <row r="39" ht="15.75" customHeight="1">
      <c r="A39" s="10" t="str">
        <f>IFERROR(__xludf.DUMMYFUNCTION("""COMPUTED_VALUE"""),"https://www.nga.mil/#:~:text=NGA%20enables%20the%20U.S.%20intelligence%20community%20and,in%20St.%20Louis%2C%20Missouri%20and%20Arnold%2C%20Missouri.")</f>
        <v>https://www.nga.mil/#:~:text=NGA%20enables%20the%20U.S.%20intelligence%20community%20and,in%20St.%20Louis%2C%20Missouri%20and%20Arnold%2C%20Missouri.</v>
      </c>
      <c r="B39" s="11" t="str">
        <f>IFERROR(__xludf.DUMMYFUNCTION("""COMPUTED_VALUE"""),"Home | National Geospatial-Intelligence Agency")</f>
        <v>Home | National Geospatial-Intelligence Agency</v>
      </c>
      <c r="C39" s="10" t="str">
        <f>IFERROR(__xludf.DUMMYFUNCTION("""COMPUTED_VALUE"""),"nga.mil")</f>
        <v>nga.mil</v>
      </c>
      <c r="D39" s="11" t="str">
        <f>IFERROR(__xludf.DUMMYFUNCTION("""COMPUTED_VALUE"""),"HOMEPAGE")</f>
        <v>HOMEPAGE</v>
      </c>
      <c r="E39" s="11" t="str">
        <f>IFERROR(__xludf.DUMMYFUNCTION("""COMPUTED_VALUE"""),"INSTITUTIONAL")</f>
        <v>INSTITUTIONAL</v>
      </c>
      <c r="F39" s="11" t="str">
        <f>IFERROR(__xludf.DUMMYFUNCTION("""COMPUTED_VALUE"""),"Homepage")</f>
        <v>Homepage</v>
      </c>
      <c r="G39" s="11" t="b">
        <f>IFERROR(__xludf.DUMMYFUNCTION("""COMPUTED_VALUE"""),FALSE)</f>
        <v>0</v>
      </c>
      <c r="H39" s="11"/>
      <c r="I39" s="11">
        <f>IFERROR(__xludf.DUMMYFUNCTION("""COMPUTED_VALUE"""),2.0)</f>
        <v>2</v>
      </c>
      <c r="J39" s="11">
        <f>IFERROR(__xludf.DUMMYFUNCTION("""COMPUTED_VALUE"""),0.0)</f>
        <v>0</v>
      </c>
      <c r="K39" s="11">
        <f>IFERROR(__xludf.DUMMYFUNCTION("""COMPUTED_VALUE"""),1.5)</f>
        <v>1.5</v>
      </c>
    </row>
    <row r="40" ht="15.75" customHeight="1">
      <c r="A40" s="10" t="str">
        <f>IFERROR(__xludf.DUMMYFUNCTION("""COMPUTED_VALUE"""),"https://www.shiftelevates.com/")</f>
        <v>https://www.shiftelevates.com/</v>
      </c>
      <c r="B40" s="11" t="str">
        <f>IFERROR(__xludf.DUMMYFUNCTION("""COMPUTED_VALUE"""),"AI Adoption Advisory | AI transformation consulting")</f>
        <v>AI Adoption Advisory | AI transformation consulting</v>
      </c>
      <c r="C40" s="10" t="str">
        <f>IFERROR(__xludf.DUMMYFUNCTION("""COMPUTED_VALUE"""),"shiftelevates.com")</f>
        <v>shiftelevates.com</v>
      </c>
      <c r="D40" s="11" t="str">
        <f>IFERROR(__xludf.DUMMYFUNCTION("""COMPUTED_VALUE"""),"HOMEPAGE")</f>
        <v>HOMEPAGE</v>
      </c>
      <c r="E40" s="11" t="str">
        <f>IFERROR(__xludf.DUMMYFUNCTION("""COMPUTED_VALUE"""),"CORPORATE")</f>
        <v>CORPORATE</v>
      </c>
      <c r="F40" s="11" t="str">
        <f>IFERROR(__xludf.DUMMYFUNCTION("""COMPUTED_VALUE"""),"Homepage")</f>
        <v>Homepage</v>
      </c>
      <c r="G40" s="11" t="b">
        <f>IFERROR(__xludf.DUMMYFUNCTION("""COMPUTED_VALUE"""),FALSE)</f>
        <v>0</v>
      </c>
      <c r="H40" s="11"/>
      <c r="I40" s="11">
        <f>IFERROR(__xludf.DUMMYFUNCTION("""COMPUTED_VALUE"""),2.0)</f>
        <v>2</v>
      </c>
      <c r="J40" s="11">
        <f>IFERROR(__xludf.DUMMYFUNCTION("""COMPUTED_VALUE"""),0.0)</f>
        <v>0</v>
      </c>
      <c r="K40" s="11">
        <f>IFERROR(__xludf.DUMMYFUNCTION("""COMPUTED_VALUE"""),1.0)</f>
        <v>1</v>
      </c>
    </row>
    <row r="41" ht="15.75" customHeight="1">
      <c r="A41" s="10" t="str">
        <f>IFERROR(__xludf.DUMMYFUNCTION("""COMPUTED_VALUE"""),"https://www.siegemedia.com/")</f>
        <v>https://www.siegemedia.com/</v>
      </c>
      <c r="B41" s="11" t="str">
        <f>IFERROR(__xludf.DUMMYFUNCTION("""COMPUTED_VALUE"""),"Full-Service GEO Agency for Brands")</f>
        <v>Full-Service GEO Agency for Brands</v>
      </c>
      <c r="C41" s="10" t="str">
        <f>IFERROR(__xludf.DUMMYFUNCTION("""COMPUTED_VALUE"""),"siegemedia.com")</f>
        <v>siegemedia.com</v>
      </c>
      <c r="D41" s="11" t="str">
        <f>IFERROR(__xludf.DUMMYFUNCTION("""COMPUTED_VALUE"""),"HOMEPAGE")</f>
        <v>HOMEPAGE</v>
      </c>
      <c r="E41" s="11" t="str">
        <f>IFERROR(__xludf.DUMMYFUNCTION("""COMPUTED_VALUE"""),"COMPETITOR")</f>
        <v>COMPETITOR</v>
      </c>
      <c r="F41" s="11" t="str">
        <f>IFERROR(__xludf.DUMMYFUNCTION("""COMPUTED_VALUE"""),"Homepage")</f>
        <v>Homepage</v>
      </c>
      <c r="G41" s="11" t="b">
        <f>IFERROR(__xludf.DUMMYFUNCTION("""COMPUTED_VALUE"""),FALSE)</f>
        <v>0</v>
      </c>
      <c r="H41" s="11" t="str">
        <f>IFERROR(__xludf.DUMMYFUNCTION("""COMPUTED_VALUE"""),"Siege Media")</f>
        <v>Siege Media</v>
      </c>
      <c r="I41" s="11">
        <f>IFERROR(__xludf.DUMMYFUNCTION("""COMPUTED_VALUE"""),2.0)</f>
        <v>2</v>
      </c>
      <c r="J41" s="11">
        <f>IFERROR(__xludf.DUMMYFUNCTION("""COMPUTED_VALUE"""),0.0)</f>
        <v>0</v>
      </c>
      <c r="K41" s="11">
        <f>IFERROR(__xludf.DUMMYFUNCTION("""COMPUTED_VALUE"""),2.0)</f>
        <v>2</v>
      </c>
    </row>
    <row r="42" ht="15.75" customHeight="1">
      <c r="A42" s="10" t="str">
        <f>IFERROR(__xludf.DUMMYFUNCTION("""COMPUTED_VALUE"""),"https://www.signaldepth.com/")</f>
        <v>https://www.signaldepth.com/</v>
      </c>
      <c r="B42" s="11" t="str">
        <f>IFERROR(__xludf.DUMMYFUNCTION("""COMPUTED_VALUE"""),"Signal Depth: Incrementality Testing for Marketers")</f>
        <v>Signal Depth: Incrementality Testing for Marketers</v>
      </c>
      <c r="C42" s="10" t="str">
        <f>IFERROR(__xludf.DUMMYFUNCTION("""COMPUTED_VALUE"""),"signaldepth.com")</f>
        <v>signaldepth.com</v>
      </c>
      <c r="D42" s="11" t="str">
        <f>IFERROR(__xludf.DUMMYFUNCTION("""COMPUTED_VALUE"""),"HOMEPAGE")</f>
        <v>HOMEPAGE</v>
      </c>
      <c r="E42" s="11" t="str">
        <f>IFERROR(__xludf.DUMMYFUNCTION("""COMPUTED_VALUE"""),"CORPORATE")</f>
        <v>CORPORATE</v>
      </c>
      <c r="F42" s="11" t="str">
        <f>IFERROR(__xludf.DUMMYFUNCTION("""COMPUTED_VALUE"""),"Homepage")</f>
        <v>Homepage</v>
      </c>
      <c r="G42" s="11" t="b">
        <f>IFERROR(__xludf.DUMMYFUNCTION("""COMPUTED_VALUE"""),FALSE)</f>
        <v>0</v>
      </c>
      <c r="H42" s="11"/>
      <c r="I42" s="11">
        <f>IFERROR(__xludf.DUMMYFUNCTION("""COMPUTED_VALUE"""),2.0)</f>
        <v>2</v>
      </c>
      <c r="J42" s="11">
        <f>IFERROR(__xludf.DUMMYFUNCTION("""COMPUTED_VALUE"""),0.0)</f>
        <v>0</v>
      </c>
      <c r="K42" s="11">
        <f>IFERROR(__xludf.DUMMYFUNCTION("""COMPUTED_VALUE"""),1.0)</f>
        <v>1</v>
      </c>
    </row>
    <row r="43" ht="15.75" customHeight="1">
      <c r="A43" s="10" t="str">
        <f>IFERROR(__xludf.DUMMYFUNCTION("""COMPUTED_VALUE"""),"https://www.wk.com/")</f>
        <v>https://www.wk.com/</v>
      </c>
      <c r="B43" s="11" t="str">
        <f>IFERROR(__xludf.DUMMYFUNCTION("""COMPUTED_VALUE"""),"An independent creative network | Wieden+Kennedy")</f>
        <v>An independent creative network | Wieden+Kennedy</v>
      </c>
      <c r="C43" s="10" t="str">
        <f>IFERROR(__xludf.DUMMYFUNCTION("""COMPUTED_VALUE"""),"wk.com")</f>
        <v>wk.com</v>
      </c>
      <c r="D43" s="11" t="str">
        <f>IFERROR(__xludf.DUMMYFUNCTION("""COMPUTED_VALUE"""),"HOMEPAGE")</f>
        <v>HOMEPAGE</v>
      </c>
      <c r="E43" s="11" t="str">
        <f>IFERROR(__xludf.DUMMYFUNCTION("""COMPUTED_VALUE"""),"COMPETITOR")</f>
        <v>COMPETITOR</v>
      </c>
      <c r="F43" s="11" t="str">
        <f>IFERROR(__xludf.DUMMYFUNCTION("""COMPUTED_VALUE"""),"Homepage")</f>
        <v>Homepage</v>
      </c>
      <c r="G43" s="11" t="b">
        <f>IFERROR(__xludf.DUMMYFUNCTION("""COMPUTED_VALUE"""),FALSE)</f>
        <v>0</v>
      </c>
      <c r="H43" s="11"/>
      <c r="I43" s="11">
        <f>IFERROR(__xludf.DUMMYFUNCTION("""COMPUTED_VALUE"""),2.0)</f>
        <v>2</v>
      </c>
      <c r="J43" s="11">
        <f>IFERROR(__xludf.DUMMYFUNCTION("""COMPUTED_VALUE"""),0.0)</f>
        <v>0</v>
      </c>
      <c r="K43" s="11">
        <f>IFERROR(__xludf.DUMMYFUNCTION("""COMPUTED_VALUE"""),0.5)</f>
        <v>0.5</v>
      </c>
    </row>
    <row r="44" ht="15.75" customHeight="1">
      <c r="A44" s="10" t="str">
        <f>IFERROR(__xludf.DUMMYFUNCTION("""COMPUTED_VALUE"""),"https://www.617collective.com/")</f>
        <v>https://www.617collective.com/</v>
      </c>
      <c r="B44" s="11" t="str">
        <f>IFERROR(__xludf.DUMMYFUNCTION("""COMPUTED_VALUE"""),"617 Collective | Scaling Influencer Marketing Agencies Without Roll-Ups | 617 Collective LLC")</f>
        <v>617 Collective | Scaling Influencer Marketing Agencies Without Roll-Ups | 617 Collective LLC</v>
      </c>
      <c r="C44" s="10" t="str">
        <f>IFERROR(__xludf.DUMMYFUNCTION("""COMPUTED_VALUE"""),"617collective.com")</f>
        <v>617collective.com</v>
      </c>
      <c r="D44" s="11" t="str">
        <f>IFERROR(__xludf.DUMMYFUNCTION("""COMPUTED_VALUE"""),"HOMEPAGE")</f>
        <v>HOMEPAGE</v>
      </c>
      <c r="E44" s="11" t="str">
        <f>IFERROR(__xludf.DUMMYFUNCTION("""COMPUTED_VALUE"""),"CORPORATE")</f>
        <v>CORPORATE</v>
      </c>
      <c r="F44" s="11" t="str">
        <f>IFERROR(__xludf.DUMMYFUNCTION("""COMPUTED_VALUE"""),"Homepage")</f>
        <v>Homepage</v>
      </c>
      <c r="G44" s="11" t="b">
        <f>IFERROR(__xludf.DUMMYFUNCTION("""COMPUTED_VALUE"""),FALSE)</f>
        <v>0</v>
      </c>
      <c r="H44" s="11"/>
      <c r="I44" s="11">
        <f>IFERROR(__xludf.DUMMYFUNCTION("""COMPUTED_VALUE"""),1.0)</f>
        <v>1</v>
      </c>
      <c r="J44" s="11">
        <f>IFERROR(__xludf.DUMMYFUNCTION("""COMPUTED_VALUE"""),0.0)</f>
        <v>0</v>
      </c>
      <c r="K44" s="11">
        <f>IFERROR(__xludf.DUMMYFUNCTION("""COMPUTED_VALUE"""),0.0)</f>
        <v>0</v>
      </c>
    </row>
    <row r="45" ht="15.75" customHeight="1">
      <c r="A45" s="10" t="str">
        <f>IFERROR(__xludf.DUMMYFUNCTION("""COMPUTED_VALUE"""),"https://www.72andsunny.com/")</f>
        <v>https://www.72andsunny.com/</v>
      </c>
      <c r="B45" s="11" t="str">
        <f>IFERROR(__xludf.DUMMYFUNCTION("""COMPUTED_VALUE"""),"72andSunny")</f>
        <v>72andSunny</v>
      </c>
      <c r="C45" s="10" t="str">
        <f>IFERROR(__xludf.DUMMYFUNCTION("""COMPUTED_VALUE"""),"72andsunny.com")</f>
        <v>72andsunny.com</v>
      </c>
      <c r="D45" s="11" t="str">
        <f>IFERROR(__xludf.DUMMYFUNCTION("""COMPUTED_VALUE"""),"HOMEPAGE")</f>
        <v>HOMEPAGE</v>
      </c>
      <c r="E45" s="11" t="str">
        <f>IFERROR(__xludf.DUMMYFUNCTION("""COMPUTED_VALUE"""),"COMPETITOR")</f>
        <v>COMPETITOR</v>
      </c>
      <c r="F45" s="11" t="str">
        <f>IFERROR(__xludf.DUMMYFUNCTION("""COMPUTED_VALUE"""),"Homepage")</f>
        <v>Homepage</v>
      </c>
      <c r="G45" s="11" t="b">
        <f>IFERROR(__xludf.DUMMYFUNCTION("""COMPUTED_VALUE"""),FALSE)</f>
        <v>0</v>
      </c>
      <c r="H45" s="11" t="str">
        <f>IFERROR(__xludf.DUMMYFUNCTION("""COMPUTED_VALUE"""),"72andSunny")</f>
        <v>72andSunny</v>
      </c>
      <c r="I45" s="11">
        <f>IFERROR(__xludf.DUMMYFUNCTION("""COMPUTED_VALUE"""),1.0)</f>
        <v>1</v>
      </c>
      <c r="J45" s="11">
        <f>IFERROR(__xludf.DUMMYFUNCTION("""COMPUTED_VALUE"""),0.0)</f>
        <v>0</v>
      </c>
      <c r="K45" s="11">
        <f>IFERROR(__xludf.DUMMYFUNCTION("""COMPUTED_VALUE"""),1.0)</f>
        <v>1</v>
      </c>
    </row>
    <row r="46" ht="15.75" customHeight="1">
      <c r="A46" s="10" t="str">
        <f>IFERROR(__xludf.DUMMYFUNCTION("""COMPUTED_VALUE"""),"https://www.accentmarketing.com/")</f>
        <v>https://www.accentmarketing.com/</v>
      </c>
      <c r="B46" s="11"/>
      <c r="C46" s="10" t="str">
        <f>IFERROR(__xludf.DUMMYFUNCTION("""COMPUTED_VALUE"""),"accentmarketing.com")</f>
        <v>accentmarketing.com</v>
      </c>
      <c r="D46" s="11" t="str">
        <f>IFERROR(__xludf.DUMMYFUNCTION("""COMPUTED_VALUE"""),"HOMEPAGE")</f>
        <v>HOMEPAGE</v>
      </c>
      <c r="E46" s="11" t="str">
        <f>IFERROR(__xludf.DUMMYFUNCTION("""COMPUTED_VALUE"""),"CORPORATE")</f>
        <v>CORPORATE</v>
      </c>
      <c r="F46" s="11" t="str">
        <f>IFERROR(__xludf.DUMMYFUNCTION("""COMPUTED_VALUE"""),"Homepage")</f>
        <v>Homepage</v>
      </c>
      <c r="G46" s="11"/>
      <c r="H46" s="11" t="str">
        <f>IFERROR(__xludf.DUMMYFUNCTION("""COMPUTED_VALUE"""),"Unknown")</f>
        <v>Unknown</v>
      </c>
      <c r="I46" s="11">
        <f>IFERROR(__xludf.DUMMYFUNCTION("""COMPUTED_VALUE"""),1.0)</f>
        <v>1</v>
      </c>
      <c r="J46" s="11">
        <f>IFERROR(__xludf.DUMMYFUNCTION("""COMPUTED_VALUE"""),0.0)</f>
        <v>0</v>
      </c>
      <c r="K46" s="11">
        <f>IFERROR(__xludf.DUMMYFUNCTION("""COMPUTED_VALUE"""),1.0)</f>
        <v>1</v>
      </c>
    </row>
    <row r="47" ht="15.75" customHeight="1">
      <c r="A47" s="10" t="str">
        <f>IFERROR(__xludf.DUMMYFUNCTION("""COMPUTED_VALUE"""),"https://adagealist.secure-platform.com/")</f>
        <v>https://adagealist.secure-platform.com/</v>
      </c>
      <c r="B47" s="11" t="str">
        <f>IFERROR(__xludf.DUMMYFUNCTION("""COMPUTED_VALUE"""),"Ad Age - A-List &amp; Creativity Awards")</f>
        <v>Ad Age - A-List &amp; Creativity Awards</v>
      </c>
      <c r="C47" s="10" t="str">
        <f>IFERROR(__xludf.DUMMYFUNCTION("""COMPUTED_VALUE"""),"secure-platform.com")</f>
        <v>secure-platform.com</v>
      </c>
      <c r="D47" s="11" t="str">
        <f>IFERROR(__xludf.DUMMYFUNCTION("""COMPUTED_VALUE"""),"HOMEPAGE")</f>
        <v>HOMEPAGE</v>
      </c>
      <c r="E47" s="11" t="str">
        <f>IFERROR(__xludf.DUMMYFUNCTION("""COMPUTED_VALUE"""),"OTHER")</f>
        <v>OTHER</v>
      </c>
      <c r="F47" s="11" t="str">
        <f>IFERROR(__xludf.DUMMYFUNCTION("""COMPUTED_VALUE"""),"Homepage")</f>
        <v>Homepage</v>
      </c>
      <c r="G47" s="11" t="b">
        <f>IFERROR(__xludf.DUMMYFUNCTION("""COMPUTED_VALUE"""),FALSE)</f>
        <v>0</v>
      </c>
      <c r="H47" s="11" t="str">
        <f>IFERROR(__xludf.DUMMYFUNCTION("""COMPUTED_VALUE"""),"VML, Momentum, 72andSunny, Publicis Groupe, Wieden+Kennedy, BBDO, WPP, Ogilvy, Droga5, Digitas, R/GA, Forthea")</f>
        <v>VML, Momentum, 72andSunny, Publicis Groupe, Wieden+Kennedy, BBDO, WPP, Ogilvy, Droga5, Digitas, R/GA, Forthea</v>
      </c>
      <c r="I47" s="11">
        <f>IFERROR(__xludf.DUMMYFUNCTION("""COMPUTED_VALUE"""),1.0)</f>
        <v>1</v>
      </c>
      <c r="J47" s="11">
        <f>IFERROR(__xludf.DUMMYFUNCTION("""COMPUTED_VALUE"""),0.0)</f>
        <v>0</v>
      </c>
      <c r="K47" s="11">
        <f>IFERROR(__xludf.DUMMYFUNCTION("""COMPUTED_VALUE"""),1.0)</f>
        <v>1</v>
      </c>
    </row>
    <row r="48" ht="15.75" customHeight="1">
      <c r="A48" s="10" t="str">
        <f>IFERROR(__xludf.DUMMYFUNCTION("""COMPUTED_VALUE"""),"http://www.adlucent.a3online.com/")</f>
        <v>http://www.adlucent.a3online.com/</v>
      </c>
      <c r="B48" s="11" t="str">
        <f>IFERROR(__xludf.DUMMYFUNCTION("""COMPUTED_VALUE"""),"Home ‹ Adlucent: Online Retail Internet Marketing")</f>
        <v>Home ‹ Adlucent: Online Retail Internet Marketing</v>
      </c>
      <c r="C48" s="10" t="str">
        <f>IFERROR(__xludf.DUMMYFUNCTION("""COMPUTED_VALUE"""),"a3online.com")</f>
        <v>a3online.com</v>
      </c>
      <c r="D48" s="11" t="str">
        <f>IFERROR(__xludf.DUMMYFUNCTION("""COMPUTED_VALUE"""),"HOMEPAGE")</f>
        <v>HOMEPAGE</v>
      </c>
      <c r="E48" s="11" t="str">
        <f>IFERROR(__xludf.DUMMYFUNCTION("""COMPUTED_VALUE"""),"CORPORATE")</f>
        <v>CORPORATE</v>
      </c>
      <c r="F48" s="11" t="str">
        <f>IFERROR(__xludf.DUMMYFUNCTION("""COMPUTED_VALUE"""),"Homepage")</f>
        <v>Homepage</v>
      </c>
      <c r="G48" s="11" t="b">
        <f>IFERROR(__xludf.DUMMYFUNCTION("""COMPUTED_VALUE"""),FALSE)</f>
        <v>0</v>
      </c>
      <c r="H48" s="11"/>
      <c r="I48" s="11">
        <f>IFERROR(__xludf.DUMMYFUNCTION("""COMPUTED_VALUE"""),1.0)</f>
        <v>1</v>
      </c>
      <c r="J48" s="11">
        <f>IFERROR(__xludf.DUMMYFUNCTION("""COMPUTED_VALUE"""),0.0)</f>
        <v>0</v>
      </c>
      <c r="K48" s="11">
        <f>IFERROR(__xludf.DUMMYFUNCTION("""COMPUTED_VALUE"""),2.0)</f>
        <v>2</v>
      </c>
    </row>
    <row r="49" ht="15.75" customHeight="1">
      <c r="A49" s="10" t="str">
        <f>IFERROR(__xludf.DUMMYFUNCTION("""COMPUTED_VALUE"""),"https://agencyranks.com/")</f>
        <v>https://agencyranks.com/</v>
      </c>
      <c r="B49" s="11"/>
      <c r="C49" s="10" t="str">
        <f>IFERROR(__xludf.DUMMYFUNCTION("""COMPUTED_VALUE"""),"agencyranks.com")</f>
        <v>agencyranks.com</v>
      </c>
      <c r="D49" s="11" t="str">
        <f>IFERROR(__xludf.DUMMYFUNCTION("""COMPUTED_VALUE"""),"HOMEPAGE")</f>
        <v>HOMEPAGE</v>
      </c>
      <c r="E49" s="11" t="str">
        <f>IFERROR(__xludf.DUMMYFUNCTION("""COMPUTED_VALUE"""),"REFERENCE")</f>
        <v>REFERENCE</v>
      </c>
      <c r="F49" s="11" t="str">
        <f>IFERROR(__xludf.DUMMYFUNCTION("""COMPUTED_VALUE"""),"Homepage")</f>
        <v>Homepage</v>
      </c>
      <c r="G49" s="11"/>
      <c r="H49" s="11" t="str">
        <f>IFERROR(__xludf.DUMMYFUNCTION("""COMPUTED_VALUE"""),"Unknown")</f>
        <v>Unknown</v>
      </c>
      <c r="I49" s="11">
        <f>IFERROR(__xludf.DUMMYFUNCTION("""COMPUTED_VALUE"""),1.0)</f>
        <v>1</v>
      </c>
      <c r="J49" s="11">
        <f>IFERROR(__xludf.DUMMYFUNCTION("""COMPUTED_VALUE"""),0.0)</f>
        <v>0</v>
      </c>
      <c r="K49" s="11">
        <f>IFERROR(__xludf.DUMMYFUNCTION("""COMPUTED_VALUE"""),0.0)</f>
        <v>0</v>
      </c>
    </row>
    <row r="50" ht="15.75" customHeight="1">
      <c r="A50" s="10" t="str">
        <f>IFERROR(__xludf.DUMMYFUNCTION("""COMPUTED_VALUE"""),"https://www.ai360review.com/")</f>
        <v>https://www.ai360review.com/</v>
      </c>
      <c r="B50" s="11" t="str">
        <f>IFERROR(__xludf.DUMMYFUNCTION("""COMPUTED_VALUE"""),"AI360 REVIEW - Human-Centered AI Adoption Research and Consulting")</f>
        <v>AI360 REVIEW - Human-Centered AI Adoption Research and Consulting</v>
      </c>
      <c r="C50" s="10" t="str">
        <f>IFERROR(__xludf.DUMMYFUNCTION("""COMPUTED_VALUE"""),"ai360review.com")</f>
        <v>ai360review.com</v>
      </c>
      <c r="D50" s="11" t="str">
        <f>IFERROR(__xludf.DUMMYFUNCTION("""COMPUTED_VALUE"""),"HOMEPAGE")</f>
        <v>HOMEPAGE</v>
      </c>
      <c r="E50" s="11" t="str">
        <f>IFERROR(__xludf.DUMMYFUNCTION("""COMPUTED_VALUE"""),"CORPORATE")</f>
        <v>CORPORATE</v>
      </c>
      <c r="F50" s="11" t="str">
        <f>IFERROR(__xludf.DUMMYFUNCTION("""COMPUTED_VALUE"""),"Homepage")</f>
        <v>Homepage</v>
      </c>
      <c r="G50" s="11" t="b">
        <f>IFERROR(__xludf.DUMMYFUNCTION("""COMPUTED_VALUE"""),FALSE)</f>
        <v>0</v>
      </c>
      <c r="H50" s="11"/>
      <c r="I50" s="11">
        <f>IFERROR(__xludf.DUMMYFUNCTION("""COMPUTED_VALUE"""),1.0)</f>
        <v>1</v>
      </c>
      <c r="J50" s="11">
        <f>IFERROR(__xludf.DUMMYFUNCTION("""COMPUTED_VALUE"""),0.0)</f>
        <v>0</v>
      </c>
      <c r="K50" s="11">
        <f>IFERROR(__xludf.DUMMYFUNCTION("""COMPUTED_VALUE"""),0.0)</f>
        <v>0</v>
      </c>
    </row>
    <row r="51" ht="15.75" customHeight="1">
      <c r="A51" s="10" t="str">
        <f>IFERROR(__xludf.DUMMYFUNCTION("""COMPUTED_VALUE"""),"https://www.aisyndicate.com/")</f>
        <v>https://www.aisyndicate.com/</v>
      </c>
      <c r="B51" s="11" t="str">
        <f>IFERROR(__xludf.DUMMYFUNCTION("""COMPUTED_VALUE"""),"AI Syndicate — AI Search Visibility &amp;amp; GEO Agency")</f>
        <v>AI Syndicate — AI Search Visibility &amp;amp; GEO Agency</v>
      </c>
      <c r="C51" s="10" t="str">
        <f>IFERROR(__xludf.DUMMYFUNCTION("""COMPUTED_VALUE"""),"aisyndicate.com")</f>
        <v>aisyndicate.com</v>
      </c>
      <c r="D51" s="11" t="str">
        <f>IFERROR(__xludf.DUMMYFUNCTION("""COMPUTED_VALUE"""),"HOMEPAGE")</f>
        <v>HOMEPAGE</v>
      </c>
      <c r="E51" s="11" t="str">
        <f>IFERROR(__xludf.DUMMYFUNCTION("""COMPUTED_VALUE"""),"CORPORATE")</f>
        <v>CORPORATE</v>
      </c>
      <c r="F51" s="11" t="str">
        <f>IFERROR(__xludf.DUMMYFUNCTION("""COMPUTED_VALUE"""),"Homepage")</f>
        <v>Homepage</v>
      </c>
      <c r="G51" s="11" t="b">
        <f>IFERROR(__xludf.DUMMYFUNCTION("""COMPUTED_VALUE"""),FALSE)</f>
        <v>0</v>
      </c>
      <c r="H51" s="11"/>
      <c r="I51" s="11">
        <f>IFERROR(__xludf.DUMMYFUNCTION("""COMPUTED_VALUE"""),1.0)</f>
        <v>1</v>
      </c>
      <c r="J51" s="11">
        <f>IFERROR(__xludf.DUMMYFUNCTION("""COMPUTED_VALUE"""),0.0)</f>
        <v>0</v>
      </c>
      <c r="K51" s="11">
        <f>IFERROR(__xludf.DUMMYFUNCTION("""COMPUTED_VALUE"""),0.0)</f>
        <v>0</v>
      </c>
    </row>
    <row r="52" ht="15.75" customHeight="1">
      <c r="A52" s="10" t="str">
        <f>IFERROR(__xludf.DUMMYFUNCTION("""COMPUTED_VALUE"""),"https://www.artefact.com/")</f>
        <v>https://www.artefact.com/</v>
      </c>
      <c r="B52" s="11" t="str">
        <f>IFERROR(__xludf.DUMMYFUNCTION("""COMPUTED_VALUE"""),"Artefact is a global data and AI consulting company")</f>
        <v>Artefact is a global data and AI consulting company</v>
      </c>
      <c r="C52" s="10" t="str">
        <f>IFERROR(__xludf.DUMMYFUNCTION("""COMPUTED_VALUE"""),"artefact.com")</f>
        <v>artefact.com</v>
      </c>
      <c r="D52" s="11" t="str">
        <f>IFERROR(__xludf.DUMMYFUNCTION("""COMPUTED_VALUE"""),"HOMEPAGE")</f>
        <v>HOMEPAGE</v>
      </c>
      <c r="E52" s="11" t="str">
        <f>IFERROR(__xludf.DUMMYFUNCTION("""COMPUTED_VALUE"""),"COMPETITOR")</f>
        <v>COMPETITOR</v>
      </c>
      <c r="F52" s="11" t="str">
        <f>IFERROR(__xludf.DUMMYFUNCTION("""COMPUTED_VALUE"""),"Homepage")</f>
        <v>Homepage</v>
      </c>
      <c r="G52" s="11" t="b">
        <f>IFERROR(__xludf.DUMMYFUNCTION("""COMPUTED_VALUE"""),FALSE)</f>
        <v>0</v>
      </c>
      <c r="H52" s="11" t="str">
        <f>IFERROR(__xludf.DUMMYFUNCTION("""COMPUTED_VALUE"""),"Artefact")</f>
        <v>Artefact</v>
      </c>
      <c r="I52" s="11">
        <f>IFERROR(__xludf.DUMMYFUNCTION("""COMPUTED_VALUE"""),1.0)</f>
        <v>1</v>
      </c>
      <c r="J52" s="11">
        <f>IFERROR(__xludf.DUMMYFUNCTION("""COMPUTED_VALUE"""),0.0)</f>
        <v>0</v>
      </c>
      <c r="K52" s="11">
        <f>IFERROR(__xludf.DUMMYFUNCTION("""COMPUTED_VALUE"""),1.0)</f>
        <v>1</v>
      </c>
    </row>
    <row r="53" ht="15.75" customHeight="1">
      <c r="A53" s="10" t="str">
        <f>IFERROR(__xludf.DUMMYFUNCTION("""COMPUTED_VALUE"""),"https://www.assemblestudio.com/")</f>
        <v>https://www.assemblestudio.com/</v>
      </c>
      <c r="B53" s="11" t="str">
        <f>IFERROR(__xludf.DUMMYFUNCTION("""COMPUTED_VALUE"""),"Nearshore Digital Production &amp;amp; Web Development Agency | Assemble Studio")</f>
        <v>Nearshore Digital Production &amp;amp; Web Development Agency | Assemble Studio</v>
      </c>
      <c r="C53" s="10" t="str">
        <f>IFERROR(__xludf.DUMMYFUNCTION("""COMPUTED_VALUE"""),"assemblestudio.com")</f>
        <v>assemblestudio.com</v>
      </c>
      <c r="D53" s="11" t="str">
        <f>IFERROR(__xludf.DUMMYFUNCTION("""COMPUTED_VALUE"""),"HOMEPAGE")</f>
        <v>HOMEPAGE</v>
      </c>
      <c r="E53" s="11" t="str">
        <f>IFERROR(__xludf.DUMMYFUNCTION("""COMPUTED_VALUE"""),"CORPORATE")</f>
        <v>CORPORATE</v>
      </c>
      <c r="F53" s="11" t="str">
        <f>IFERROR(__xludf.DUMMYFUNCTION("""COMPUTED_VALUE"""),"Homepage")</f>
        <v>Homepage</v>
      </c>
      <c r="G53" s="11" t="b">
        <f>IFERROR(__xludf.DUMMYFUNCTION("""COMPUTED_VALUE"""),FALSE)</f>
        <v>0</v>
      </c>
      <c r="H53" s="11"/>
      <c r="I53" s="11">
        <f>IFERROR(__xludf.DUMMYFUNCTION("""COMPUTED_VALUE"""),1.0)</f>
        <v>1</v>
      </c>
      <c r="J53" s="11">
        <f>IFERROR(__xludf.DUMMYFUNCTION("""COMPUTED_VALUE"""),0.0)</f>
        <v>0</v>
      </c>
      <c r="K53" s="11">
        <f>IFERROR(__xludf.DUMMYFUNCTION("""COMPUTED_VALUE"""),2.0)</f>
        <v>2</v>
      </c>
    </row>
    <row r="54" ht="15.75" customHeight="1">
      <c r="A54" s="10" t="str">
        <f>IFERROR(__xludf.DUMMYFUNCTION("""COMPUTED_VALUE"""),"https://audigent.com/")</f>
        <v>https://audigent.com/</v>
      </c>
      <c r="B54" s="11" t="str">
        <f>IFERROR(__xludf.DUMMYFUNCTION("""COMPUTED_VALUE"""),"Audigent | The Leading Data Activation, Curation and Identity Platform")</f>
        <v>Audigent | The Leading Data Activation, Curation and Identity Platform</v>
      </c>
      <c r="C54" s="10" t="str">
        <f>IFERROR(__xludf.DUMMYFUNCTION("""COMPUTED_VALUE"""),"audigent.com")</f>
        <v>audigent.com</v>
      </c>
      <c r="D54" s="11" t="str">
        <f>IFERROR(__xludf.DUMMYFUNCTION("""COMPUTED_VALUE"""),"HOMEPAGE")</f>
        <v>HOMEPAGE</v>
      </c>
      <c r="E54" s="11" t="str">
        <f>IFERROR(__xludf.DUMMYFUNCTION("""COMPUTED_VALUE"""),"CORPORATE")</f>
        <v>CORPORATE</v>
      </c>
      <c r="F54" s="11" t="str">
        <f>IFERROR(__xludf.DUMMYFUNCTION("""COMPUTED_VALUE"""),"Homepage")</f>
        <v>Homepage</v>
      </c>
      <c r="G54" s="11" t="b">
        <f>IFERROR(__xludf.DUMMYFUNCTION("""COMPUTED_VALUE"""),FALSE)</f>
        <v>0</v>
      </c>
      <c r="H54" s="11" t="str">
        <f>IFERROR(__xludf.DUMMYFUNCTION("""COMPUTED_VALUE"""),"TransUnion")</f>
        <v>TransUnion</v>
      </c>
      <c r="I54" s="11">
        <f>IFERROR(__xludf.DUMMYFUNCTION("""COMPUTED_VALUE"""),1.0)</f>
        <v>1</v>
      </c>
      <c r="J54" s="11">
        <f>IFERROR(__xludf.DUMMYFUNCTION("""COMPUTED_VALUE"""),0.0)</f>
        <v>0</v>
      </c>
      <c r="K54" s="11">
        <f>IFERROR(__xludf.DUMMYFUNCTION("""COMPUTED_VALUE"""),1.0)</f>
        <v>1</v>
      </c>
    </row>
    <row r="55" ht="15.75" customHeight="1">
      <c r="A55" s="10" t="str">
        <f>IFERROR(__xludf.DUMMYFUNCTION("""COMPUTED_VALUE"""),"https://www.austley.com/")</f>
        <v>https://www.austley.com/</v>
      </c>
      <c r="B55" s="11" t="str">
        <f>IFERROR(__xludf.DUMMYFUNCTION("""COMPUTED_VALUE"""),"Home")</f>
        <v>Home</v>
      </c>
      <c r="C55" s="10" t="str">
        <f>IFERROR(__xludf.DUMMYFUNCTION("""COMPUTED_VALUE"""),"austley.com")</f>
        <v>austley.com</v>
      </c>
      <c r="D55" s="11" t="str">
        <f>IFERROR(__xludf.DUMMYFUNCTION("""COMPUTED_VALUE"""),"HOMEPAGE")</f>
        <v>HOMEPAGE</v>
      </c>
      <c r="E55" s="11" t="str">
        <f>IFERROR(__xludf.DUMMYFUNCTION("""COMPUTED_VALUE"""),"CORPORATE")</f>
        <v>CORPORATE</v>
      </c>
      <c r="F55" s="11" t="str">
        <f>IFERROR(__xludf.DUMMYFUNCTION("""COMPUTED_VALUE"""),"Homepage")</f>
        <v>Homepage</v>
      </c>
      <c r="G55" s="11" t="b">
        <f>IFERROR(__xludf.DUMMYFUNCTION("""COMPUTED_VALUE"""),FALSE)</f>
        <v>0</v>
      </c>
      <c r="H55" s="11" t="str">
        <f>IFERROR(__xludf.DUMMYFUNCTION("""COMPUTED_VALUE"""),"Momentum")</f>
        <v>Momentum</v>
      </c>
      <c r="I55" s="11">
        <f>IFERROR(__xludf.DUMMYFUNCTION("""COMPUTED_VALUE"""),1.0)</f>
        <v>1</v>
      </c>
      <c r="J55" s="11">
        <f>IFERROR(__xludf.DUMMYFUNCTION("""COMPUTED_VALUE"""),0.0)</f>
        <v>0</v>
      </c>
      <c r="K55" s="11">
        <f>IFERROR(__xludf.DUMMYFUNCTION("""COMPUTED_VALUE"""),0.0)</f>
        <v>0</v>
      </c>
    </row>
    <row r="56" ht="15.75" customHeight="1">
      <c r="A56" s="10" t="str">
        <f>IFERROR(__xludf.DUMMYFUNCTION("""COMPUTED_VALUE"""),"https://www.backhouse.com/")</f>
        <v>https://www.backhouse.com/</v>
      </c>
      <c r="B56" s="11" t="str">
        <f>IFERROR(__xludf.DUMMYFUNCTION("""COMPUTED_VALUE"""),"Backhouse // Embedded production company for brands, agencies, and studios")</f>
        <v>Backhouse // Embedded production company for brands, agencies, and studios</v>
      </c>
      <c r="C56" s="10" t="str">
        <f>IFERROR(__xludf.DUMMYFUNCTION("""COMPUTED_VALUE"""),"backhouse.com")</f>
        <v>backhouse.com</v>
      </c>
      <c r="D56" s="11" t="str">
        <f>IFERROR(__xludf.DUMMYFUNCTION("""COMPUTED_VALUE"""),"HOMEPAGE")</f>
        <v>HOMEPAGE</v>
      </c>
      <c r="E56" s="11" t="str">
        <f>IFERROR(__xludf.DUMMYFUNCTION("""COMPUTED_VALUE"""),"CORPORATE")</f>
        <v>CORPORATE</v>
      </c>
      <c r="F56" s="11" t="str">
        <f>IFERROR(__xludf.DUMMYFUNCTION("""COMPUTED_VALUE"""),"Homepage")</f>
        <v>Homepage</v>
      </c>
      <c r="G56" s="11" t="b">
        <f>IFERROR(__xludf.DUMMYFUNCTION("""COMPUTED_VALUE"""),FALSE)</f>
        <v>0</v>
      </c>
      <c r="H56" s="11"/>
      <c r="I56" s="11">
        <f>IFERROR(__xludf.DUMMYFUNCTION("""COMPUTED_VALUE"""),1.0)</f>
        <v>1</v>
      </c>
      <c r="J56" s="11">
        <f>IFERROR(__xludf.DUMMYFUNCTION("""COMPUTED_VALUE"""),0.0)</f>
        <v>0</v>
      </c>
      <c r="K56" s="11">
        <f>IFERROR(__xludf.DUMMYFUNCTION("""COMPUTED_VALUE"""),3.0)</f>
        <v>3</v>
      </c>
    </row>
    <row r="57" ht="15.75" customHeight="1">
      <c r="A57" s="10" t="str">
        <f>IFERROR(__xludf.DUMMYFUNCTION("""COMPUTED_VALUE"""),"https://bbdo.com/")</f>
        <v>https://bbdo.com/</v>
      </c>
      <c r="B57" s="11" t="str">
        <f>IFERROR(__xludf.DUMMYFUNCTION("""COMPUTED_VALUE"""),"BBDO")</f>
        <v>BBDO</v>
      </c>
      <c r="C57" s="10" t="str">
        <f>IFERROR(__xludf.DUMMYFUNCTION("""COMPUTED_VALUE"""),"bbdo.com")</f>
        <v>bbdo.com</v>
      </c>
      <c r="D57" s="11" t="str">
        <f>IFERROR(__xludf.DUMMYFUNCTION("""COMPUTED_VALUE"""),"HOMEPAGE")</f>
        <v>HOMEPAGE</v>
      </c>
      <c r="E57" s="11" t="str">
        <f>IFERROR(__xludf.DUMMYFUNCTION("""COMPUTED_VALUE"""),"COMPETITOR")</f>
        <v>COMPETITOR</v>
      </c>
      <c r="F57" s="11" t="str">
        <f>IFERROR(__xludf.DUMMYFUNCTION("""COMPUTED_VALUE"""),"Homepage")</f>
        <v>Homepage</v>
      </c>
      <c r="G57" s="11" t="b">
        <f>IFERROR(__xludf.DUMMYFUNCTION("""COMPUTED_VALUE"""),FALSE)</f>
        <v>0</v>
      </c>
      <c r="H57" s="11" t="str">
        <f>IFERROR(__xludf.DUMMYFUNCTION("""COMPUTED_VALUE"""),"BBDO")</f>
        <v>BBDO</v>
      </c>
      <c r="I57" s="11">
        <f>IFERROR(__xludf.DUMMYFUNCTION("""COMPUTED_VALUE"""),1.0)</f>
        <v>1</v>
      </c>
      <c r="J57" s="11">
        <f>IFERROR(__xludf.DUMMYFUNCTION("""COMPUTED_VALUE"""),0.0)</f>
        <v>0</v>
      </c>
      <c r="K57" s="11">
        <f>IFERROR(__xludf.DUMMYFUNCTION("""COMPUTED_VALUE"""),0.0)</f>
        <v>0</v>
      </c>
    </row>
    <row r="58" ht="15.75" customHeight="1">
      <c r="A58" s="10" t="str">
        <f>IFERROR(__xludf.DUMMYFUNCTION("""COMPUTED_VALUE"""),"https://bestaiseoagencies.com/")</f>
        <v>https://bestaiseoagencies.com/</v>
      </c>
      <c r="B58" s="11" t="str">
        <f>IFERROR(__xludf.DUMMYFUNCTION("""COMPUTED_VALUE"""),"10 Best AI SEO Agencies 2026 - Independent Rankings")</f>
        <v>10 Best AI SEO Agencies 2026 - Independent Rankings</v>
      </c>
      <c r="C58" s="10" t="str">
        <f>IFERROR(__xludf.DUMMYFUNCTION("""COMPUTED_VALUE"""),"bestaiseoagencies.com")</f>
        <v>bestaiseoagencies.com</v>
      </c>
      <c r="D58" s="11" t="str">
        <f>IFERROR(__xludf.DUMMYFUNCTION("""COMPUTED_VALUE"""),"HOMEPAGE")</f>
        <v>HOMEPAGE</v>
      </c>
      <c r="E58" s="11" t="str">
        <f>IFERROR(__xludf.DUMMYFUNCTION("""COMPUTED_VALUE"""),"EDITORIAL")</f>
        <v>EDITORIAL</v>
      </c>
      <c r="F58" s="11" t="str">
        <f>IFERROR(__xludf.DUMMYFUNCTION("""COMPUTED_VALUE"""),"Homepage")</f>
        <v>Homepage</v>
      </c>
      <c r="G58" s="11" t="b">
        <f>IFERROR(__xludf.DUMMYFUNCTION("""COMPUTED_VALUE"""),FALSE)</f>
        <v>0</v>
      </c>
      <c r="H58" s="11" t="str">
        <f>IFERROR(__xludf.DUMMYFUNCTION("""COMPUTED_VALUE"""),"Victorious, Clutch, Directive, Seer Interactive, Intero Digital, Funnel Boost Media")</f>
        <v>Victorious, Clutch, Directive, Seer Interactive, Intero Digital, Funnel Boost Media</v>
      </c>
      <c r="I58" s="11">
        <f>IFERROR(__xludf.DUMMYFUNCTION("""COMPUTED_VALUE"""),1.0)</f>
        <v>1</v>
      </c>
      <c r="J58" s="11">
        <f>IFERROR(__xludf.DUMMYFUNCTION("""COMPUTED_VALUE"""),0.0)</f>
        <v>0</v>
      </c>
      <c r="K58" s="11">
        <f>IFERROR(__xludf.DUMMYFUNCTION("""COMPUTED_VALUE"""),0.0)</f>
        <v>0</v>
      </c>
    </row>
    <row r="59" ht="15.75" customHeight="1">
      <c r="A59" s="10" t="str">
        <f>IFERROR(__xludf.DUMMYFUNCTION("""COMPUTED_VALUE"""),"https://www.bimodal.io/")</f>
        <v>https://www.bimodal.io/</v>
      </c>
      <c r="B59" s="11" t="str">
        <f>IFERROR(__xludf.DUMMYFUNCTION("""COMPUTED_VALUE"""),"Marketing Science Platform. Experiment, validate, and optimise your marketing with Bimodal")</f>
        <v>Marketing Science Platform. Experiment, validate, and optimise your marketing with Bimodal</v>
      </c>
      <c r="C59" s="10" t="str">
        <f>IFERROR(__xludf.DUMMYFUNCTION("""COMPUTED_VALUE"""),"bimodal.io")</f>
        <v>bimodal.io</v>
      </c>
      <c r="D59" s="11" t="str">
        <f>IFERROR(__xludf.DUMMYFUNCTION("""COMPUTED_VALUE"""),"HOMEPAGE")</f>
        <v>HOMEPAGE</v>
      </c>
      <c r="E59" s="11" t="str">
        <f>IFERROR(__xludf.DUMMYFUNCTION("""COMPUTED_VALUE"""),"CORPORATE")</f>
        <v>CORPORATE</v>
      </c>
      <c r="F59" s="11" t="str">
        <f>IFERROR(__xludf.DUMMYFUNCTION("""COMPUTED_VALUE"""),"Homepage")</f>
        <v>Homepage</v>
      </c>
      <c r="G59" s="11" t="b">
        <f>IFERROR(__xludf.DUMMYFUNCTION("""COMPUTED_VALUE"""),FALSE)</f>
        <v>0</v>
      </c>
      <c r="H59" s="11"/>
      <c r="I59" s="11">
        <f>IFERROR(__xludf.DUMMYFUNCTION("""COMPUTED_VALUE"""),1.0)</f>
        <v>1</v>
      </c>
      <c r="J59" s="11">
        <f>IFERROR(__xludf.DUMMYFUNCTION("""COMPUTED_VALUE"""),0.0)</f>
        <v>0</v>
      </c>
      <c r="K59" s="11">
        <f>IFERROR(__xludf.DUMMYFUNCTION("""COMPUTED_VALUE"""),0.0)</f>
        <v>0</v>
      </c>
    </row>
    <row r="60" ht="15.75" customHeight="1">
      <c r="A60" s="10" t="str">
        <f>IFERROR(__xludf.DUMMYFUNCTION("""COMPUTED_VALUE"""),"https://www.blackwelldigital.com/")</f>
        <v>https://www.blackwelldigital.com/</v>
      </c>
      <c r="B60" s="11" t="str">
        <f>IFERROR(__xludf.DUMMYFUNCTION("""COMPUTED_VALUE"""),"AI Transformation for Growth-Stage Businesses — Blackwell Digital")</f>
        <v>AI Transformation for Growth-Stage Businesses — Blackwell Digital</v>
      </c>
      <c r="C60" s="10" t="str">
        <f>IFERROR(__xludf.DUMMYFUNCTION("""COMPUTED_VALUE"""),"blackwelldigital.com")</f>
        <v>blackwelldigital.com</v>
      </c>
      <c r="D60" s="11" t="str">
        <f>IFERROR(__xludf.DUMMYFUNCTION("""COMPUTED_VALUE"""),"HOMEPAGE")</f>
        <v>HOMEPAGE</v>
      </c>
      <c r="E60" s="11" t="str">
        <f>IFERROR(__xludf.DUMMYFUNCTION("""COMPUTED_VALUE"""),"CORPORATE")</f>
        <v>CORPORATE</v>
      </c>
      <c r="F60" s="11" t="str">
        <f>IFERROR(__xludf.DUMMYFUNCTION("""COMPUTED_VALUE"""),"Homepage")</f>
        <v>Homepage</v>
      </c>
      <c r="G60" s="11" t="b">
        <f>IFERROR(__xludf.DUMMYFUNCTION("""COMPUTED_VALUE"""),FALSE)</f>
        <v>0</v>
      </c>
      <c r="H60" s="11"/>
      <c r="I60" s="11">
        <f>IFERROR(__xludf.DUMMYFUNCTION("""COMPUTED_VALUE"""),1.0)</f>
        <v>1</v>
      </c>
      <c r="J60" s="11">
        <f>IFERROR(__xludf.DUMMYFUNCTION("""COMPUTED_VALUE"""),0.0)</f>
        <v>0</v>
      </c>
      <c r="K60" s="11">
        <f>IFERROR(__xludf.DUMMYFUNCTION("""COMPUTED_VALUE"""),0.0)</f>
        <v>0</v>
      </c>
    </row>
    <row r="61" ht="15.75" customHeight="1">
      <c r="A61" s="10" t="str">
        <f>IFERROR(__xludf.DUMMYFUNCTION("""COMPUTED_VALUE"""),"https://www.braumillerconsulting.com/#:~:text=A%20secure%20and%20compliant%20supply%20chain%20is,true%20dual%E2%80%91structure%E2%80%94legal%20%2B%20consulting%E2%80%94integrated%20into%20one%20ecosystem.")</f>
        <v>https://www.braumillerconsulting.com/#:~:text=A%20secure%20and%20compliant%20supply%20chain%20is,true%20dual%E2%80%91structure%E2%80%94legal%20%2B%20consulting%E2%80%94integrated%20into%20one%20ecosystem.</v>
      </c>
      <c r="B61" s="11" t="str">
        <f>IFERROR(__xludf.DUMMYFUNCTION("""COMPUTED_VALUE"""),"Expert Global Trade &amp; Customs Compliance \| Braumiller")</f>
        <v>Expert Global Trade &amp; Customs Compliance \| Braumiller</v>
      </c>
      <c r="C61" s="10" t="str">
        <f>IFERROR(__xludf.DUMMYFUNCTION("""COMPUTED_VALUE"""),"braumillerconsulting.com")</f>
        <v>braumillerconsulting.com</v>
      </c>
      <c r="D61" s="11" t="str">
        <f>IFERROR(__xludf.DUMMYFUNCTION("""COMPUTED_VALUE"""),"HOMEPAGE")</f>
        <v>HOMEPAGE</v>
      </c>
      <c r="E61" s="11" t="str">
        <f>IFERROR(__xludf.DUMMYFUNCTION("""COMPUTED_VALUE"""),"CORPORATE")</f>
        <v>CORPORATE</v>
      </c>
      <c r="F61" s="11" t="str">
        <f>IFERROR(__xludf.DUMMYFUNCTION("""COMPUTED_VALUE"""),"Homepage")</f>
        <v>Homepage</v>
      </c>
      <c r="G61" s="11" t="b">
        <f>IFERROR(__xludf.DUMMYFUNCTION("""COMPUTED_VALUE"""),FALSE)</f>
        <v>0</v>
      </c>
      <c r="H61" s="11" t="str">
        <f>IFERROR(__xludf.DUMMYFUNCTION("""COMPUTED_VALUE"""),"BCG, DEPT")</f>
        <v>BCG, DEPT</v>
      </c>
      <c r="I61" s="11">
        <f>IFERROR(__xludf.DUMMYFUNCTION("""COMPUTED_VALUE"""),1.0)</f>
        <v>1</v>
      </c>
      <c r="J61" s="11">
        <f>IFERROR(__xludf.DUMMYFUNCTION("""COMPUTED_VALUE"""),0.0)</f>
        <v>0</v>
      </c>
      <c r="K61" s="11">
        <f>IFERROR(__xludf.DUMMYFUNCTION("""COMPUTED_VALUE"""),2.0)</f>
        <v>2</v>
      </c>
    </row>
    <row r="62" ht="15.75" customHeight="1">
      <c r="A62" s="10" t="str">
        <f>IFERROR(__xludf.DUMMYFUNCTION("""COMPUTED_VALUE"""),"https://brillmedia.co/")</f>
        <v>https://brillmedia.co/</v>
      </c>
      <c r="B62" s="11" t="str">
        <f>IFERROR(__xludf.DUMMYFUNCTION("""COMPUTED_VALUE"""),"White Label Media Buying Agency Los Angeles | Brill Media")</f>
        <v>White Label Media Buying Agency Los Angeles | Brill Media</v>
      </c>
      <c r="C62" s="10" t="str">
        <f>IFERROR(__xludf.DUMMYFUNCTION("""COMPUTED_VALUE"""),"brillmedia.co")</f>
        <v>brillmedia.co</v>
      </c>
      <c r="D62" s="11" t="str">
        <f>IFERROR(__xludf.DUMMYFUNCTION("""COMPUTED_VALUE"""),"HOMEPAGE")</f>
        <v>HOMEPAGE</v>
      </c>
      <c r="E62" s="11" t="str">
        <f>IFERROR(__xludf.DUMMYFUNCTION("""COMPUTED_VALUE"""),"CORPORATE")</f>
        <v>CORPORATE</v>
      </c>
      <c r="F62" s="11" t="str">
        <f>IFERROR(__xludf.DUMMYFUNCTION("""COMPUTED_VALUE"""),"Homepage")</f>
        <v>Homepage</v>
      </c>
      <c r="G62" s="11" t="b">
        <f>IFERROR(__xludf.DUMMYFUNCTION("""COMPUTED_VALUE"""),FALSE)</f>
        <v>0</v>
      </c>
      <c r="H62" s="11"/>
      <c r="I62" s="11">
        <f>IFERROR(__xludf.DUMMYFUNCTION("""COMPUTED_VALUE"""),1.0)</f>
        <v>1</v>
      </c>
      <c r="J62" s="11">
        <f>IFERROR(__xludf.DUMMYFUNCTION("""COMPUTED_VALUE"""),0.0)</f>
        <v>0</v>
      </c>
      <c r="K62" s="11">
        <f>IFERROR(__xludf.DUMMYFUNCTION("""COMPUTED_VALUE"""),1.0)</f>
        <v>1</v>
      </c>
    </row>
    <row r="63" ht="15.75" customHeight="1">
      <c r="A63" s="10" t="str">
        <f>IFERROR(__xludf.DUMMYFUNCTION("""COMPUTED_VALUE"""),"https://www.busylike.com/")</f>
        <v>https://www.busylike.com/</v>
      </c>
      <c r="B63" s="11" t="str">
        <f>IFERROR(__xludf.DUMMYFUNCTION("""COMPUTED_VALUE"""),"Busylike | AI marketing agency for visibility &amp;amp; growth | Digital Media | GEO")</f>
        <v>Busylike | AI marketing agency for visibility &amp;amp; growth | Digital Media | GEO</v>
      </c>
      <c r="C63" s="10" t="str">
        <f>IFERROR(__xludf.DUMMYFUNCTION("""COMPUTED_VALUE"""),"busylike.com")</f>
        <v>busylike.com</v>
      </c>
      <c r="D63" s="11" t="str">
        <f>IFERROR(__xludf.DUMMYFUNCTION("""COMPUTED_VALUE"""),"HOMEPAGE")</f>
        <v>HOMEPAGE</v>
      </c>
      <c r="E63" s="11" t="str">
        <f>IFERROR(__xludf.DUMMYFUNCTION("""COMPUTED_VALUE"""),"CORPORATE")</f>
        <v>CORPORATE</v>
      </c>
      <c r="F63" s="11" t="str">
        <f>IFERROR(__xludf.DUMMYFUNCTION("""COMPUTED_VALUE"""),"Homepage")</f>
        <v>Homepage</v>
      </c>
      <c r="G63" s="11" t="b">
        <f>IFERROR(__xludf.DUMMYFUNCTION("""COMPUTED_VALUE"""),FALSE)</f>
        <v>0</v>
      </c>
      <c r="H63" s="11"/>
      <c r="I63" s="11">
        <f>IFERROR(__xludf.DUMMYFUNCTION("""COMPUTED_VALUE"""),1.0)</f>
        <v>1</v>
      </c>
      <c r="J63" s="11">
        <f>IFERROR(__xludf.DUMMYFUNCTION("""COMPUTED_VALUE"""),0.0)</f>
        <v>0</v>
      </c>
      <c r="K63" s="11">
        <f>IFERROR(__xludf.DUMMYFUNCTION("""COMPUTED_VALUE"""),0.0)</f>
        <v>0</v>
      </c>
    </row>
    <row r="64" ht="15.75" customHeight="1">
      <c r="A64" s="10" t="str">
        <f>IFERROR(__xludf.DUMMYFUNCTION("""COMPUTED_VALUE"""),"https://www.caa.com/")</f>
        <v>https://www.caa.com/</v>
      </c>
      <c r="B64" s="11" t="str">
        <f>IFERROR(__xludf.DUMMYFUNCTION("""COMPUTED_VALUE"""),"Creative Artists Agency \| CAA")</f>
        <v>Creative Artists Agency \| CAA</v>
      </c>
      <c r="C64" s="10" t="str">
        <f>IFERROR(__xludf.DUMMYFUNCTION("""COMPUTED_VALUE"""),"caa.com")</f>
        <v>caa.com</v>
      </c>
      <c r="D64" s="11" t="str">
        <f>IFERROR(__xludf.DUMMYFUNCTION("""COMPUTED_VALUE"""),"HOMEPAGE")</f>
        <v>HOMEPAGE</v>
      </c>
      <c r="E64" s="11" t="str">
        <f>IFERROR(__xludf.DUMMYFUNCTION("""COMPUTED_VALUE"""),"CORPORATE")</f>
        <v>CORPORATE</v>
      </c>
      <c r="F64" s="11" t="str">
        <f>IFERROR(__xludf.DUMMYFUNCTION("""COMPUTED_VALUE"""),"Homepage")</f>
        <v>Homepage</v>
      </c>
      <c r="G64" s="11" t="b">
        <f>IFERROR(__xludf.DUMMYFUNCTION("""COMPUTED_VALUE"""),FALSE)</f>
        <v>0</v>
      </c>
      <c r="H64" s="11"/>
      <c r="I64" s="11">
        <f>IFERROR(__xludf.DUMMYFUNCTION("""COMPUTED_VALUE"""),1.0)</f>
        <v>1</v>
      </c>
      <c r="J64" s="11">
        <f>IFERROR(__xludf.DUMMYFUNCTION("""COMPUTED_VALUE"""),0.0)</f>
        <v>0</v>
      </c>
      <c r="K64" s="11">
        <f>IFERROR(__xludf.DUMMYFUNCTION("""COMPUTED_VALUE"""),0.0)</f>
        <v>0</v>
      </c>
    </row>
    <row r="65" ht="15.75" customHeight="1">
      <c r="A65" s="10" t="str">
        <f>IFERROR(__xludf.DUMMYFUNCTION("""COMPUTED_VALUE"""),"https://www.ceamarketing.com/")</f>
        <v>https://www.ceamarketing.com/</v>
      </c>
      <c r="B65" s="11" t="str">
        <f>IFERROR(__xludf.DUMMYFUNCTION("""COMPUTED_VALUE"""),"AI-First Marketing Agency | CEA Marketing")</f>
        <v>AI-First Marketing Agency | CEA Marketing</v>
      </c>
      <c r="C65" s="10" t="str">
        <f>IFERROR(__xludf.DUMMYFUNCTION("""COMPUTED_VALUE"""),"ceamarketing.com")</f>
        <v>ceamarketing.com</v>
      </c>
      <c r="D65" s="11" t="str">
        <f>IFERROR(__xludf.DUMMYFUNCTION("""COMPUTED_VALUE"""),"HOMEPAGE")</f>
        <v>HOMEPAGE</v>
      </c>
      <c r="E65" s="11" t="str">
        <f>IFERROR(__xludf.DUMMYFUNCTION("""COMPUTED_VALUE"""),"CORPORATE")</f>
        <v>CORPORATE</v>
      </c>
      <c r="F65" s="11" t="str">
        <f>IFERROR(__xludf.DUMMYFUNCTION("""COMPUTED_VALUE"""),"Homepage")</f>
        <v>Homepage</v>
      </c>
      <c r="G65" s="11" t="b">
        <f>IFERROR(__xludf.DUMMYFUNCTION("""COMPUTED_VALUE"""),FALSE)</f>
        <v>0</v>
      </c>
      <c r="H65" s="11"/>
      <c r="I65" s="11">
        <f>IFERROR(__xludf.DUMMYFUNCTION("""COMPUTED_VALUE"""),1.0)</f>
        <v>1</v>
      </c>
      <c r="J65" s="11">
        <f>IFERROR(__xludf.DUMMYFUNCTION("""COMPUTED_VALUE"""),0.0)</f>
        <v>0</v>
      </c>
      <c r="K65" s="11">
        <f>IFERROR(__xludf.DUMMYFUNCTION("""COMPUTED_VALUE"""),0.0)</f>
        <v>0</v>
      </c>
    </row>
    <row r="66" ht="15.75" customHeight="1">
      <c r="A66" s="10" t="str">
        <f>IFERROR(__xludf.DUMMYFUNCTION("""COMPUTED_VALUE"""),"https://www.chiefoutsiders.com/")</f>
        <v>https://www.chiefoutsiders.com/</v>
      </c>
      <c r="B66" s="11" t="str">
        <f>IFERROR(__xludf.DUMMYFUNCTION("""COMPUTED_VALUE"""),"Growth Strategy | Accelerate Your Market Potential | Chief Outsiders")</f>
        <v>Growth Strategy | Accelerate Your Market Potential | Chief Outsiders</v>
      </c>
      <c r="C66" s="10" t="str">
        <f>IFERROR(__xludf.DUMMYFUNCTION("""COMPUTED_VALUE"""),"chiefoutsiders.com")</f>
        <v>chiefoutsiders.com</v>
      </c>
      <c r="D66" s="11" t="str">
        <f>IFERROR(__xludf.DUMMYFUNCTION("""COMPUTED_VALUE"""),"HOMEPAGE")</f>
        <v>HOMEPAGE</v>
      </c>
      <c r="E66" s="11" t="str">
        <f>IFERROR(__xludf.DUMMYFUNCTION("""COMPUTED_VALUE"""),"CORPORATE")</f>
        <v>CORPORATE</v>
      </c>
      <c r="F66" s="11" t="str">
        <f>IFERROR(__xludf.DUMMYFUNCTION("""COMPUTED_VALUE"""),"Homepage")</f>
        <v>Homepage</v>
      </c>
      <c r="G66" s="11" t="b">
        <f>IFERROR(__xludf.DUMMYFUNCTION("""COMPUTED_VALUE"""),FALSE)</f>
        <v>0</v>
      </c>
      <c r="H66" s="11"/>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IFERROR(__xludf.DUMMYFUNCTION("""COMPUTED_VALUE"""),"https://clearforge.ai/")</f>
        <v>https://clearforge.ai/</v>
      </c>
      <c r="B67" s="11" t="str">
        <f>IFERROR(__xludf.DUMMYFUNCTION("""COMPUTED_VALUE"""),"ClearForge — AI That Ships. ROI You Can Prove.")</f>
        <v>ClearForge — AI That Ships. ROI You Can Prove.</v>
      </c>
      <c r="C67" s="10" t="str">
        <f>IFERROR(__xludf.DUMMYFUNCTION("""COMPUTED_VALUE"""),"clearforge.ai")</f>
        <v>clearforge.ai</v>
      </c>
      <c r="D67" s="11" t="str">
        <f>IFERROR(__xludf.DUMMYFUNCTION("""COMPUTED_VALUE"""),"HOMEPAGE")</f>
        <v>HOMEPAGE</v>
      </c>
      <c r="E67" s="11" t="str">
        <f>IFERROR(__xludf.DUMMYFUNCTION("""COMPUTED_VALUE"""),"CORPORATE")</f>
        <v>CORPORATE</v>
      </c>
      <c r="F67" s="11" t="str">
        <f>IFERROR(__xludf.DUMMYFUNCTION("""COMPUTED_VALUE"""),"Homepage")</f>
        <v>Homepage</v>
      </c>
      <c r="G67" s="11" t="b">
        <f>IFERROR(__xludf.DUMMYFUNCTION("""COMPUTED_VALUE"""),FALSE)</f>
        <v>0</v>
      </c>
      <c r="H67" s="11" t="str">
        <f>IFERROR(__xludf.DUMMYFUNCTION("""COMPUTED_VALUE"""),"Measured")</f>
        <v>Measured</v>
      </c>
      <c r="I67" s="11">
        <f>IFERROR(__xludf.DUMMYFUNCTION("""COMPUTED_VALUE"""),1.0)</f>
        <v>1</v>
      </c>
      <c r="J67" s="11">
        <f>IFERROR(__xludf.DUMMYFUNCTION("""COMPUTED_VALUE"""),0.0)</f>
        <v>0</v>
      </c>
      <c r="K67" s="11">
        <f>IFERROR(__xludf.DUMMYFUNCTION("""COMPUTED_VALUE"""),0.0)</f>
        <v>0</v>
      </c>
    </row>
    <row r="68" ht="15.75" customHeight="1">
      <c r="A68" s="10" t="str">
        <f>IFERROR(__xludf.DUMMYFUNCTION("""COMPUTED_VALUE"""),"https://createscale.co/")</f>
        <v>https://createscale.co/</v>
      </c>
      <c r="B68" s="11"/>
      <c r="C68" s="10" t="str">
        <f>IFERROR(__xludf.DUMMYFUNCTION("""COMPUTED_VALUE"""),"createscale.co")</f>
        <v>createscale.co</v>
      </c>
      <c r="D68" s="11" t="str">
        <f>IFERROR(__xludf.DUMMYFUNCTION("""COMPUTED_VALUE"""),"HOMEPAGE")</f>
        <v>HOMEPAGE</v>
      </c>
      <c r="E68" s="11" t="str">
        <f>IFERROR(__xludf.DUMMYFUNCTION("""COMPUTED_VALUE"""),"CORPORATE")</f>
        <v>CORPORATE</v>
      </c>
      <c r="F68" s="11" t="str">
        <f>IFERROR(__xludf.DUMMYFUNCTION("""COMPUTED_VALUE"""),"Homepage")</f>
        <v>Homepage</v>
      </c>
      <c r="G68" s="11"/>
      <c r="H68" s="11" t="str">
        <f>IFERROR(__xludf.DUMMYFUNCTION("""COMPUTED_VALUE"""),"Unknown")</f>
        <v>Unknown</v>
      </c>
      <c r="I68" s="11">
        <f>IFERROR(__xludf.DUMMYFUNCTION("""COMPUTED_VALUE"""),1.0)</f>
        <v>1</v>
      </c>
      <c r="J68" s="11">
        <f>IFERROR(__xludf.DUMMYFUNCTION("""COMPUTED_VALUE"""),0.0)</f>
        <v>0</v>
      </c>
      <c r="K68" s="11">
        <f>IFERROR(__xludf.DUMMYFUNCTION("""COMPUTED_VALUE"""),0.0)</f>
        <v>0</v>
      </c>
    </row>
    <row r="69" ht="15.75" customHeight="1">
      <c r="A69" s="10" t="str">
        <f>IFERROR(__xludf.DUMMYFUNCTION("""COMPUTED_VALUE"""),"https://createscale.com/")</f>
        <v>https://createscale.com/</v>
      </c>
      <c r="B69" s="11"/>
      <c r="C69" s="10" t="str">
        <f>IFERROR(__xludf.DUMMYFUNCTION("""COMPUTED_VALUE"""),"createscale.com")</f>
        <v>createscale.com</v>
      </c>
      <c r="D69" s="11" t="str">
        <f>IFERROR(__xludf.DUMMYFUNCTION("""COMPUTED_VALUE"""),"HOMEPAGE")</f>
        <v>HOMEPAGE</v>
      </c>
      <c r="E69" s="11" t="str">
        <f>IFERROR(__xludf.DUMMYFUNCTION("""COMPUTED_VALUE"""),"CORPORATE")</f>
        <v>CORPORATE</v>
      </c>
      <c r="F69" s="11" t="str">
        <f>IFERROR(__xludf.DUMMYFUNCTION("""COMPUTED_VALUE"""),"Homepage")</f>
        <v>Homepage</v>
      </c>
      <c r="G69" s="11"/>
      <c r="H69" s="11" t="str">
        <f>IFERROR(__xludf.DUMMYFUNCTION("""COMPUTED_VALUE"""),"Unknown")</f>
        <v>Unknown</v>
      </c>
      <c r="I69" s="11">
        <f>IFERROR(__xludf.DUMMYFUNCTION("""COMPUTED_VALUE"""),1.0)</f>
        <v>1</v>
      </c>
      <c r="J69" s="11">
        <f>IFERROR(__xludf.DUMMYFUNCTION("""COMPUTED_VALUE"""),0.0)</f>
        <v>0</v>
      </c>
      <c r="K69" s="11">
        <f>IFERROR(__xludf.DUMMYFUNCTION("""COMPUTED_VALUE"""),2.0)</f>
        <v>2</v>
      </c>
    </row>
    <row r="70" ht="15.75" customHeight="1">
      <c r="A70" s="10" t="str">
        <f>IFERROR(__xludf.DUMMYFUNCTION("""COMPUTED_VALUE"""),"https://dacmarketing.co/")</f>
        <v>https://dacmarketing.co/</v>
      </c>
      <c r="B70" s="11" t="str">
        <f>IFERROR(__xludf.DUMMYFUNCTION("""COMPUTED_VALUE"""),"Digital Marketing Agency for U.S. and LATAM")</f>
        <v>Digital Marketing Agency for U.S. and LATAM</v>
      </c>
      <c r="C70" s="10" t="str">
        <f>IFERROR(__xludf.DUMMYFUNCTION("""COMPUTED_VALUE"""),"dacmarketing.co")</f>
        <v>dacmarketing.co</v>
      </c>
      <c r="D70" s="11" t="str">
        <f>IFERROR(__xludf.DUMMYFUNCTION("""COMPUTED_VALUE"""),"HOMEPAGE")</f>
        <v>HOMEPAGE</v>
      </c>
      <c r="E70" s="11" t="str">
        <f>IFERROR(__xludf.DUMMYFUNCTION("""COMPUTED_VALUE"""),"CORPORATE")</f>
        <v>CORPORATE</v>
      </c>
      <c r="F70" s="11" t="str">
        <f>IFERROR(__xludf.DUMMYFUNCTION("""COMPUTED_VALUE"""),"Homepage")</f>
        <v>Homepage</v>
      </c>
      <c r="G70" s="11" t="b">
        <f>IFERROR(__xludf.DUMMYFUNCTION("""COMPUTED_VALUE"""),FALSE)</f>
        <v>0</v>
      </c>
      <c r="H70" s="11"/>
      <c r="I70" s="11">
        <f>IFERROR(__xludf.DUMMYFUNCTION("""COMPUTED_VALUE"""),1.0)</f>
        <v>1</v>
      </c>
      <c r="J70" s="11">
        <f>IFERROR(__xludf.DUMMYFUNCTION("""COMPUTED_VALUE"""),0.0)</f>
        <v>0</v>
      </c>
      <c r="K70" s="11">
        <f>IFERROR(__xludf.DUMMYFUNCTION("""COMPUTED_VALUE"""),0.0)</f>
        <v>0</v>
      </c>
    </row>
    <row r="71" ht="15.75" customHeight="1">
      <c r="A71" s="10" t="str">
        <f>IFERROR(__xludf.DUMMYFUNCTION("""COMPUTED_VALUE"""),"https://dcclicks.com/")</f>
        <v>https://dcclicks.com/</v>
      </c>
      <c r="B71" s="11" t="str">
        <f>IFERROR(__xludf.DUMMYFUNCTION("""COMPUTED_VALUE"""),"AI Marketing &amp;amp; Lead Generation Agency | DC Clicks")</f>
        <v>AI Marketing &amp;amp; Lead Generation Agency | DC Clicks</v>
      </c>
      <c r="C71" s="10" t="str">
        <f>IFERROR(__xludf.DUMMYFUNCTION("""COMPUTED_VALUE"""),"dcclicks.com")</f>
        <v>dcclicks.com</v>
      </c>
      <c r="D71" s="11" t="str">
        <f>IFERROR(__xludf.DUMMYFUNCTION("""COMPUTED_VALUE"""),"HOMEPAGE")</f>
        <v>HOMEPAGE</v>
      </c>
      <c r="E71" s="11" t="str">
        <f>IFERROR(__xludf.DUMMYFUNCTION("""COMPUTED_VALUE"""),"CORPORATE")</f>
        <v>CORPORATE</v>
      </c>
      <c r="F71" s="11" t="str">
        <f>IFERROR(__xludf.DUMMYFUNCTION("""COMPUTED_VALUE"""),"Homepage")</f>
        <v>Homepage</v>
      </c>
      <c r="G71" s="11" t="b">
        <f>IFERROR(__xludf.DUMMYFUNCTION("""COMPUTED_VALUE"""),FALSE)</f>
        <v>0</v>
      </c>
      <c r="H71" s="11" t="str">
        <f>IFERROR(__xludf.DUMMYFUNCTION("""COMPUTED_VALUE"""),"Measured")</f>
        <v>Measured</v>
      </c>
      <c r="I71" s="11">
        <f>IFERROR(__xludf.DUMMYFUNCTION("""COMPUTED_VALUE"""),1.0)</f>
        <v>1</v>
      </c>
      <c r="J71" s="11">
        <f>IFERROR(__xludf.DUMMYFUNCTION("""COMPUTED_VALUE"""),0.0)</f>
        <v>0</v>
      </c>
      <c r="K71" s="11">
        <f>IFERROR(__xludf.DUMMYFUNCTION("""COMPUTED_VALUE"""),0.0)</f>
        <v>0</v>
      </c>
    </row>
    <row r="72" ht="15.75" customHeight="1">
      <c r="A72" s="10" t="str">
        <f>IFERROR(__xludf.DUMMYFUNCTION("""COMPUTED_VALUE"""),"https://www.dentsu.com/us")</f>
        <v>https://www.dentsu.com/us</v>
      </c>
      <c r="B72" s="11" t="str">
        <f>IFERROR(__xludf.DUMMYFUNCTION("""COMPUTED_VALUE"""),"Integrated Marketing Solutions &amp;amp; Agency Services | dentsu USA")</f>
        <v>Integrated Marketing Solutions &amp;amp; Agency Services | dentsu USA</v>
      </c>
      <c r="C72" s="10" t="str">
        <f>IFERROR(__xludf.DUMMYFUNCTION("""COMPUTED_VALUE"""),"dentsu.com")</f>
        <v>dentsu.com</v>
      </c>
      <c r="D72" s="11" t="str">
        <f>IFERROR(__xludf.DUMMYFUNCTION("""COMPUTED_VALUE"""),"HOMEPAGE")</f>
        <v>HOMEPAGE</v>
      </c>
      <c r="E72" s="11" t="str">
        <f>IFERROR(__xludf.DUMMYFUNCTION("""COMPUTED_VALUE"""),"COMPETITOR")</f>
        <v>COMPETITOR</v>
      </c>
      <c r="F72" s="11" t="str">
        <f>IFERROR(__xludf.DUMMYFUNCTION("""COMPUTED_VALUE"""),"Homepage")</f>
        <v>Homepage</v>
      </c>
      <c r="G72" s="11" t="b">
        <f>IFERROR(__xludf.DUMMYFUNCTION("""COMPUTED_VALUE"""),FALSE)</f>
        <v>0</v>
      </c>
      <c r="H72" s="11" t="str">
        <f>IFERROR(__xludf.DUMMYFUNCTION("""COMPUTED_VALUE"""),"Dentsu, iProspect, Merkle")</f>
        <v>Dentsu, iProspect, Merkle</v>
      </c>
      <c r="I72" s="11">
        <f>IFERROR(__xludf.DUMMYFUNCTION("""COMPUTED_VALUE"""),1.0)</f>
        <v>1</v>
      </c>
      <c r="J72" s="11">
        <f>IFERROR(__xludf.DUMMYFUNCTION("""COMPUTED_VALUE"""),0.0)</f>
        <v>0</v>
      </c>
      <c r="K72" s="11">
        <f>IFERROR(__xludf.DUMMYFUNCTION("""COMPUTED_VALUE"""),2.0)</f>
        <v>2</v>
      </c>
    </row>
    <row r="73" ht="15.75" customHeight="1">
      <c r="A73" s="10" t="str">
        <f>IFERROR(__xludf.DUMMYFUNCTION("""COMPUTED_VALUE"""),"https://digitalsurfer.com.au/ai-seo")</f>
        <v>https://digitalsurfer.com.au/ai-seo</v>
      </c>
      <c r="B73" s="11" t="str">
        <f>IFERROR(__xludf.DUMMYFUNCTION("""COMPUTED_VALUE"""),"AI SEO Agency Services Australia | Digital Surfer")</f>
        <v>AI SEO Agency Services Australia | Digital Surfer</v>
      </c>
      <c r="C73" s="10" t="str">
        <f>IFERROR(__xludf.DUMMYFUNCTION("""COMPUTED_VALUE"""),"digitalsurfer.com.au")</f>
        <v>digitalsurfer.com.au</v>
      </c>
      <c r="D73" s="11" t="str">
        <f>IFERROR(__xludf.DUMMYFUNCTION("""COMPUTED_VALUE"""),"HOMEPAGE")</f>
        <v>HOMEPAGE</v>
      </c>
      <c r="E73" s="11" t="str">
        <f>IFERROR(__xludf.DUMMYFUNCTION("""COMPUTED_VALUE"""),"CORPORATE")</f>
        <v>CORPORATE</v>
      </c>
      <c r="F73" s="11" t="str">
        <f>IFERROR(__xludf.DUMMYFUNCTION("""COMPUTED_VALUE"""),"Homepage")</f>
        <v>Homepage</v>
      </c>
      <c r="G73" s="11" t="b">
        <f>IFERROR(__xludf.DUMMYFUNCTION("""COMPUTED_VALUE"""),FALSE)</f>
        <v>0</v>
      </c>
      <c r="H73" s="11"/>
      <c r="I73" s="11">
        <f>IFERROR(__xludf.DUMMYFUNCTION("""COMPUTED_VALUE"""),1.0)</f>
        <v>1</v>
      </c>
      <c r="J73" s="11">
        <f>IFERROR(__xludf.DUMMYFUNCTION("""COMPUTED_VALUE"""),0.0)</f>
        <v>0</v>
      </c>
      <c r="K73" s="11">
        <f>IFERROR(__xludf.DUMMYFUNCTION("""COMPUTED_VALUE"""),1.0)</f>
        <v>1</v>
      </c>
    </row>
    <row r="74" ht="15.75" customHeight="1">
      <c r="A74" s="10" t="str">
        <f>IFERROR(__xludf.DUMMYFUNCTION("""COMPUTED_VALUE"""),"https://eight26.com/")</f>
        <v>https://eight26.com/</v>
      </c>
      <c r="B74" s="11" t="str">
        <f>IFERROR(__xludf.DUMMYFUNCTION("""COMPUTED_VALUE"""),"Eight26 | AI-Operated Marketing Agency")</f>
        <v>Eight26 | AI-Operated Marketing Agency</v>
      </c>
      <c r="C74" s="10" t="str">
        <f>IFERROR(__xludf.DUMMYFUNCTION("""COMPUTED_VALUE"""),"eight26.com")</f>
        <v>eight26.com</v>
      </c>
      <c r="D74" s="11" t="str">
        <f>IFERROR(__xludf.DUMMYFUNCTION("""COMPUTED_VALUE"""),"HOMEPAGE")</f>
        <v>HOMEPAGE</v>
      </c>
      <c r="E74" s="11" t="str">
        <f>IFERROR(__xludf.DUMMYFUNCTION("""COMPUTED_VALUE"""),"CORPORATE")</f>
        <v>CORPORATE</v>
      </c>
      <c r="F74" s="11" t="str">
        <f>IFERROR(__xludf.DUMMYFUNCTION("""COMPUTED_VALUE"""),"Homepage")</f>
        <v>Homepage</v>
      </c>
      <c r="G74" s="11" t="b">
        <f>IFERROR(__xludf.DUMMYFUNCTION("""COMPUTED_VALUE"""),FALSE)</f>
        <v>0</v>
      </c>
      <c r="H74" s="11"/>
      <c r="I74" s="11">
        <f>IFERROR(__xludf.DUMMYFUNCTION("""COMPUTED_VALUE"""),1.0)</f>
        <v>1</v>
      </c>
      <c r="J74" s="11">
        <f>IFERROR(__xludf.DUMMYFUNCTION("""COMPUTED_VALUE"""),0.0)</f>
        <v>0</v>
      </c>
      <c r="K74" s="11">
        <f>IFERROR(__xludf.DUMMYFUNCTION("""COMPUTED_VALUE"""),0.0)</f>
        <v>0</v>
      </c>
    </row>
    <row r="75" ht="15.75" customHeight="1">
      <c r="A75" s="10" t="str">
        <f>IFERROR(__xludf.DUMMYFUNCTION("""COMPUTED_VALUE"""),"https://www.empireentertainment.com/")</f>
        <v>https://www.empireentertainment.com/</v>
      </c>
      <c r="B75" s="11" t="str">
        <f>IFERROR(__xludf.DUMMYFUNCTION("""COMPUTED_VALUE"""),"Creative Event Production Agency | Empire Entertainment")</f>
        <v>Creative Event Production Agency | Empire Entertainment</v>
      </c>
      <c r="C75" s="10" t="str">
        <f>IFERROR(__xludf.DUMMYFUNCTION("""COMPUTED_VALUE"""),"empireentertainment.com")</f>
        <v>empireentertainment.com</v>
      </c>
      <c r="D75" s="11" t="str">
        <f>IFERROR(__xludf.DUMMYFUNCTION("""COMPUTED_VALUE"""),"HOMEPAGE")</f>
        <v>HOMEPAGE</v>
      </c>
      <c r="E75" s="11" t="str">
        <f>IFERROR(__xludf.DUMMYFUNCTION("""COMPUTED_VALUE"""),"CORPORATE")</f>
        <v>CORPORATE</v>
      </c>
      <c r="F75" s="11" t="str">
        <f>IFERROR(__xludf.DUMMYFUNCTION("""COMPUTED_VALUE"""),"Homepage")</f>
        <v>Homepage</v>
      </c>
      <c r="G75" s="11" t="b">
        <f>IFERROR(__xludf.DUMMYFUNCTION("""COMPUTED_VALUE"""),FALSE)</f>
        <v>0</v>
      </c>
      <c r="H75" s="11"/>
      <c r="I75" s="11">
        <f>IFERROR(__xludf.DUMMYFUNCTION("""COMPUTED_VALUE"""),1.0)</f>
        <v>1</v>
      </c>
      <c r="J75" s="11">
        <f>IFERROR(__xludf.DUMMYFUNCTION("""COMPUTED_VALUE"""),0.0)</f>
        <v>0</v>
      </c>
      <c r="K75" s="11">
        <f>IFERROR(__xludf.DUMMYFUNCTION("""COMPUTED_VALUE"""),0.0)</f>
        <v>0</v>
      </c>
    </row>
    <row r="76" ht="15.75" customHeight="1">
      <c r="A76" s="10" t="str">
        <f>IFERROR(__xludf.DUMMYFUNCTION("""COMPUTED_VALUE"""),"https://www.evarigisconsulting.com/#:~:text=ASSET%20INVENTORY.%20With%20GIS%2C%20we%20can%20systematically,for%20good%20design.%20%2D%20STREETLIGHT%20INSTALLATION%20SUPPORT.")</f>
        <v>https://www.evarigisconsulting.com/#:~:text=ASSET%20INVENTORY.%20With%20GIS%2C%20we%20can%20systematically,for%20good%20design.%20%2D%20STREETLIGHT%20INSTALLATION%20SUPPORT.</v>
      </c>
      <c r="B76" s="11" t="str">
        <f>IFERROR(__xludf.DUMMYFUNCTION("""COMPUTED_VALUE"""),"Evari GIS Consulting, Inc.")</f>
        <v>Evari GIS Consulting, Inc.</v>
      </c>
      <c r="C76" s="10" t="str">
        <f>IFERROR(__xludf.DUMMYFUNCTION("""COMPUTED_VALUE"""),"evarigisconsulting.com")</f>
        <v>evarigisconsulting.com</v>
      </c>
      <c r="D76" s="11" t="str">
        <f>IFERROR(__xludf.DUMMYFUNCTION("""COMPUTED_VALUE"""),"HOMEPAGE")</f>
        <v>HOMEPAGE</v>
      </c>
      <c r="E76" s="11" t="str">
        <f>IFERROR(__xludf.DUMMYFUNCTION("""COMPUTED_VALUE"""),"CORPORATE")</f>
        <v>CORPORATE</v>
      </c>
      <c r="F76" s="11" t="str">
        <f>IFERROR(__xludf.DUMMYFUNCTION("""COMPUTED_VALUE"""),"Homepage")</f>
        <v>Homepage</v>
      </c>
      <c r="G76" s="11" t="b">
        <f>IFERROR(__xludf.DUMMYFUNCTION("""COMPUTED_VALUE"""),FALSE)</f>
        <v>0</v>
      </c>
      <c r="H76" s="11"/>
      <c r="I76" s="11">
        <f>IFERROR(__xludf.DUMMYFUNCTION("""COMPUTED_VALUE"""),1.0)</f>
        <v>1</v>
      </c>
      <c r="J76" s="11">
        <f>IFERROR(__xludf.DUMMYFUNCTION("""COMPUTED_VALUE"""),0.0)</f>
        <v>0</v>
      </c>
      <c r="K76" s="11">
        <f>IFERROR(__xludf.DUMMYFUNCTION("""COMPUTED_VALUE"""),2.0)</f>
        <v>2</v>
      </c>
    </row>
    <row r="77" ht="15.75" customHeight="1">
      <c r="A77" s="10" t="str">
        <f>IFERROR(__xludf.DUMMYFUNCTION("""COMPUTED_VALUE"""),"https://exposureninja.com/")</f>
        <v>https://exposureninja.com/</v>
      </c>
      <c r="B77" s="11" t="str">
        <f>IFERROR(__xludf.DUMMYFUNCTION("""COMPUTED_VALUE"""),"Award-Winning Digital Marketing Agency | Exposure Ninja")</f>
        <v>Award-Winning Digital Marketing Agency | Exposure Ninja</v>
      </c>
      <c r="C77" s="10" t="str">
        <f>IFERROR(__xludf.DUMMYFUNCTION("""COMPUTED_VALUE"""),"exposureninja.com")</f>
        <v>exposureninja.com</v>
      </c>
      <c r="D77" s="11" t="str">
        <f>IFERROR(__xludf.DUMMYFUNCTION("""COMPUTED_VALUE"""),"HOMEPAGE")</f>
        <v>HOMEPAGE</v>
      </c>
      <c r="E77" s="11" t="str">
        <f>IFERROR(__xludf.DUMMYFUNCTION("""COMPUTED_VALUE"""),"CORPORATE")</f>
        <v>CORPORATE</v>
      </c>
      <c r="F77" s="11" t="str">
        <f>IFERROR(__xludf.DUMMYFUNCTION("""COMPUTED_VALUE"""),"Homepage")</f>
        <v>Homepage</v>
      </c>
      <c r="G77" s="11" t="b">
        <f>IFERROR(__xludf.DUMMYFUNCTION("""COMPUTED_VALUE"""),FALSE)</f>
        <v>0</v>
      </c>
      <c r="H77" s="11"/>
      <c r="I77" s="11">
        <f>IFERROR(__xludf.DUMMYFUNCTION("""COMPUTED_VALUE"""),1.0)</f>
        <v>1</v>
      </c>
      <c r="J77" s="11">
        <f>IFERROR(__xludf.DUMMYFUNCTION("""COMPUTED_VALUE"""),0.0)</f>
        <v>0</v>
      </c>
      <c r="K77" s="11">
        <f>IFERROR(__xludf.DUMMYFUNCTION("""COMPUTED_VALUE"""),1.0)</f>
        <v>1</v>
      </c>
    </row>
    <row r="78" ht="15.75" customHeight="1">
      <c r="A78" s="10" t="str">
        <f>IFERROR(__xludf.DUMMYFUNCTION("""COMPUTED_VALUE"""),"https://firmcraft.ai/")</f>
        <v>https://firmcraft.ai/</v>
      </c>
      <c r="B78" s="11" t="str">
        <f>IFERROR(__xludf.DUMMYFUNCTION("""COMPUTED_VALUE"""),"Firmcraft — AI Consulting &amp;amp; Managed AI for Small Business")</f>
        <v>Firmcraft — AI Consulting &amp;amp; Managed AI for Small Business</v>
      </c>
      <c r="C78" s="10" t="str">
        <f>IFERROR(__xludf.DUMMYFUNCTION("""COMPUTED_VALUE"""),"firmcraft.ai")</f>
        <v>firmcraft.ai</v>
      </c>
      <c r="D78" s="11" t="str">
        <f>IFERROR(__xludf.DUMMYFUNCTION("""COMPUTED_VALUE"""),"HOMEPAGE")</f>
        <v>HOMEPAGE</v>
      </c>
      <c r="E78" s="11" t="str">
        <f>IFERROR(__xludf.DUMMYFUNCTION("""COMPUTED_VALUE"""),"CORPORATE")</f>
        <v>CORPORATE</v>
      </c>
      <c r="F78" s="11" t="str">
        <f>IFERROR(__xludf.DUMMYFUNCTION("""COMPUTED_VALUE"""),"Homepage")</f>
        <v>Homepage</v>
      </c>
      <c r="G78" s="11" t="b">
        <f>IFERROR(__xludf.DUMMYFUNCTION("""COMPUTED_VALUE"""),FALSE)</f>
        <v>0</v>
      </c>
      <c r="H78" s="11"/>
      <c r="I78" s="11">
        <f>IFERROR(__xludf.DUMMYFUNCTION("""COMPUTED_VALUE"""),1.0)</f>
        <v>1</v>
      </c>
      <c r="J78" s="11">
        <f>IFERROR(__xludf.DUMMYFUNCTION("""COMPUTED_VALUE"""),0.0)</f>
        <v>0</v>
      </c>
      <c r="K78" s="11">
        <f>IFERROR(__xludf.DUMMYFUNCTION("""COMPUTED_VALUE"""),0.0)</f>
        <v>0</v>
      </c>
    </row>
    <row r="79" ht="15.75" customHeight="1">
      <c r="A79" s="10" t="str">
        <f>IFERROR(__xludf.DUMMYFUNCTION("""COMPUTED_VALUE"""),"https://www.frontieraiconsulting.com/")</f>
        <v>https://www.frontieraiconsulting.com/</v>
      </c>
      <c r="B79" s="11" t="str">
        <f>IFERROR(__xludf.DUMMYFUNCTION("""COMPUTED_VALUE"""),"Frontier AI Consulting Microsoft 365 &amp;amp; AI Transformation | Helping SMBs adopt Microsoft 365, Copilot, and AI securely with strategy, training, and compliance.")</f>
        <v>Frontier AI Consulting Microsoft 365 &amp;amp; AI Transformation | Helping SMBs adopt Microsoft 365, Copilot, and AI securely with strategy, training, and compliance.</v>
      </c>
      <c r="C79" s="10" t="str">
        <f>IFERROR(__xludf.DUMMYFUNCTION("""COMPUTED_VALUE"""),"frontieraiconsulting.com")</f>
        <v>frontieraiconsulting.com</v>
      </c>
      <c r="D79" s="11" t="str">
        <f>IFERROR(__xludf.DUMMYFUNCTION("""COMPUTED_VALUE"""),"HOMEPAGE")</f>
        <v>HOMEPAGE</v>
      </c>
      <c r="E79" s="11" t="str">
        <f>IFERROR(__xludf.DUMMYFUNCTION("""COMPUTED_VALUE"""),"CORPORATE")</f>
        <v>CORPORATE</v>
      </c>
      <c r="F79" s="11" t="str">
        <f>IFERROR(__xludf.DUMMYFUNCTION("""COMPUTED_VALUE"""),"Homepage")</f>
        <v>Homepage</v>
      </c>
      <c r="G79" s="11" t="b">
        <f>IFERROR(__xludf.DUMMYFUNCTION("""COMPUTED_VALUE"""),FALSE)</f>
        <v>0</v>
      </c>
      <c r="H79" s="11"/>
      <c r="I79" s="11">
        <f>IFERROR(__xludf.DUMMYFUNCTION("""COMPUTED_VALUE"""),1.0)</f>
        <v>1</v>
      </c>
      <c r="J79" s="11">
        <f>IFERROR(__xludf.DUMMYFUNCTION("""COMPUTED_VALUE"""),0.0)</f>
        <v>0</v>
      </c>
      <c r="K79" s="11">
        <f>IFERROR(__xludf.DUMMYFUNCTION("""COMPUTED_VALUE"""),0.0)</f>
        <v>0</v>
      </c>
    </row>
    <row r="80" ht="15.75" customHeight="1">
      <c r="A80" s="10" t="str">
        <f>IFERROR(__xludf.DUMMYFUNCTION("""COMPUTED_VALUE"""),"https://www.futuresupply.io/")</f>
        <v>https://www.futuresupply.io/</v>
      </c>
      <c r="B80" s="11" t="str">
        <f>IFERROR(__xludf.DUMMYFUNCTION("""COMPUTED_VALUE"""),"Scale Creative Production Without Hiring | FutureSupply")</f>
        <v>Scale Creative Production Without Hiring | FutureSupply</v>
      </c>
      <c r="C80" s="10" t="str">
        <f>IFERROR(__xludf.DUMMYFUNCTION("""COMPUTED_VALUE"""),"futuresupply.io")</f>
        <v>futuresupply.io</v>
      </c>
      <c r="D80" s="11" t="str">
        <f>IFERROR(__xludf.DUMMYFUNCTION("""COMPUTED_VALUE"""),"HOMEPAGE")</f>
        <v>HOMEPAGE</v>
      </c>
      <c r="E80" s="11" t="str">
        <f>IFERROR(__xludf.DUMMYFUNCTION("""COMPUTED_VALUE"""),"CORPORATE")</f>
        <v>CORPORATE</v>
      </c>
      <c r="F80" s="11" t="str">
        <f>IFERROR(__xludf.DUMMYFUNCTION("""COMPUTED_VALUE"""),"Homepage")</f>
        <v>Homepage</v>
      </c>
      <c r="G80" s="11" t="b">
        <f>IFERROR(__xludf.DUMMYFUNCTION("""COMPUTED_VALUE"""),FALSE)</f>
        <v>0</v>
      </c>
      <c r="H80" s="11" t="str">
        <f>IFERROR(__xludf.DUMMYFUNCTION("""COMPUTED_VALUE"""),"Ogilvy, AKQA")</f>
        <v>Ogilvy, AKQA</v>
      </c>
      <c r="I80" s="11">
        <f>IFERROR(__xludf.DUMMYFUNCTION("""COMPUTED_VALUE"""),1.0)</f>
        <v>1</v>
      </c>
      <c r="J80" s="11">
        <f>IFERROR(__xludf.DUMMYFUNCTION("""COMPUTED_VALUE"""),0.0)</f>
        <v>0</v>
      </c>
      <c r="K80" s="11">
        <f>IFERROR(__xludf.DUMMYFUNCTION("""COMPUTED_VALUE"""),0.0)</f>
        <v>0</v>
      </c>
    </row>
    <row r="81" ht="15.75" customHeight="1">
      <c r="A81" s="10" t="str">
        <f>IFERROR(__xludf.DUMMYFUNCTION("""COMPUTED_VALUE"""),"https://www.geoagency.net/")</f>
        <v>https://www.geoagency.net/</v>
      </c>
      <c r="B81" s="11" t="str">
        <f>IFERROR(__xludf.DUMMYFUNCTION("""COMPUTED_VALUE"""),"Generative Engine Optimization (GEO) and Answer Engine Optimization (AEO) Services - GEO Agency")</f>
        <v>Generative Engine Optimization (GEO) and Answer Engine Optimization (AEO) Services - GEO Agency</v>
      </c>
      <c r="C81" s="10" t="str">
        <f>IFERROR(__xludf.DUMMYFUNCTION("""COMPUTED_VALUE"""),"geoagency.net")</f>
        <v>geoagency.net</v>
      </c>
      <c r="D81" s="11" t="str">
        <f>IFERROR(__xludf.DUMMYFUNCTION("""COMPUTED_VALUE"""),"HOMEPAGE")</f>
        <v>HOMEPAGE</v>
      </c>
      <c r="E81" s="11" t="str">
        <f>IFERROR(__xludf.DUMMYFUNCTION("""COMPUTED_VALUE"""),"CORPORATE")</f>
        <v>CORPORATE</v>
      </c>
      <c r="F81" s="11" t="str">
        <f>IFERROR(__xludf.DUMMYFUNCTION("""COMPUTED_VALUE"""),"Homepage")</f>
        <v>Homepage</v>
      </c>
      <c r="G81" s="11" t="b">
        <f>IFERROR(__xludf.DUMMYFUNCTION("""COMPUTED_VALUE"""),FALSE)</f>
        <v>0</v>
      </c>
      <c r="H81" s="11"/>
      <c r="I81" s="11">
        <f>IFERROR(__xludf.DUMMYFUNCTION("""COMPUTED_VALUE"""),1.0)</f>
        <v>1</v>
      </c>
      <c r="J81" s="11">
        <f>IFERROR(__xludf.DUMMYFUNCTION("""COMPUTED_VALUE"""),0.0)</f>
        <v>0</v>
      </c>
      <c r="K81" s="11">
        <f>IFERROR(__xludf.DUMMYFUNCTION("""COMPUTED_VALUE"""),0.0)</f>
        <v>0</v>
      </c>
    </row>
    <row r="82" ht="15.75" customHeight="1">
      <c r="A82" s="10" t="str">
        <f>IFERROR(__xludf.DUMMYFUNCTION("""COMPUTED_VALUE"""),"https://www.goupward.com/")</f>
        <v>https://www.goupward.com/</v>
      </c>
      <c r="B82" s="11" t="str">
        <f>IFERROR(__xludf.DUMMYFUNCTION("""COMPUTED_VALUE"""),"Digital Marketing Agency for Global Brands")</f>
        <v>Digital Marketing Agency for Global Brands</v>
      </c>
      <c r="C82" s="10" t="str">
        <f>IFERROR(__xludf.DUMMYFUNCTION("""COMPUTED_VALUE"""),"goupward.com")</f>
        <v>goupward.com</v>
      </c>
      <c r="D82" s="11" t="str">
        <f>IFERROR(__xludf.DUMMYFUNCTION("""COMPUTED_VALUE"""),"HOMEPAGE")</f>
        <v>HOMEPAGE</v>
      </c>
      <c r="E82" s="11" t="str">
        <f>IFERROR(__xludf.DUMMYFUNCTION("""COMPUTED_VALUE"""),"CORPORATE")</f>
        <v>CORPORATE</v>
      </c>
      <c r="F82" s="11" t="str">
        <f>IFERROR(__xludf.DUMMYFUNCTION("""COMPUTED_VALUE"""),"Homepage")</f>
        <v>Homepage</v>
      </c>
      <c r="G82" s="11" t="b">
        <f>IFERROR(__xludf.DUMMYFUNCTION("""COMPUTED_VALUE"""),FALSE)</f>
        <v>0</v>
      </c>
      <c r="H82" s="11"/>
      <c r="I82" s="11">
        <f>IFERROR(__xludf.DUMMYFUNCTION("""COMPUTED_VALUE"""),1.0)</f>
        <v>1</v>
      </c>
      <c r="J82" s="11">
        <f>IFERROR(__xludf.DUMMYFUNCTION("""COMPUTED_VALUE"""),0.0)</f>
        <v>0</v>
      </c>
      <c r="K82" s="11">
        <f>IFERROR(__xludf.DUMMYFUNCTION("""COMPUTED_VALUE"""),0.0)</f>
        <v>0</v>
      </c>
    </row>
    <row r="83" ht="15.75" customHeight="1">
      <c r="A83" s="10" t="str">
        <f>IFERROR(__xludf.DUMMYFUNCTION("""COMPUTED_VALUE"""),"https://gumgum.com/#:~:text=012345012345%25%20higher%20finale%20viewership%20vs%20The%20Traitors,Velocity.%2001.%200120%25%20Viewability%20on%20Velocity.%200123456789012345%25")</f>
        <v>https://gumgum.com/#:~:text=012345012345%25%20higher%20finale%20viewership%20vs%20The%20Traitors,Velocity.%2001.%200120%25%20Viewability%20on%20Velocity.%200123456789012345%25</v>
      </c>
      <c r="B83" s="11" t="str">
        <f>IFERROR(__xludf.DUMMYFUNCTION("""COMPUTED_VALUE"""),"GumGum | The Mindset Company™ – CTV, OLV &amp;amp; High Impact Display Advertising")</f>
        <v>GumGum | The Mindset Company™ – CTV, OLV &amp;amp; High Impact Display Advertising</v>
      </c>
      <c r="C83" s="10" t="str">
        <f>IFERROR(__xludf.DUMMYFUNCTION("""COMPUTED_VALUE"""),"gumgum.com")</f>
        <v>gumgum.com</v>
      </c>
      <c r="D83" s="11" t="str">
        <f>IFERROR(__xludf.DUMMYFUNCTION("""COMPUTED_VALUE"""),"HOMEPAGE")</f>
        <v>HOMEPAGE</v>
      </c>
      <c r="E83" s="11" t="str">
        <f>IFERROR(__xludf.DUMMYFUNCTION("""COMPUTED_VALUE"""),"CORPORATE")</f>
        <v>CORPORATE</v>
      </c>
      <c r="F83" s="11" t="str">
        <f>IFERROR(__xludf.DUMMYFUNCTION("""COMPUTED_VALUE"""),"Homepage")</f>
        <v>Homepage</v>
      </c>
      <c r="G83" s="11" t="b">
        <f>IFERROR(__xludf.DUMMYFUNCTION("""COMPUTED_VALUE"""),FALSE)</f>
        <v>0</v>
      </c>
      <c r="H83" s="11" t="str">
        <f>IFERROR(__xludf.DUMMYFUNCTION("""COMPUTED_VALUE"""),"Momentum")</f>
        <v>Momentum</v>
      </c>
      <c r="I83" s="11">
        <f>IFERROR(__xludf.DUMMYFUNCTION("""COMPUTED_VALUE"""),1.0)</f>
        <v>1</v>
      </c>
      <c r="J83" s="11">
        <f>IFERROR(__xludf.DUMMYFUNCTION("""COMPUTED_VALUE"""),0.0)</f>
        <v>0</v>
      </c>
      <c r="K83" s="11">
        <f>IFERROR(__xludf.DUMMYFUNCTION("""COMPUTED_VALUE"""),1.0)</f>
        <v>1</v>
      </c>
    </row>
    <row r="84" ht="15.75" customHeight="1">
      <c r="A84" s="10" t="str">
        <f>IFERROR(__xludf.DUMMYFUNCTION("""COMPUTED_VALUE"""),"https://www.haus.io/")</f>
        <v>https://www.haus.io/</v>
      </c>
      <c r="B84" s="11" t="str">
        <f>IFERROR(__xludf.DUMMYFUNCTION("""COMPUTED_VALUE"""),"Haus | AI-Powered Causal Marketing")</f>
        <v>Haus | AI-Powered Causal Marketing</v>
      </c>
      <c r="C84" s="10" t="str">
        <f>IFERROR(__xludf.DUMMYFUNCTION("""COMPUTED_VALUE"""),"haus.io")</f>
        <v>haus.io</v>
      </c>
      <c r="D84" s="11" t="str">
        <f>IFERROR(__xludf.DUMMYFUNCTION("""COMPUTED_VALUE"""),"HOMEPAGE")</f>
        <v>HOMEPAGE</v>
      </c>
      <c r="E84" s="11" t="str">
        <f>IFERROR(__xludf.DUMMYFUNCTION("""COMPUTED_VALUE"""),"COMPETITOR")</f>
        <v>COMPETITOR</v>
      </c>
      <c r="F84" s="11" t="str">
        <f>IFERROR(__xludf.DUMMYFUNCTION("""COMPUTED_VALUE"""),"Homepage")</f>
        <v>Homepage</v>
      </c>
      <c r="G84" s="11" t="b">
        <f>IFERROR(__xludf.DUMMYFUNCTION("""COMPUTED_VALUE"""),FALSE)</f>
        <v>0</v>
      </c>
      <c r="H84" s="11" t="str">
        <f>IFERROR(__xludf.DUMMYFUNCTION("""COMPUTED_VALUE"""),"Haus, Momentum")</f>
        <v>Haus, Momentum</v>
      </c>
      <c r="I84" s="11">
        <f>IFERROR(__xludf.DUMMYFUNCTION("""COMPUTED_VALUE"""),1.0)</f>
        <v>1</v>
      </c>
      <c r="J84" s="11">
        <f>IFERROR(__xludf.DUMMYFUNCTION("""COMPUTED_VALUE"""),0.0)</f>
        <v>0</v>
      </c>
      <c r="K84" s="11">
        <f>IFERROR(__xludf.DUMMYFUNCTION("""COMPUTED_VALUE"""),1.0)</f>
        <v>1</v>
      </c>
    </row>
    <row r="85" ht="15.75" customHeight="1">
      <c r="A85" s="10" t="str">
        <f>IFERROR(__xludf.DUMMYFUNCTION("""COMPUTED_VALUE"""),"https://www.hellobigidea.com/")</f>
        <v>https://www.hellobigidea.com/</v>
      </c>
      <c r="B85" s="11" t="str">
        <f>IFERROR(__xludf.DUMMYFUNCTION("""COMPUTED_VALUE"""),"Hello Big Idea | Brand + Marketing Agency")</f>
        <v>Hello Big Idea | Brand + Marketing Agency</v>
      </c>
      <c r="C85" s="10" t="str">
        <f>IFERROR(__xludf.DUMMYFUNCTION("""COMPUTED_VALUE"""),"hellobigidea.com")</f>
        <v>hellobigidea.com</v>
      </c>
      <c r="D85" s="11" t="str">
        <f>IFERROR(__xludf.DUMMYFUNCTION("""COMPUTED_VALUE"""),"HOMEPAGE")</f>
        <v>HOMEPAGE</v>
      </c>
      <c r="E85" s="11" t="str">
        <f>IFERROR(__xludf.DUMMYFUNCTION("""COMPUTED_VALUE"""),"CORPORATE")</f>
        <v>CORPORATE</v>
      </c>
      <c r="F85" s="11" t="str">
        <f>IFERROR(__xludf.DUMMYFUNCTION("""COMPUTED_VALUE"""),"Homepage")</f>
        <v>Homepage</v>
      </c>
      <c r="G85" s="11" t="b">
        <f>IFERROR(__xludf.DUMMYFUNCTION("""COMPUTED_VALUE"""),FALSE)</f>
        <v>0</v>
      </c>
      <c r="H85" s="11"/>
      <c r="I85" s="11">
        <f>IFERROR(__xludf.DUMMYFUNCTION("""COMPUTED_VALUE"""),1.0)</f>
        <v>1</v>
      </c>
      <c r="J85" s="11">
        <f>IFERROR(__xludf.DUMMYFUNCTION("""COMPUTED_VALUE"""),0.0)</f>
        <v>0</v>
      </c>
      <c r="K85" s="11">
        <f>IFERROR(__xludf.DUMMYFUNCTION("""COMPUTED_VALUE"""),0.0)</f>
        <v>0</v>
      </c>
    </row>
    <row r="86" ht="15.75" customHeight="1">
      <c r="A86" s="10" t="str">
        <f>IFERROR(__xludf.DUMMYFUNCTION("""COMPUTED_VALUE"""),"https://humanshiftready.com/")</f>
        <v>https://humanshiftready.com/</v>
      </c>
      <c r="B86" s="11" t="str">
        <f>IFERROR(__xludf.DUMMYFUNCTION("""COMPUTED_VALUE"""),"Transformation Readiness Consultant | Human Shift Ready™")</f>
        <v>Transformation Readiness Consultant | Human Shift Ready™</v>
      </c>
      <c r="C86" s="10" t="str">
        <f>IFERROR(__xludf.DUMMYFUNCTION("""COMPUTED_VALUE"""),"humanshiftready.com")</f>
        <v>humanshiftready.com</v>
      </c>
      <c r="D86" s="11" t="str">
        <f>IFERROR(__xludf.DUMMYFUNCTION("""COMPUTED_VALUE"""),"HOMEPAGE")</f>
        <v>HOMEPAGE</v>
      </c>
      <c r="E86" s="11" t="str">
        <f>IFERROR(__xludf.DUMMYFUNCTION("""COMPUTED_VALUE"""),"CORPORATE")</f>
        <v>CORPORATE</v>
      </c>
      <c r="F86" s="11" t="str">
        <f>IFERROR(__xludf.DUMMYFUNCTION("""COMPUTED_VALUE"""),"Homepage")</f>
        <v>Homepage</v>
      </c>
      <c r="G86" s="11" t="b">
        <f>IFERROR(__xludf.DUMMYFUNCTION("""COMPUTED_VALUE"""),FALSE)</f>
        <v>0</v>
      </c>
      <c r="H86" s="11" t="str">
        <f>IFERROR(__xludf.DUMMYFUNCTION("""COMPUTED_VALUE"""),"Measured")</f>
        <v>Measured</v>
      </c>
      <c r="I86" s="11">
        <f>IFERROR(__xludf.DUMMYFUNCTION("""COMPUTED_VALUE"""),1.0)</f>
        <v>1</v>
      </c>
      <c r="J86" s="11">
        <f>IFERROR(__xludf.DUMMYFUNCTION("""COMPUTED_VALUE"""),0.0)</f>
        <v>0</v>
      </c>
      <c r="K86" s="11">
        <f>IFERROR(__xludf.DUMMYFUNCTION("""COMPUTED_VALUE"""),0.0)</f>
        <v>0</v>
      </c>
    </row>
    <row r="87" ht="15.75" customHeight="1">
      <c r="A87" s="10" t="str">
        <f>IFERROR(__xludf.DUMMYFUNCTION("""COMPUTED_VALUE"""),"https://www.j29creative.com/")</f>
        <v>https://www.j29creative.com/</v>
      </c>
      <c r="B87" s="11" t="str">
        <f>IFERROR(__xludf.DUMMYFUNCTION("""COMPUTED_VALUE"""),"J29 Creative Group a Full-Service Creative Marketing Agency")</f>
        <v>J29 Creative Group a Full-Service Creative Marketing Agency</v>
      </c>
      <c r="C87" s="10" t="str">
        <f>IFERROR(__xludf.DUMMYFUNCTION("""COMPUTED_VALUE"""),"j29creative.com")</f>
        <v>j29creative.com</v>
      </c>
      <c r="D87" s="11" t="str">
        <f>IFERROR(__xludf.DUMMYFUNCTION("""COMPUTED_VALUE"""),"HOMEPAGE")</f>
        <v>HOMEPAGE</v>
      </c>
      <c r="E87" s="11" t="str">
        <f>IFERROR(__xludf.DUMMYFUNCTION("""COMPUTED_VALUE"""),"CORPORATE")</f>
        <v>CORPORATE</v>
      </c>
      <c r="F87" s="11" t="str">
        <f>IFERROR(__xludf.DUMMYFUNCTION("""COMPUTED_VALUE"""),"Homepage")</f>
        <v>Homepage</v>
      </c>
      <c r="G87" s="11" t="b">
        <f>IFERROR(__xludf.DUMMYFUNCTION("""COMPUTED_VALUE"""),FALSE)</f>
        <v>0</v>
      </c>
      <c r="H87" s="11" t="str">
        <f>IFERROR(__xludf.DUMMYFUNCTION("""COMPUTED_VALUE"""),"Huge")</f>
        <v>Huge</v>
      </c>
      <c r="I87" s="11">
        <f>IFERROR(__xludf.DUMMYFUNCTION("""COMPUTED_VALUE"""),1.0)</f>
        <v>1</v>
      </c>
      <c r="J87" s="11">
        <f>IFERROR(__xludf.DUMMYFUNCTION("""COMPUTED_VALUE"""),0.0)</f>
        <v>0</v>
      </c>
      <c r="K87" s="11">
        <f>IFERROR(__xludf.DUMMYFUNCTION("""COMPUTED_VALUE"""),0.0)</f>
        <v>0</v>
      </c>
    </row>
    <row r="88" ht="15.75" customHeight="1">
      <c r="A88" s="10" t="str">
        <f>IFERROR(__xludf.DUMMYFUNCTION("""COMPUTED_VALUE"""),"https://www.klientboost.com/")</f>
        <v>https://www.klientboost.com/</v>
      </c>
      <c r="B88" s="11" t="str">
        <f>IFERROR(__xludf.DUMMYFUNCTION("""COMPUTED_VALUE"""),"KlientBoost - Outcome Marketing Agency 2026")</f>
        <v>KlientBoost - Outcome Marketing Agency 2026</v>
      </c>
      <c r="C88" s="10" t="str">
        <f>IFERROR(__xludf.DUMMYFUNCTION("""COMPUTED_VALUE"""),"klientboost.com")</f>
        <v>klientboost.com</v>
      </c>
      <c r="D88" s="11" t="str">
        <f>IFERROR(__xludf.DUMMYFUNCTION("""COMPUTED_VALUE"""),"HOMEPAGE")</f>
        <v>HOMEPAGE</v>
      </c>
      <c r="E88" s="11" t="str">
        <f>IFERROR(__xludf.DUMMYFUNCTION("""COMPUTED_VALUE"""),"COMPETITOR")</f>
        <v>COMPETITOR</v>
      </c>
      <c r="F88" s="11" t="str">
        <f>IFERROR(__xludf.DUMMYFUNCTION("""COMPUTED_VALUE"""),"Homepage")</f>
        <v>Homepage</v>
      </c>
      <c r="G88" s="11" t="b">
        <f>IFERROR(__xludf.DUMMYFUNCTION("""COMPUTED_VALUE"""),FALSE)</f>
        <v>0</v>
      </c>
      <c r="H88" s="11" t="str">
        <f>IFERROR(__xludf.DUMMYFUNCTION("""COMPUTED_VALUE"""),"KlientBoost, Clutch")</f>
        <v>KlientBoost, Clutch</v>
      </c>
      <c r="I88" s="11">
        <f>IFERROR(__xludf.DUMMYFUNCTION("""COMPUTED_VALUE"""),1.0)</f>
        <v>1</v>
      </c>
      <c r="J88" s="11">
        <f>IFERROR(__xludf.DUMMYFUNCTION("""COMPUTED_VALUE"""),0.0)</f>
        <v>0</v>
      </c>
      <c r="K88" s="11">
        <f>IFERROR(__xludf.DUMMYFUNCTION("""COMPUTED_VALUE"""),1.0)</f>
        <v>1</v>
      </c>
    </row>
    <row r="89" ht="15.75" customHeight="1">
      <c r="A89" s="10" t="str">
        <f>IFERROR(__xludf.DUMMYFUNCTION("""COMPUTED_VALUE"""),"https://linea-analytics.com/")</f>
        <v>https://linea-analytics.com/</v>
      </c>
      <c r="B89" s="11" t="str">
        <f>IFERROR(__xludf.DUMMYFUNCTION("""COMPUTED_VALUE"""),"Linea Analytics — True Marketing Impact Measurement (Always-on MMM)")</f>
        <v>Linea Analytics — True Marketing Impact Measurement (Always-on MMM)</v>
      </c>
      <c r="C89" s="10" t="str">
        <f>IFERROR(__xludf.DUMMYFUNCTION("""COMPUTED_VALUE"""),"linea-analytics.com")</f>
        <v>linea-analytics.com</v>
      </c>
      <c r="D89" s="11" t="str">
        <f>IFERROR(__xludf.DUMMYFUNCTION("""COMPUTED_VALUE"""),"HOMEPAGE")</f>
        <v>HOMEPAGE</v>
      </c>
      <c r="E89" s="11" t="str">
        <f>IFERROR(__xludf.DUMMYFUNCTION("""COMPUTED_VALUE"""),"CORPORATE")</f>
        <v>CORPORATE</v>
      </c>
      <c r="F89" s="11" t="str">
        <f>IFERROR(__xludf.DUMMYFUNCTION("""COMPUTED_VALUE"""),"Homepage")</f>
        <v>Homepage</v>
      </c>
      <c r="G89" s="11" t="b">
        <f>IFERROR(__xludf.DUMMYFUNCTION("""COMPUTED_VALUE"""),FALSE)</f>
        <v>0</v>
      </c>
      <c r="H89" s="11"/>
      <c r="I89" s="11">
        <f>IFERROR(__xludf.DUMMYFUNCTION("""COMPUTED_VALUE"""),1.0)</f>
        <v>1</v>
      </c>
      <c r="J89" s="11">
        <f>IFERROR(__xludf.DUMMYFUNCTION("""COMPUTED_VALUE"""),0.0)</f>
        <v>0</v>
      </c>
      <c r="K89" s="11">
        <f>IFERROR(__xludf.DUMMYFUNCTION("""COMPUTED_VALUE"""),0.0)</f>
        <v>0</v>
      </c>
    </row>
    <row r="90" ht="15.75" customHeight="1">
      <c r="A90" s="10" t="str">
        <f>IFERROR(__xludf.DUMMYFUNCTION("""COMPUTED_VALUE"""),"https://marketplace.shopperapproved.com/")</f>
        <v>https://marketplace.shopperapproved.com/</v>
      </c>
      <c r="B90" s="11" t="str">
        <f>IFERROR(__xludf.DUMMYFUNCTION("""COMPUTED_VALUE"""),"Find the right Shopper Approved Service Partner")</f>
        <v>Find the right Shopper Approved Service Partner</v>
      </c>
      <c r="C90" s="10" t="str">
        <f>IFERROR(__xludf.DUMMYFUNCTION("""COMPUTED_VALUE"""),"shopperapproved.com")</f>
        <v>shopperapproved.com</v>
      </c>
      <c r="D90" s="11" t="str">
        <f>IFERROR(__xludf.DUMMYFUNCTION("""COMPUTED_VALUE"""),"HOMEPAGE")</f>
        <v>HOMEPAGE</v>
      </c>
      <c r="E90" s="11" t="str">
        <f>IFERROR(__xludf.DUMMYFUNCTION("""COMPUTED_VALUE"""),"CORPORATE")</f>
        <v>CORPORATE</v>
      </c>
      <c r="F90" s="11" t="str">
        <f>IFERROR(__xludf.DUMMYFUNCTION("""COMPUTED_VALUE"""),"Homepage")</f>
        <v>Homepage</v>
      </c>
      <c r="G90" s="11" t="b">
        <f>IFERROR(__xludf.DUMMYFUNCTION("""COMPUTED_VALUE"""),FALSE)</f>
        <v>0</v>
      </c>
      <c r="H90" s="11" t="str">
        <f>IFERROR(__xludf.DUMMYFUNCTION("""COMPUTED_VALUE"""),"Hawke Media, Disruptive Advertising, Searchbloom")</f>
        <v>Hawke Media, Disruptive Advertising, Searchbloom</v>
      </c>
      <c r="I90" s="11">
        <f>IFERROR(__xludf.DUMMYFUNCTION("""COMPUTED_VALUE"""),1.0)</f>
        <v>1</v>
      </c>
      <c r="J90" s="11">
        <f>IFERROR(__xludf.DUMMYFUNCTION("""COMPUTED_VALUE"""),0.0)</f>
        <v>0</v>
      </c>
      <c r="K90" s="11">
        <f>IFERROR(__xludf.DUMMYFUNCTION("""COMPUTED_VALUE"""),1.0)</f>
        <v>1</v>
      </c>
    </row>
    <row r="91" ht="15.75" customHeight="1">
      <c r="A91" s="10" t="str">
        <f>IFERROR(__xludf.DUMMYFUNCTION("""COMPUTED_VALUE"""),"https://www.mkt-sci.com/")</f>
        <v>https://www.mkt-sci.com/</v>
      </c>
      <c r="B91" s="11"/>
      <c r="C91" s="10" t="str">
        <f>IFERROR(__xludf.DUMMYFUNCTION("""COMPUTED_VALUE"""),"mkt-sci.com")</f>
        <v>mkt-sci.com</v>
      </c>
      <c r="D91" s="11" t="str">
        <f>IFERROR(__xludf.DUMMYFUNCTION("""COMPUTED_VALUE"""),"HOMEPAGE")</f>
        <v>HOMEPAGE</v>
      </c>
      <c r="E91" s="11" t="str">
        <f>IFERROR(__xludf.DUMMYFUNCTION("""COMPUTED_VALUE"""),"CORPORATE")</f>
        <v>CORPORATE</v>
      </c>
      <c r="F91" s="11" t="str">
        <f>IFERROR(__xludf.DUMMYFUNCTION("""COMPUTED_VALUE"""),"Homepage")</f>
        <v>Homepage</v>
      </c>
      <c r="G91" s="11"/>
      <c r="H91" s="11" t="str">
        <f>IFERROR(__xludf.DUMMYFUNCTION("""COMPUTED_VALUE"""),"Unknown")</f>
        <v>Unknown</v>
      </c>
      <c r="I91" s="11">
        <f>IFERROR(__xludf.DUMMYFUNCTION("""COMPUTED_VALUE"""),1.0)</f>
        <v>1</v>
      </c>
      <c r="J91" s="11">
        <f>IFERROR(__xludf.DUMMYFUNCTION("""COMPUTED_VALUE"""),0.0)</f>
        <v>0</v>
      </c>
      <c r="K91" s="11">
        <f>IFERROR(__xludf.DUMMYFUNCTION("""COMPUTED_VALUE"""),2.0)</f>
        <v>2</v>
      </c>
    </row>
    <row r="92" ht="15.75" customHeight="1">
      <c r="A92" s="10" t="str">
        <f>IFERROR(__xludf.DUMMYFUNCTION("""COMPUTED_VALUE"""),"https://mutesix.com/")</f>
        <v>https://mutesix.com/</v>
      </c>
      <c r="B92" s="11" t="str">
        <f>IFERROR(__xludf.DUMMYFUNCTION("""COMPUTED_VALUE"""),"Performance Marketing Agency | Advertising Marketing Group")</f>
        <v>Performance Marketing Agency | Advertising Marketing Group</v>
      </c>
      <c r="C92" s="10" t="str">
        <f>IFERROR(__xludf.DUMMYFUNCTION("""COMPUTED_VALUE"""),"mutesix.com")</f>
        <v>mutesix.com</v>
      </c>
      <c r="D92" s="11" t="str">
        <f>IFERROR(__xludf.DUMMYFUNCTION("""COMPUTED_VALUE"""),"HOMEPAGE")</f>
        <v>HOMEPAGE</v>
      </c>
      <c r="E92" s="11" t="str">
        <f>IFERROR(__xludf.DUMMYFUNCTION("""COMPUTED_VALUE"""),"COMPETITOR")</f>
        <v>COMPETITOR</v>
      </c>
      <c r="F92" s="11" t="str">
        <f>IFERROR(__xludf.DUMMYFUNCTION("""COMPUTED_VALUE"""),"Homepage")</f>
        <v>Homepage</v>
      </c>
      <c r="G92" s="11" t="b">
        <f>IFERROR(__xludf.DUMMYFUNCTION("""COMPUTED_VALUE"""),FALSE)</f>
        <v>0</v>
      </c>
      <c r="H92" s="11" t="str">
        <f>IFERROR(__xludf.DUMMYFUNCTION("""COMPUTED_VALUE"""),"MuteSix, Measured")</f>
        <v>MuteSix, Measured</v>
      </c>
      <c r="I92" s="11">
        <f>IFERROR(__xludf.DUMMYFUNCTION("""COMPUTED_VALUE"""),1.0)</f>
        <v>1</v>
      </c>
      <c r="J92" s="11">
        <f>IFERROR(__xludf.DUMMYFUNCTION("""COMPUTED_VALUE"""),0.0)</f>
        <v>0</v>
      </c>
      <c r="K92" s="11">
        <f>IFERROR(__xludf.DUMMYFUNCTION("""COMPUTED_VALUE"""),1.0)</f>
        <v>1</v>
      </c>
    </row>
    <row r="93" ht="15.75" customHeight="1">
      <c r="A93" s="10" t="str">
        <f>IFERROR(__xludf.DUMMYFUNCTION("""COMPUTED_VALUE"""),"https://www.ogilvy.com/")</f>
        <v>https://www.ogilvy.com/</v>
      </c>
      <c r="B93" s="11" t="str">
        <f>IFERROR(__xludf.DUMMYFUNCTION("""COMPUTED_VALUE"""),"Ogilvy")</f>
        <v>Ogilvy</v>
      </c>
      <c r="C93" s="10" t="str">
        <f>IFERROR(__xludf.DUMMYFUNCTION("""COMPUTED_VALUE"""),"ogilvy.com")</f>
        <v>ogilvy.com</v>
      </c>
      <c r="D93" s="11" t="str">
        <f>IFERROR(__xludf.DUMMYFUNCTION("""COMPUTED_VALUE"""),"HOMEPAGE")</f>
        <v>HOMEPAGE</v>
      </c>
      <c r="E93" s="11" t="str">
        <f>IFERROR(__xludf.DUMMYFUNCTION("""COMPUTED_VALUE"""),"COMPETITOR")</f>
        <v>COMPETITOR</v>
      </c>
      <c r="F93" s="11" t="str">
        <f>IFERROR(__xludf.DUMMYFUNCTION("""COMPUTED_VALUE"""),"Homepage")</f>
        <v>Homepage</v>
      </c>
      <c r="G93" s="11" t="b">
        <f>IFERROR(__xludf.DUMMYFUNCTION("""COMPUTED_VALUE"""),FALSE)</f>
        <v>0</v>
      </c>
      <c r="H93" s="11" t="str">
        <f>IFERROR(__xludf.DUMMYFUNCTION("""COMPUTED_VALUE"""),"Ogilvy, IBM")</f>
        <v>Ogilvy, IBM</v>
      </c>
      <c r="I93" s="11">
        <f>IFERROR(__xludf.DUMMYFUNCTION("""COMPUTED_VALUE"""),1.0)</f>
        <v>1</v>
      </c>
      <c r="J93" s="11">
        <f>IFERROR(__xludf.DUMMYFUNCTION("""COMPUTED_VALUE"""),0.0)</f>
        <v>0</v>
      </c>
      <c r="K93" s="11">
        <f>IFERROR(__xludf.DUMMYFUNCTION("""COMPUTED_VALUE"""),1.0)</f>
        <v>1</v>
      </c>
    </row>
    <row r="94" ht="15.75" customHeight="1">
      <c r="A94" s="10" t="str">
        <f>IFERROR(__xludf.DUMMYFUNCTION("""COMPUTED_VALUE"""),"https://paramark.com/")</f>
        <v>https://paramark.com/</v>
      </c>
      <c r="B94" s="11" t="str">
        <f>IFERROR(__xludf.DUMMYFUNCTION("""COMPUTED_VALUE"""),"Paramark - Incrementality Measurement Redefined")</f>
        <v>Paramark - Incrementality Measurement Redefined</v>
      </c>
      <c r="C94" s="10" t="str">
        <f>IFERROR(__xludf.DUMMYFUNCTION("""COMPUTED_VALUE"""),"paramark.com")</f>
        <v>paramark.com</v>
      </c>
      <c r="D94" s="11" t="str">
        <f>IFERROR(__xludf.DUMMYFUNCTION("""COMPUTED_VALUE"""),"HOMEPAGE")</f>
        <v>HOMEPAGE</v>
      </c>
      <c r="E94" s="11" t="str">
        <f>IFERROR(__xludf.DUMMYFUNCTION("""COMPUTED_VALUE"""),"CORPORATE")</f>
        <v>CORPORATE</v>
      </c>
      <c r="F94" s="11" t="str">
        <f>IFERROR(__xludf.DUMMYFUNCTION("""COMPUTED_VALUE"""),"Homepage")</f>
        <v>Homepage</v>
      </c>
      <c r="G94" s="11" t="b">
        <f>IFERROR(__xludf.DUMMYFUNCTION("""COMPUTED_VALUE"""),FALSE)</f>
        <v>0</v>
      </c>
      <c r="H94" s="11" t="str">
        <f>IFERROR(__xludf.DUMMYFUNCTION("""COMPUTED_VALUE"""),"Measured, Haus, Recast")</f>
        <v>Measured, Haus, Recast</v>
      </c>
      <c r="I94" s="11">
        <f>IFERROR(__xludf.DUMMYFUNCTION("""COMPUTED_VALUE"""),1.0)</f>
        <v>1</v>
      </c>
      <c r="J94" s="11">
        <f>IFERROR(__xludf.DUMMYFUNCTION("""COMPUTED_VALUE"""),0.0)</f>
        <v>0</v>
      </c>
      <c r="K94" s="11">
        <f>IFERROR(__xludf.DUMMYFUNCTION("""COMPUTED_VALUE"""),0.0)</f>
        <v>0</v>
      </c>
    </row>
    <row r="95" ht="15.75" customHeight="1">
      <c r="A95" s="10" t="str">
        <f>IFERROR(__xludf.DUMMYFUNCTION("""COMPUTED_VALUE"""),"https://www.performics.com/")</f>
        <v>https://www.performics.com/</v>
      </c>
      <c r="B95" s="11" t="str">
        <f>IFERROR(__xludf.DUMMYFUNCTION("""COMPUTED_VALUE"""),"Performics Home | The Performance Marketing Agency")</f>
        <v>Performics Home | The Performance Marketing Agency</v>
      </c>
      <c r="C95" s="10" t="str">
        <f>IFERROR(__xludf.DUMMYFUNCTION("""COMPUTED_VALUE"""),"performics.com")</f>
        <v>performics.com</v>
      </c>
      <c r="D95" s="11" t="str">
        <f>IFERROR(__xludf.DUMMYFUNCTION("""COMPUTED_VALUE"""),"HOMEPAGE")</f>
        <v>HOMEPAGE</v>
      </c>
      <c r="E95" s="11" t="str">
        <f>IFERROR(__xludf.DUMMYFUNCTION("""COMPUTED_VALUE"""),"CORPORATE")</f>
        <v>CORPORATE</v>
      </c>
      <c r="F95" s="11" t="str">
        <f>IFERROR(__xludf.DUMMYFUNCTION("""COMPUTED_VALUE"""),"Homepage")</f>
        <v>Homepage</v>
      </c>
      <c r="G95" s="11" t="b">
        <f>IFERROR(__xludf.DUMMYFUNCTION("""COMPUTED_VALUE"""),FALSE)</f>
        <v>0</v>
      </c>
      <c r="H95" s="11"/>
      <c r="I95" s="11">
        <f>IFERROR(__xludf.DUMMYFUNCTION("""COMPUTED_VALUE"""),1.0)</f>
        <v>1</v>
      </c>
      <c r="J95" s="11">
        <f>IFERROR(__xludf.DUMMYFUNCTION("""COMPUTED_VALUE"""),0.0)</f>
        <v>0</v>
      </c>
      <c r="K95" s="11">
        <f>IFERROR(__xludf.DUMMYFUNCTION("""COMPUTED_VALUE"""),1.0)</f>
        <v>1</v>
      </c>
    </row>
    <row r="96" ht="15.75" customHeight="1">
      <c r="A96" s="10" t="str">
        <f>IFERROR(__xludf.DUMMYFUNCTION("""COMPUTED_VALUE"""),"https://www.propellic.com/")</f>
        <v>https://www.propellic.com/</v>
      </c>
      <c r="B96" s="11" t="str">
        <f>IFERROR(__xludf.DUMMYFUNCTION("""COMPUTED_VALUE"""),"Propellic® | The Leading Global Travel Marketing Agency")</f>
        <v>Propellic® | The Leading Global Travel Marketing Agency</v>
      </c>
      <c r="C96" s="10" t="str">
        <f>IFERROR(__xludf.DUMMYFUNCTION("""COMPUTED_VALUE"""),"propellic.com")</f>
        <v>propellic.com</v>
      </c>
      <c r="D96" s="11" t="str">
        <f>IFERROR(__xludf.DUMMYFUNCTION("""COMPUTED_VALUE"""),"HOMEPAGE")</f>
        <v>HOMEPAGE</v>
      </c>
      <c r="E96" s="11" t="str">
        <f>IFERROR(__xludf.DUMMYFUNCTION("""COMPUTED_VALUE"""),"CORPORATE")</f>
        <v>CORPORATE</v>
      </c>
      <c r="F96" s="11" t="str">
        <f>IFERROR(__xludf.DUMMYFUNCTION("""COMPUTED_VALUE"""),"Homepage")</f>
        <v>Homepage</v>
      </c>
      <c r="G96" s="11" t="b">
        <f>IFERROR(__xludf.DUMMYFUNCTION("""COMPUTED_VALUE"""),FALSE)</f>
        <v>0</v>
      </c>
      <c r="H96" s="11" t="str">
        <f>IFERROR(__xludf.DUMMYFUNCTION("""COMPUTED_VALUE"""),"Clutch")</f>
        <v>Clutch</v>
      </c>
      <c r="I96" s="11">
        <f>IFERROR(__xludf.DUMMYFUNCTION("""COMPUTED_VALUE"""),1.0)</f>
        <v>1</v>
      </c>
      <c r="J96" s="11">
        <f>IFERROR(__xludf.DUMMYFUNCTION("""COMPUTED_VALUE"""),0.0)</f>
        <v>0</v>
      </c>
      <c r="K96" s="11">
        <f>IFERROR(__xludf.DUMMYFUNCTION("""COMPUTED_VALUE"""),1.0)</f>
        <v>1</v>
      </c>
    </row>
    <row r="97" ht="15.75" customHeight="1">
      <c r="A97" s="10" t="str">
        <f>IFERROR(__xludf.DUMMYFUNCTION("""COMPUTED_VALUE"""),"https://purealanalytics.co.uk/")</f>
        <v>https://purealanalytics.co.uk/</v>
      </c>
      <c r="B97" s="11" t="str">
        <f>IFERROR(__xludf.DUMMYFUNCTION("""COMPUTED_VALUE"""),"Pureal Analytics — Marketing measurement, modelled properly")</f>
        <v>Pureal Analytics — Marketing measurement, modelled properly</v>
      </c>
      <c r="C97" s="10" t="str">
        <f>IFERROR(__xludf.DUMMYFUNCTION("""COMPUTED_VALUE"""),"purealanalytics.co.uk")</f>
        <v>purealanalytics.co.uk</v>
      </c>
      <c r="D97" s="11" t="str">
        <f>IFERROR(__xludf.DUMMYFUNCTION("""COMPUTED_VALUE"""),"HOMEPAGE")</f>
        <v>HOMEPAGE</v>
      </c>
      <c r="E97" s="11" t="str">
        <f>IFERROR(__xludf.DUMMYFUNCTION("""COMPUTED_VALUE"""),"CORPORATE")</f>
        <v>CORPORATE</v>
      </c>
      <c r="F97" s="11" t="str">
        <f>IFERROR(__xludf.DUMMYFUNCTION("""COMPUTED_VALUE"""),"Homepage")</f>
        <v>Homepage</v>
      </c>
      <c r="G97" s="11" t="b">
        <f>IFERROR(__xludf.DUMMYFUNCTION("""COMPUTED_VALUE"""),FALSE)</f>
        <v>0</v>
      </c>
      <c r="H97" s="11"/>
      <c r="I97" s="11">
        <f>IFERROR(__xludf.DUMMYFUNCTION("""COMPUTED_VALUE"""),1.0)</f>
        <v>1</v>
      </c>
      <c r="J97" s="11">
        <f>IFERROR(__xludf.DUMMYFUNCTION("""COMPUTED_VALUE"""),0.0)</f>
        <v>0</v>
      </c>
      <c r="K97" s="11">
        <f>IFERROR(__xludf.DUMMYFUNCTION("""COMPUTED_VALUE"""),0.0)</f>
        <v>0</v>
      </c>
    </row>
    <row r="98" ht="15.75" customHeight="1">
      <c r="A98" s="10" t="str">
        <f>IFERROR(__xludf.DUMMYFUNCTION("""COMPUTED_VALUE"""),"https://qs.digital/")</f>
        <v>https://qs.digital/</v>
      </c>
      <c r="B98" s="11" t="str">
        <f>IFERROR(__xludf.DUMMYFUNCTION("""COMPUTED_VALUE"""),"AI Marketing Agency — QS Digital")</f>
        <v>AI Marketing Agency — QS Digital</v>
      </c>
      <c r="C98" s="11" t="str">
        <f>IFERROR(__xludf.DUMMYFUNCTION("""COMPUTED_VALUE"""),"qs.digital")</f>
        <v>qs.digital</v>
      </c>
      <c r="D98" s="11" t="str">
        <f>IFERROR(__xludf.DUMMYFUNCTION("""COMPUTED_VALUE"""),"HOMEPAGE")</f>
        <v>HOMEPAGE</v>
      </c>
      <c r="E98" s="11" t="str">
        <f>IFERROR(__xludf.DUMMYFUNCTION("""COMPUTED_VALUE"""),"CORPORATE")</f>
        <v>CORPORATE</v>
      </c>
      <c r="F98" s="11" t="str">
        <f>IFERROR(__xludf.DUMMYFUNCTION("""COMPUTED_VALUE"""),"Homepage")</f>
        <v>Homepage</v>
      </c>
      <c r="G98" s="11" t="b">
        <f>IFERROR(__xludf.DUMMYFUNCTION("""COMPUTED_VALUE"""),FALSE)</f>
        <v>0</v>
      </c>
      <c r="H98" s="11" t="str">
        <f>IFERROR(__xludf.DUMMYFUNCTION("""COMPUTED_VALUE"""),"Anomaly")</f>
        <v>Anomaly</v>
      </c>
      <c r="I98" s="11">
        <f>IFERROR(__xludf.DUMMYFUNCTION("""COMPUTED_VALUE"""),1.0)</f>
        <v>1</v>
      </c>
      <c r="J98" s="11">
        <f>IFERROR(__xludf.DUMMYFUNCTION("""COMPUTED_VALUE"""),0.0)</f>
        <v>0</v>
      </c>
      <c r="K98" s="11">
        <f>IFERROR(__xludf.DUMMYFUNCTION("""COMPUTED_VALUE"""),0.0)</f>
        <v>0</v>
      </c>
    </row>
    <row r="99" ht="15.75" customHeight="1">
      <c r="A99" s="10" t="str">
        <f>IFERROR(__xludf.DUMMYFUNCTION("""COMPUTED_VALUE"""),"https://roirevolution.com/")</f>
        <v>https://roirevolution.com/</v>
      </c>
      <c r="B99" s="11" t="str">
        <f>IFERROR(__xludf.DUMMYFUNCTION("""COMPUTED_VALUE"""),"Digital Marketing Agency for Brand Growth | ROI Revolution")</f>
        <v>Digital Marketing Agency for Brand Growth | ROI Revolution</v>
      </c>
      <c r="C99" s="10" t="str">
        <f>IFERROR(__xludf.DUMMYFUNCTION("""COMPUTED_VALUE"""),"roirevolution.com")</f>
        <v>roirevolution.com</v>
      </c>
      <c r="D99" s="11" t="str">
        <f>IFERROR(__xludf.DUMMYFUNCTION("""COMPUTED_VALUE"""),"HOMEPAGE")</f>
        <v>HOMEPAGE</v>
      </c>
      <c r="E99" s="11" t="str">
        <f>IFERROR(__xludf.DUMMYFUNCTION("""COMPUTED_VALUE"""),"CORPORATE")</f>
        <v>CORPORATE</v>
      </c>
      <c r="F99" s="11" t="str">
        <f>IFERROR(__xludf.DUMMYFUNCTION("""COMPUTED_VALUE"""),"Homepage")</f>
        <v>Homepage</v>
      </c>
      <c r="G99" s="11" t="b">
        <f>IFERROR(__xludf.DUMMYFUNCTION("""COMPUTED_VALUE"""),FALSE)</f>
        <v>0</v>
      </c>
      <c r="H99" s="11"/>
      <c r="I99" s="11">
        <f>IFERROR(__xludf.DUMMYFUNCTION("""COMPUTED_VALUE"""),1.0)</f>
        <v>1</v>
      </c>
      <c r="J99" s="11">
        <f>IFERROR(__xludf.DUMMYFUNCTION("""COMPUTED_VALUE"""),0.0)</f>
        <v>0</v>
      </c>
      <c r="K99" s="11">
        <f>IFERROR(__xludf.DUMMYFUNCTION("""COMPUTED_VALUE"""),1.0)</f>
        <v>1</v>
      </c>
    </row>
    <row r="100" ht="15.75" customHeight="1">
      <c r="A100" s="10" t="str">
        <f>IFERROR(__xludf.DUMMYFUNCTION("""COMPUTED_VALUE"""),"https://rokointernational.com/")</f>
        <v>https://rokointernational.com/</v>
      </c>
      <c r="B100" s="11" t="str">
        <f>IFERROR(__xludf.DUMMYFUNCTION("""COMPUTED_VALUE"""),"RØKØ | Marketing Mix Modeling &amp;amp; Analytics")</f>
        <v>RØKØ | Marketing Mix Modeling &amp;amp; Analytics</v>
      </c>
      <c r="C100" s="10" t="str">
        <f>IFERROR(__xludf.DUMMYFUNCTION("""COMPUTED_VALUE"""),"rokointernational.com")</f>
        <v>rokointernational.com</v>
      </c>
      <c r="D100" s="11" t="str">
        <f>IFERROR(__xludf.DUMMYFUNCTION("""COMPUTED_VALUE"""),"HOMEPAGE")</f>
        <v>HOMEPAGE</v>
      </c>
      <c r="E100" s="11" t="str">
        <f>IFERROR(__xludf.DUMMYFUNCTION("""COMPUTED_VALUE"""),"CORPORATE")</f>
        <v>CORPORATE</v>
      </c>
      <c r="F100" s="11" t="str">
        <f>IFERROR(__xludf.DUMMYFUNCTION("""COMPUTED_VALUE"""),"Homepage")</f>
        <v>Homepage</v>
      </c>
      <c r="G100" s="11" t="b">
        <f>IFERROR(__xludf.DUMMYFUNCTION("""COMPUTED_VALUE"""),FALSE)</f>
        <v>0</v>
      </c>
      <c r="H100" s="11"/>
      <c r="I100" s="11">
        <f>IFERROR(__xludf.DUMMYFUNCTION("""COMPUTED_VALUE"""),1.0)</f>
        <v>1</v>
      </c>
      <c r="J100" s="11">
        <f>IFERROR(__xludf.DUMMYFUNCTION("""COMPUTED_VALUE"""),0.0)</f>
        <v>0</v>
      </c>
      <c r="K100" s="11">
        <f>IFERROR(__xludf.DUMMYFUNCTION("""COMPUTED_VALUE"""),0.0)</f>
        <v>0</v>
      </c>
    </row>
    <row r="101" ht="15.75" customHeight="1">
      <c r="A101" s="10" t="str">
        <f>IFERROR(__xludf.DUMMYFUNCTION("""COMPUTED_VALUE"""),"https://www.scaleandcompany.com/")</f>
        <v>https://www.scaleandcompany.com/</v>
      </c>
      <c r="B101" s="11" t="str">
        <f>IFERROR(__xludf.DUMMYFUNCTION("""COMPUTED_VALUE"""),"Scale &amp;amp; Co")</f>
        <v>Scale &amp;amp; Co</v>
      </c>
      <c r="C101" s="10" t="str">
        <f>IFERROR(__xludf.DUMMYFUNCTION("""COMPUTED_VALUE"""),"scaleandcompany.com")</f>
        <v>scaleandcompany.com</v>
      </c>
      <c r="D101" s="11" t="str">
        <f>IFERROR(__xludf.DUMMYFUNCTION("""COMPUTED_VALUE"""),"HOMEPAGE")</f>
        <v>HOMEPAGE</v>
      </c>
      <c r="E101" s="11" t="str">
        <f>IFERROR(__xludf.DUMMYFUNCTION("""COMPUTED_VALUE"""),"CORPORATE")</f>
        <v>CORPORATE</v>
      </c>
      <c r="F101" s="11" t="str">
        <f>IFERROR(__xludf.DUMMYFUNCTION("""COMPUTED_VALUE"""),"Homepage")</f>
        <v>Homepage</v>
      </c>
      <c r="G101" s="11" t="b">
        <f>IFERROR(__xludf.DUMMYFUNCTION("""COMPUTED_VALUE"""),FALSE)</f>
        <v>0</v>
      </c>
      <c r="H101" s="11"/>
      <c r="I101" s="11">
        <f>IFERROR(__xludf.DUMMYFUNCTION("""COMPUTED_VALUE"""),1.0)</f>
        <v>1</v>
      </c>
      <c r="J101" s="11">
        <f>IFERROR(__xludf.DUMMYFUNCTION("""COMPUTED_VALUE"""),0.0)</f>
        <v>0</v>
      </c>
      <c r="K101" s="11">
        <f>IFERROR(__xludf.DUMMYFUNCTION("""COMPUTED_VALUE"""),0.0)</f>
        <v>0</v>
      </c>
    </row>
    <row r="102" ht="15.75" customHeight="1">
      <c r="A102" s="10" t="str">
        <f>IFERROR(__xludf.DUMMYFUNCTION("""COMPUTED_VALUE"""),"https://seedcreativestudio.com/")</f>
        <v>https://seedcreativestudio.com/</v>
      </c>
      <c r="B102" s="11" t="str">
        <f>IFERROR(__xludf.DUMMYFUNCTION("""COMPUTED_VALUE"""),"Seed Creative Studio")</f>
        <v>Seed Creative Studio</v>
      </c>
      <c r="C102" s="10" t="str">
        <f>IFERROR(__xludf.DUMMYFUNCTION("""COMPUTED_VALUE"""),"seedcreativestudio.com")</f>
        <v>seedcreativestudio.com</v>
      </c>
      <c r="D102" s="11" t="str">
        <f>IFERROR(__xludf.DUMMYFUNCTION("""COMPUTED_VALUE"""),"HOMEPAGE")</f>
        <v>HOMEPAGE</v>
      </c>
      <c r="E102" s="11" t="str">
        <f>IFERROR(__xludf.DUMMYFUNCTION("""COMPUTED_VALUE"""),"CORPORATE")</f>
        <v>CORPORATE</v>
      </c>
      <c r="F102" s="11" t="str">
        <f>IFERROR(__xludf.DUMMYFUNCTION("""COMPUTED_VALUE"""),"Homepage")</f>
        <v>Homepage</v>
      </c>
      <c r="G102" s="11" t="b">
        <f>IFERROR(__xludf.DUMMYFUNCTION("""COMPUTED_VALUE"""),FALSE)</f>
        <v>0</v>
      </c>
      <c r="H102" s="11"/>
      <c r="I102" s="11">
        <f>IFERROR(__xludf.DUMMYFUNCTION("""COMPUTED_VALUE"""),1.0)</f>
        <v>1</v>
      </c>
      <c r="J102" s="11">
        <f>IFERROR(__xludf.DUMMYFUNCTION("""COMPUTED_VALUE"""),0.0)</f>
        <v>0</v>
      </c>
      <c r="K102" s="11">
        <f>IFERROR(__xludf.DUMMYFUNCTION("""COMPUTED_VALUE"""),0.0)</f>
        <v>0</v>
      </c>
    </row>
    <row r="103" ht="15.75" customHeight="1">
      <c r="A103" s="10" t="str">
        <f>IFERROR(__xludf.DUMMYFUNCTION("""COMPUTED_VALUE"""),"https://sinfa.com/")</f>
        <v>https://sinfa.com/</v>
      </c>
      <c r="B103" s="11" t="str">
        <f>IFERROR(__xludf.DUMMYFUNCTION("""COMPUTED_VALUE"""),"Sinfa | Enterprise CRO, Experimentation &amp; Measurement")</f>
        <v>Sinfa | Enterprise CRO, Experimentation &amp; Measurement</v>
      </c>
      <c r="C103" s="10" t="str">
        <f>IFERROR(__xludf.DUMMYFUNCTION("""COMPUTED_VALUE"""),"sinfa.com")</f>
        <v>sinfa.com</v>
      </c>
      <c r="D103" s="11" t="str">
        <f>IFERROR(__xludf.DUMMYFUNCTION("""COMPUTED_VALUE"""),"HOMEPAGE")</f>
        <v>HOMEPAGE</v>
      </c>
      <c r="E103" s="11" t="str">
        <f>IFERROR(__xludf.DUMMYFUNCTION("""COMPUTED_VALUE"""),"CORPORATE")</f>
        <v>CORPORATE</v>
      </c>
      <c r="F103" s="11" t="str">
        <f>IFERROR(__xludf.DUMMYFUNCTION("""COMPUTED_VALUE"""),"Homepage")</f>
        <v>Homepage</v>
      </c>
      <c r="G103" s="11" t="b">
        <f>IFERROR(__xludf.DUMMYFUNCTION("""COMPUTED_VALUE"""),FALSE)</f>
        <v>0</v>
      </c>
      <c r="H103" s="11"/>
      <c r="I103" s="11">
        <f>IFERROR(__xludf.DUMMYFUNCTION("""COMPUTED_VALUE"""),1.0)</f>
        <v>1</v>
      </c>
      <c r="J103" s="11">
        <f>IFERROR(__xludf.DUMMYFUNCTION("""COMPUTED_VALUE"""),0.0)</f>
        <v>0</v>
      </c>
      <c r="K103" s="11">
        <f>IFERROR(__xludf.DUMMYFUNCTION("""COMPUTED_VALUE"""),0.0)</f>
        <v>0</v>
      </c>
    </row>
    <row r="104" ht="15.75" customHeight="1">
      <c r="A104" s="10" t="str">
        <f>IFERROR(__xludf.DUMMYFUNCTION("""COMPUTED_VALUE"""),"https://www.singlegrain.com/")</f>
        <v>https://www.singlegrain.com/</v>
      </c>
      <c r="B104" s="11" t="str">
        <f>IFERROR(__xludf.DUMMYFUNCTION("""COMPUTED_VALUE"""),"Single Grain | Revenue Marketing Agency — Pipeline-Focused SEO, Paid Media &amp;amp; AI Growth")</f>
        <v>Single Grain | Revenue Marketing Agency — Pipeline-Focused SEO, Paid Media &amp;amp; AI Growth</v>
      </c>
      <c r="C104" s="10" t="str">
        <f>IFERROR(__xludf.DUMMYFUNCTION("""COMPUTED_VALUE"""),"singlegrain.com")</f>
        <v>singlegrain.com</v>
      </c>
      <c r="D104" s="11" t="str">
        <f>IFERROR(__xludf.DUMMYFUNCTION("""COMPUTED_VALUE"""),"HOMEPAGE")</f>
        <v>HOMEPAGE</v>
      </c>
      <c r="E104" s="11" t="str">
        <f>IFERROR(__xludf.DUMMYFUNCTION("""COMPUTED_VALUE"""),"COMPETITOR")</f>
        <v>COMPETITOR</v>
      </c>
      <c r="F104" s="11" t="str">
        <f>IFERROR(__xludf.DUMMYFUNCTION("""COMPUTED_VALUE"""),"Homepage")</f>
        <v>Homepage</v>
      </c>
      <c r="G104" s="11" t="b">
        <f>IFERROR(__xludf.DUMMYFUNCTION("""COMPUTED_VALUE"""),FALSE)</f>
        <v>0</v>
      </c>
      <c r="H104" s="11" t="str">
        <f>IFERROR(__xludf.DUMMYFUNCTION("""COMPUTED_VALUE"""),"Single Grain, Momentum")</f>
        <v>Single Grain, Momentum</v>
      </c>
      <c r="I104" s="11">
        <f>IFERROR(__xludf.DUMMYFUNCTION("""COMPUTED_VALUE"""),1.0)</f>
        <v>1</v>
      </c>
      <c r="J104" s="11">
        <f>IFERROR(__xludf.DUMMYFUNCTION("""COMPUTED_VALUE"""),0.0)</f>
        <v>0</v>
      </c>
      <c r="K104" s="11">
        <f>IFERROR(__xludf.DUMMYFUNCTION("""COMPUTED_VALUE"""),0.0)</f>
        <v>0</v>
      </c>
    </row>
    <row r="105" ht="15.75" customHeight="1">
      <c r="A105" s="10" t="str">
        <f>IFERROR(__xludf.DUMMYFUNCTION("""COMPUTED_VALUE"""),"https://skipthenoisemedia.com/")</f>
        <v>https://skipthenoisemedia.com/</v>
      </c>
      <c r="B105" s="11" t="str">
        <f>IFERROR(__xludf.DUMMYFUNCTION("""COMPUTED_VALUE"""),"AI Creative Production + Performance Marketing Agency | Skip the Noise Media")</f>
        <v>AI Creative Production + Performance Marketing Agency | Skip the Noise Media</v>
      </c>
      <c r="C105" s="10" t="str">
        <f>IFERROR(__xludf.DUMMYFUNCTION("""COMPUTED_VALUE"""),"skipthenoisemedia.com")</f>
        <v>skipthenoisemedia.com</v>
      </c>
      <c r="D105" s="11" t="str">
        <f>IFERROR(__xludf.DUMMYFUNCTION("""COMPUTED_VALUE"""),"HOMEPAGE")</f>
        <v>HOMEPAGE</v>
      </c>
      <c r="E105" s="11" t="str">
        <f>IFERROR(__xludf.DUMMYFUNCTION("""COMPUTED_VALUE"""),"CORPORATE")</f>
        <v>CORPORATE</v>
      </c>
      <c r="F105" s="11" t="str">
        <f>IFERROR(__xludf.DUMMYFUNCTION("""COMPUTED_VALUE"""),"Homepage")</f>
        <v>Homepage</v>
      </c>
      <c r="G105" s="11" t="b">
        <f>IFERROR(__xludf.DUMMYFUNCTION("""COMPUTED_VALUE"""),FALSE)</f>
        <v>0</v>
      </c>
      <c r="H105" s="11" t="str">
        <f>IFERROR(__xludf.DUMMYFUNCTION("""COMPUTED_VALUE"""),"GroupM, WPP")</f>
        <v>GroupM, WPP</v>
      </c>
      <c r="I105" s="11">
        <f>IFERROR(__xludf.DUMMYFUNCTION("""COMPUTED_VALUE"""),1.0)</f>
        <v>1</v>
      </c>
      <c r="J105" s="11">
        <f>IFERROR(__xludf.DUMMYFUNCTION("""COMPUTED_VALUE"""),0.0)</f>
        <v>0</v>
      </c>
      <c r="K105" s="11">
        <f>IFERROR(__xludf.DUMMYFUNCTION("""COMPUTED_VALUE"""),2.0)</f>
        <v>2</v>
      </c>
    </row>
    <row r="106" ht="15.75" customHeight="1">
      <c r="A106" s="10" t="str">
        <f>IFERROR(__xludf.DUMMYFUNCTION("""COMPUTED_VALUE"""),"https://www.stellaheystella.com/")</f>
        <v>https://www.stellaheystella.com/</v>
      </c>
      <c r="B106" s="11" t="str">
        <f>IFERROR(__xludf.DUMMYFUNCTION("""COMPUTED_VALUE"""),"Stella: Know what’s causing growth. Know what to do next.")</f>
        <v>Stella: Know what’s causing growth. Know what to do next.</v>
      </c>
      <c r="C106" s="10" t="str">
        <f>IFERROR(__xludf.DUMMYFUNCTION("""COMPUTED_VALUE"""),"stellaheystella.com")</f>
        <v>stellaheystella.com</v>
      </c>
      <c r="D106" s="11" t="str">
        <f>IFERROR(__xludf.DUMMYFUNCTION("""COMPUTED_VALUE"""),"HOMEPAGE")</f>
        <v>HOMEPAGE</v>
      </c>
      <c r="E106" s="11" t="str">
        <f>IFERROR(__xludf.DUMMYFUNCTION("""COMPUTED_VALUE"""),"CORPORATE")</f>
        <v>CORPORATE</v>
      </c>
      <c r="F106" s="11" t="str">
        <f>IFERROR(__xludf.DUMMYFUNCTION("""COMPUTED_VALUE"""),"Homepage")</f>
        <v>Homepage</v>
      </c>
      <c r="G106" s="11" t="b">
        <f>IFERROR(__xludf.DUMMYFUNCTION("""COMPUTED_VALUE"""),FALSE)</f>
        <v>0</v>
      </c>
      <c r="H106" s="11"/>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IFERROR(__xludf.DUMMYFUNCTION("""COMPUTED_VALUE"""),"https://tbwa.com/")</f>
        <v>https://tbwa.com/</v>
      </c>
      <c r="B107" s="11" t="str">
        <f>IFERROR(__xludf.DUMMYFUNCTION("""COMPUTED_VALUE"""),"Home Page - TBWA Worldwide Site")</f>
        <v>Home Page - TBWA Worldwide Site</v>
      </c>
      <c r="C107" s="10" t="str">
        <f>IFERROR(__xludf.DUMMYFUNCTION("""COMPUTED_VALUE"""),"tbwa.com")</f>
        <v>tbwa.com</v>
      </c>
      <c r="D107" s="11" t="str">
        <f>IFERROR(__xludf.DUMMYFUNCTION("""COMPUTED_VALUE"""),"HOMEPAGE")</f>
        <v>HOMEPAGE</v>
      </c>
      <c r="E107" s="11" t="str">
        <f>IFERROR(__xludf.DUMMYFUNCTION("""COMPUTED_VALUE"""),"COMPETITOR")</f>
        <v>COMPETITOR</v>
      </c>
      <c r="F107" s="11" t="str">
        <f>IFERROR(__xludf.DUMMYFUNCTION("""COMPUTED_VALUE"""),"Homepage")</f>
        <v>Homepage</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10" t="str">
        <f>IFERROR(__xludf.DUMMYFUNCTION("""COMPUTED_VALUE"""),"https://www.themill.com/")</f>
        <v>https://www.themill.com/</v>
      </c>
      <c r="B108" s="11" t="str">
        <f>IFERROR(__xludf.DUMMYFUNCTION("""COMPUTED_VALUE"""),"Creative craft, designed to scale. — The Mill")</f>
        <v>Creative craft, designed to scale. — The Mill</v>
      </c>
      <c r="C108" s="10" t="str">
        <f>IFERROR(__xludf.DUMMYFUNCTION("""COMPUTED_VALUE"""),"themill.com")</f>
        <v>themill.com</v>
      </c>
      <c r="D108" s="11" t="str">
        <f>IFERROR(__xludf.DUMMYFUNCTION("""COMPUTED_VALUE"""),"HOMEPAGE")</f>
        <v>HOMEPAGE</v>
      </c>
      <c r="E108" s="11" t="str">
        <f>IFERROR(__xludf.DUMMYFUNCTION("""COMPUTED_VALUE"""),"CORPORATE")</f>
        <v>CORPORATE</v>
      </c>
      <c r="F108" s="11" t="str">
        <f>IFERROR(__xludf.DUMMYFUNCTION("""COMPUTED_VALUE"""),"Homepage")</f>
        <v>Homepage</v>
      </c>
      <c r="G108" s="11" t="b">
        <f>IFERROR(__xludf.DUMMYFUNCTION("""COMPUTED_VALUE"""),FALSE)</f>
        <v>0</v>
      </c>
      <c r="H108" s="11"/>
      <c r="I108" s="11">
        <f>IFERROR(__xludf.DUMMYFUNCTION("""COMPUTED_VALUE"""),1.0)</f>
        <v>1</v>
      </c>
      <c r="J108" s="11">
        <f>IFERROR(__xludf.DUMMYFUNCTION("""COMPUTED_VALUE"""),0.0)</f>
        <v>0</v>
      </c>
      <c r="K108" s="11">
        <f>IFERROR(__xludf.DUMMYFUNCTION("""COMPUTED_VALUE"""),1.0)</f>
        <v>1</v>
      </c>
    </row>
    <row r="109" ht="15.75" customHeight="1">
      <c r="A109" s="10" t="str">
        <f>IFERROR(__xludf.DUMMYFUNCTION("""COMPUTED_VALUE"""),"https://tinuiti.com/")</f>
        <v>https://tinuiti.com/</v>
      </c>
      <c r="B109" s="11" t="str">
        <f>IFERROR(__xludf.DUMMYFUNCTION("""COMPUTED_VALUE"""),"Tinuiti | Media Agency")</f>
        <v>Tinuiti | Media Agency</v>
      </c>
      <c r="C109" s="10" t="str">
        <f>IFERROR(__xludf.DUMMYFUNCTION("""COMPUTED_VALUE"""),"tinuiti.com")</f>
        <v>tinuiti.com</v>
      </c>
      <c r="D109" s="11" t="str">
        <f>IFERROR(__xludf.DUMMYFUNCTION("""COMPUTED_VALUE"""),"HOMEPAGE")</f>
        <v>HOMEPAGE</v>
      </c>
      <c r="E109" s="11" t="str">
        <f>IFERROR(__xludf.DUMMYFUNCTION("""COMPUTED_VALUE"""),"COMPETITOR")</f>
        <v>COMPETITOR</v>
      </c>
      <c r="F109" s="11" t="str">
        <f>IFERROR(__xludf.DUMMYFUNCTION("""COMPUTED_VALUE"""),"Homepage")</f>
        <v>Homepage</v>
      </c>
      <c r="G109" s="11" t="b">
        <f>IFERROR(__xludf.DUMMYFUNCTION("""COMPUTED_VALUE"""),FALSE)</f>
        <v>0</v>
      </c>
      <c r="H109" s="11" t="str">
        <f>IFERROR(__xludf.DUMMYFUNCTION("""COMPUTED_VALUE"""),"Tinuiti")</f>
        <v>Tinuiti</v>
      </c>
      <c r="I109" s="11">
        <f>IFERROR(__xludf.DUMMYFUNCTION("""COMPUTED_VALUE"""),1.0)</f>
        <v>1</v>
      </c>
      <c r="J109" s="11">
        <f>IFERROR(__xludf.DUMMYFUNCTION("""COMPUTED_VALUE"""),0.0)</f>
        <v>0</v>
      </c>
      <c r="K109" s="11">
        <f>IFERROR(__xludf.DUMMYFUNCTION("""COMPUTED_VALUE"""),1.0)</f>
        <v>1</v>
      </c>
    </row>
    <row r="110" ht="15.75" customHeight="1">
      <c r="A110" s="10" t="str">
        <f>IFERROR(__xludf.DUMMYFUNCTION("""COMPUTED_VALUE"""),"https://tridence.com/")</f>
        <v>https://tridence.com/</v>
      </c>
      <c r="B110" s="11" t="str">
        <f>IFERROR(__xludf.DUMMYFUNCTION("""COMPUTED_VALUE"""),"AI Marketing Agency | Jacksonville &amp;amp; Chicago | Tridence")</f>
        <v>AI Marketing Agency | Jacksonville &amp;amp; Chicago | Tridence</v>
      </c>
      <c r="C110" s="10" t="str">
        <f>IFERROR(__xludf.DUMMYFUNCTION("""COMPUTED_VALUE"""),"tridence.com")</f>
        <v>tridence.com</v>
      </c>
      <c r="D110" s="11" t="str">
        <f>IFERROR(__xludf.DUMMYFUNCTION("""COMPUTED_VALUE"""),"HOMEPAGE")</f>
        <v>HOMEPAGE</v>
      </c>
      <c r="E110" s="11" t="str">
        <f>IFERROR(__xludf.DUMMYFUNCTION("""COMPUTED_VALUE"""),"CORPORATE")</f>
        <v>CORPORATE</v>
      </c>
      <c r="F110" s="11" t="str">
        <f>IFERROR(__xludf.DUMMYFUNCTION("""COMPUTED_VALUE"""),"Homepage")</f>
        <v>Homepage</v>
      </c>
      <c r="G110" s="11" t="b">
        <f>IFERROR(__xludf.DUMMYFUNCTION("""COMPUTED_VALUE"""),FALSE)</f>
        <v>0</v>
      </c>
      <c r="H110" s="11" t="str">
        <f>IFERROR(__xludf.DUMMYFUNCTION("""COMPUTED_VALUE"""),"Clay")</f>
        <v>Clay</v>
      </c>
      <c r="I110" s="11">
        <f>IFERROR(__xludf.DUMMYFUNCTION("""COMPUTED_VALUE"""),1.0)</f>
        <v>1</v>
      </c>
      <c r="J110" s="11">
        <f>IFERROR(__xludf.DUMMYFUNCTION("""COMPUTED_VALUE"""),0.0)</f>
        <v>0</v>
      </c>
      <c r="K110" s="11">
        <f>IFERROR(__xludf.DUMMYFUNCTION("""COMPUTED_VALUE"""),0.0)</f>
        <v>0</v>
      </c>
    </row>
    <row r="111" ht="15.75" customHeight="1">
      <c r="A111" s="10" t="str">
        <f>IFERROR(__xludf.DUMMYFUNCTION("""COMPUTED_VALUE"""),"https://vantecmarketing.com/")</f>
        <v>https://vantecmarketing.com/</v>
      </c>
      <c r="B111" s="11" t="str">
        <f>IFERROR(__xludf.DUMMYFUNCTION("""COMPUTED_VALUE"""),"Answer Engine Marketing Agency | Van Tec Marketing")</f>
        <v>Answer Engine Marketing Agency | Van Tec Marketing</v>
      </c>
      <c r="C111" s="10" t="str">
        <f>IFERROR(__xludf.DUMMYFUNCTION("""COMPUTED_VALUE"""),"vantecmarketing.com")</f>
        <v>vantecmarketing.com</v>
      </c>
      <c r="D111" s="11" t="str">
        <f>IFERROR(__xludf.DUMMYFUNCTION("""COMPUTED_VALUE"""),"HOMEPAGE")</f>
        <v>HOMEPAGE</v>
      </c>
      <c r="E111" s="11" t="str">
        <f>IFERROR(__xludf.DUMMYFUNCTION("""COMPUTED_VALUE"""),"CORPORATE")</f>
        <v>CORPORATE</v>
      </c>
      <c r="F111" s="11" t="str">
        <f>IFERROR(__xludf.DUMMYFUNCTION("""COMPUTED_VALUE"""),"Homepage")</f>
        <v>Homepage</v>
      </c>
      <c r="G111" s="11" t="b">
        <f>IFERROR(__xludf.DUMMYFUNCTION("""COMPUTED_VALUE"""),FALSE)</f>
        <v>0</v>
      </c>
      <c r="H111" s="11"/>
      <c r="I111" s="11">
        <f>IFERROR(__xludf.DUMMYFUNCTION("""COMPUTED_VALUE"""),1.0)</f>
        <v>1</v>
      </c>
      <c r="J111" s="11">
        <f>IFERROR(__xludf.DUMMYFUNCTION("""COMPUTED_VALUE"""),0.0)</f>
        <v>0</v>
      </c>
      <c r="K111" s="11">
        <f>IFERROR(__xludf.DUMMYFUNCTION("""COMPUTED_VALUE"""),0.0)</f>
        <v>0</v>
      </c>
    </row>
    <row r="112" ht="15.75" customHeight="1">
      <c r="A112" s="10" t="str">
        <f>IFERROR(__xludf.DUMMYFUNCTION("""COMPUTED_VALUE"""),"https://vaynermedia.com/")</f>
        <v>https://vaynermedia.com/</v>
      </c>
      <c r="B112" s="11" t="str">
        <f>IFERROR(__xludf.DUMMYFUNCTION("""COMPUTED_VALUE"""),"VaynerMedia : Integrated Strategy, Creative and Media Agency")</f>
        <v>VaynerMedia : Integrated Strategy, Creative and Media Agency</v>
      </c>
      <c r="C112" s="10" t="str">
        <f>IFERROR(__xludf.DUMMYFUNCTION("""COMPUTED_VALUE"""),"vaynermedia.com")</f>
        <v>vaynermedia.com</v>
      </c>
      <c r="D112" s="11" t="str">
        <f>IFERROR(__xludf.DUMMYFUNCTION("""COMPUTED_VALUE"""),"HOMEPAGE")</f>
        <v>HOMEPAGE</v>
      </c>
      <c r="E112" s="11" t="str">
        <f>IFERROR(__xludf.DUMMYFUNCTION("""COMPUTED_VALUE"""),"COMPETITOR")</f>
        <v>COMPETITOR</v>
      </c>
      <c r="F112" s="11" t="str">
        <f>IFERROR(__xludf.DUMMYFUNCTION("""COMPUTED_VALUE"""),"Homepage")</f>
        <v>Homepage</v>
      </c>
      <c r="G112" s="11" t="b">
        <f>IFERROR(__xludf.DUMMYFUNCTION("""COMPUTED_VALUE"""),FALSE)</f>
        <v>0</v>
      </c>
      <c r="H112" s="11" t="str">
        <f>IFERROR(__xludf.DUMMYFUNCTION("""COMPUTED_VALUE"""),"VaynerMedia")</f>
        <v>VaynerMedia</v>
      </c>
      <c r="I112" s="11">
        <f>IFERROR(__xludf.DUMMYFUNCTION("""COMPUTED_VALUE"""),1.0)</f>
        <v>1</v>
      </c>
      <c r="J112" s="11">
        <f>IFERROR(__xludf.DUMMYFUNCTION("""COMPUTED_VALUE"""),0.0)</f>
        <v>0</v>
      </c>
      <c r="K112" s="11">
        <f>IFERROR(__xludf.DUMMYFUNCTION("""COMPUTED_VALUE"""),1.0)</f>
        <v>1</v>
      </c>
    </row>
    <row r="113" ht="15.75" customHeight="1">
      <c r="A113" s="10" t="str">
        <f>IFERROR(__xludf.DUMMYFUNCTION("""COMPUTED_VALUE"""),"https://weareaudiences.com/")</f>
        <v>https://weareaudiences.com/</v>
      </c>
      <c r="B113" s="11" t="str">
        <f>IFERROR(__xludf.DUMMYFUNCTION("""COMPUTED_VALUE"""),"AUDIENCES | In-Cloud Signal Distribution for First-Party Data")</f>
        <v>AUDIENCES | In-Cloud Signal Distribution for First-Party Data</v>
      </c>
      <c r="C113" s="10" t="str">
        <f>IFERROR(__xludf.DUMMYFUNCTION("""COMPUTED_VALUE"""),"weareaudiences.com")</f>
        <v>weareaudiences.com</v>
      </c>
      <c r="D113" s="11" t="str">
        <f>IFERROR(__xludf.DUMMYFUNCTION("""COMPUTED_VALUE"""),"HOMEPAGE")</f>
        <v>HOMEPAGE</v>
      </c>
      <c r="E113" s="11" t="str">
        <f>IFERROR(__xludf.DUMMYFUNCTION("""COMPUTED_VALUE"""),"CORPORATE")</f>
        <v>CORPORATE</v>
      </c>
      <c r="F113" s="11" t="str">
        <f>IFERROR(__xludf.DUMMYFUNCTION("""COMPUTED_VALUE"""),"Homepage")</f>
        <v>Homepage</v>
      </c>
      <c r="G113" s="11" t="b">
        <f>IFERROR(__xludf.DUMMYFUNCTION("""COMPUTED_VALUE"""),FALSE)</f>
        <v>0</v>
      </c>
      <c r="H113" s="11"/>
      <c r="I113" s="11">
        <f>IFERROR(__xludf.DUMMYFUNCTION("""COMPUTED_VALUE"""),1.0)</f>
        <v>1</v>
      </c>
      <c r="J113" s="11">
        <f>IFERROR(__xludf.DUMMYFUNCTION("""COMPUTED_VALUE"""),0.0)</f>
        <v>0</v>
      </c>
      <c r="K113" s="11">
        <f>IFERROR(__xludf.DUMMYFUNCTION("""COMPUTED_VALUE"""),0.0)</f>
        <v>0</v>
      </c>
    </row>
    <row r="114" ht="15.75" customHeight="1">
      <c r="A114" s="10" t="str">
        <f>IFERROR(__xludf.DUMMYFUNCTION("""COMPUTED_VALUE"""),"https://withagency.ai/")</f>
        <v>https://withagency.ai/</v>
      </c>
      <c r="B114" s="11" t="str">
        <f>IFERROR(__xludf.DUMMYFUNCTION("""COMPUTED_VALUE"""),"With Agency | AI Native Marketing Agency | 8 Agents, 24/7")</f>
        <v>With Agency | AI Native Marketing Agency | 8 Agents, 24/7</v>
      </c>
      <c r="C114" s="10" t="str">
        <f>IFERROR(__xludf.DUMMYFUNCTION("""COMPUTED_VALUE"""),"withagency.ai")</f>
        <v>withagency.ai</v>
      </c>
      <c r="D114" s="11" t="str">
        <f>IFERROR(__xludf.DUMMYFUNCTION("""COMPUTED_VALUE"""),"HOMEPAGE")</f>
        <v>HOMEPAGE</v>
      </c>
      <c r="E114" s="11" t="str">
        <f>IFERROR(__xludf.DUMMYFUNCTION("""COMPUTED_VALUE"""),"CORPORATE")</f>
        <v>CORPORATE</v>
      </c>
      <c r="F114" s="11" t="str">
        <f>IFERROR(__xludf.DUMMYFUNCTION("""COMPUTED_VALUE"""),"Homepage")</f>
        <v>Homepage</v>
      </c>
      <c r="G114" s="11" t="b">
        <f>IFERROR(__xludf.DUMMYFUNCTION("""COMPUTED_VALUE"""),FALSE)</f>
        <v>0</v>
      </c>
      <c r="H114" s="11" t="str">
        <f>IFERROR(__xludf.DUMMYFUNCTION("""COMPUTED_VALUE"""),"Measured")</f>
        <v>Measured</v>
      </c>
      <c r="I114" s="11">
        <f>IFERROR(__xludf.DUMMYFUNCTION("""COMPUTED_VALUE"""),1.0)</f>
        <v>1</v>
      </c>
      <c r="J114" s="11">
        <f>IFERROR(__xludf.DUMMYFUNCTION("""COMPUTED_VALUE"""),0.0)</f>
        <v>0</v>
      </c>
      <c r="K114" s="11">
        <f>IFERROR(__xludf.DUMMYFUNCTION("""COMPUTED_VALUE"""),0.0)</f>
        <v>0</v>
      </c>
    </row>
    <row r="115" ht="15.75" customHeight="1">
      <c r="A115" s="10" t="str">
        <f>IFERROR(__xludf.DUMMYFUNCTION("""COMPUTED_VALUE"""),"https://www.zapshere.com/us")</f>
        <v>https://www.zapshere.com/us</v>
      </c>
      <c r="B115" s="11" t="str">
        <f>IFERROR(__xludf.DUMMYFUNCTION("""COMPUTED_VALUE"""),"Digital Marketing Agency USA | AI Marketing &amp;amp; Automation — ZAPSHERE")</f>
        <v>Digital Marketing Agency USA | AI Marketing &amp;amp; Automation — ZAPSHERE</v>
      </c>
      <c r="C115" s="10" t="str">
        <f>IFERROR(__xludf.DUMMYFUNCTION("""COMPUTED_VALUE"""),"zapshere.com")</f>
        <v>zapshere.com</v>
      </c>
      <c r="D115" s="11" t="str">
        <f>IFERROR(__xludf.DUMMYFUNCTION("""COMPUTED_VALUE"""),"HOMEPAGE")</f>
        <v>HOMEPAGE</v>
      </c>
      <c r="E115" s="11" t="str">
        <f>IFERROR(__xludf.DUMMYFUNCTION("""COMPUTED_VALUE"""),"CORPORATE")</f>
        <v>CORPORATE</v>
      </c>
      <c r="F115" s="11" t="str">
        <f>IFERROR(__xludf.DUMMYFUNCTION("""COMPUTED_VALUE"""),"Homepage")</f>
        <v>Homepage</v>
      </c>
      <c r="G115" s="11" t="b">
        <f>IFERROR(__xludf.DUMMYFUNCTION("""COMPUTED_VALUE"""),FALSE)</f>
        <v>0</v>
      </c>
      <c r="H115" s="11"/>
      <c r="I115" s="11">
        <f>IFERROR(__xludf.DUMMYFUNCTION("""COMPUTED_VALUE"""),1.0)</f>
        <v>1</v>
      </c>
      <c r="J115" s="11">
        <f>IFERROR(__xludf.DUMMYFUNCTION("""COMPUTED_VALUE"""),0.0)</f>
        <v>0</v>
      </c>
      <c r="K115" s="11">
        <f>IFERROR(__xludf.DUMMYFUNCTION("""COMPUTED_VALUE"""),0.0)</f>
        <v>0</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location=":~:text=Incremental's%20automated%20model%20creation%20and%20continuous%20learning,measurement%20%E2%80%93%20you%20have%20a%20sales%20pitch."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location=":~:text=To%20Fuel%20Your%20Greatness.%20Our%20Clients.%20K,Danone.%20Kellogg's.%20Diageo.%20Johnson%20%26%20Johnson.%20Reckitt."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location=":~:text=Rethink%20the%20future%20of%20marketing%20with%20modular,Renown%20Health.%20Customer%20Story.%20Healthcare.%20Healthcare%20provider."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location=":~:text=NGA%20enables%20the%20U.S.%20intelligence%20community%20and,in%20St.%20Louis%2C%20Missouri%20and%20Arnold%2C%20Missouri." ref="A39"/>
    <hyperlink r:id="rId74" ref="C39"/>
    <hyperlink r:id="rId75" ref="A40"/>
    <hyperlink r:id="rId76" ref="C40"/>
    <hyperlink r:id="rId77"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location=":~:text=A%20secure%20and%20compliant%20supply%20chain%20is,true%20dual%E2%80%91structure%E2%80%94legal%20%2B%20consulting%E2%80%94integrated%20into%20one%20ecosystem."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location=":~:text=ASSET%20INVENTORY.%20With%20GIS%2C%20we%20can%20systematically,for%20good%20design.%20%2D%20STREETLIGHT%20INSTALLATION%20SUPPORT."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location=":~:text=012345012345%25%20higher%20finale%20viewership%20vs%20The%20Traitors,Velocity.%2001.%200120%25%20Viewability%20on%20Velocity.%200123456789012345%25"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C107"/>
    <hyperlink r:id="rId210" ref="A108"/>
    <hyperlink r:id="rId211" ref="C108"/>
    <hyperlink r:id="rId212"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s>
  <drawing r:id="rId22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All'!D2:D1000)))=""HOW_TO_GUIDE""
  ),
  """"
)"),"https://www.rightsideup.com/blog/guide-to-marketing-incrementality-testing")</f>
        <v>https://www.rightsideup.com/blog/guide-to-marketing-incrementality-testing</v>
      </c>
      <c r="B2" s="11" t="str">
        <f>IFERROR(__xludf.DUMMYFUNCTION("""COMPUTED_VALUE"""),"Marketing Incrementality Testing: A Complete Guide to Measuring What Matters")</f>
        <v>Marketing Incrementality Testing: A Complete Guide to Measuring What Matters</v>
      </c>
      <c r="C2" s="10" t="str">
        <f>IFERROR(__xludf.DUMMYFUNCTION("""COMPUTED_VALUE"""),"rightsideup.com")</f>
        <v>rightsideup.com</v>
      </c>
      <c r="D2" s="11" t="str">
        <f>IFERROR(__xludf.DUMMYFUNCTION("""COMPUTED_VALUE"""),"HOW_TO_GUIDE")</f>
        <v>HOW_TO_GUIDE</v>
      </c>
      <c r="E2" s="11" t="str">
        <f>IFERROR(__xludf.DUMMYFUNCTION("""COMPUTED_VALUE"""),"COMPETITOR")</f>
        <v>COMPETITOR</v>
      </c>
      <c r="F2" s="11" t="str">
        <f>IFERROR(__xludf.DUMMYFUNCTION("""COMPUTED_VALUE"""),"How-To Guide")</f>
        <v>How-To Guide</v>
      </c>
      <c r="G2" s="11" t="b">
        <f>IFERROR(__xludf.DUMMYFUNCTION("""COMPUTED_VALUE"""),FALSE)</f>
        <v>0</v>
      </c>
      <c r="H2" s="11" t="str">
        <f>IFERROR(__xludf.DUMMYFUNCTION("""COMPUTED_VALUE"""),"Right Side Up, Measured")</f>
        <v>Right Side Up, Measured</v>
      </c>
      <c r="I2" s="11">
        <f>IFERROR(__xludf.DUMMYFUNCTION("""COMPUTED_VALUE"""),20.0)</f>
        <v>20</v>
      </c>
      <c r="J2" s="11">
        <f>IFERROR(__xludf.DUMMYFUNCTION("""COMPUTED_VALUE"""),0.02)</f>
        <v>0.02</v>
      </c>
      <c r="K2" s="11">
        <f>IFERROR(__xludf.DUMMYFUNCTION("""COMPUTED_VALUE"""),0.65)</f>
        <v>0.65</v>
      </c>
    </row>
    <row r="3" ht="15.75" customHeight="1">
      <c r="A3" s="10" t="str">
        <f>IFERROR(__xludf.DUMMYFUNCTION("""COMPUTED_VALUE"""),"https://www.stellaheystella.com/blog/incrementality-testing-platforms-the-complete-guide-to-measuring-true-marketing-impact-2025")</f>
        <v>https://www.stellaheystella.com/blog/incrementality-testing-platforms-the-complete-guide-to-measuring-true-marketing-impact-2025</v>
      </c>
      <c r="B3" s="11" t="str">
        <f>IFERROR(__xludf.DUMMYFUNCTION("""COMPUTED_VALUE"""),"Incrementality Testing Platforms: The Complete Guide to Measuring True Marketing Impact (2025) | Stella")</f>
        <v>Incrementality Testing Platforms: The Complete Guide to Measuring True Marketing Impact (2025) | Stella</v>
      </c>
      <c r="C3" s="10" t="str">
        <f>IFERROR(__xludf.DUMMYFUNCTION("""COMPUTED_VALUE"""),"stellaheystella.com")</f>
        <v>stellaheystella.com</v>
      </c>
      <c r="D3" s="11" t="str">
        <f>IFERROR(__xludf.DUMMYFUNCTION("""COMPUTED_VALUE"""),"HOW_TO_GUIDE")</f>
        <v>HOW_TO_GUIDE</v>
      </c>
      <c r="E3" s="11" t="str">
        <f>IFERROR(__xludf.DUMMYFUNCTION("""COMPUTED_VALUE"""),"CORPORATE")</f>
        <v>CORPORATE</v>
      </c>
      <c r="F3" s="11" t="str">
        <f>IFERROR(__xludf.DUMMYFUNCTION("""COMPUTED_VALUE"""),"How-To Guide")</f>
        <v>How-To Guide</v>
      </c>
      <c r="G3" s="11" t="b">
        <f>IFERROR(__xludf.DUMMYFUNCTION("""COMPUTED_VALUE"""),FALSE)</f>
        <v>0</v>
      </c>
      <c r="H3" s="11" t="str">
        <f>IFERROR(__xludf.DUMMYFUNCTION("""COMPUTED_VALUE"""),"Sellforte, Measured, Haus, Northbeam, Triple Whale")</f>
        <v>Sellforte, Measured, Haus, Northbeam, Triple Whale</v>
      </c>
      <c r="I3" s="11">
        <f>IFERROR(__xludf.DUMMYFUNCTION("""COMPUTED_VALUE"""),12.0)</f>
        <v>12</v>
      </c>
      <c r="J3" s="11">
        <f>IFERROR(__xludf.DUMMYFUNCTION("""COMPUTED_VALUE"""),0.01)</f>
        <v>0.01</v>
      </c>
      <c r="K3" s="11">
        <f>IFERROR(__xludf.DUMMYFUNCTION("""COMPUTED_VALUE"""),0.0)</f>
        <v>0</v>
      </c>
    </row>
    <row r="4" ht="15.75" customHeight="1">
      <c r="A4" s="10" t="str">
        <f>IFERROR(__xludf.DUMMYFUNCTION("""COMPUTED_VALUE"""),"https://www.triplewhale.com/blog/incrementality-testing-methods")</f>
        <v>https://www.triplewhale.com/blog/incrementality-testing-methods</v>
      </c>
      <c r="B4" s="11" t="str">
        <f>IFERROR(__xludf.DUMMYFUNCTION("""COMPUTED_VALUE"""),"A Guide to Incrementality Testing Methods: Different Ways to Measure True Marketing Impact | Triple Whale")</f>
        <v>A Guide to Incrementality Testing Methods: Different Ways to Measure True Marketing Impact | Triple Whale</v>
      </c>
      <c r="C4" s="10" t="str">
        <f>IFERROR(__xludf.DUMMYFUNCTION("""COMPUTED_VALUE"""),"triplewhale.com")</f>
        <v>triplewhale.com</v>
      </c>
      <c r="D4" s="11" t="str">
        <f>IFERROR(__xludf.DUMMYFUNCTION("""COMPUTED_VALUE"""),"HOW_TO_GUIDE")</f>
        <v>HOW_TO_GUIDE</v>
      </c>
      <c r="E4" s="11" t="str">
        <f>IFERROR(__xludf.DUMMYFUNCTION("""COMPUTED_VALUE"""),"COMPETITOR")</f>
        <v>COMPETITOR</v>
      </c>
      <c r="F4" s="11" t="str">
        <f>IFERROR(__xludf.DUMMYFUNCTION("""COMPUTED_VALUE"""),"How-To Guide")</f>
        <v>How-To Guide</v>
      </c>
      <c r="G4" s="11" t="b">
        <f>IFERROR(__xludf.DUMMYFUNCTION("""COMPUTED_VALUE"""),FALSE)</f>
        <v>0</v>
      </c>
      <c r="H4" s="11" t="str">
        <f>IFERROR(__xludf.DUMMYFUNCTION("""COMPUTED_VALUE"""),"Triple Whale")</f>
        <v>Triple Whale</v>
      </c>
      <c r="I4" s="11">
        <f>IFERROR(__xludf.DUMMYFUNCTION("""COMPUTED_VALUE"""),7.0)</f>
        <v>7</v>
      </c>
      <c r="J4" s="11">
        <f>IFERROR(__xludf.DUMMYFUNCTION("""COMPUTED_VALUE"""),0.01)</f>
        <v>0.01</v>
      </c>
      <c r="K4" s="11">
        <f>IFERROR(__xludf.DUMMYFUNCTION("""COMPUTED_VALUE"""),0.71)</f>
        <v>0.71</v>
      </c>
    </row>
    <row r="5" ht="15.75" customHeight="1">
      <c r="A5" s="10" t="str">
        <f>IFERROR(__xludf.DUMMYFUNCTION("""COMPUTED_VALUE"""),"https://www.youtube.com/watch?v=wDQs41e1F_Y&amp;t=144")</f>
        <v>https://www.youtube.com/watch?v=wDQs41e1F_Y&amp;t=144</v>
      </c>
      <c r="B5" s="11" t="str">
        <f>IFERROR(__xludf.DUMMYFUNCTION("""COMPUTED_VALUE"""),"GEO + SEO = Your Agency's Best Option")</f>
        <v>GEO + SEO = Your Agency's Best Option</v>
      </c>
      <c r="C5" s="10" t="str">
        <f>IFERROR(__xludf.DUMMYFUNCTION("""COMPUTED_VALUE"""),"youtube.com")</f>
        <v>youtube.com</v>
      </c>
      <c r="D5" s="11" t="str">
        <f>IFERROR(__xludf.DUMMYFUNCTION("""COMPUTED_VALUE"""),"HOW_TO_GUIDE")</f>
        <v>HOW_TO_GUIDE</v>
      </c>
      <c r="E5" s="11" t="str">
        <f>IFERROR(__xludf.DUMMYFUNCTION("""COMPUTED_VALUE"""),"UGC")</f>
        <v>UGC</v>
      </c>
      <c r="F5" s="11" t="str">
        <f>IFERROR(__xludf.DUMMYFUNCTION("""COMPUTED_VALUE"""),"How-To Guide")</f>
        <v>How-To Guide</v>
      </c>
      <c r="G5" s="11" t="b">
        <f>IFERROR(__xludf.DUMMYFUNCTION("""COMPUTED_VALUE"""),FALSE)</f>
        <v>0</v>
      </c>
      <c r="H5" s="11" t="str">
        <f>IFERROR(__xludf.DUMMYFUNCTION("""COMPUTED_VALUE"""),"Huge")</f>
        <v>Huge</v>
      </c>
      <c r="I5" s="11">
        <f>IFERROR(__xludf.DUMMYFUNCTION("""COMPUTED_VALUE"""),5.0)</f>
        <v>5</v>
      </c>
      <c r="J5" s="11">
        <f>IFERROR(__xludf.DUMMYFUNCTION("""COMPUTED_VALUE"""),0.0)</f>
        <v>0</v>
      </c>
      <c r="K5" s="11">
        <f>IFERROR(__xludf.DUMMYFUNCTION("""COMPUTED_VALUE"""),1.4)</f>
        <v>1.4</v>
      </c>
    </row>
    <row r="6" ht="15.75" customHeight="1">
      <c r="A6" s="10" t="str">
        <f>IFERROR(__xludf.DUMMYFUNCTION("""COMPUTED_VALUE"""),"https://amplitude.com/explore/experiment/incrementality-testing")</f>
        <v>https://amplitude.com/explore/experiment/incrementality-testing</v>
      </c>
      <c r="B6" s="11" t="str">
        <f>IFERROR(__xludf.DUMMYFUNCTION("""COMPUTED_VALUE"""),"What Is Incrementality Testing for Modern Marketers")</f>
        <v>What Is Incrementality Testing for Modern Marketers</v>
      </c>
      <c r="C6" s="10" t="str">
        <f>IFERROR(__xludf.DUMMYFUNCTION("""COMPUTED_VALUE"""),"amplitude.com")</f>
        <v>amplitude.com</v>
      </c>
      <c r="D6" s="11" t="str">
        <f>IFERROR(__xludf.DUMMYFUNCTION("""COMPUTED_VALUE"""),"HOW_TO_GUIDE")</f>
        <v>HOW_TO_GUIDE</v>
      </c>
      <c r="E6" s="11" t="str">
        <f>IFERROR(__xludf.DUMMYFUNCTION("""COMPUTED_VALUE"""),"CORPORATE")</f>
        <v>CORPORATE</v>
      </c>
      <c r="F6" s="11" t="str">
        <f>IFERROR(__xludf.DUMMYFUNCTION("""COMPUTED_VALUE"""),"How-To Guide")</f>
        <v>How-To Guide</v>
      </c>
      <c r="G6" s="11" t="b">
        <f>IFERROR(__xludf.DUMMYFUNCTION("""COMPUTED_VALUE"""),FALSE)</f>
        <v>0</v>
      </c>
      <c r="H6" s="11"/>
      <c r="I6" s="11">
        <f>IFERROR(__xludf.DUMMYFUNCTION("""COMPUTED_VALUE"""),3.0)</f>
        <v>3</v>
      </c>
      <c r="J6" s="11">
        <f>IFERROR(__xludf.DUMMYFUNCTION("""COMPUTED_VALUE"""),0.0)</f>
        <v>0</v>
      </c>
      <c r="K6" s="11">
        <f>IFERROR(__xludf.DUMMYFUNCTION("""COMPUTED_VALUE"""),0.33)</f>
        <v>0.33</v>
      </c>
    </row>
    <row r="7" ht="15.75" customHeight="1">
      <c r="A7" s="10" t="str">
        <f>IFERROR(__xludf.DUMMYFUNCTION("""COMPUTED_VALUE"""),"https://support.google.com/google-ads/answer/11410677?hl=en")</f>
        <v>https://support.google.com/google-ads/answer/11410677?hl=en</v>
      </c>
      <c r="B7" s="11" t="str">
        <f>IFERROR(__xludf.DUMMYFUNCTION("""COMPUTED_VALUE"""),"Google Partners directory - Google Ads Help")</f>
        <v>Google Partners directory - Google Ads Help</v>
      </c>
      <c r="C7" s="10" t="str">
        <f>IFERROR(__xludf.DUMMYFUNCTION("""COMPUTED_VALUE"""),"google.com")</f>
        <v>google.com</v>
      </c>
      <c r="D7" s="11" t="str">
        <f>IFERROR(__xludf.DUMMYFUNCTION("""COMPUTED_VALUE"""),"HOW_TO_GUIDE")</f>
        <v>HOW_TO_GUIDE</v>
      </c>
      <c r="E7" s="11" t="str">
        <f>IFERROR(__xludf.DUMMYFUNCTION("""COMPUTED_VALUE"""),"OTHER")</f>
        <v>OTHER</v>
      </c>
      <c r="F7" s="11" t="str">
        <f>IFERROR(__xludf.DUMMYFUNCTION("""COMPUTED_VALUE"""),"How-To Guide")</f>
        <v>How-To Guide</v>
      </c>
      <c r="G7" s="11" t="b">
        <f>IFERROR(__xludf.DUMMYFUNCTION("""COMPUTED_VALUE"""),FALSE)</f>
        <v>0</v>
      </c>
      <c r="H7" s="11"/>
      <c r="I7" s="11">
        <f>IFERROR(__xludf.DUMMYFUNCTION("""COMPUTED_VALUE"""),2.0)</f>
        <v>2</v>
      </c>
      <c r="J7" s="11">
        <f>IFERROR(__xludf.DUMMYFUNCTION("""COMPUTED_VALUE"""),0.0)</f>
        <v>0</v>
      </c>
      <c r="K7" s="11">
        <f>IFERROR(__xludf.DUMMYFUNCTION("""COMPUTED_VALUE"""),0.0)</f>
        <v>0</v>
      </c>
    </row>
    <row r="8" ht="15.75" customHeight="1">
      <c r="A8" s="10" t="str">
        <f>IFERROR(__xludf.DUMMYFUNCTION("""COMPUTED_VALUE"""),"https://www.techradar.com/pro/how-to-use-an-aeo-tool-for-your-small-business")</f>
        <v>https://www.techradar.com/pro/how-to-use-an-aeo-tool-for-your-small-business</v>
      </c>
      <c r="B8" s="11" t="str">
        <f>IFERROR(__xludf.DUMMYFUNCTION("""COMPUTED_VALUE"""),"How to use an AEO tool for your small business | TechRadar")</f>
        <v>How to use an AEO tool for your small business | TechRadar</v>
      </c>
      <c r="C8" s="10" t="str">
        <f>IFERROR(__xludf.DUMMYFUNCTION("""COMPUTED_VALUE"""),"techradar.com")</f>
        <v>techradar.com</v>
      </c>
      <c r="D8" s="11" t="str">
        <f>IFERROR(__xludf.DUMMYFUNCTION("""COMPUTED_VALUE"""),"HOW_TO_GUIDE")</f>
        <v>HOW_TO_GUIDE</v>
      </c>
      <c r="E8" s="11" t="str">
        <f>IFERROR(__xludf.DUMMYFUNCTION("""COMPUTED_VALUE"""),"EDITORIAL")</f>
        <v>EDITORIAL</v>
      </c>
      <c r="F8" s="11" t="str">
        <f>IFERROR(__xludf.DUMMYFUNCTION("""COMPUTED_VALUE"""),"How-To Guide")</f>
        <v>How-To Guide</v>
      </c>
      <c r="G8" s="11" t="b">
        <f>IFERROR(__xludf.DUMMYFUNCTION("""COMPUTED_VALUE"""),FALSE)</f>
        <v>0</v>
      </c>
      <c r="H8" s="11" t="str">
        <f>IFERROR(__xludf.DUMMYFUNCTION("""COMPUTED_VALUE"""),"Huge")</f>
        <v>Huge</v>
      </c>
      <c r="I8" s="11">
        <f>IFERROR(__xludf.DUMMYFUNCTION("""COMPUTED_VALUE"""),2.0)</f>
        <v>2</v>
      </c>
      <c r="J8" s="11">
        <f>IFERROR(__xludf.DUMMYFUNCTION("""COMPUTED_VALUE"""),0.0)</f>
        <v>0</v>
      </c>
      <c r="K8" s="11">
        <f>IFERROR(__xludf.DUMMYFUNCTION("""COMPUTED_VALUE"""),1.5)</f>
        <v>1.5</v>
      </c>
    </row>
    <row r="9" ht="15.75" customHeight="1">
      <c r="A9" s="10" t="str">
        <f>IFERROR(__xludf.DUMMYFUNCTION("""COMPUTED_VALUE"""),"https://www.youtube.com/watch?v=dtlZTULGX4A")</f>
        <v>https://www.youtube.com/watch?v=dtlZTULGX4A</v>
      </c>
      <c r="B9" s="11" t="str">
        <f>IFERROR(__xludf.DUMMYFUNCTION("""COMPUTED_VALUE"""),"GEO Keyword Research and Tracking AI Search Results For Your Main Keywords")</f>
        <v>GEO Keyword Research and Tracking AI Search Results For Your Main Keywords</v>
      </c>
      <c r="C9" s="10" t="str">
        <f>IFERROR(__xludf.DUMMYFUNCTION("""COMPUTED_VALUE"""),"youtube.com")</f>
        <v>youtube.com</v>
      </c>
      <c r="D9" s="11" t="str">
        <f>IFERROR(__xludf.DUMMYFUNCTION("""COMPUTED_VALUE"""),"HOW_TO_GUIDE")</f>
        <v>HOW_TO_GUIDE</v>
      </c>
      <c r="E9" s="11" t="str">
        <f>IFERROR(__xludf.DUMMYFUNCTION("""COMPUTED_VALUE"""),"UGC")</f>
        <v>UGC</v>
      </c>
      <c r="F9" s="11" t="str">
        <f>IFERROR(__xludf.DUMMYFUNCTION("""COMPUTED_VALUE"""),"How-To Guide")</f>
        <v>How-To Guide</v>
      </c>
      <c r="G9" s="11" t="b">
        <f>IFERROR(__xludf.DUMMYFUNCTION("""COMPUTED_VALUE"""),FALSE)</f>
        <v>0</v>
      </c>
      <c r="H9" s="11" t="str">
        <f>IFERROR(__xludf.DUMMYFUNCTION("""COMPUTED_VALUE"""),"Huge")</f>
        <v>Huge</v>
      </c>
      <c r="I9" s="11">
        <f>IFERROR(__xludf.DUMMYFUNCTION("""COMPUTED_VALUE"""),2.0)</f>
        <v>2</v>
      </c>
      <c r="J9" s="11">
        <f>IFERROR(__xludf.DUMMYFUNCTION("""COMPUTED_VALUE"""),0.0)</f>
        <v>0</v>
      </c>
      <c r="K9" s="11">
        <f>IFERROR(__xludf.DUMMYFUNCTION("""COMPUTED_VALUE"""),1.0)</f>
        <v>1</v>
      </c>
    </row>
    <row r="10" ht="15.75" customHeight="1">
      <c r="A10" s="10" t="str">
        <f>IFERROR(__xludf.DUMMYFUNCTION("""COMPUTED_VALUE"""),"https://adoption.microsoft.com/en-us/ai-readiness-wizard/")</f>
        <v>https://adoption.microsoft.com/en-us/ai-readiness-wizard/</v>
      </c>
      <c r="B10" s="11" t="str">
        <f>IFERROR(__xludf.DUMMYFUNCTION("""COMPUTED_VALUE"""),"AI Readiness Wizard – Microsoft Adoption")</f>
        <v>AI Readiness Wizard – Microsoft Adoption</v>
      </c>
      <c r="C10" s="10" t="str">
        <f>IFERROR(__xludf.DUMMYFUNCTION("""COMPUTED_VALUE"""),"microsoft.com")</f>
        <v>microsoft.com</v>
      </c>
      <c r="D10" s="11" t="str">
        <f>IFERROR(__xludf.DUMMYFUNCTION("""COMPUTED_VALUE"""),"HOW_TO_GUIDE")</f>
        <v>HOW_TO_GUIDE</v>
      </c>
      <c r="E10" s="11" t="str">
        <f>IFERROR(__xludf.DUMMYFUNCTION("""COMPUTED_VALUE"""),"CORPORATE")</f>
        <v>CORPORATE</v>
      </c>
      <c r="F10" s="11" t="str">
        <f>IFERROR(__xludf.DUMMYFUNCTION("""COMPUTED_VALUE"""),"How-To Guide")</f>
        <v>How-To Guide</v>
      </c>
      <c r="G10" s="11" t="b">
        <f>IFERROR(__xludf.DUMMYFUNCTION("""COMPUTED_VALUE"""),FALSE)</f>
        <v>0</v>
      </c>
      <c r="H10" s="11"/>
      <c r="I10" s="11">
        <f>IFERROR(__xludf.DUMMYFUNCTION("""COMPUTED_VALUE"""),1.0)</f>
        <v>1</v>
      </c>
      <c r="J10" s="11">
        <f>IFERROR(__xludf.DUMMYFUNCTION("""COMPUTED_VALUE"""),0.0)</f>
        <v>0</v>
      </c>
      <c r="K10" s="11">
        <f>IFERROR(__xludf.DUMMYFUNCTION("""COMPUTED_VALUE"""),0.0)</f>
        <v>0</v>
      </c>
    </row>
    <row r="11" ht="15.75" customHeight="1">
      <c r="A11" s="10" t="str">
        <f>IFERROR(__xludf.DUMMYFUNCTION("""COMPUTED_VALUE"""),"https://agenticmarketingpro.com/incrementality-testing/")</f>
        <v>https://agenticmarketingpro.com/incrementality-testing/</v>
      </c>
      <c r="B11" s="11" t="str">
        <f>IFERROR(__xludf.DUMMYFUNCTION("""COMPUTED_VALUE"""),"Modern Incrementality Testing: Moving the Needle in 2026")</f>
        <v>Modern Incrementality Testing: Moving the Needle in 2026</v>
      </c>
      <c r="C11" s="10" t="str">
        <f>IFERROR(__xludf.DUMMYFUNCTION("""COMPUTED_VALUE"""),"agenticmarketingpro.com")</f>
        <v>agenticmarketingpro.com</v>
      </c>
      <c r="D11" s="11" t="str">
        <f>IFERROR(__xludf.DUMMYFUNCTION("""COMPUTED_VALUE"""),"HOW_TO_GUIDE")</f>
        <v>HOW_TO_GUIDE</v>
      </c>
      <c r="E11" s="11" t="str">
        <f>IFERROR(__xludf.DUMMYFUNCTION("""COMPUTED_VALUE"""),"CORPORATE")</f>
        <v>CORPORATE</v>
      </c>
      <c r="F11" s="11" t="str">
        <f>IFERROR(__xludf.DUMMYFUNCTION("""COMPUTED_VALUE"""),"How-To Guide")</f>
        <v>How-To Guide</v>
      </c>
      <c r="G11" s="11" t="b">
        <f>IFERROR(__xludf.DUMMYFUNCTION("""COMPUTED_VALUE"""),FALSE)</f>
        <v>0</v>
      </c>
      <c r="H11" s="11"/>
      <c r="I11" s="11">
        <f>IFERROR(__xludf.DUMMYFUNCTION("""COMPUTED_VALUE"""),1.0)</f>
        <v>1</v>
      </c>
      <c r="J11" s="11">
        <f>IFERROR(__xludf.DUMMYFUNCTION("""COMPUTED_VALUE"""),0.0)</f>
        <v>0</v>
      </c>
      <c r="K11" s="11">
        <f>IFERROR(__xludf.DUMMYFUNCTION("""COMPUTED_VALUE"""),0.0)</f>
        <v>0</v>
      </c>
    </row>
    <row r="12" ht="15.75" customHeight="1">
      <c r="A12" s="10" t="str">
        <f>IFERROR(__xludf.DUMMYFUNCTION("""COMPUTED_VALUE"""),"https://aiadvantageagency.com/first-party-data-strategy/")</f>
        <v>https://aiadvantageagency.com/first-party-data-strategy/</v>
      </c>
      <c r="B12" s="11" t="str">
        <f>IFERROR(__xludf.DUMMYFUNCTION("""COMPUTED_VALUE"""),"First-Party Data Strategy for AI Advertising in 2026")</f>
        <v>First-Party Data Strategy for AI Advertising in 2026</v>
      </c>
      <c r="C12" s="10" t="str">
        <f>IFERROR(__xludf.DUMMYFUNCTION("""COMPUTED_VALUE"""),"aiadvantageagency.com")</f>
        <v>aiadvantageagency.com</v>
      </c>
      <c r="D12" s="11" t="str">
        <f>IFERROR(__xludf.DUMMYFUNCTION("""COMPUTED_VALUE"""),"HOW_TO_GUIDE")</f>
        <v>HOW_TO_GUIDE</v>
      </c>
      <c r="E12" s="11" t="str">
        <f>IFERROR(__xludf.DUMMYFUNCTION("""COMPUTED_VALUE"""),"CORPORATE")</f>
        <v>CORPORATE</v>
      </c>
      <c r="F12" s="11" t="str">
        <f>IFERROR(__xludf.DUMMYFUNCTION("""COMPUTED_VALUE"""),"How-To Guide")</f>
        <v>How-To Guide</v>
      </c>
      <c r="G12" s="11" t="b">
        <f>IFERROR(__xludf.DUMMYFUNCTION("""COMPUTED_VALUE"""),FALSE)</f>
        <v>0</v>
      </c>
      <c r="H12" s="11" t="str">
        <f>IFERROR(__xludf.DUMMYFUNCTION("""COMPUTED_VALUE"""),"Triple Whale, Northbeam")</f>
        <v>Triple Whale, Northbeam</v>
      </c>
      <c r="I12" s="11">
        <f>IFERROR(__xludf.DUMMYFUNCTION("""COMPUTED_VALUE"""),1.0)</f>
        <v>1</v>
      </c>
      <c r="J12" s="11">
        <f>IFERROR(__xludf.DUMMYFUNCTION("""COMPUTED_VALUE"""),0.0)</f>
        <v>0</v>
      </c>
      <c r="K12" s="11">
        <f>IFERROR(__xludf.DUMMYFUNCTION("""COMPUTED_VALUE"""),0.0)</f>
        <v>0</v>
      </c>
    </row>
    <row r="13" ht="15.75" customHeight="1">
      <c r="A13" s="10" t="str">
        <f>IFERROR(__xludf.DUMMYFUNCTION("""COMPUTED_VALUE"""),"https://amplitude.com/blog/first-party-data-strategy")</f>
        <v>https://amplitude.com/blog/first-party-data-strategy</v>
      </c>
      <c r="B13" s="11" t="str">
        <f>IFERROR(__xludf.DUMMYFUNCTION("""COMPUTED_VALUE"""),"How Amplitude Powers Its First-Party Data Strategy")</f>
        <v>How Amplitude Powers Its First-Party Data Strategy</v>
      </c>
      <c r="C13" s="10" t="str">
        <f>IFERROR(__xludf.DUMMYFUNCTION("""COMPUTED_VALUE"""),"amplitude.com")</f>
        <v>amplitude.com</v>
      </c>
      <c r="D13" s="11" t="str">
        <f>IFERROR(__xludf.DUMMYFUNCTION("""COMPUTED_VALUE"""),"HOW_TO_GUIDE")</f>
        <v>HOW_TO_GUIDE</v>
      </c>
      <c r="E13" s="11" t="str">
        <f>IFERROR(__xludf.DUMMYFUNCTION("""COMPUTED_VALUE"""),"CORPORATE")</f>
        <v>CORPORATE</v>
      </c>
      <c r="F13" s="11" t="str">
        <f>IFERROR(__xludf.DUMMYFUNCTION("""COMPUTED_VALUE"""),"How-To Guide")</f>
        <v>How-To Guide</v>
      </c>
      <c r="G13" s="11" t="b">
        <f>IFERROR(__xludf.DUMMYFUNCTION("""COMPUTED_VALUE"""),FALSE)</f>
        <v>0</v>
      </c>
      <c r="H13" s="11"/>
      <c r="I13" s="11">
        <f>IFERROR(__xludf.DUMMYFUNCTION("""COMPUTED_VALUE"""),1.0)</f>
        <v>1</v>
      </c>
      <c r="J13" s="11">
        <f>IFERROR(__xludf.DUMMYFUNCTION("""COMPUTED_VALUE"""),0.0)</f>
        <v>0</v>
      </c>
      <c r="K13" s="11">
        <f>IFERROR(__xludf.DUMMYFUNCTION("""COMPUTED_VALUE"""),1.0)</f>
        <v>1</v>
      </c>
    </row>
    <row r="14" ht="15.75" customHeight="1">
      <c r="A14" s="10" t="str">
        <f>IFERROR(__xludf.DUMMYFUNCTION("""COMPUTED_VALUE"""),"https://www.attnagency.com/blog/first-party-data-activation-cdp-ad-platform-strategy")</f>
        <v>https://www.attnagency.com/blog/first-party-data-activation-cdp-ad-platform-strategy</v>
      </c>
      <c r="B14" s="11" t="str">
        <f>IFERROR(__xludf.DUMMYFUNCTION("""COMPUTED_VALUE"""),"First-Party Data Activation: From CDP to Ad Platform Profitability | ATTN Agency")</f>
        <v>First-Party Data Activation: From CDP to Ad Platform Profitability | ATTN Agency</v>
      </c>
      <c r="C14" s="10" t="str">
        <f>IFERROR(__xludf.DUMMYFUNCTION("""COMPUTED_VALUE"""),"attnagency.com")</f>
        <v>attnagency.com</v>
      </c>
      <c r="D14" s="11" t="str">
        <f>IFERROR(__xludf.DUMMYFUNCTION("""COMPUTED_VALUE"""),"HOW_TO_GUIDE")</f>
        <v>HOW_TO_GUIDE</v>
      </c>
      <c r="E14" s="11" t="str">
        <f>IFERROR(__xludf.DUMMYFUNCTION("""COMPUTED_VALUE"""),"CORPORATE")</f>
        <v>CORPORATE</v>
      </c>
      <c r="F14" s="11" t="str">
        <f>IFERROR(__xludf.DUMMYFUNCTION("""COMPUTED_VALUE"""),"How-To Guide")</f>
        <v>How-To Guide</v>
      </c>
      <c r="G14" s="11" t="b">
        <f>IFERROR(__xludf.DUMMYFUNCTION("""COMPUTED_VALUE"""),FALSE)</f>
        <v>0</v>
      </c>
      <c r="H14" s="11"/>
      <c r="I14" s="11">
        <f>IFERROR(__xludf.DUMMYFUNCTION("""COMPUTED_VALUE"""),1.0)</f>
        <v>1</v>
      </c>
      <c r="J14" s="11">
        <f>IFERROR(__xludf.DUMMYFUNCTION("""COMPUTED_VALUE"""),0.0)</f>
        <v>0</v>
      </c>
      <c r="K14" s="11">
        <f>IFERROR(__xludf.DUMMYFUNCTION("""COMPUTED_VALUE"""),0.0)</f>
        <v>0</v>
      </c>
    </row>
    <row r="15" ht="15.75" customHeight="1">
      <c r="A15" s="10" t="str">
        <f>IFERROR(__xludf.DUMMYFUNCTION("""COMPUTED_VALUE"""),"https://www.avaus.com/blog/how-media-agencies-can-utilize-first-party-data-to-drive-better-results/")</f>
        <v>https://www.avaus.com/blog/how-media-agencies-can-utilize-first-party-data-to-drive-better-results/</v>
      </c>
      <c r="B15" s="11" t="str">
        <f>IFERROR(__xludf.DUMMYFUNCTION("""COMPUTED_VALUE"""),"How media agencies can utilize first-party data to drive better results - Avaus")</f>
        <v>How media agencies can utilize first-party data to drive better results - Avaus</v>
      </c>
      <c r="C15" s="10" t="str">
        <f>IFERROR(__xludf.DUMMYFUNCTION("""COMPUTED_VALUE"""),"avaus.com")</f>
        <v>avaus.com</v>
      </c>
      <c r="D15" s="11" t="str">
        <f>IFERROR(__xludf.DUMMYFUNCTION("""COMPUTED_VALUE"""),"HOW_TO_GUIDE")</f>
        <v>HOW_TO_GUIDE</v>
      </c>
      <c r="E15" s="11" t="str">
        <f>IFERROR(__xludf.DUMMYFUNCTION("""COMPUTED_VALUE"""),"CORPORATE")</f>
        <v>CORPORATE</v>
      </c>
      <c r="F15" s="11" t="str">
        <f>IFERROR(__xludf.DUMMYFUNCTION("""COMPUTED_VALUE"""),"How-To Guide")</f>
        <v>How-To Guide</v>
      </c>
      <c r="G15" s="11" t="b">
        <f>IFERROR(__xludf.DUMMYFUNCTION("""COMPUTED_VALUE"""),FALSE)</f>
        <v>0</v>
      </c>
      <c r="H15" s="11"/>
      <c r="I15" s="11">
        <f>IFERROR(__xludf.DUMMYFUNCTION("""COMPUTED_VALUE"""),1.0)</f>
        <v>1</v>
      </c>
      <c r="J15" s="11">
        <f>IFERROR(__xludf.DUMMYFUNCTION("""COMPUTED_VALUE"""),0.0)</f>
        <v>0</v>
      </c>
      <c r="K15" s="11">
        <f>IFERROR(__xludf.DUMMYFUNCTION("""COMPUTED_VALUE"""),0.0)</f>
        <v>0</v>
      </c>
    </row>
    <row r="16" ht="15.75" customHeight="1">
      <c r="A16" s="10" t="str">
        <f>IFERROR(__xludf.DUMMYFUNCTION("""COMPUTED_VALUE"""),"https://www.blueduckagency.com/blog/incrementality")</f>
        <v>https://www.blueduckagency.com/blog/incrementality</v>
      </c>
      <c r="B16" s="11" t="str">
        <f>IFERROR(__xludf.DUMMYFUNCTION("""COMPUTED_VALUE"""),"How to Add Incrementality Testing to Your Marketing Campaigns | Blue Duck Agency")</f>
        <v>How to Add Incrementality Testing to Your Marketing Campaigns | Blue Duck Agency</v>
      </c>
      <c r="C16" s="10" t="str">
        <f>IFERROR(__xludf.DUMMYFUNCTION("""COMPUTED_VALUE"""),"blueduckagency.com")</f>
        <v>blueduckagency.com</v>
      </c>
      <c r="D16" s="11" t="str">
        <f>IFERROR(__xludf.DUMMYFUNCTION("""COMPUTED_VALUE"""),"HOW_TO_GUIDE")</f>
        <v>HOW_TO_GUIDE</v>
      </c>
      <c r="E16" s="11" t="str">
        <f>IFERROR(__xludf.DUMMYFUNCTION("""COMPUTED_VALUE"""),"CORPORATE")</f>
        <v>CORPORATE</v>
      </c>
      <c r="F16" s="11" t="str">
        <f>IFERROR(__xludf.DUMMYFUNCTION("""COMPUTED_VALUE"""),"How-To Guide")</f>
        <v>How-To Guide</v>
      </c>
      <c r="G16" s="11" t="b">
        <f>IFERROR(__xludf.DUMMYFUNCTION("""COMPUTED_VALUE"""),FALSE)</f>
        <v>0</v>
      </c>
      <c r="H16" s="11"/>
      <c r="I16" s="11">
        <f>IFERROR(__xludf.DUMMYFUNCTION("""COMPUTED_VALUE"""),1.0)</f>
        <v>1</v>
      </c>
      <c r="J16" s="11">
        <f>IFERROR(__xludf.DUMMYFUNCTION("""COMPUTED_VALUE"""),0.0)</f>
        <v>0</v>
      </c>
      <c r="K16" s="11">
        <f>IFERROR(__xludf.DUMMYFUNCTION("""COMPUTED_VALUE"""),0.0)</f>
        <v>0</v>
      </c>
    </row>
    <row r="17" ht="15.75" customHeight="1">
      <c r="A17" s="10" t="str">
        <f>IFERROR(__xludf.DUMMYFUNCTION("""COMPUTED_VALUE"""),"https://brillmedia.co/resources/display-ads-best-practices/")</f>
        <v>https://brillmedia.co/resources/display-ads-best-practices/</v>
      </c>
      <c r="B17" s="11" t="str">
        <f>IFERROR(__xludf.DUMMYFUNCTION("""COMPUTED_VALUE"""),"Display Ads Best Practices 2025 | Brill Media")</f>
        <v>Display Ads Best Practices 2025 | Brill Media</v>
      </c>
      <c r="C17" s="10" t="str">
        <f>IFERROR(__xludf.DUMMYFUNCTION("""COMPUTED_VALUE"""),"brillmedia.co")</f>
        <v>brillmedia.co</v>
      </c>
      <c r="D17" s="11" t="str">
        <f>IFERROR(__xludf.DUMMYFUNCTION("""COMPUTED_VALUE"""),"HOW_TO_GUIDE")</f>
        <v>HOW_TO_GUIDE</v>
      </c>
      <c r="E17" s="11" t="str">
        <f>IFERROR(__xludf.DUMMYFUNCTION("""COMPUTED_VALUE"""),"CORPORATE")</f>
        <v>CORPORATE</v>
      </c>
      <c r="F17" s="11" t="str">
        <f>IFERROR(__xludf.DUMMYFUNCTION("""COMPUTED_VALUE"""),"How-To Guide")</f>
        <v>How-To Guide</v>
      </c>
      <c r="G17" s="11" t="b">
        <f>IFERROR(__xludf.DUMMYFUNCTION("""COMPUTED_VALUE"""),FALSE)</f>
        <v>0</v>
      </c>
      <c r="H17" s="11"/>
      <c r="I17" s="11">
        <f>IFERROR(__xludf.DUMMYFUNCTION("""COMPUTED_VALUE"""),1.0)</f>
        <v>1</v>
      </c>
      <c r="J17" s="11">
        <f>IFERROR(__xludf.DUMMYFUNCTION("""COMPUTED_VALUE"""),0.0)</f>
        <v>0</v>
      </c>
      <c r="K17" s="11">
        <f>IFERROR(__xludf.DUMMYFUNCTION("""COMPUTED_VALUE"""),1.0)</f>
        <v>1</v>
      </c>
    </row>
    <row r="18" ht="15.75" customHeight="1">
      <c r="A18" s="10" t="str">
        <f>IFERROR(__xludf.DUMMYFUNCTION("""COMPUTED_VALUE"""),"https://clicksgeek.com/best-marketing-agency-for-roi/")</f>
        <v>https://clicksgeek.com/best-marketing-agency-for-roi/</v>
      </c>
      <c r="B18" s="11" t="str">
        <f>IFERROR(__xludf.DUMMYFUNCTION("""COMPUTED_VALUE"""),"Best Marketing Agency For ROI: 7 Proven Strategies")</f>
        <v>Best Marketing Agency For ROI: 7 Proven Strategies</v>
      </c>
      <c r="C18" s="10" t="str">
        <f>IFERROR(__xludf.DUMMYFUNCTION("""COMPUTED_VALUE"""),"clicksgeek.com")</f>
        <v>clicksgeek.com</v>
      </c>
      <c r="D18" s="11" t="str">
        <f>IFERROR(__xludf.DUMMYFUNCTION("""COMPUTED_VALUE"""),"HOW_TO_GUIDE")</f>
        <v>HOW_TO_GUIDE</v>
      </c>
      <c r="E18" s="11" t="str">
        <f>IFERROR(__xludf.DUMMYFUNCTION("""COMPUTED_VALUE"""),"CORPORATE")</f>
        <v>CORPORATE</v>
      </c>
      <c r="F18" s="11" t="str">
        <f>IFERROR(__xludf.DUMMYFUNCTION("""COMPUTED_VALUE"""),"How-To Guide")</f>
        <v>How-To Guide</v>
      </c>
      <c r="G18" s="11" t="b">
        <f>IFERROR(__xludf.DUMMYFUNCTION("""COMPUTED_VALUE"""),FALSE)</f>
        <v>0</v>
      </c>
      <c r="H18" s="11"/>
      <c r="I18" s="11">
        <f>IFERROR(__xludf.DUMMYFUNCTION("""COMPUTED_VALUE"""),1.0)</f>
        <v>1</v>
      </c>
      <c r="J18" s="11">
        <f>IFERROR(__xludf.DUMMYFUNCTION("""COMPUTED_VALUE"""),0.0)</f>
        <v>0</v>
      </c>
      <c r="K18" s="11">
        <f>IFERROR(__xludf.DUMMYFUNCTION("""COMPUTED_VALUE"""),0.0)</f>
        <v>0</v>
      </c>
    </row>
    <row r="19" ht="15.75" customHeight="1">
      <c r="A19" s="10" t="str">
        <f>IFERROR(__xludf.DUMMYFUNCTION("""COMPUTED_VALUE"""),"https://www.digitalapplied.com/blog/first-party-data-activation-2026-server-side-tracking-playbook")</f>
        <v>https://www.digitalapplied.com/blog/first-party-data-activation-2026-server-side-tracking-playbook</v>
      </c>
      <c r="B19" s="11" t="str">
        <f>IFERROR(__xludf.DUMMYFUNCTION("""COMPUTED_VALUE"""),"First-Party Data Activation: 2026 Server-Side Playbook")</f>
        <v>First-Party Data Activation: 2026 Server-Side Playbook</v>
      </c>
      <c r="C19" s="10" t="str">
        <f>IFERROR(__xludf.DUMMYFUNCTION("""COMPUTED_VALUE"""),"digitalapplied.com")</f>
        <v>digitalapplied.com</v>
      </c>
      <c r="D19" s="11" t="str">
        <f>IFERROR(__xludf.DUMMYFUNCTION("""COMPUTED_VALUE"""),"HOW_TO_GUIDE")</f>
        <v>HOW_TO_GUIDE</v>
      </c>
      <c r="E19" s="11" t="str">
        <f>IFERROR(__xludf.DUMMYFUNCTION("""COMPUTED_VALUE"""),"CORPORATE")</f>
        <v>CORPORATE</v>
      </c>
      <c r="F19" s="11" t="str">
        <f>IFERROR(__xludf.DUMMYFUNCTION("""COMPUTED_VALUE"""),"How-To Guide")</f>
        <v>How-To Guide</v>
      </c>
      <c r="G19" s="11" t="b">
        <f>IFERROR(__xludf.DUMMYFUNCTION("""COMPUTED_VALUE"""),FALSE)</f>
        <v>0</v>
      </c>
      <c r="H19" s="11" t="str">
        <f>IFERROR(__xludf.DUMMYFUNCTION("""COMPUTED_VALUE"""),"PwC")</f>
        <v>PwC</v>
      </c>
      <c r="I19" s="11">
        <f>IFERROR(__xludf.DUMMYFUNCTION("""COMPUTED_VALUE"""),1.0)</f>
        <v>1</v>
      </c>
      <c r="J19" s="11">
        <f>IFERROR(__xludf.DUMMYFUNCTION("""COMPUTED_VALUE"""),0.0)</f>
        <v>0</v>
      </c>
      <c r="K19" s="11">
        <f>IFERROR(__xludf.DUMMYFUNCTION("""COMPUTED_VALUE"""),0.0)</f>
        <v>0</v>
      </c>
    </row>
    <row r="20" ht="15.75" customHeight="1">
      <c r="A20" s="10" t="str">
        <f>IFERROR(__xludf.DUMMYFUNCTION("""COMPUTED_VALUE"""),"https://embertribe.com/blog/paid-social-agency")</f>
        <v>https://embertribe.com/blog/paid-social-agency</v>
      </c>
      <c r="B20" s="11" t="str">
        <f>IFERROR(__xludf.DUMMYFUNCTION("""COMPUTED_VALUE"""),"Paid Social Agency: Choose the Right One in 2026 | EmberTribe")</f>
        <v>Paid Social Agency: Choose the Right One in 2026 | EmberTribe</v>
      </c>
      <c r="C20" s="10" t="str">
        <f>IFERROR(__xludf.DUMMYFUNCTION("""COMPUTED_VALUE"""),"embertribe.com")</f>
        <v>embertribe.com</v>
      </c>
      <c r="D20" s="11" t="str">
        <f>IFERROR(__xludf.DUMMYFUNCTION("""COMPUTED_VALUE"""),"HOW_TO_GUIDE")</f>
        <v>HOW_TO_GUIDE</v>
      </c>
      <c r="E20" s="11" t="str">
        <f>IFERROR(__xludf.DUMMYFUNCTION("""COMPUTED_VALUE"""),"OTHER")</f>
        <v>OTHER</v>
      </c>
      <c r="F20" s="11" t="str">
        <f>IFERROR(__xludf.DUMMYFUNCTION("""COMPUTED_VALUE"""),"How-To Guide")</f>
        <v>How-To Guide</v>
      </c>
      <c r="G20" s="11" t="b">
        <f>IFERROR(__xludf.DUMMYFUNCTION("""COMPUTED_VALUE"""),FALSE)</f>
        <v>0</v>
      </c>
      <c r="H20" s="11"/>
      <c r="I20" s="11">
        <f>IFERROR(__xludf.DUMMYFUNCTION("""COMPUTED_VALUE"""),1.0)</f>
        <v>1</v>
      </c>
      <c r="J20" s="11">
        <f>IFERROR(__xludf.DUMMYFUNCTION("""COMPUTED_VALUE"""),0.0)</f>
        <v>0</v>
      </c>
      <c r="K20" s="11">
        <f>IFERROR(__xludf.DUMMYFUNCTION("""COMPUTED_VALUE"""),0.0)</f>
        <v>0</v>
      </c>
    </row>
    <row r="21" ht="15.75" customHeight="1">
      <c r="A21" s="10" t="str">
        <f>IFERROR(__xludf.DUMMYFUNCTION("""COMPUTED_VALUE"""),"https://greenbananaseo.com/services/generative-engine-optimization-agency/#:~:text=Quick%20definition%3A%20Generative%20Engine%20Optimization,trust%2C%20and%20easy%20to%20reuse.")</f>
        <v>https://greenbananaseo.com/services/generative-engine-optimization-agency/#:~:text=Quick%20definition%3A%20Generative%20Engine%20Optimization,trust%2C%20and%20easy%20to%20reuse.</v>
      </c>
      <c r="B21" s="11" t="str">
        <f>IFERROR(__xludf.DUMMYFUNCTION("""COMPUTED_VALUE"""),"Generative Engine Optimization Agency (GEO) | Get Cited in ChatGPT &amp;amp; AI Overviews | GreenBanana SEO")</f>
        <v>Generative Engine Optimization Agency (GEO) | Get Cited in ChatGPT &amp;amp; AI Overviews | GreenBanana SEO</v>
      </c>
      <c r="C21" s="10" t="str">
        <f>IFERROR(__xludf.DUMMYFUNCTION("""COMPUTED_VALUE"""),"greenbananaseo.com")</f>
        <v>greenbananaseo.com</v>
      </c>
      <c r="D21" s="11" t="str">
        <f>IFERROR(__xludf.DUMMYFUNCTION("""COMPUTED_VALUE"""),"HOW_TO_GUIDE")</f>
        <v>HOW_TO_GUIDE</v>
      </c>
      <c r="E21" s="11" t="str">
        <f>IFERROR(__xludf.DUMMYFUNCTION("""COMPUTED_VALUE"""),"CORPORATE")</f>
        <v>CORPORATE</v>
      </c>
      <c r="F21" s="11" t="str">
        <f>IFERROR(__xludf.DUMMYFUNCTION("""COMPUTED_VALUE"""),"How-To Guide")</f>
        <v>How-To Guide</v>
      </c>
      <c r="G21" s="11" t="b">
        <f>IFERROR(__xludf.DUMMYFUNCTION("""COMPUTED_VALUE"""),FALSE)</f>
        <v>0</v>
      </c>
      <c r="H21" s="11" t="str">
        <f>IFERROR(__xludf.DUMMYFUNCTION("""COMPUTED_VALUE"""),"Measured")</f>
        <v>Measured</v>
      </c>
      <c r="I21" s="11">
        <f>IFERROR(__xludf.DUMMYFUNCTION("""COMPUTED_VALUE"""),1.0)</f>
        <v>1</v>
      </c>
      <c r="J21" s="11">
        <f>IFERROR(__xludf.DUMMYFUNCTION("""COMPUTED_VALUE"""),0.0)</f>
        <v>0</v>
      </c>
      <c r="K21" s="11">
        <f>IFERROR(__xludf.DUMMYFUNCTION("""COMPUTED_VALUE"""),3.0)</f>
        <v>3</v>
      </c>
    </row>
    <row r="22" ht="15.75" customHeight="1">
      <c r="A22" s="10" t="str">
        <f>IFERROR(__xludf.DUMMYFUNCTION("""COMPUTED_VALUE"""),"https://www.growth-rocket.com/blog/what-high-performing-agencies-do-differently-with-first-party-data-strategy/")</f>
        <v>https://www.growth-rocket.com/blog/what-high-performing-agencies-do-differently-with-first-party-data-strategy/</v>
      </c>
      <c r="B22" s="11" t="str">
        <f>IFERROR(__xludf.DUMMYFUNCTION("""COMPUTED_VALUE"""),"What High-Performing Agencies Do Differently With First-Party Data Strategy - Growth Rocket")</f>
        <v>What High-Performing Agencies Do Differently With First-Party Data Strategy - Growth Rocket</v>
      </c>
      <c r="C22" s="10" t="str">
        <f>IFERROR(__xludf.DUMMYFUNCTION("""COMPUTED_VALUE"""),"growth-rocket.com")</f>
        <v>growth-rocket.com</v>
      </c>
      <c r="D22" s="11" t="str">
        <f>IFERROR(__xludf.DUMMYFUNCTION("""COMPUTED_VALUE"""),"HOW_TO_GUIDE")</f>
        <v>HOW_TO_GUIDE</v>
      </c>
      <c r="E22" s="11" t="str">
        <f>IFERROR(__xludf.DUMMYFUNCTION("""COMPUTED_VALUE"""),"CORPORATE")</f>
        <v>CORPORATE</v>
      </c>
      <c r="F22" s="11" t="str">
        <f>IFERROR(__xludf.DUMMYFUNCTION("""COMPUTED_VALUE"""),"How-To Guide")</f>
        <v>How-To Guide</v>
      </c>
      <c r="G22" s="11" t="b">
        <f>IFERROR(__xludf.DUMMYFUNCTION("""COMPUTED_VALUE"""),FALSE)</f>
        <v>0</v>
      </c>
      <c r="H22" s="11" t="str">
        <f>IFERROR(__xludf.DUMMYFUNCTION("""COMPUTED_VALUE"""),"McKinsey")</f>
        <v>McKinsey</v>
      </c>
      <c r="I22" s="11">
        <f>IFERROR(__xludf.DUMMYFUNCTION("""COMPUTED_VALUE"""),1.0)</f>
        <v>1</v>
      </c>
      <c r="J22" s="11">
        <f>IFERROR(__xludf.DUMMYFUNCTION("""COMPUTED_VALUE"""),0.0)</f>
        <v>0</v>
      </c>
      <c r="K22" s="11">
        <f>IFERROR(__xludf.DUMMYFUNCTION("""COMPUTED_VALUE"""),0.0)</f>
        <v>0</v>
      </c>
    </row>
    <row r="23" ht="15.75" customHeight="1">
      <c r="A23" s="10" t="str">
        <f>IFERROR(__xludf.DUMMYFUNCTION("""COMPUTED_VALUE"""),"https://www.gsdcouncil.org/blogs/what-is-generative-engine-optimization-geo-and-seo")</f>
        <v>https://www.gsdcouncil.org/blogs/what-is-generative-engine-optimization-geo-and-seo</v>
      </c>
      <c r="B23" s="11" t="str">
        <f>IFERROR(__xludf.DUMMYFUNCTION("""COMPUTED_VALUE"""),"What Is Generative Engine Optimization (GEO) &amp;amp; How Does GEO + SEO Work?")</f>
        <v>What Is Generative Engine Optimization (GEO) &amp;amp; How Does GEO + SEO Work?</v>
      </c>
      <c r="C23" s="10" t="str">
        <f>IFERROR(__xludf.DUMMYFUNCTION("""COMPUTED_VALUE"""),"gsdcouncil.org")</f>
        <v>gsdcouncil.org</v>
      </c>
      <c r="D23" s="11" t="str">
        <f>IFERROR(__xludf.DUMMYFUNCTION("""COMPUTED_VALUE"""),"HOW_TO_GUIDE")</f>
        <v>HOW_TO_GUIDE</v>
      </c>
      <c r="E23" s="11" t="str">
        <f>IFERROR(__xludf.DUMMYFUNCTION("""COMPUTED_VALUE"""),"INSTITUTIONAL")</f>
        <v>INSTITUTIONAL</v>
      </c>
      <c r="F23" s="11" t="str">
        <f>IFERROR(__xludf.DUMMYFUNCTION("""COMPUTED_VALUE"""),"How-To Guide")</f>
        <v>How-To Guide</v>
      </c>
      <c r="G23" s="11" t="b">
        <f>IFERROR(__xludf.DUMMYFUNCTION("""COMPUTED_VALUE"""),FALSE)</f>
        <v>0</v>
      </c>
      <c r="H23" s="11"/>
      <c r="I23" s="11">
        <f>IFERROR(__xludf.DUMMYFUNCTION("""COMPUTED_VALUE"""),1.0)</f>
        <v>1</v>
      </c>
      <c r="J23" s="11">
        <f>IFERROR(__xludf.DUMMYFUNCTION("""COMPUTED_VALUE"""),0.0)</f>
        <v>0</v>
      </c>
      <c r="K23" s="11">
        <f>IFERROR(__xludf.DUMMYFUNCTION("""COMPUTED_VALUE"""),1.0)</f>
        <v>1</v>
      </c>
    </row>
    <row r="24" ht="15.75" customHeight="1">
      <c r="A24" s="10" t="str">
        <f>IFERROR(__xludf.DUMMYFUNCTION("""COMPUTED_VALUE"""),"https://www.humanr.ai/intelligence/ai-readiness-assessment-25-person-marketing-agency")</f>
        <v>https://www.humanr.ai/intelligence/ai-readiness-assessment-25-person-marketing-agency</v>
      </c>
      <c r="B24" s="11" t="str">
        <f>IFERROR(__xludf.DUMMYFUNCTION("""COMPUTED_VALUE"""),"AI Readiness for a 25-Person Agency | Human Renaissance")</f>
        <v>AI Readiness for a 25-Person Agency | Human Renaissance</v>
      </c>
      <c r="C24" s="10" t="str">
        <f>IFERROR(__xludf.DUMMYFUNCTION("""COMPUTED_VALUE"""),"humanr.ai")</f>
        <v>humanr.ai</v>
      </c>
      <c r="D24" s="11" t="str">
        <f>IFERROR(__xludf.DUMMYFUNCTION("""COMPUTED_VALUE"""),"HOW_TO_GUIDE")</f>
        <v>HOW_TO_GUIDE</v>
      </c>
      <c r="E24" s="11" t="str">
        <f>IFERROR(__xludf.DUMMYFUNCTION("""COMPUTED_VALUE"""),"CORPORATE")</f>
        <v>CORPORATE</v>
      </c>
      <c r="F24" s="11" t="str">
        <f>IFERROR(__xludf.DUMMYFUNCTION("""COMPUTED_VALUE"""),"How-To Guide")</f>
        <v>How-To Guide</v>
      </c>
      <c r="G24" s="11" t="b">
        <f>IFERROR(__xludf.DUMMYFUNCTION("""COMPUTED_VALUE"""),FALSE)</f>
        <v>0</v>
      </c>
      <c r="H24" s="11" t="str">
        <f>IFERROR(__xludf.DUMMYFUNCTION("""COMPUTED_VALUE"""),"Measured")</f>
        <v>Measured</v>
      </c>
      <c r="I24" s="11">
        <f>IFERROR(__xludf.DUMMYFUNCTION("""COMPUTED_VALUE"""),1.0)</f>
        <v>1</v>
      </c>
      <c r="J24" s="11">
        <f>IFERROR(__xludf.DUMMYFUNCTION("""COMPUTED_VALUE"""),0.0)</f>
        <v>0</v>
      </c>
      <c r="K24" s="11">
        <f>IFERROR(__xludf.DUMMYFUNCTION("""COMPUTED_VALUE"""),0.0)</f>
        <v>0</v>
      </c>
    </row>
    <row r="25" ht="15.75" customHeight="1">
      <c r="A25" s="10" t="str">
        <f>IFERROR(__xludf.DUMMYFUNCTION("""COMPUTED_VALUE"""),"https://www.incrmntal.com/resources/how-to-validate-incrmntal")</f>
        <v>https://www.incrmntal.com/resources/how-to-validate-incrmntal</v>
      </c>
      <c r="B25" s="11" t="str">
        <f>IFERROR(__xludf.DUMMYFUNCTION("""COMPUTED_VALUE"""),"Building Trust in Incrementality Measurement")</f>
        <v>Building Trust in Incrementality Measurement</v>
      </c>
      <c r="C25" s="10" t="str">
        <f>IFERROR(__xludf.DUMMYFUNCTION("""COMPUTED_VALUE"""),"incrmntal.com")</f>
        <v>incrmntal.com</v>
      </c>
      <c r="D25" s="11" t="str">
        <f>IFERROR(__xludf.DUMMYFUNCTION("""COMPUTED_VALUE"""),"HOW_TO_GUIDE")</f>
        <v>HOW_TO_GUIDE</v>
      </c>
      <c r="E25" s="11" t="str">
        <f>IFERROR(__xludf.DUMMYFUNCTION("""COMPUTED_VALUE"""),"COMPETITOR")</f>
        <v>COMPETITOR</v>
      </c>
      <c r="F25" s="11" t="str">
        <f>IFERROR(__xludf.DUMMYFUNCTION("""COMPUTED_VALUE"""),"How-To Guide")</f>
        <v>How-To Guide</v>
      </c>
      <c r="G25" s="11" t="b">
        <f>IFERROR(__xludf.DUMMYFUNCTION("""COMPUTED_VALUE"""),FALSE)</f>
        <v>0</v>
      </c>
      <c r="H25" s="11" t="str">
        <f>IFERROR(__xludf.DUMMYFUNCTION("""COMPUTED_VALUE"""),"INCRMNTAL")</f>
        <v>INCRMNTAL</v>
      </c>
      <c r="I25" s="11">
        <f>IFERROR(__xludf.DUMMYFUNCTION("""COMPUTED_VALUE"""),1.0)</f>
        <v>1</v>
      </c>
      <c r="J25" s="11">
        <f>IFERROR(__xludf.DUMMYFUNCTION("""COMPUTED_VALUE"""),0.0)</f>
        <v>0</v>
      </c>
      <c r="K25" s="11">
        <f>IFERROR(__xludf.DUMMYFUNCTION("""COMPUTED_VALUE"""),1.0)</f>
        <v>1</v>
      </c>
    </row>
    <row r="26" ht="15.75" customHeight="1">
      <c r="A26" s="10" t="str">
        <f>IFERROR(__xludf.DUMMYFUNCTION("""COMPUTED_VALUE"""),"https://www.lotame.com/resources/agency-data-strategist-guide/")</f>
        <v>https://www.lotame.com/resources/agency-data-strategist-guide/</v>
      </c>
      <c r="B26" s="11" t="str">
        <f>IFERROR(__xludf.DUMMYFUNCTION("""COMPUTED_VALUE"""),"Agency Data Strategist Guide to Identity Resolution &amp;amp; DSPs")</f>
        <v>Agency Data Strategist Guide to Identity Resolution &amp;amp; DSPs</v>
      </c>
      <c r="C26" s="10" t="str">
        <f>IFERROR(__xludf.DUMMYFUNCTION("""COMPUTED_VALUE"""),"lotame.com")</f>
        <v>lotame.com</v>
      </c>
      <c r="D26" s="11" t="str">
        <f>IFERROR(__xludf.DUMMYFUNCTION("""COMPUTED_VALUE"""),"HOW_TO_GUIDE")</f>
        <v>HOW_TO_GUIDE</v>
      </c>
      <c r="E26" s="11" t="str">
        <f>IFERROR(__xludf.DUMMYFUNCTION("""COMPUTED_VALUE"""),"CORPORATE")</f>
        <v>CORPORATE</v>
      </c>
      <c r="F26" s="11" t="str">
        <f>IFERROR(__xludf.DUMMYFUNCTION("""COMPUTED_VALUE"""),"How-To Guide")</f>
        <v>How-To Guide</v>
      </c>
      <c r="G26" s="11" t="b">
        <f>IFERROR(__xludf.DUMMYFUNCTION("""COMPUTED_VALUE"""),FALSE)</f>
        <v>0</v>
      </c>
      <c r="H26" s="11" t="str">
        <f>IFERROR(__xludf.DUMMYFUNCTION("""COMPUTED_VALUE"""),"Epsilon")</f>
        <v>Epsilon</v>
      </c>
      <c r="I26" s="11">
        <f>IFERROR(__xludf.DUMMYFUNCTION("""COMPUTED_VALUE"""),1.0)</f>
        <v>1</v>
      </c>
      <c r="J26" s="11">
        <f>IFERROR(__xludf.DUMMYFUNCTION("""COMPUTED_VALUE"""),0.0)</f>
        <v>0</v>
      </c>
      <c r="K26" s="11">
        <f>IFERROR(__xludf.DUMMYFUNCTION("""COMPUTED_VALUE"""),0.0)</f>
        <v>0</v>
      </c>
    </row>
    <row r="27" ht="15.75" customHeight="1">
      <c r="A27" s="10" t="str">
        <f>IFERROR(__xludf.DUMMYFUNCTION("""COMPUTED_VALUE"""),"https://matomo.org/blog/2024/03/incrementality-testing/")</f>
        <v>https://matomo.org/blog/2024/03/incrementality-testing/</v>
      </c>
      <c r="B27" s="11" t="str">
        <f>IFERROR(__xludf.DUMMYFUNCTION("""COMPUTED_VALUE"""),"Incrementality Testing: Quick-Start Guide (With Calculations) - Analytics Platform - Matomo")</f>
        <v>Incrementality Testing: Quick-Start Guide (With Calculations) - Analytics Platform - Matomo</v>
      </c>
      <c r="C27" s="10" t="str">
        <f>IFERROR(__xludf.DUMMYFUNCTION("""COMPUTED_VALUE"""),"matomo.org")</f>
        <v>matomo.org</v>
      </c>
      <c r="D27" s="11" t="str">
        <f>IFERROR(__xludf.DUMMYFUNCTION("""COMPUTED_VALUE"""),"HOW_TO_GUIDE")</f>
        <v>HOW_TO_GUIDE</v>
      </c>
      <c r="E27" s="11" t="str">
        <f>IFERROR(__xludf.DUMMYFUNCTION("""COMPUTED_VALUE"""),"INSTITUTIONAL")</f>
        <v>INSTITUTIONAL</v>
      </c>
      <c r="F27" s="11" t="str">
        <f>IFERROR(__xludf.DUMMYFUNCTION("""COMPUTED_VALUE"""),"How-To Guide")</f>
        <v>How-To Guide</v>
      </c>
      <c r="G27" s="11" t="b">
        <f>IFERROR(__xludf.DUMMYFUNCTION("""COMPUTED_VALUE"""),FALSE)</f>
        <v>0</v>
      </c>
      <c r="H27" s="11" t="str">
        <f>IFERROR(__xludf.DUMMYFUNCTION("""COMPUTED_VALUE"""),"NoGood")</f>
        <v>NoGood</v>
      </c>
      <c r="I27" s="11">
        <f>IFERROR(__xludf.DUMMYFUNCTION("""COMPUTED_VALUE"""),1.0)</f>
        <v>1</v>
      </c>
      <c r="J27" s="11">
        <f>IFERROR(__xludf.DUMMYFUNCTION("""COMPUTED_VALUE"""),0.0)</f>
        <v>0</v>
      </c>
      <c r="K27" s="11">
        <f>IFERROR(__xludf.DUMMYFUNCTION("""COMPUTED_VALUE"""),0.0)</f>
        <v>0</v>
      </c>
    </row>
    <row r="28" ht="15.75" customHeight="1">
      <c r="A28" s="10" t="str">
        <f>IFERROR(__xludf.DUMMYFUNCTION("""COMPUTED_VALUE"""),"https://www.osmos.ai/blog/first-party-data-in-retail-media-the-complete-targeting-guide")</f>
        <v>https://www.osmos.ai/blog/first-party-data-in-retail-media-the-complete-targeting-guide</v>
      </c>
      <c r="B28" s="11" t="str">
        <f>IFERROR(__xludf.DUMMYFUNCTION("""COMPUTED_VALUE"""),"First-Party Shopper Data in Retail Media: 2026 Playbook")</f>
        <v>First-Party Shopper Data in Retail Media: 2026 Playbook</v>
      </c>
      <c r="C28" s="10" t="str">
        <f>IFERROR(__xludf.DUMMYFUNCTION("""COMPUTED_VALUE"""),"osmos.ai")</f>
        <v>osmos.ai</v>
      </c>
      <c r="D28" s="11" t="str">
        <f>IFERROR(__xludf.DUMMYFUNCTION("""COMPUTED_VALUE"""),"HOW_TO_GUIDE")</f>
        <v>HOW_TO_GUIDE</v>
      </c>
      <c r="E28" s="11" t="str">
        <f>IFERROR(__xludf.DUMMYFUNCTION("""COMPUTED_VALUE"""),"CORPORATE")</f>
        <v>CORPORATE</v>
      </c>
      <c r="F28" s="11" t="str">
        <f>IFERROR(__xludf.DUMMYFUNCTION("""COMPUTED_VALUE"""),"How-To Guide")</f>
        <v>How-To Guide</v>
      </c>
      <c r="G28" s="11" t="b">
        <f>IFERROR(__xludf.DUMMYFUNCTION("""COMPUTED_VALUE"""),FALSE)</f>
        <v>0</v>
      </c>
      <c r="H28" s="11" t="str">
        <f>IFERROR(__xludf.DUMMYFUNCTION("""COMPUTED_VALUE"""),"IBM, Nielsen, Bain &amp; Company")</f>
        <v>IBM, Nielsen, Bain &amp; Company</v>
      </c>
      <c r="I28" s="11">
        <f>IFERROR(__xludf.DUMMYFUNCTION("""COMPUTED_VALUE"""),1.0)</f>
        <v>1</v>
      </c>
      <c r="J28" s="11">
        <f>IFERROR(__xludf.DUMMYFUNCTION("""COMPUTED_VALUE"""),0.0)</f>
        <v>0</v>
      </c>
      <c r="K28" s="11">
        <f>IFERROR(__xludf.DUMMYFUNCTION("""COMPUTED_VALUE"""),0.0)</f>
        <v>0</v>
      </c>
    </row>
    <row r="29" ht="15.75" customHeight="1">
      <c r="A29" s="10" t="str">
        <f>IFERROR(__xludf.DUMMYFUNCTION("""COMPUTED_VALUE"""),"https://promoguy.nl/blog/2026/02/12/incrementality-testing-for-marketing-promotion/")</f>
        <v>https://promoguy.nl/blog/2026/02/12/incrementality-testing-for-marketing-promotion/</v>
      </c>
      <c r="B29" s="11" t="str">
        <f>IFERROR(__xludf.DUMMYFUNCTION("""COMPUTED_VALUE"""),"Incrementality Testing For Marketing &amp;amp; Promotion - Promoguy Digital Marketing Agency")</f>
        <v>Incrementality Testing For Marketing &amp;amp; Promotion - Promoguy Digital Marketing Agency</v>
      </c>
      <c r="C29" s="10" t="str">
        <f>IFERROR(__xludf.DUMMYFUNCTION("""COMPUTED_VALUE"""),"promoguy.nl")</f>
        <v>promoguy.nl</v>
      </c>
      <c r="D29" s="11" t="str">
        <f>IFERROR(__xludf.DUMMYFUNCTION("""COMPUTED_VALUE"""),"HOW_TO_GUIDE")</f>
        <v>HOW_TO_GUIDE</v>
      </c>
      <c r="E29" s="11" t="str">
        <f>IFERROR(__xludf.DUMMYFUNCTION("""COMPUTED_VALUE"""),"CORPORATE")</f>
        <v>CORPORATE</v>
      </c>
      <c r="F29" s="11" t="str">
        <f>IFERROR(__xludf.DUMMYFUNCTION("""COMPUTED_VALUE"""),"How-To Guide")</f>
        <v>How-To Guide</v>
      </c>
      <c r="G29" s="11" t="b">
        <f>IFERROR(__xludf.DUMMYFUNCTION("""COMPUTED_VALUE"""),FALSE)</f>
        <v>0</v>
      </c>
      <c r="H29" s="11" t="str">
        <f>IFERROR(__xludf.DUMMYFUNCTION("""COMPUTED_VALUE"""),"LifeSight, Haus, Measured, LiftLab")</f>
        <v>LifeSight, Haus, Measured, LiftLab</v>
      </c>
      <c r="I29" s="11">
        <f>IFERROR(__xludf.DUMMYFUNCTION("""COMPUTED_VALUE"""),1.0)</f>
        <v>1</v>
      </c>
      <c r="J29" s="11">
        <f>IFERROR(__xludf.DUMMYFUNCTION("""COMPUTED_VALUE"""),0.0)</f>
        <v>0</v>
      </c>
      <c r="K29" s="11">
        <f>IFERROR(__xludf.DUMMYFUNCTION("""COMPUTED_VALUE"""),0.0)</f>
        <v>0</v>
      </c>
    </row>
    <row r="30" ht="15.75" customHeight="1">
      <c r="A30" s="10" t="str">
        <f>IFERROR(__xludf.DUMMYFUNCTION("""COMPUTED_VALUE"""),"https://realtimeagency.com/blog/how-to-choose-a-media-mix-modelling-partner-in-2023/")</f>
        <v>https://realtimeagency.com/blog/how-to-choose-a-media-mix-modelling-partner-in-2023/</v>
      </c>
      <c r="B30" s="11" t="str">
        <f>IFERROR(__xludf.DUMMYFUNCTION("""COMPUTED_VALUE"""),"How to Choose A Media Mix Modelling Partner In 2023")</f>
        <v>How to Choose A Media Mix Modelling Partner In 2023</v>
      </c>
      <c r="C30" s="10" t="str">
        <f>IFERROR(__xludf.DUMMYFUNCTION("""COMPUTED_VALUE"""),"realtimeagency.com")</f>
        <v>realtimeagency.com</v>
      </c>
      <c r="D30" s="11" t="str">
        <f>IFERROR(__xludf.DUMMYFUNCTION("""COMPUTED_VALUE"""),"HOW_TO_GUIDE")</f>
        <v>HOW_TO_GUIDE</v>
      </c>
      <c r="E30" s="11" t="str">
        <f>IFERROR(__xludf.DUMMYFUNCTION("""COMPUTED_VALUE"""),"CORPORATE")</f>
        <v>CORPORATE</v>
      </c>
      <c r="F30" s="11" t="str">
        <f>IFERROR(__xludf.DUMMYFUNCTION("""COMPUTED_VALUE"""),"How-To Guide")</f>
        <v>How-To Guide</v>
      </c>
      <c r="G30" s="11" t="b">
        <f>IFERROR(__xludf.DUMMYFUNCTION("""COMPUTED_VALUE"""),FALSE)</f>
        <v>0</v>
      </c>
      <c r="H30" s="11" t="str">
        <f>IFERROR(__xludf.DUMMYFUNCTION("""COMPUTED_VALUE"""),"Nielsen, Sellforte, Huge")</f>
        <v>Nielsen, Sellforte, Huge</v>
      </c>
      <c r="I30" s="11">
        <f>IFERROR(__xludf.DUMMYFUNCTION("""COMPUTED_VALUE"""),1.0)</f>
        <v>1</v>
      </c>
      <c r="J30" s="11">
        <f>IFERROR(__xludf.DUMMYFUNCTION("""COMPUTED_VALUE"""),0.0)</f>
        <v>0</v>
      </c>
      <c r="K30" s="11">
        <f>IFERROR(__xludf.DUMMYFUNCTION("""COMPUTED_VALUE"""),1.0)</f>
        <v>1</v>
      </c>
    </row>
    <row r="31" ht="15.75" customHeight="1">
      <c r="A31" s="10" t="str">
        <f>IFERROR(__xludf.DUMMYFUNCTION("""COMPUTED_VALUE"""),"https://www.rockerbox.com/blog/everything-you-need-to-know-about-incrementality-testing-with-rockerbox")</f>
        <v>https://www.rockerbox.com/blog/everything-you-need-to-know-about-incrementality-testing-with-rockerbox</v>
      </c>
      <c r="B31" s="11" t="str">
        <f>IFERROR(__xludf.DUMMYFUNCTION("""COMPUTED_VALUE"""),"Everything You Need to Know About Incrementality Testing with Rockerbox | Rockerbox")</f>
        <v>Everything You Need to Know About Incrementality Testing with Rockerbox | Rockerbox</v>
      </c>
      <c r="C31" s="10" t="str">
        <f>IFERROR(__xludf.DUMMYFUNCTION("""COMPUTED_VALUE"""),"rockerbox.com")</f>
        <v>rockerbox.com</v>
      </c>
      <c r="D31" s="11" t="str">
        <f>IFERROR(__xludf.DUMMYFUNCTION("""COMPUTED_VALUE"""),"HOW_TO_GUIDE")</f>
        <v>HOW_TO_GUIDE</v>
      </c>
      <c r="E31" s="11" t="str">
        <f>IFERROR(__xludf.DUMMYFUNCTION("""COMPUTED_VALUE"""),"COMPETITOR")</f>
        <v>COMPETITOR</v>
      </c>
      <c r="F31" s="11" t="str">
        <f>IFERROR(__xludf.DUMMYFUNCTION("""COMPUTED_VALUE"""),"How-To Guide")</f>
        <v>How-To Guide</v>
      </c>
      <c r="G31" s="11" t="b">
        <f>IFERROR(__xludf.DUMMYFUNCTION("""COMPUTED_VALUE"""),FALSE)</f>
        <v>0</v>
      </c>
      <c r="H31" s="11" t="str">
        <f>IFERROR(__xludf.DUMMYFUNCTION("""COMPUTED_VALUE"""),"Rockerbox")</f>
        <v>Rockerbox</v>
      </c>
      <c r="I31" s="11">
        <f>IFERROR(__xludf.DUMMYFUNCTION("""COMPUTED_VALUE"""),1.0)</f>
        <v>1</v>
      </c>
      <c r="J31" s="11">
        <f>IFERROR(__xludf.DUMMYFUNCTION("""COMPUTED_VALUE"""),0.0)</f>
        <v>0</v>
      </c>
      <c r="K31" s="11">
        <f>IFERROR(__xludf.DUMMYFUNCTION("""COMPUTED_VALUE"""),1.0)</f>
        <v>1</v>
      </c>
    </row>
    <row r="32" ht="15.75" customHeight="1">
      <c r="A32" s="10" t="str">
        <f>IFERROR(__xludf.DUMMYFUNCTION("""COMPUTED_VALUE"""),"https://www.ruleranalytics.com/blog/ppc/first-party-data-activation/")</f>
        <v>https://www.ruleranalytics.com/blog/ppc/first-party-data-activation/</v>
      </c>
      <c r="B32" s="11" t="str">
        <f>IFERROR(__xludf.DUMMYFUNCTION("""COMPUTED_VALUE"""),"First-Party Data Activation: A Smarter Path to Better Ad Targeting | Ruler Analytics")</f>
        <v>First-Party Data Activation: A Smarter Path to Better Ad Targeting | Ruler Analytics</v>
      </c>
      <c r="C32" s="10" t="str">
        <f>IFERROR(__xludf.DUMMYFUNCTION("""COMPUTED_VALUE"""),"ruleranalytics.com")</f>
        <v>ruleranalytics.com</v>
      </c>
      <c r="D32" s="11" t="str">
        <f>IFERROR(__xludf.DUMMYFUNCTION("""COMPUTED_VALUE"""),"HOW_TO_GUIDE")</f>
        <v>HOW_TO_GUIDE</v>
      </c>
      <c r="E32" s="11" t="str">
        <f>IFERROR(__xludf.DUMMYFUNCTION("""COMPUTED_VALUE"""),"COMPETITOR")</f>
        <v>COMPETITOR</v>
      </c>
      <c r="F32" s="11" t="str">
        <f>IFERROR(__xludf.DUMMYFUNCTION("""COMPUTED_VALUE"""),"How-To Guide")</f>
        <v>How-To Guide</v>
      </c>
      <c r="G32" s="11" t="b">
        <f>IFERROR(__xludf.DUMMYFUNCTION("""COMPUTED_VALUE"""),FALSE)</f>
        <v>0</v>
      </c>
      <c r="H32" s="11" t="str">
        <f>IFERROR(__xludf.DUMMYFUNCTION("""COMPUTED_VALUE"""),"Ruler Analytics")</f>
        <v>Ruler Analytics</v>
      </c>
      <c r="I32" s="11">
        <f>IFERROR(__xludf.DUMMYFUNCTION("""COMPUTED_VALUE"""),1.0)</f>
        <v>1</v>
      </c>
      <c r="J32" s="11">
        <f>IFERROR(__xludf.DUMMYFUNCTION("""COMPUTED_VALUE"""),0.0)</f>
        <v>0</v>
      </c>
      <c r="K32" s="11">
        <f>IFERROR(__xludf.DUMMYFUNCTION("""COMPUTED_VALUE"""),0.0)</f>
        <v>0</v>
      </c>
    </row>
    <row r="33" ht="15.75" customHeight="1">
      <c r="A33" s="10" t="str">
        <f>IFERROR(__xludf.DUMMYFUNCTION("""COMPUTED_VALUE"""),"https://scrap.io/marketing-agency-email-list-guide")</f>
        <v>https://scrap.io/marketing-agency-email-list-guide</v>
      </c>
      <c r="B33" s="11" t="str">
        <f>IFERROR(__xludf.DUMMYFUNCTION("""COMPUTED_VALUE"""),"Marketing Agency Email List: How to Reach 118,872+ US Agencies in 2026 | Scrap.io")</f>
        <v>Marketing Agency Email List: How to Reach 118,872+ US Agencies in 2026 | Scrap.io</v>
      </c>
      <c r="C33" s="10" t="str">
        <f>IFERROR(__xludf.DUMMYFUNCTION("""COMPUTED_VALUE"""),"scrap.io")</f>
        <v>scrap.io</v>
      </c>
      <c r="D33" s="11" t="str">
        <f>IFERROR(__xludf.DUMMYFUNCTION("""COMPUTED_VALUE"""),"HOW_TO_GUIDE")</f>
        <v>HOW_TO_GUIDE</v>
      </c>
      <c r="E33" s="11" t="str">
        <f>IFERROR(__xludf.DUMMYFUNCTION("""COMPUTED_VALUE"""),"CORPORATE")</f>
        <v>CORPORATE</v>
      </c>
      <c r="F33" s="11" t="str">
        <f>IFERROR(__xludf.DUMMYFUNCTION("""COMPUTED_VALUE"""),"How-To Guide")</f>
        <v>How-To Guide</v>
      </c>
      <c r="G33" s="11" t="b">
        <f>IFERROR(__xludf.DUMMYFUNCTION("""COMPUTED_VALUE"""),FALSE)</f>
        <v>0</v>
      </c>
      <c r="H33" s="11"/>
      <c r="I33" s="11">
        <f>IFERROR(__xludf.DUMMYFUNCTION("""COMPUTED_VALUE"""),1.0)</f>
        <v>1</v>
      </c>
      <c r="J33" s="11">
        <f>IFERROR(__xludf.DUMMYFUNCTION("""COMPUTED_VALUE"""),0.0)</f>
        <v>0</v>
      </c>
      <c r="K33" s="11">
        <f>IFERROR(__xludf.DUMMYFUNCTION("""COMPUTED_VALUE"""),1.0)</f>
        <v>1</v>
      </c>
    </row>
    <row r="34" ht="15.75" customHeight="1">
      <c r="A34" s="10" t="str">
        <f>IFERROR(__xludf.DUMMYFUNCTION("""COMPUTED_VALUE"""),"https://www.stackadapt.com/resources/blog/first-party-data-strategy")</f>
        <v>https://www.stackadapt.com/resources/blog/first-party-data-strategy</v>
      </c>
      <c r="B34" s="11" t="str">
        <f>IFERROR(__xludf.DUMMYFUNCTION("""COMPUTED_VALUE"""),"First-party data strategy: An in-depth guide for marketers")</f>
        <v>First-party data strategy: An in-depth guide for marketers</v>
      </c>
      <c r="C34" s="10" t="str">
        <f>IFERROR(__xludf.DUMMYFUNCTION("""COMPUTED_VALUE"""),"stackadapt.com")</f>
        <v>stackadapt.com</v>
      </c>
      <c r="D34" s="11" t="str">
        <f>IFERROR(__xludf.DUMMYFUNCTION("""COMPUTED_VALUE"""),"HOW_TO_GUIDE")</f>
        <v>HOW_TO_GUIDE</v>
      </c>
      <c r="E34" s="11" t="str">
        <f>IFERROR(__xludf.DUMMYFUNCTION("""COMPUTED_VALUE"""),"CORPORATE")</f>
        <v>CORPORATE</v>
      </c>
      <c r="F34" s="11" t="str">
        <f>IFERROR(__xludf.DUMMYFUNCTION("""COMPUTED_VALUE"""),"How-To Guide")</f>
        <v>How-To Guide</v>
      </c>
      <c r="G34" s="11" t="b">
        <f>IFERROR(__xludf.DUMMYFUNCTION("""COMPUTED_VALUE"""),FALSE)</f>
        <v>0</v>
      </c>
      <c r="H34" s="11" t="str">
        <f>IFERROR(__xludf.DUMMYFUNCTION("""COMPUTED_VALUE"""),"McKinsey, BCG, Acxiom")</f>
        <v>McKinsey, BCG, Acxiom</v>
      </c>
      <c r="I34" s="11">
        <f>IFERROR(__xludf.DUMMYFUNCTION("""COMPUTED_VALUE"""),1.0)</f>
        <v>1</v>
      </c>
      <c r="J34" s="11">
        <f>IFERROR(__xludf.DUMMYFUNCTION("""COMPUTED_VALUE"""),0.0)</f>
        <v>0</v>
      </c>
      <c r="K34" s="11">
        <f>IFERROR(__xludf.DUMMYFUNCTION("""COMPUTED_VALUE"""),1.0)</f>
        <v>1</v>
      </c>
    </row>
    <row r="35" ht="15.75" customHeight="1">
      <c r="A35" s="10" t="str">
        <f>IFERROR(__xludf.DUMMYFUNCTION("""COMPUTED_VALUE"""),"https://tinuiti.com/research-insights/guides/the-incrementality-playbook/")</f>
        <v>https://tinuiti.com/research-insights/guides/the-incrementality-playbook/</v>
      </c>
      <c r="B35" s="11" t="str">
        <f>IFERROR(__xludf.DUMMYFUNCTION("""COMPUTED_VALUE"""),"The Incrementality Playbook | Tinuiti")</f>
        <v>The Incrementality Playbook | Tinuiti</v>
      </c>
      <c r="C35" s="10" t="str">
        <f>IFERROR(__xludf.DUMMYFUNCTION("""COMPUTED_VALUE"""),"tinuiti.com")</f>
        <v>tinuiti.com</v>
      </c>
      <c r="D35" s="11" t="str">
        <f>IFERROR(__xludf.DUMMYFUNCTION("""COMPUTED_VALUE"""),"HOW_TO_GUIDE")</f>
        <v>HOW_TO_GUIDE</v>
      </c>
      <c r="E35" s="11" t="str">
        <f>IFERROR(__xludf.DUMMYFUNCTION("""COMPUTED_VALUE"""),"COMPETITOR")</f>
        <v>COMPETITOR</v>
      </c>
      <c r="F35" s="11" t="str">
        <f>IFERROR(__xludf.DUMMYFUNCTION("""COMPUTED_VALUE"""),"How-To Guide")</f>
        <v>How-To Guide</v>
      </c>
      <c r="G35" s="11" t="b">
        <f>IFERROR(__xludf.DUMMYFUNCTION("""COMPUTED_VALUE"""),FALSE)</f>
        <v>0</v>
      </c>
      <c r="H35" s="11" t="str">
        <f>IFERROR(__xludf.DUMMYFUNCTION("""COMPUTED_VALUE"""),"Tinuiti")</f>
        <v>Tinuiti</v>
      </c>
      <c r="I35" s="11">
        <f>IFERROR(__xludf.DUMMYFUNCTION("""COMPUTED_VALUE"""),1.0)</f>
        <v>1</v>
      </c>
      <c r="J35" s="11">
        <f>IFERROR(__xludf.DUMMYFUNCTION("""COMPUTED_VALUE"""),0.0)</f>
        <v>0</v>
      </c>
      <c r="K35" s="11">
        <f>IFERROR(__xludf.DUMMYFUNCTION("""COMPUTED_VALUE"""),1.0)</f>
        <v>1</v>
      </c>
    </row>
    <row r="36" ht="15.75" customHeight="1">
      <c r="A36" s="10" t="str">
        <f>IFERROR(__xludf.DUMMYFUNCTION("""COMPUTED_VALUE"""),"https://usercentrics.com/guides/future-of-data-in-marketing/first-party-data-marketing/")</f>
        <v>https://usercentrics.com/guides/future-of-data-in-marketing/first-party-data-marketing/</v>
      </c>
      <c r="B36" s="11" t="str">
        <f>IFERROR(__xludf.DUMMYFUNCTION("""COMPUTED_VALUE"""),"First-Party Data Marketing | Tips &amp;amp; Strategies for 2026")</f>
        <v>First-Party Data Marketing | Tips &amp;amp; Strategies for 2026</v>
      </c>
      <c r="C36" s="10" t="str">
        <f>IFERROR(__xludf.DUMMYFUNCTION("""COMPUTED_VALUE"""),"usercentrics.com")</f>
        <v>usercentrics.com</v>
      </c>
      <c r="D36" s="11" t="str">
        <f>IFERROR(__xludf.DUMMYFUNCTION("""COMPUTED_VALUE"""),"HOW_TO_GUIDE")</f>
        <v>HOW_TO_GUIDE</v>
      </c>
      <c r="E36" s="11" t="str">
        <f>IFERROR(__xludf.DUMMYFUNCTION("""COMPUTED_VALUE"""),"CORPORATE")</f>
        <v>CORPORATE</v>
      </c>
      <c r="F36" s="11" t="str">
        <f>IFERROR(__xludf.DUMMYFUNCTION("""COMPUTED_VALUE"""),"How-To Guide")</f>
        <v>How-To Guide</v>
      </c>
      <c r="G36" s="11" t="b">
        <f>IFERROR(__xludf.DUMMYFUNCTION("""COMPUTED_VALUE"""),FALSE)</f>
        <v>0</v>
      </c>
      <c r="H36" s="11"/>
      <c r="I36" s="11">
        <f>IFERROR(__xludf.DUMMYFUNCTION("""COMPUTED_VALUE"""),1.0)</f>
        <v>1</v>
      </c>
      <c r="J36" s="11">
        <f>IFERROR(__xludf.DUMMYFUNCTION("""COMPUTED_VALUE"""),0.0)</f>
        <v>0</v>
      </c>
      <c r="K36" s="11">
        <f>IFERROR(__xludf.DUMMYFUNCTION("""COMPUTED_VALUE"""),0.0)</f>
        <v>0</v>
      </c>
    </row>
    <row r="37" ht="15.75" customHeight="1">
      <c r="A37" s="10" t="str">
        <f>IFERROR(__xludf.DUMMYFUNCTION("""COMPUTED_VALUE"""),"https://victoriaolsina.com/blog/geo-startups/")</f>
        <v>https://victoriaolsina.com/blog/geo-startups/</v>
      </c>
      <c r="B37" s="11" t="str">
        <f>IFERROR(__xludf.DUMMYFUNCTION("""COMPUTED_VALUE"""),"How to Rank in ChatGPT: GEO Guide for Startups - Victoria Olsina")</f>
        <v>How to Rank in ChatGPT: GEO Guide for Startups - Victoria Olsina</v>
      </c>
      <c r="C37" s="10" t="str">
        <f>IFERROR(__xludf.DUMMYFUNCTION("""COMPUTED_VALUE"""),"victoriaolsina.com")</f>
        <v>victoriaolsina.com</v>
      </c>
      <c r="D37" s="11" t="str">
        <f>IFERROR(__xludf.DUMMYFUNCTION("""COMPUTED_VALUE"""),"HOW_TO_GUIDE")</f>
        <v>HOW_TO_GUIDE</v>
      </c>
      <c r="E37" s="11" t="str">
        <f>IFERROR(__xludf.DUMMYFUNCTION("""COMPUTED_VALUE"""),"CORPORATE")</f>
        <v>CORPORATE</v>
      </c>
      <c r="F37" s="11" t="str">
        <f>IFERROR(__xludf.DUMMYFUNCTION("""COMPUTED_VALUE"""),"How-To Guide")</f>
        <v>How-To Guide</v>
      </c>
      <c r="G37" s="11" t="b">
        <f>IFERROR(__xludf.DUMMYFUNCTION("""COMPUTED_VALUE"""),FALSE)</f>
        <v>0</v>
      </c>
      <c r="H37" s="11"/>
      <c r="I37" s="11">
        <f>IFERROR(__xludf.DUMMYFUNCTION("""COMPUTED_VALUE"""),1.0)</f>
        <v>1</v>
      </c>
      <c r="J37" s="11">
        <f>IFERROR(__xludf.DUMMYFUNCTION("""COMPUTED_VALUE"""),0.0)</f>
        <v>0</v>
      </c>
      <c r="K37" s="11">
        <f>IFERROR(__xludf.DUMMYFUNCTION("""COMPUTED_VALUE"""),1.0)</f>
        <v>1</v>
      </c>
    </row>
    <row r="38" ht="15.75" customHeight="1">
      <c r="A38" s="10" t="str">
        <f>IFERROR(__xludf.DUMMYFUNCTION("""COMPUTED_VALUE"""),"https://webflow.com/blog/how-to-come-up-with-a-brand-name")</f>
        <v>https://webflow.com/blog/how-to-come-up-with-a-brand-name</v>
      </c>
      <c r="B38" s="11" t="str">
        <f>IFERROR(__xludf.DUMMYFUNCTION("""COMPUTED_VALUE"""),"How to come up with a brand name: The ultimate guide | Webflow Blog")</f>
        <v>How to come up with a brand name: The ultimate guide | Webflow Blog</v>
      </c>
      <c r="C38" s="10" t="str">
        <f>IFERROR(__xludf.DUMMYFUNCTION("""COMPUTED_VALUE"""),"webflow.com")</f>
        <v>webflow.com</v>
      </c>
      <c r="D38" s="11" t="str">
        <f>IFERROR(__xludf.DUMMYFUNCTION("""COMPUTED_VALUE"""),"HOW_TO_GUIDE")</f>
        <v>HOW_TO_GUIDE</v>
      </c>
      <c r="E38" s="11" t="str">
        <f>IFERROR(__xludf.DUMMYFUNCTION("""COMPUTED_VALUE"""),"CORPORATE")</f>
        <v>CORPORATE</v>
      </c>
      <c r="F38" s="11" t="str">
        <f>IFERROR(__xludf.DUMMYFUNCTION("""COMPUTED_VALUE"""),"How-To Guide")</f>
        <v>How-To Guide</v>
      </c>
      <c r="G38" s="11" t="b">
        <f>IFERROR(__xludf.DUMMYFUNCTION("""COMPUTED_VALUE"""),FALSE)</f>
        <v>0</v>
      </c>
      <c r="H38" s="11"/>
      <c r="I38" s="11">
        <f>IFERROR(__xludf.DUMMYFUNCTION("""COMPUTED_VALUE"""),1.0)</f>
        <v>1</v>
      </c>
      <c r="J38" s="11">
        <f>IFERROR(__xludf.DUMMYFUNCTION("""COMPUTED_VALUE"""),0.0)</f>
        <v>0</v>
      </c>
      <c r="K38" s="11">
        <f>IFERROR(__xludf.DUMMYFUNCTION("""COMPUTED_VALUE"""),1.0)</f>
        <v>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location=":~:text=Quick%20definition%3A%20Generative%20Engine%20Optimization,trust%2C%20and%20easy%20to%20reuse."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s>
  <drawing r:id="rId7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All'!D2:D1000)))=""listicle""
  ),
  """"
)"),"https://www.influencer-hero.com/blogs/top-paid-media-agencies-in-the-us")</f>
        <v>https://www.influencer-hero.com/blogs/top-paid-media-agencies-in-the-us</v>
      </c>
      <c r="B2" s="11" t="str">
        <f>IFERROR(__xludf.DUMMYFUNCTION("""COMPUTED_VALUE"""),"Top Paid Media Agencies in the US")</f>
        <v>Top Paid Media Agencies in the US</v>
      </c>
      <c r="C2" s="10" t="str">
        <f>IFERROR(__xludf.DUMMYFUNCTION("""COMPUTED_VALUE"""),"influencer-hero.com")</f>
        <v>influencer-hero.com</v>
      </c>
      <c r="D2" s="11" t="str">
        <f>IFERROR(__xludf.DUMMYFUNCTION("""COMPUTED_VALUE"""),"LISTICLE")</f>
        <v>LISTICLE</v>
      </c>
      <c r="E2" s="11" t="str">
        <f>IFERROR(__xludf.DUMMYFUNCTION("""COMPUTED_VALUE"""),"CORPORATE")</f>
        <v>CORPORATE</v>
      </c>
      <c r="F2" s="11" t="str">
        <f>IFERROR(__xludf.DUMMYFUNCTION("""COMPUTED_VALUE"""),"Listicle")</f>
        <v>Listicle</v>
      </c>
      <c r="G2" s="11" t="b">
        <f>IFERROR(__xludf.DUMMYFUNCTION("""COMPUTED_VALUE"""),FALSE)</f>
        <v>0</v>
      </c>
      <c r="H2" s="11" t="str">
        <f>IFERROR(__xludf.DUMMYFUNCTION("""COMPUTED_VALUE"""),"Tinuiti, Wpromote, Disruptive Advertising, Monks, Power Digital, NP Digital, Merkle, Dentsu")</f>
        <v>Tinuiti, Wpromote, Disruptive Advertising, Monks, Power Digital, NP Digital, Merkle, Dentsu</v>
      </c>
      <c r="I2" s="11">
        <f>IFERROR(__xludf.DUMMYFUNCTION("""COMPUTED_VALUE"""),68.0)</f>
        <v>68</v>
      </c>
      <c r="J2" s="11">
        <f>IFERROR(__xludf.DUMMYFUNCTION("""COMPUTED_VALUE"""),0.07)</f>
        <v>0.07</v>
      </c>
      <c r="K2" s="11">
        <f>IFERROR(__xludf.DUMMYFUNCTION("""COMPUTED_VALUE"""),1.37)</f>
        <v>1.37</v>
      </c>
    </row>
    <row r="3" ht="15.75" customHeight="1">
      <c r="A3" s="10" t="str">
        <f>IFERROR(__xludf.DUMMYFUNCTION("""COMPUTED_VALUE"""),"https://www.webtonic.io/blog/best-paid-media-agencies-us")</f>
        <v>https://www.webtonic.io/blog/best-paid-media-agencies-us</v>
      </c>
      <c r="B3" s="11" t="str">
        <f>IFERROR(__xludf.DUMMYFUNCTION("""COMPUTED_VALUE"""),"The 29 Best Paid Media Agencies in the US for 2026")</f>
        <v>The 29 Best Paid Media Agencies in the US for 2026</v>
      </c>
      <c r="C3" s="10" t="str">
        <f>IFERROR(__xludf.DUMMYFUNCTION("""COMPUTED_VALUE"""),"webtonic.io")</f>
        <v>webtonic.io</v>
      </c>
      <c r="D3" s="11" t="str">
        <f>IFERROR(__xludf.DUMMYFUNCTION("""COMPUTED_VALUE"""),"LISTICLE")</f>
        <v>LISTICLE</v>
      </c>
      <c r="E3" s="11" t="str">
        <f>IFERROR(__xludf.DUMMYFUNCTION("""COMPUTED_VALUE"""),"COMPETITOR")</f>
        <v>COMPETITOR</v>
      </c>
      <c r="F3" s="11" t="str">
        <f>IFERROR(__xludf.DUMMYFUNCTION("""COMPUTED_VALUE"""),"Listicle")</f>
        <v>Listicle</v>
      </c>
      <c r="G3" s="11" t="b">
        <f>IFERROR(__xludf.DUMMYFUNCTION("""COMPUTED_VALUE"""),FALSE)</f>
        <v>0</v>
      </c>
      <c r="H3" s="11" t="str">
        <f>IFERROR(__xludf.DUMMYFUNCTION("""COMPUTED_VALUE"""),"Web Tonic, Wpromote, TransUnion, Tinuiti, PMG, Horizon Media, KlientBoost, Disruptive Advertising, NoGood, Brainlabs, HawkSEM, The Social Shepherd, Power Digital, iProspect, Dentsu, MuteSix, LYFE Marketing, VaynerMedia, Sociallyin, inBeat, Directive, Igni"&amp;"te Visibility, Common Thread Collective")</f>
        <v>Web Tonic, Wpromote, TransUnion, Tinuiti, PMG, Horizon Media, KlientBoost, Disruptive Advertising, NoGood, Brainlabs, HawkSEM, The Social Shepherd, Power Digital, iProspect, Dentsu, MuteSix, LYFE Marketing, VaynerMedia, Sociallyin, inBeat, Directive, Ignite Visibility, Common Thread Collective</v>
      </c>
      <c r="I3" s="11">
        <f>IFERROR(__xludf.DUMMYFUNCTION("""COMPUTED_VALUE"""),65.0)</f>
        <v>65</v>
      </c>
      <c r="J3" s="11">
        <f>IFERROR(__xludf.DUMMYFUNCTION("""COMPUTED_VALUE"""),0.06)</f>
        <v>0.06</v>
      </c>
      <c r="K3" s="11">
        <f>IFERROR(__xludf.DUMMYFUNCTION("""COMPUTED_VALUE"""),0.74)</f>
        <v>0.74</v>
      </c>
    </row>
    <row r="4" ht="15.75" customHeight="1">
      <c r="A4" s="10" t="str">
        <f>IFERROR(__xludf.DUMMYFUNCTION("""COMPUTED_VALUE"""),"https://www.dataally.ai/blog/top-paid-media-agencies")</f>
        <v>https://www.dataally.ai/blog/top-paid-media-agencies</v>
      </c>
      <c r="B4" s="11" t="str">
        <f>IFERROR(__xludf.DUMMYFUNCTION("""COMPUTED_VALUE"""),"Top 15 Paid Media Agencies in 2026")</f>
        <v>Top 15 Paid Media Agencies in 2026</v>
      </c>
      <c r="C4" s="10" t="str">
        <f>IFERROR(__xludf.DUMMYFUNCTION("""COMPUTED_VALUE"""),"dataally.ai")</f>
        <v>dataally.ai</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IFERROR(__xludf.DUMMYFUNCTION("""COMPUTED_VALUE"""),"Brighter Click, NinjaPromo, inBeat, The Social Shepherd, Darkroom, KlientBoost, Disruptive Advertising, VaynerMedia, NP Digital, Viral Nation, Marcel Digital, WebFX")</f>
        <v>Brighter Click, NinjaPromo, inBeat, The Social Shepherd, Darkroom, KlientBoost, Disruptive Advertising, VaynerMedia, NP Digital, Viral Nation, Marcel Digital, WebFX</v>
      </c>
      <c r="I4" s="11">
        <f>IFERROR(__xludf.DUMMYFUNCTION("""COMPUTED_VALUE"""),63.0)</f>
        <v>63</v>
      </c>
      <c r="J4" s="11">
        <f>IFERROR(__xludf.DUMMYFUNCTION("""COMPUTED_VALUE"""),0.06)</f>
        <v>0.06</v>
      </c>
      <c r="K4" s="11">
        <f>IFERROR(__xludf.DUMMYFUNCTION("""COMPUTED_VALUE"""),1.16)</f>
        <v>1.16</v>
      </c>
    </row>
    <row r="5" ht="15.75" customHeight="1">
      <c r="A5" s="10" t="str">
        <f>IFERROR(__xludf.DUMMYFUNCTION("""COMPUTED_VALUE"""),"https://hawkemedia.com/insights/top-performance-marketing-agencies/")</f>
        <v>https://hawkemedia.com/insights/top-performance-marketing-agencies/</v>
      </c>
      <c r="B5" s="11" t="str">
        <f>IFERROR(__xludf.DUMMYFUNCTION("""COMPUTED_VALUE"""),"Top 25 Performance Marketing Agencies In The U.S. 2026 | Hawke Media")</f>
        <v>Top 25 Performance Marketing Agencies In The U.S. 2026 | Hawke Media</v>
      </c>
      <c r="C5" s="10" t="str">
        <f>IFERROR(__xludf.DUMMYFUNCTION("""COMPUTED_VALUE"""),"hawkemedia.com")</f>
        <v>hawkemedia.com</v>
      </c>
      <c r="D5" s="11" t="str">
        <f>IFERROR(__xludf.DUMMYFUNCTION("""COMPUTED_VALUE"""),"LISTICLE")</f>
        <v>LISTICLE</v>
      </c>
      <c r="E5" s="11" t="str">
        <f>IFERROR(__xludf.DUMMYFUNCTION("""COMPUTED_VALUE"""),"COMPETITOR")</f>
        <v>COMPETITOR</v>
      </c>
      <c r="F5" s="11" t="str">
        <f>IFERROR(__xludf.DUMMYFUNCTION("""COMPUTED_VALUE"""),"Listicle")</f>
        <v>Listicle</v>
      </c>
      <c r="G5" s="11" t="b">
        <f>IFERROR(__xludf.DUMMYFUNCTION("""COMPUTED_VALUE"""),FALSE)</f>
        <v>0</v>
      </c>
      <c r="H5"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5" s="11">
        <f>IFERROR(__xludf.DUMMYFUNCTION("""COMPUTED_VALUE"""),62.0)</f>
        <v>62</v>
      </c>
      <c r="J5" s="11">
        <f>IFERROR(__xludf.DUMMYFUNCTION("""COMPUTED_VALUE"""),0.06)</f>
        <v>0.06</v>
      </c>
      <c r="K5" s="11">
        <f>IFERROR(__xludf.DUMMYFUNCTION("""COMPUTED_VALUE"""),2.06)</f>
        <v>2.06</v>
      </c>
    </row>
    <row r="6" ht="15.75" customHeight="1">
      <c r="A6" s="10" t="str">
        <f>IFERROR(__xludf.DUMMYFUNCTION("""COMPUTED_VALUE"""),"https://www.searchbloom.com/strategy/best-ai-seo-agency-companies-services-usa/")</f>
        <v>https://www.searchbloom.com/strategy/best-ai-seo-agency-companies-services-usa/</v>
      </c>
      <c r="B6" s="11" t="str">
        <f>IFERROR(__xludf.DUMMYFUNCTION("""COMPUTED_VALUE"""),"Best AI SEO Companies + Services in the US 2026 (AEO/GEO) - Best AEO Agencies in USA")</f>
        <v>Best AI SEO Companies + Services in the US 2026 (AEO/GEO) - Best AEO Agencies in USA</v>
      </c>
      <c r="C6" s="10" t="str">
        <f>IFERROR(__xludf.DUMMYFUNCTION("""COMPUTED_VALUE"""),"searchbloom.com")</f>
        <v>searchbloom.com</v>
      </c>
      <c r="D6" s="11" t="str">
        <f>IFERROR(__xludf.DUMMYFUNCTION("""COMPUTED_VALUE"""),"LISTICLE")</f>
        <v>LISTICLE</v>
      </c>
      <c r="E6" s="11" t="str">
        <f>IFERROR(__xludf.DUMMYFUNCTION("""COMPUTED_VALUE"""),"COMPETITOR")</f>
        <v>COMPETITOR</v>
      </c>
      <c r="F6" s="11" t="str">
        <f>IFERROR(__xludf.DUMMYFUNCTION("""COMPUTED_VALUE"""),"Listicle")</f>
        <v>Listicle</v>
      </c>
      <c r="G6" s="11" t="b">
        <f>IFERROR(__xludf.DUMMYFUNCTION("""COMPUTED_VALUE"""),FALSE)</f>
        <v>0</v>
      </c>
      <c r="H6" s="11" t="str">
        <f>IFERROR(__xludf.DUMMYFUNCTION("""COMPUTED_VALUE"""),"Searchbloom, The SEO Works, Tinuiti, Digital Authority Partners, Omniscient Digital, iPullRank, Seer Interactive, Single Grain, Amsive, Siege Media, Clutch")</f>
        <v>Searchbloom, The SEO Works, Tinuiti, Digital Authority Partners, Omniscient Digital, iPullRank, Seer Interactive, Single Grain, Amsive, Siege Media, Clutch</v>
      </c>
      <c r="I6" s="11">
        <f>IFERROR(__xludf.DUMMYFUNCTION("""COMPUTED_VALUE"""),62.0)</f>
        <v>62</v>
      </c>
      <c r="J6" s="11">
        <f>IFERROR(__xludf.DUMMYFUNCTION("""COMPUTED_VALUE"""),0.06)</f>
        <v>0.06</v>
      </c>
      <c r="K6" s="11">
        <f>IFERROR(__xludf.DUMMYFUNCTION("""COMPUTED_VALUE"""),0.9)</f>
        <v>0.9</v>
      </c>
    </row>
    <row r="7" ht="15.75" customHeight="1">
      <c r="A7" s="10" t="str">
        <f>IFERROR(__xludf.DUMMYFUNCTION("""COMPUTED_VALUE"""),"https://beomniscient.com/blog/best-ai-marketing-agencies/")</f>
        <v>https://beomniscient.com/blog/best-ai-marketing-agencies/</v>
      </c>
      <c r="B7" s="11" t="str">
        <f>IFERROR(__xludf.DUMMYFUNCTION("""COMPUTED_VALUE"""),"The 5 Best AI Marketing Agencies For B2B (2026 Update) - Omniscient Digital")</f>
        <v>The 5 Best AI Marketing Agencies For B2B (2026 Update) - Omniscient Digital</v>
      </c>
      <c r="C7" s="10" t="str">
        <f>IFERROR(__xludf.DUMMYFUNCTION("""COMPUTED_VALUE"""),"beomniscient.com")</f>
        <v>beomniscient.com</v>
      </c>
      <c r="D7" s="11" t="str">
        <f>IFERROR(__xludf.DUMMYFUNCTION("""COMPUTED_VALUE"""),"LISTICLE")</f>
        <v>LISTICLE</v>
      </c>
      <c r="E7" s="11" t="str">
        <f>IFERROR(__xludf.DUMMYFUNCTION("""COMPUTED_VALUE"""),"COMPETITOR")</f>
        <v>COMPETITOR</v>
      </c>
      <c r="F7" s="11" t="str">
        <f>IFERROR(__xludf.DUMMYFUNCTION("""COMPUTED_VALUE"""),"Listicle")</f>
        <v>Listicle</v>
      </c>
      <c r="G7" s="11" t="b">
        <f>IFERROR(__xludf.DUMMYFUNCTION("""COMPUTED_VALUE"""),FALSE)</f>
        <v>0</v>
      </c>
      <c r="H7" s="11" t="str">
        <f>IFERROR(__xludf.DUMMYFUNCTION("""COMPUTED_VALUE"""),"Omniscient Digital, NoGood, Optimist, Daydream, Single Grain, Measured, Clay, McKinsey")</f>
        <v>Omniscient Digital, NoGood, Optimist, Daydream, Single Grain, Measured, Clay, McKinsey</v>
      </c>
      <c r="I7" s="11">
        <f>IFERROR(__xludf.DUMMYFUNCTION("""COMPUTED_VALUE"""),55.0)</f>
        <v>55</v>
      </c>
      <c r="J7" s="11">
        <f>IFERROR(__xludf.DUMMYFUNCTION("""COMPUTED_VALUE"""),0.05)</f>
        <v>0.05</v>
      </c>
      <c r="K7" s="11">
        <f>IFERROR(__xludf.DUMMYFUNCTION("""COMPUTED_VALUE"""),1.82)</f>
        <v>1.82</v>
      </c>
    </row>
    <row r="8" ht="15.75" customHeight="1">
      <c r="A8" s="10" t="str">
        <f>IFERROR(__xludf.DUMMYFUNCTION("""COMPUTED_VALUE"""),"https://www.measured.com/faq/best-incrementality-testing-companies-software-for-marketing-2026/")</f>
        <v>https://www.measured.com/faq/best-incrementality-testing-companies-software-for-marketing-2026/</v>
      </c>
      <c r="B8" s="11" t="str">
        <f>IFERROR(__xludf.DUMMYFUNCTION("""COMPUTED_VALUE"""),"Best Incrementality Testing Companies &amp;amp; Software for Marketing (2026)")</f>
        <v>Best Incrementality Testing Companies &amp;amp; Software for Marketing (2026)</v>
      </c>
      <c r="C8" s="10" t="str">
        <f>IFERROR(__xludf.DUMMYFUNCTION("""COMPUTED_VALUE"""),"measured.com")</f>
        <v>measured.com</v>
      </c>
      <c r="D8" s="11" t="str">
        <f>IFERROR(__xludf.DUMMYFUNCTION("""COMPUTED_VALUE"""),"LISTICLE")</f>
        <v>LISTICLE</v>
      </c>
      <c r="E8" s="11" t="str">
        <f>IFERROR(__xludf.DUMMYFUNCTION("""COMPUTED_VALUE"""),"COMPETITOR")</f>
        <v>COMPETITOR</v>
      </c>
      <c r="F8" s="11" t="str">
        <f>IFERROR(__xludf.DUMMYFUNCTION("""COMPUTED_VALUE"""),"Listicle")</f>
        <v>Listicle</v>
      </c>
      <c r="G8" s="11" t="b">
        <f>IFERROR(__xludf.DUMMYFUNCTION("""COMPUTED_VALUE"""),FALSE)</f>
        <v>0</v>
      </c>
      <c r="H8" s="11" t="str">
        <f>IFERROR(__xludf.DUMMYFUNCTION("""COMPUTED_VALUE"""),"Measured, Clay, Neustar, TransUnion, Rockerbox, Haus, Recast, Analytic Partners")</f>
        <v>Measured, Clay, Neustar, TransUnion, Rockerbox, Haus, Recast, Analytic Partners</v>
      </c>
      <c r="I8" s="11">
        <f>IFERROR(__xludf.DUMMYFUNCTION("""COMPUTED_VALUE"""),53.0)</f>
        <v>53</v>
      </c>
      <c r="J8" s="11">
        <f>IFERROR(__xludf.DUMMYFUNCTION("""COMPUTED_VALUE"""),0.05)</f>
        <v>0.05</v>
      </c>
      <c r="K8" s="11">
        <f>IFERROR(__xludf.DUMMYFUNCTION("""COMPUTED_VALUE"""),2.25)</f>
        <v>2.25</v>
      </c>
    </row>
    <row r="9" ht="15.75" customHeight="1">
      <c r="A9" s="10" t="str">
        <f>IFERROR(__xludf.DUMMYFUNCTION("""COMPUTED_VALUE"""),"https://inbeat.agency/blog/top-marketing-measurement-and-analytics-companies")</f>
        <v>https://inbeat.agency/blog/top-marketing-measurement-and-analytics-companies</v>
      </c>
      <c r="B9" s="11" t="str">
        <f>IFERROR(__xludf.DUMMYFUNCTION("""COMPUTED_VALUE"""),"Top 15 Marketing Measurement and Analytics Firms Unlocking ROI Clarity in 2026 - inBeat Agency")</f>
        <v>Top 15 Marketing Measurement and Analytics Firms Unlocking ROI Clarity in 2026 - inBeat Agency</v>
      </c>
      <c r="C9" s="11" t="str">
        <f>IFERROR(__xludf.DUMMYFUNCTION("""COMPUTED_VALUE"""),"inbeat.agency")</f>
        <v>inbeat.agency</v>
      </c>
      <c r="D9" s="11" t="str">
        <f>IFERROR(__xludf.DUMMYFUNCTION("""COMPUTED_VALUE"""),"LISTICLE")</f>
        <v>LISTICLE</v>
      </c>
      <c r="E9" s="11" t="str">
        <f>IFERROR(__xludf.DUMMYFUNCTION("""COMPUTED_VALUE"""),"COMPETITOR")</f>
        <v>COMPETITOR</v>
      </c>
      <c r="F9" s="11" t="str">
        <f>IFERROR(__xludf.DUMMYFUNCTION("""COMPUTED_VALUE"""),"Listicle")</f>
        <v>Listicle</v>
      </c>
      <c r="G9" s="11" t="b">
        <f>IFERROR(__xludf.DUMMYFUNCTION("""COMPUTED_VALUE"""),FALSE)</f>
        <v>0</v>
      </c>
      <c r="H9" s="11" t="str">
        <f>IFERROR(__xludf.DUMMYFUNCTION("""COMPUTED_VALUE"""),"inBeat, Nielsen, Artefact, McKinsey, Measured, WebFX")</f>
        <v>inBeat, Nielsen, Artefact, McKinsey, Measured, WebFX</v>
      </c>
      <c r="I9" s="11">
        <f>IFERROR(__xludf.DUMMYFUNCTION("""COMPUTED_VALUE"""),46.0)</f>
        <v>46</v>
      </c>
      <c r="J9" s="11">
        <f>IFERROR(__xludf.DUMMYFUNCTION("""COMPUTED_VALUE"""),0.05)</f>
        <v>0.05</v>
      </c>
      <c r="K9" s="11">
        <f>IFERROR(__xludf.DUMMYFUNCTION("""COMPUTED_VALUE"""),0.98)</f>
        <v>0.98</v>
      </c>
    </row>
    <row r="10" ht="15.75" customHeight="1">
      <c r="A10" s="10" t="str">
        <f>IFERROR(__xludf.DUMMYFUNCTION("""COMPUTED_VALUE"""),"https://www.yesoptimist.com/best-aeo-agencies/")</f>
        <v>https://www.yesoptimist.com/best-aeo-agencies/</v>
      </c>
      <c r="B10" s="11" t="str">
        <f>IFERROR(__xludf.DUMMYFUNCTION("""COMPUTED_VALUE"""),"The Best AEO Agencies for Growing AI Visibility &amp;amp; Revenue (2026) | Optimist")</f>
        <v>The Best AEO Agencies for Growing AI Visibility &amp;amp; Revenue (2026) | Optimist</v>
      </c>
      <c r="C10" s="10" t="str">
        <f>IFERROR(__xludf.DUMMYFUNCTION("""COMPUTED_VALUE"""),"yesoptimist.com")</f>
        <v>yesoptimist.com</v>
      </c>
      <c r="D10" s="11" t="str">
        <f>IFERROR(__xludf.DUMMYFUNCTION("""COMPUTED_VALUE"""),"LISTICLE")</f>
        <v>LISTICLE</v>
      </c>
      <c r="E10" s="11" t="str">
        <f>IFERROR(__xludf.DUMMYFUNCTION("""COMPUTED_VALUE"""),"COMPETITOR")</f>
        <v>COMPETITOR</v>
      </c>
      <c r="F10" s="11" t="str">
        <f>IFERROR(__xludf.DUMMYFUNCTION("""COMPUTED_VALUE"""),"Listicle")</f>
        <v>Listicle</v>
      </c>
      <c r="G10" s="11" t="b">
        <f>IFERROR(__xludf.DUMMYFUNCTION("""COMPUTED_VALUE"""),FALSE)</f>
        <v>0</v>
      </c>
      <c r="H10" s="11" t="str">
        <f>IFERROR(__xludf.DUMMYFUNCTION("""COMPUTED_VALUE"""),"Optimist, Discovered Labs, iPullRank, First Page Sage, Clutch, Omniscient Digital, RevenueZen, Animalz, Siege Media, Graphite, NoGood, Seer Interactive")</f>
        <v>Optimist, Discovered Labs, iPullRank, First Page Sage, Clutch, Omniscient Digital, RevenueZen, Animalz, Siege Media, Graphite, NoGood, Seer Interactive</v>
      </c>
      <c r="I10" s="11">
        <f>IFERROR(__xludf.DUMMYFUNCTION("""COMPUTED_VALUE"""),41.0)</f>
        <v>41</v>
      </c>
      <c r="J10" s="11">
        <f>IFERROR(__xludf.DUMMYFUNCTION("""COMPUTED_VALUE"""),0.04)</f>
        <v>0.04</v>
      </c>
      <c r="K10" s="11">
        <f>IFERROR(__xludf.DUMMYFUNCTION("""COMPUTED_VALUE"""),1.59)</f>
        <v>1.59</v>
      </c>
    </row>
    <row r="11" ht="15.75" customHeight="1">
      <c r="A11" s="10" t="str">
        <f>IFERROR(__xludf.DUMMYFUNCTION("""COMPUTED_VALUE"""),"https://directiveconsulting.com/blog/25-best-paid-media-agencies-that-turn-ad-spend-into-revenue/")</f>
        <v>https://directiveconsulting.com/blog/25-best-paid-media-agencies-that-turn-ad-spend-into-revenue/</v>
      </c>
      <c r="B11" s="11" t="str">
        <f>IFERROR(__xludf.DUMMYFUNCTION("""COMPUTED_VALUE"""),"25 Best Paid Media Agencies For B2B - Directive")</f>
        <v>25 Best Paid Media Agencies For B2B - Directive</v>
      </c>
      <c r="C11" s="10" t="str">
        <f>IFERROR(__xludf.DUMMYFUNCTION("""COMPUTED_VALUE"""),"directiveconsulting.com")</f>
        <v>directiveconsulting.com</v>
      </c>
      <c r="D11" s="11" t="str">
        <f>IFERROR(__xludf.DUMMYFUNCTION("""COMPUTED_VALUE"""),"LISTICLE")</f>
        <v>LISTICLE</v>
      </c>
      <c r="E11" s="11" t="str">
        <f>IFERROR(__xludf.DUMMYFUNCTION("""COMPUTED_VALUE"""),"COMPETITOR")</f>
        <v>COMPETITOR</v>
      </c>
      <c r="F11" s="11" t="str">
        <f>IFERROR(__xludf.DUMMYFUNCTION("""COMPUTED_VALUE"""),"Listicle")</f>
        <v>Listicle</v>
      </c>
      <c r="G11" s="11" t="b">
        <f>IFERROR(__xludf.DUMMYFUNCTION("""COMPUTED_VALUE"""),FALSE)</f>
        <v>0</v>
      </c>
      <c r="H11"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11" s="11">
        <f>IFERROR(__xludf.DUMMYFUNCTION("""COMPUTED_VALUE"""),39.0)</f>
        <v>39</v>
      </c>
      <c r="J11" s="11">
        <f>IFERROR(__xludf.DUMMYFUNCTION("""COMPUTED_VALUE"""),0.04)</f>
        <v>0.04</v>
      </c>
      <c r="K11" s="11">
        <f>IFERROR(__xludf.DUMMYFUNCTION("""COMPUTED_VALUE"""),0.77)</f>
        <v>0.77</v>
      </c>
    </row>
    <row r="12" ht="15.75" customHeight="1">
      <c r="A12" s="10" t="str">
        <f>IFERROR(__xludf.DUMMYFUNCTION("""COMPUTED_VALUE"""),"https://www.silverbackstrategies.com/lists/best-social-media-advertising-agencies-in-the-us-ranked-reviewed/")</f>
        <v>https://www.silverbackstrategies.com/lists/best-social-media-advertising-agencies-in-the-us-ranked-reviewed/</v>
      </c>
      <c r="B12" s="11" t="str">
        <f>IFERROR(__xludf.DUMMYFUNCTION("""COMPUTED_VALUE"""),"Best Social Media Advertising Agencies in the U.S. in 2026 (Ranked &amp;amp; Reviewed) | Silverback Strategies")</f>
        <v>Best Social Media Advertising Agencies in the U.S. in 2026 (Ranked &amp;amp; Reviewed) | Silverback Strategies</v>
      </c>
      <c r="C12" s="10" t="str">
        <f>IFERROR(__xludf.DUMMYFUNCTION("""COMPUTED_VALUE"""),"silverbackstrategies.com")</f>
        <v>silverbackstrategies.com</v>
      </c>
      <c r="D12" s="11" t="str">
        <f>IFERROR(__xludf.DUMMYFUNCTION("""COMPUTED_VALUE"""),"LISTICLE")</f>
        <v>LISTICLE</v>
      </c>
      <c r="E12" s="11" t="str">
        <f>IFERROR(__xludf.DUMMYFUNCTION("""COMPUTED_VALUE"""),"COMPETITOR")</f>
        <v>COMPETITOR</v>
      </c>
      <c r="F12" s="11" t="str">
        <f>IFERROR(__xludf.DUMMYFUNCTION("""COMPUTED_VALUE"""),"Listicle")</f>
        <v>Listicle</v>
      </c>
      <c r="G12" s="11" t="b">
        <f>IFERROR(__xludf.DUMMYFUNCTION("""COMPUTED_VALUE"""),FALSE)</f>
        <v>0</v>
      </c>
      <c r="H12" s="11" t="str">
        <f>IFERROR(__xludf.DUMMYFUNCTION("""COMPUTED_VALUE"""),"Silverback Strategies, Clutch, Sociallyin, LYFE Marketing, NinjaPromo, Momentum")</f>
        <v>Silverback Strategies, Clutch, Sociallyin, LYFE Marketing, NinjaPromo, Momentum</v>
      </c>
      <c r="I12" s="11">
        <f>IFERROR(__xludf.DUMMYFUNCTION("""COMPUTED_VALUE"""),39.0)</f>
        <v>39</v>
      </c>
      <c r="J12" s="11">
        <f>IFERROR(__xludf.DUMMYFUNCTION("""COMPUTED_VALUE"""),0.04)</f>
        <v>0.04</v>
      </c>
      <c r="K12" s="11">
        <f>IFERROR(__xludf.DUMMYFUNCTION("""COMPUTED_VALUE"""),0.85)</f>
        <v>0.85</v>
      </c>
    </row>
    <row r="13" ht="15.75" customHeight="1">
      <c r="A13" s="10" t="str">
        <f>IFERROR(__xludf.DUMMYFUNCTION("""COMPUTED_VALUE"""),"https://inbeat.agency/blog/top-marketing-analytics-agencies#:~:text=NP%20Digital%20is%20a%20full%2Dfunnel%20analytics%20partner,rigorous%20analytics%2C%20delivering%20clarity%20across%20every%20channel.")</f>
        <v>https://inbeat.agency/blog/top-marketing-analytics-agencies#:~:text=NP%20Digital%20is%20a%20full%2Dfunnel%20analytics%20partner,rigorous%20analytics%2C%20delivering%20clarity%20across%20every%20channel.</v>
      </c>
      <c r="B13" s="11" t="str">
        <f>IFERROR(__xludf.DUMMYFUNCTION("""COMPUTED_VALUE"""),"Top 15 Marketing Analytics Agencies Defining 2026 - inBeat Agency")</f>
        <v>Top 15 Marketing Analytics Agencies Defining 2026 - inBeat Agency</v>
      </c>
      <c r="C13" s="11" t="str">
        <f>IFERROR(__xludf.DUMMYFUNCTION("""COMPUTED_VALUE"""),"inbeat.agency")</f>
        <v>inbeat.agency</v>
      </c>
      <c r="D13" s="11" t="str">
        <f>IFERROR(__xludf.DUMMYFUNCTION("""COMPUTED_VALUE"""),"LISTICLE")</f>
        <v>LISTICLE</v>
      </c>
      <c r="E13" s="11" t="str">
        <f>IFERROR(__xludf.DUMMYFUNCTION("""COMPUTED_VALUE"""),"COMPETITOR")</f>
        <v>COMPETITOR</v>
      </c>
      <c r="F13" s="11" t="str">
        <f>IFERROR(__xludf.DUMMYFUNCTION("""COMPUTED_VALUE"""),"Listicle")</f>
        <v>Listicle</v>
      </c>
      <c r="G13" s="11" t="b">
        <f>IFERROR(__xludf.DUMMYFUNCTION("""COMPUTED_VALUE"""),FALSE)</f>
        <v>0</v>
      </c>
      <c r="H13" s="11" t="str">
        <f>IFERROR(__xludf.DUMMYFUNCTION("""COMPUTED_VALUE"""),"inBeat, Nielsen, NP Digital, Artefact, Forthea, Noble Studios, Momentum, McKinsey, Clutch, WebFX, IBM")</f>
        <v>inBeat, Nielsen, NP Digital, Artefact, Forthea, Noble Studios, Momentum, McKinsey, Clutch, WebFX, IBM</v>
      </c>
      <c r="I13" s="11">
        <f>IFERROR(__xludf.DUMMYFUNCTION("""COMPUTED_VALUE"""),38.0)</f>
        <v>38</v>
      </c>
      <c r="J13" s="11">
        <f>IFERROR(__xludf.DUMMYFUNCTION("""COMPUTED_VALUE"""),0.04)</f>
        <v>0.04</v>
      </c>
      <c r="K13" s="11">
        <f>IFERROR(__xludf.DUMMYFUNCTION("""COMPUTED_VALUE"""),3.21)</f>
        <v>3.21</v>
      </c>
    </row>
    <row r="14" ht="15.75" customHeight="1">
      <c r="A14" s="10" t="str">
        <f>IFERROR(__xludf.DUMMYFUNCTION("""COMPUTED_VALUE"""),"https://unifiedplatforms.com/blogs/aeo/top-answer-engine-optimization-aeo-agencies-united-states/")</f>
        <v>https://unifiedplatforms.com/blogs/aeo/top-answer-engine-optimization-aeo-agencies-united-states/</v>
      </c>
      <c r="B14" s="11" t="str">
        <f>IFERROR(__xludf.DUMMYFUNCTION("""COMPUTED_VALUE"""),"Top AEO Agencies in the United States 2026 | Best Answer Engine Optimization")</f>
        <v>Top AEO Agencies in the United States 2026 | Best Answer Engine Optimization</v>
      </c>
      <c r="C14" s="10" t="str">
        <f>IFERROR(__xludf.DUMMYFUNCTION("""COMPUTED_VALUE"""),"unifiedplatforms.com")</f>
        <v>unifiedplatforms.com</v>
      </c>
      <c r="D14" s="11" t="str">
        <f>IFERROR(__xludf.DUMMYFUNCTION("""COMPUTED_VALUE"""),"LISTICLE")</f>
        <v>LISTICLE</v>
      </c>
      <c r="E14" s="11" t="str">
        <f>IFERROR(__xludf.DUMMYFUNCTION("""COMPUTED_VALUE"""),"CORPORATE")</f>
        <v>CORPORATE</v>
      </c>
      <c r="F14" s="11" t="str">
        <f>IFERROR(__xludf.DUMMYFUNCTION("""COMPUTED_VALUE"""),"Listicle")</f>
        <v>Listicle</v>
      </c>
      <c r="G14" s="11" t="b">
        <f>IFERROR(__xludf.DUMMYFUNCTION("""COMPUTED_VALUE"""),FALSE)</f>
        <v>0</v>
      </c>
      <c r="H14" s="11" t="str">
        <f>IFERROR(__xludf.DUMMYFUNCTION("""COMPUTED_VALUE"""),"NoGood, Single Grain, iPullRank, WebFX, Siege Media, Go Fish Digital, First Page Sage, Avenue Z, Marcel Digital, Measured, Merkle")</f>
        <v>NoGood, Single Grain, iPullRank, WebFX, Siege Media, Go Fish Digital, First Page Sage, Avenue Z, Marcel Digital, Measured, Merkle</v>
      </c>
      <c r="I14" s="11">
        <f>IFERROR(__xludf.DUMMYFUNCTION("""COMPUTED_VALUE"""),37.0)</f>
        <v>37</v>
      </c>
      <c r="J14" s="11">
        <f>IFERROR(__xludf.DUMMYFUNCTION("""COMPUTED_VALUE"""),0.04)</f>
        <v>0.04</v>
      </c>
      <c r="K14" s="11">
        <f>IFERROR(__xludf.DUMMYFUNCTION("""COMPUTED_VALUE"""),1.65)</f>
        <v>1.65</v>
      </c>
    </row>
    <row r="15" ht="15.75" customHeight="1">
      <c r="A15" s="10" t="str">
        <f>IFERROR(__xludf.DUMMYFUNCTION("""COMPUTED_VALUE"""),"https://www.webtonic.io/blog/best-paid-social-agencies-us")</f>
        <v>https://www.webtonic.io/blog/best-paid-social-agencies-us</v>
      </c>
      <c r="B15" s="11" t="str">
        <f>IFERROR(__xludf.DUMMYFUNCTION("""COMPUTED_VALUE"""),"27 Best Paid Social Agencies in the US for 2026")</f>
        <v>27 Best Paid Social Agencies in the US for 2026</v>
      </c>
      <c r="C15" s="10" t="str">
        <f>IFERROR(__xludf.DUMMYFUNCTION("""COMPUTED_VALUE"""),"webtonic.io")</f>
        <v>webtonic.io</v>
      </c>
      <c r="D15" s="11" t="str">
        <f>IFERROR(__xludf.DUMMYFUNCTION("""COMPUTED_VALUE"""),"LISTICLE")</f>
        <v>LISTICLE</v>
      </c>
      <c r="E15" s="11" t="str">
        <f>IFERROR(__xludf.DUMMYFUNCTION("""COMPUTED_VALUE"""),"COMPETITOR")</f>
        <v>COMPETITOR</v>
      </c>
      <c r="F15" s="11" t="str">
        <f>IFERROR(__xludf.DUMMYFUNCTION("""COMPUTED_VALUE"""),"Listicle")</f>
        <v>Listicle</v>
      </c>
      <c r="G15" s="11" t="b">
        <f>IFERROR(__xludf.DUMMYFUNCTION("""COMPUTED_VALUE"""),FALSE)</f>
        <v>0</v>
      </c>
      <c r="H15" s="11" t="str">
        <f>IFERROR(__xludf.DUMMYFUNCTION("""COMPUTED_VALUE"""),"Web Tonic, Sociallyin, Tinuiti, Disruptive Advertising, Metric Theory, Power Digital, DEPT, Wpromote, TransUnion, Viral Nation, Jellyfish, The Social Shepherd, Ignite Visibility, MuteSix, Directive, Hawke Media")</f>
        <v>Web Tonic, Sociallyin, Tinuiti, Disruptive Advertising, Metric Theory, Power Digital, DEPT, Wpromote, TransUnion, Viral Nation, Jellyfish, The Social Shepherd, Ignite Visibility, MuteSix, Directive, Hawke Media</v>
      </c>
      <c r="I15" s="11">
        <f>IFERROR(__xludf.DUMMYFUNCTION("""COMPUTED_VALUE"""),37.0)</f>
        <v>37</v>
      </c>
      <c r="J15" s="11">
        <f>IFERROR(__xludf.DUMMYFUNCTION("""COMPUTED_VALUE"""),0.04)</f>
        <v>0.04</v>
      </c>
      <c r="K15" s="11">
        <f>IFERROR(__xludf.DUMMYFUNCTION("""COMPUTED_VALUE"""),1.84)</f>
        <v>1.84</v>
      </c>
    </row>
    <row r="16" ht="15.75" customHeight="1">
      <c r="A16" s="10" t="str">
        <f>IFERROR(__xludf.DUMMYFUNCTION("""COMPUTED_VALUE"""),"https://www.linkedin.com/pulse/top-25-performance-marketing-agencies-us-hawkemedia-iqbnc")</f>
        <v>https://www.linkedin.com/pulse/top-25-performance-marketing-agencies-us-hawkemedia-iqbnc</v>
      </c>
      <c r="B16" s="11" t="str">
        <f>IFERROR(__xludf.DUMMYFUNCTION("""COMPUTED_VALUE"""),"Top 25 Performance Marketing Agencies In The U.S.")</f>
        <v>Top 25 Performance Marketing Agencies In The U.S.</v>
      </c>
      <c r="C16" s="10" t="str">
        <f>IFERROR(__xludf.DUMMYFUNCTION("""COMPUTED_VALUE"""),"linkedin.com")</f>
        <v>linkedin.com</v>
      </c>
      <c r="D16" s="11" t="str">
        <f>IFERROR(__xludf.DUMMYFUNCTION("""COMPUTED_VALUE"""),"LISTICLE")</f>
        <v>LISTICLE</v>
      </c>
      <c r="E16" s="11" t="str">
        <f>IFERROR(__xludf.DUMMYFUNCTION("""COMPUTED_VALUE"""),"UGC")</f>
        <v>UGC</v>
      </c>
      <c r="F16" s="11" t="str">
        <f>IFERROR(__xludf.DUMMYFUNCTION("""COMPUTED_VALUE"""),"Listicle")</f>
        <v>Listicle</v>
      </c>
      <c r="G16" s="11" t="b">
        <f>IFERROR(__xludf.DUMMYFUNCTION("""COMPUTED_VALUE"""),FALSE)</f>
        <v>0</v>
      </c>
      <c r="H16" s="11" t="str">
        <f>IFERROR(__xludf.DUMMYFUNCTION("""COMPUTED_VALUE"""),"Hawke Media, Tinuiti, Wpromote, Power Digital, WebFX, KlientBoost, Measured, Disruptive Advertising, Ignite Visibility, NP Digital, New Engen, SmartSites, NoGood, R/GA, Wieden+Kennedy, VML, Ogilvy, BBDO, 72andSunny, Monks, Merkle, Siege Media")</f>
        <v>Hawke Media, Tinuiti, Wpromote, Power Digital, WebFX, KlientBoost, Measured, Disruptive Advertising, Ignite Visibility, NP Digital, New Engen, SmartSites, NoGood, R/GA, Wieden+Kennedy, VML, Ogilvy, BBDO, 72andSunny, Monks, Merkle, Siege Media</v>
      </c>
      <c r="I16" s="11">
        <f>IFERROR(__xludf.DUMMYFUNCTION("""COMPUTED_VALUE"""),36.0)</f>
        <v>36</v>
      </c>
      <c r="J16" s="11">
        <f>IFERROR(__xludf.DUMMYFUNCTION("""COMPUTED_VALUE"""),0.04)</f>
        <v>0.04</v>
      </c>
      <c r="K16" s="11">
        <f>IFERROR(__xludf.DUMMYFUNCTION("""COMPUTED_VALUE"""),1.22)</f>
        <v>1.22</v>
      </c>
    </row>
    <row r="17" ht="15.75" customHeight="1">
      <c r="A17" s="10" t="str">
        <f>IFERROR(__xludf.DUMMYFUNCTION("""COMPUTED_VALUE"""),"https://www.nutshell.com/blog/top-geo-agencies")</f>
        <v>https://www.nutshell.com/blog/top-geo-agencies</v>
      </c>
      <c r="B17" s="11" t="str">
        <f>IFERROR(__xludf.DUMMYFUNCTION("""COMPUTED_VALUE"""),"The 10 Top GEO Agencies of 2026 (Reviewed)")</f>
        <v>The 10 Top GEO Agencies of 2026 (Reviewed)</v>
      </c>
      <c r="C17" s="10" t="str">
        <f>IFERROR(__xludf.DUMMYFUNCTION("""COMPUTED_VALUE"""),"nutshell.com")</f>
        <v>nutshell.com</v>
      </c>
      <c r="D17" s="11" t="str">
        <f>IFERROR(__xludf.DUMMYFUNCTION("""COMPUTED_VALUE"""),"LISTICLE")</f>
        <v>LISTICLE</v>
      </c>
      <c r="E17" s="11" t="str">
        <f>IFERROR(__xludf.DUMMYFUNCTION("""COMPUTED_VALUE"""),"CORPORATE")</f>
        <v>CORPORATE</v>
      </c>
      <c r="F17" s="11" t="str">
        <f>IFERROR(__xludf.DUMMYFUNCTION("""COMPUTED_VALUE"""),"Listicle")</f>
        <v>Listicle</v>
      </c>
      <c r="G17" s="11" t="b">
        <f>IFERROR(__xludf.DUMMYFUNCTION("""COMPUTED_VALUE"""),FALSE)</f>
        <v>0</v>
      </c>
      <c r="H17" s="11" t="str">
        <f>IFERROR(__xludf.DUMMYFUNCTION("""COMPUTED_VALUE"""),"Clutch, WebFX, Victorious, Siege Media, Major Tom, The SEO Works")</f>
        <v>Clutch, WebFX, Victorious, Siege Media, Major Tom, The SEO Works</v>
      </c>
      <c r="I17" s="11">
        <f>IFERROR(__xludf.DUMMYFUNCTION("""COMPUTED_VALUE"""),36.0)</f>
        <v>36</v>
      </c>
      <c r="J17" s="11">
        <f>IFERROR(__xludf.DUMMYFUNCTION("""COMPUTED_VALUE"""),0.04)</f>
        <v>0.04</v>
      </c>
      <c r="K17" s="11">
        <f>IFERROR(__xludf.DUMMYFUNCTION("""COMPUTED_VALUE"""),0.5)</f>
        <v>0.5</v>
      </c>
    </row>
    <row r="18" ht="15.75" customHeight="1">
      <c r="A18" s="10" t="str">
        <f>IFERROR(__xludf.DUMMYFUNCTION("""COMPUTED_VALUE"""),"https://www.darkroomagency.com/observatory/best-performance-marketing-agencies-in-2026#:~:text=Their%20service%20positioning%20spans%20SEO%2C%20PPC%2C%20social,a%20traditional%20agency%20in%20the%20classic%20sense.")</f>
        <v>https://www.darkroomagency.com/observatory/best-performance-marketing-agencies-in-2026#:~:text=Their%20service%20positioning%20spans%20SEO%2C%20PPC%2C%20social,a%20traditional%20agency%20in%20the%20classic%20sense.</v>
      </c>
      <c r="B18" s="11" t="str">
        <f>IFERROR(__xludf.DUMMYFUNCTION("""COMPUTED_VALUE"""),"Best Performance Marketing Agencies for Ecommerce in 2026")</f>
        <v>Best Performance Marketing Agencies for Ecommerce in 2026</v>
      </c>
      <c r="C18" s="10" t="str">
        <f>IFERROR(__xludf.DUMMYFUNCTION("""COMPUTED_VALUE"""),"darkroomagency.com")</f>
        <v>darkroomagency.com</v>
      </c>
      <c r="D18" s="11" t="str">
        <f>IFERROR(__xludf.DUMMYFUNCTION("""COMPUTED_VALUE"""),"LISTICLE")</f>
        <v>LISTICLE</v>
      </c>
      <c r="E18" s="11" t="str">
        <f>IFERROR(__xludf.DUMMYFUNCTION("""COMPUTED_VALUE"""),"COMPETITOR")</f>
        <v>COMPETITOR</v>
      </c>
      <c r="F18" s="11" t="str">
        <f>IFERROR(__xludf.DUMMYFUNCTION("""COMPUTED_VALUE"""),"Listicle")</f>
        <v>Listicle</v>
      </c>
      <c r="G18" s="11" t="b">
        <f>IFERROR(__xludf.DUMMYFUNCTION("""COMPUTED_VALUE"""),FALSE)</f>
        <v>0</v>
      </c>
      <c r="H18" s="11" t="str">
        <f>IFERROR(__xludf.DUMMYFUNCTION("""COMPUTED_VALUE"""),"Darkroom, Tinuiti, Wpromote, Power Digital, Common Thread Collective, Disruptive Advertising, Ignite Visibility, WebFX, Right Side Up, Amsive, Measured, Droga5")</f>
        <v>Darkroom, Tinuiti, Wpromote, Power Digital, Common Thread Collective, Disruptive Advertising, Ignite Visibility, WebFX, Right Side Up, Amsive, Measured, Droga5</v>
      </c>
      <c r="I18" s="11">
        <f>IFERROR(__xludf.DUMMYFUNCTION("""COMPUTED_VALUE"""),35.0)</f>
        <v>35</v>
      </c>
      <c r="J18" s="11">
        <f>IFERROR(__xludf.DUMMYFUNCTION("""COMPUTED_VALUE"""),0.03)</f>
        <v>0.03</v>
      </c>
      <c r="K18" s="11">
        <f>IFERROR(__xludf.DUMMYFUNCTION("""COMPUTED_VALUE"""),1.11)</f>
        <v>1.11</v>
      </c>
    </row>
    <row r="19" ht="15.75" customHeight="1">
      <c r="A19" s="10" t="str">
        <f>IFERROR(__xludf.DUMMYFUNCTION("""COMPUTED_VALUE"""),"https://disruptiveadvertising.com/blog/business/top-us-digital-marketing-agencies/")</f>
        <v>https://disruptiveadvertising.com/blog/business/top-us-digital-marketing-agencies/</v>
      </c>
      <c r="B19" s="11" t="str">
        <f>IFERROR(__xludf.DUMMYFUNCTION("""COMPUTED_VALUE"""),"Top U.S. Digital Marketing Agencies In 2026 | Disruptive Advertising")</f>
        <v>Top U.S. Digital Marketing Agencies In 2026 | Disruptive Advertising</v>
      </c>
      <c r="C19" s="10" t="str">
        <f>IFERROR(__xludf.DUMMYFUNCTION("""COMPUTED_VALUE"""),"disruptiveadvertising.com")</f>
        <v>disruptiveadvertising.com</v>
      </c>
      <c r="D19" s="11" t="str">
        <f>IFERROR(__xludf.DUMMYFUNCTION("""COMPUTED_VALUE"""),"LISTICLE")</f>
        <v>LISTICLE</v>
      </c>
      <c r="E19" s="11" t="str">
        <f>IFERROR(__xludf.DUMMYFUNCTION("""COMPUTED_VALUE"""),"COMPETITOR")</f>
        <v>COMPETITOR</v>
      </c>
      <c r="F19" s="11" t="str">
        <f>IFERROR(__xludf.DUMMYFUNCTION("""COMPUTED_VALUE"""),"Listicle")</f>
        <v>Listicle</v>
      </c>
      <c r="G19" s="11" t="b">
        <f>IFERROR(__xludf.DUMMYFUNCTION("""COMPUTED_VALUE"""),FALSE)</f>
        <v>0</v>
      </c>
      <c r="H19" s="11" t="str">
        <f>IFERROR(__xludf.DUMMYFUNCTION("""COMPUTED_VALUE"""),"Disruptive Advertising, KlientBoost, inBeat, Silverback Strategies, Sociallyin, Funnel Boost Media")</f>
        <v>Disruptive Advertising, KlientBoost, inBeat, Silverback Strategies, Sociallyin, Funnel Boost Media</v>
      </c>
      <c r="I19" s="11">
        <f>IFERROR(__xludf.DUMMYFUNCTION("""COMPUTED_VALUE"""),35.0)</f>
        <v>35</v>
      </c>
      <c r="J19" s="11">
        <f>IFERROR(__xludf.DUMMYFUNCTION("""COMPUTED_VALUE"""),0.03)</f>
        <v>0.03</v>
      </c>
      <c r="K19" s="11">
        <f>IFERROR(__xludf.DUMMYFUNCTION("""COMPUTED_VALUE"""),0.97)</f>
        <v>0.97</v>
      </c>
    </row>
    <row r="20" ht="15.75" customHeight="1">
      <c r="A20" s="10" t="str">
        <f>IFERROR(__xludf.DUMMYFUNCTION("""COMPUTED_VALUE"""),"https://nogood.io/blog/performance-marketing-agencies/")</f>
        <v>https://nogood.io/blog/performance-marketing-agencies/</v>
      </c>
      <c r="B20" s="11" t="str">
        <f>IFERROR(__xludf.DUMMYFUNCTION("""COMPUTED_VALUE"""),"Top Performance Marketing Agencies in 2026 | NoGood")</f>
        <v>Top Performance Marketing Agencies in 2026 | NoGood</v>
      </c>
      <c r="C20" s="10" t="str">
        <f>IFERROR(__xludf.DUMMYFUNCTION("""COMPUTED_VALUE"""),"nogood.io")</f>
        <v>nogood.io</v>
      </c>
      <c r="D20" s="11" t="str">
        <f>IFERROR(__xludf.DUMMYFUNCTION("""COMPUTED_VALUE"""),"LISTICLE")</f>
        <v>LISTICLE</v>
      </c>
      <c r="E20" s="11" t="str">
        <f>IFERROR(__xludf.DUMMYFUNCTION("""COMPUTED_VALUE"""),"COMPETITOR")</f>
        <v>COMPETITOR</v>
      </c>
      <c r="F20" s="11" t="str">
        <f>IFERROR(__xludf.DUMMYFUNCTION("""COMPUTED_VALUE"""),"Listicle")</f>
        <v>Listicle</v>
      </c>
      <c r="G20" s="11" t="b">
        <f>IFERROR(__xludf.DUMMYFUNCTION("""COMPUTED_VALUE"""),FALSE)</f>
        <v>0</v>
      </c>
      <c r="H20" s="11" t="str">
        <f>IFERROR(__xludf.DUMMYFUNCTION("""COMPUTED_VALUE"""),"NoGood, Traktor, inBeat, Kobe Digital, Ignite Visibility, Right Side Up, Disruptive Advertising, Wpromote, MuteSix, Power Digital, Monks, Intero Digital, Amsive, Directive, Measured, Clutch, TransUnion, Huge")</f>
        <v>NoGood, Traktor, inBeat, Kobe Digital, Ignite Visibility, Right Side Up, Disruptive Advertising, Wpromote, MuteSix, Power Digital, Monks, Intero Digital, Amsive, Directive, Measured, Clutch, TransUnion, Huge</v>
      </c>
      <c r="I20" s="11">
        <f>IFERROR(__xludf.DUMMYFUNCTION("""COMPUTED_VALUE"""),34.0)</f>
        <v>34</v>
      </c>
      <c r="J20" s="11">
        <f>IFERROR(__xludf.DUMMYFUNCTION("""COMPUTED_VALUE"""),0.03)</f>
        <v>0.03</v>
      </c>
      <c r="K20" s="11">
        <f>IFERROR(__xludf.DUMMYFUNCTION("""COMPUTED_VALUE"""),1.32)</f>
        <v>1.32</v>
      </c>
    </row>
    <row r="21" ht="15.75" customHeight="1">
      <c r="A21" s="10" t="str">
        <f>IFERROR(__xludf.DUMMYFUNCTION("""COMPUTED_VALUE"""),"https://thesocialshepherd.com/blog/top-paid-media-agencies-us")</f>
        <v>https://thesocialshepherd.com/blog/top-paid-media-agencies-us</v>
      </c>
      <c r="B21" s="11" t="str">
        <f>IFERROR(__xludf.DUMMYFUNCTION("""COMPUTED_VALUE"""),"The Social Shepherd | Top 17 Paid Media Agencies in the U.S. (2026)")</f>
        <v>The Social Shepherd | Top 17 Paid Media Agencies in the U.S. (2026)</v>
      </c>
      <c r="C21" s="10" t="str">
        <f>IFERROR(__xludf.DUMMYFUNCTION("""COMPUTED_VALUE"""),"thesocialshepherd.com")</f>
        <v>thesocialshepherd.com</v>
      </c>
      <c r="D21" s="11" t="str">
        <f>IFERROR(__xludf.DUMMYFUNCTION("""COMPUTED_VALUE"""),"LISTICLE")</f>
        <v>LISTICLE</v>
      </c>
      <c r="E21" s="11" t="str">
        <f>IFERROR(__xludf.DUMMYFUNCTION("""COMPUTED_VALUE"""),"COMPETITOR")</f>
        <v>COMPETITOR</v>
      </c>
      <c r="F21" s="11" t="str">
        <f>IFERROR(__xludf.DUMMYFUNCTION("""COMPUTED_VALUE"""),"Listicle")</f>
        <v>Listicle</v>
      </c>
      <c r="G21" s="11" t="b">
        <f>IFERROR(__xludf.DUMMYFUNCTION("""COMPUTED_VALUE"""),FALSE)</f>
        <v>0</v>
      </c>
      <c r="H21" s="11" t="str">
        <f>IFERROR(__xludf.DUMMYFUNCTION("""COMPUTED_VALUE"""),"The Social Shepherd, Marcel Digital, Disruptive Advertising")</f>
        <v>The Social Shepherd, Marcel Digital, Disruptive Advertising</v>
      </c>
      <c r="I21" s="11">
        <f>IFERROR(__xludf.DUMMYFUNCTION("""COMPUTED_VALUE"""),34.0)</f>
        <v>34</v>
      </c>
      <c r="J21" s="11">
        <f>IFERROR(__xludf.DUMMYFUNCTION("""COMPUTED_VALUE"""),0.03)</f>
        <v>0.03</v>
      </c>
      <c r="K21" s="11">
        <f>IFERROR(__xludf.DUMMYFUNCTION("""COMPUTED_VALUE"""),0.12)</f>
        <v>0.12</v>
      </c>
    </row>
    <row r="22" ht="15.75" customHeight="1">
      <c r="A22" s="10" t="str">
        <f>IFERROR(__xludf.DUMMYFUNCTION("""COMPUTED_VALUE"""),"https://www.yesoptimist.com/best-geo-agencies/")</f>
        <v>https://www.yesoptimist.com/best-geo-agencies/</v>
      </c>
      <c r="B22" s="11" t="str">
        <f>IFERROR(__xludf.DUMMYFUNCTION("""COMPUTED_VALUE"""),"The 7 Best GEO Agencies Driving Real Revenue from AI in 2026 | Optimist")</f>
        <v>The 7 Best GEO Agencies Driving Real Revenue from AI in 2026 | Optimist</v>
      </c>
      <c r="C22" s="10" t="str">
        <f>IFERROR(__xludf.DUMMYFUNCTION("""COMPUTED_VALUE"""),"yesoptimist.com")</f>
        <v>yesoptimist.com</v>
      </c>
      <c r="D22" s="11" t="str">
        <f>IFERROR(__xludf.DUMMYFUNCTION("""COMPUTED_VALUE"""),"LISTICLE")</f>
        <v>LISTICLE</v>
      </c>
      <c r="E22" s="11" t="str">
        <f>IFERROR(__xludf.DUMMYFUNCTION("""COMPUTED_VALUE"""),"COMPETITOR")</f>
        <v>COMPETITOR</v>
      </c>
      <c r="F22" s="11" t="str">
        <f>IFERROR(__xludf.DUMMYFUNCTION("""COMPUTED_VALUE"""),"Listicle")</f>
        <v>Listicle</v>
      </c>
      <c r="G22" s="11" t="b">
        <f>IFERROR(__xludf.DUMMYFUNCTION("""COMPUTED_VALUE"""),FALSE)</f>
        <v>0</v>
      </c>
      <c r="H22" s="11" t="str">
        <f>IFERROR(__xludf.DUMMYFUNCTION("""COMPUTED_VALUE"""),"Optimist, Measured, Clutch, iPullRank, Siege Media, Animalz, Omniscient Digital, First Page Sage")</f>
        <v>Optimist, Measured, Clutch, iPullRank, Siege Media, Animalz, Omniscient Digital, First Page Sage</v>
      </c>
      <c r="I22" s="11">
        <f>IFERROR(__xludf.DUMMYFUNCTION("""COMPUTED_VALUE"""),34.0)</f>
        <v>34</v>
      </c>
      <c r="J22" s="11">
        <f>IFERROR(__xludf.DUMMYFUNCTION("""COMPUTED_VALUE"""),0.03)</f>
        <v>0.03</v>
      </c>
      <c r="K22" s="11">
        <f>IFERROR(__xludf.DUMMYFUNCTION("""COMPUTED_VALUE"""),1.53)</f>
        <v>1.53</v>
      </c>
    </row>
    <row r="23" ht="15.75" customHeight="1">
      <c r="A23" s="10" t="str">
        <f>IFERROR(__xludf.DUMMYFUNCTION("""COMPUTED_VALUE"""),"https://www.measured.com/faq/best-incrementality-testing-companies-software-for-marketing-2025/")</f>
        <v>https://www.measured.com/faq/best-incrementality-testing-companies-software-for-marketing-2025/</v>
      </c>
      <c r="B23" s="11" t="str">
        <f>IFERROR(__xludf.DUMMYFUNCTION("""COMPUTED_VALUE"""),"Best Incrementality Testing Companies &amp; Software for Marketing (2026)")</f>
        <v>Best Incrementality Testing Companies &amp; Software for Marketing (2026)</v>
      </c>
      <c r="C23" s="10" t="str">
        <f>IFERROR(__xludf.DUMMYFUNCTION("""COMPUTED_VALUE"""),"measured.com")</f>
        <v>measured.com</v>
      </c>
      <c r="D23" s="11" t="str">
        <f>IFERROR(__xludf.DUMMYFUNCTION("""COMPUTED_VALUE"""),"LISTICLE")</f>
        <v>LISTICLE</v>
      </c>
      <c r="E23" s="11" t="str">
        <f>IFERROR(__xludf.DUMMYFUNCTION("""COMPUTED_VALUE"""),"COMPETITOR")</f>
        <v>COMPETITOR</v>
      </c>
      <c r="F23" s="11" t="str">
        <f>IFERROR(__xludf.DUMMYFUNCTION("""COMPUTED_VALUE"""),"Listicle")</f>
        <v>Listicle</v>
      </c>
      <c r="G23" s="11" t="b">
        <f>IFERROR(__xludf.DUMMYFUNCTION("""COMPUTED_VALUE"""),FALSE)</f>
        <v>0</v>
      </c>
      <c r="H23" s="11" t="str">
        <f>IFERROR(__xludf.DUMMYFUNCTION("""COMPUTED_VALUE"""),"Measured, Clay, Neustar, TransUnion, Rockerbox, Haus, Recast, Analytic Partners")</f>
        <v>Measured, Clay, Neustar, TransUnion, Rockerbox, Haus, Recast, Analytic Partners</v>
      </c>
      <c r="I23" s="11">
        <f>IFERROR(__xludf.DUMMYFUNCTION("""COMPUTED_VALUE"""),33.0)</f>
        <v>33</v>
      </c>
      <c r="J23" s="11">
        <f>IFERROR(__xludf.DUMMYFUNCTION("""COMPUTED_VALUE"""),0.03)</f>
        <v>0.03</v>
      </c>
      <c r="K23" s="11">
        <f>IFERROR(__xludf.DUMMYFUNCTION("""COMPUTED_VALUE"""),1.7)</f>
        <v>1.7</v>
      </c>
    </row>
    <row r="24" ht="15.75" customHeight="1">
      <c r="A24" s="10" t="str">
        <f>IFERROR(__xludf.DUMMYFUNCTION("""COMPUTED_VALUE"""),"https://www.thegrowthsyndicate.com/agencies/best-b2b-performance-marketing-agencies-us")</f>
        <v>https://www.thegrowthsyndicate.com/agencies/best-b2b-performance-marketing-agencies-us</v>
      </c>
      <c r="B24" s="11" t="str">
        <f>IFERROR(__xludf.DUMMYFUNCTION("""COMPUTED_VALUE"""),"The 11 Best B2B Performance Marketing Agencies in the US")</f>
        <v>The 11 Best B2B Performance Marketing Agencies in the US</v>
      </c>
      <c r="C24" s="10" t="str">
        <f>IFERROR(__xludf.DUMMYFUNCTION("""COMPUTED_VALUE"""),"thegrowthsyndicate.com")</f>
        <v>thegrowthsyndicate.com</v>
      </c>
      <c r="D24" s="11" t="str">
        <f>IFERROR(__xludf.DUMMYFUNCTION("""COMPUTED_VALUE"""),"LISTICLE")</f>
        <v>LISTICLE</v>
      </c>
      <c r="E24" s="11" t="str">
        <f>IFERROR(__xludf.DUMMYFUNCTION("""COMPUTED_VALUE"""),"CORPORATE")</f>
        <v>CORPORATE</v>
      </c>
      <c r="F24" s="11" t="str">
        <f>IFERROR(__xludf.DUMMYFUNCTION("""COMPUTED_VALUE"""),"Listicle")</f>
        <v>Listicle</v>
      </c>
      <c r="G24" s="11" t="b">
        <f>IFERROR(__xludf.DUMMYFUNCTION("""COMPUTED_VALUE"""),FALSE)</f>
        <v>0</v>
      </c>
      <c r="H24" s="11" t="str">
        <f>IFERROR(__xludf.DUMMYFUNCTION("""COMPUTED_VALUE"""),"Disruptive Advertising, KlientBoost, Tinuiti, Metric Theory, Brainlabs, NP Digital, Silverback Strategies, Anomaly, Clutch, Measured")</f>
        <v>Disruptive Advertising, KlientBoost, Tinuiti, Metric Theory, Brainlabs, NP Digital, Silverback Strategies, Anomaly, Clutch, Measured</v>
      </c>
      <c r="I24" s="11">
        <f>IFERROR(__xludf.DUMMYFUNCTION("""COMPUTED_VALUE"""),32.0)</f>
        <v>32</v>
      </c>
      <c r="J24" s="11">
        <f>IFERROR(__xludf.DUMMYFUNCTION("""COMPUTED_VALUE"""),0.03)</f>
        <v>0.03</v>
      </c>
      <c r="K24" s="11">
        <f>IFERROR(__xludf.DUMMYFUNCTION("""COMPUTED_VALUE"""),0.84)</f>
        <v>0.84</v>
      </c>
    </row>
    <row r="25" ht="15.75" customHeight="1">
      <c r="A25" s="10" t="str">
        <f>IFERROR(__xludf.DUMMYFUNCTION("""COMPUTED_VALUE"""),"https://onelittleweb.com/top-agencies/top-performance-marketing-agencies/")</f>
        <v>https://onelittleweb.com/top-agencies/top-performance-marketing-agencies/</v>
      </c>
      <c r="B25" s="11" t="str">
        <f>IFERROR(__xludf.DUMMYFUNCTION("""COMPUTED_VALUE"""),"Top Performance Marketing Agencies 2026 – Ranked &amp;amp; Reviewed")</f>
        <v>Top Performance Marketing Agencies 2026 – Ranked &amp;amp; Reviewed</v>
      </c>
      <c r="C25" s="10" t="str">
        <f>IFERROR(__xludf.DUMMYFUNCTION("""COMPUTED_VALUE"""),"onelittleweb.com")</f>
        <v>onelittleweb.com</v>
      </c>
      <c r="D25" s="11" t="str">
        <f>IFERROR(__xludf.DUMMYFUNCTION("""COMPUTED_VALUE"""),"LISTICLE")</f>
        <v>LISTICLE</v>
      </c>
      <c r="E25" s="11" t="str">
        <f>IFERROR(__xludf.DUMMYFUNCTION("""COMPUTED_VALUE"""),"CORPORATE")</f>
        <v>CORPORATE</v>
      </c>
      <c r="F25" s="11" t="str">
        <f>IFERROR(__xludf.DUMMYFUNCTION("""COMPUTED_VALUE"""),"Listicle")</f>
        <v>Listicle</v>
      </c>
      <c r="G25" s="11" t="b">
        <f>IFERROR(__xludf.DUMMYFUNCTION("""COMPUTED_VALUE"""),FALSE)</f>
        <v>0</v>
      </c>
      <c r="H25" s="11" t="str">
        <f>IFERROR(__xludf.DUMMYFUNCTION("""COMPUTED_VALUE"""),"Clutch, WebFX, SmartSites, Disruptive Advertising, Funnel Boost Media, Searchbloom, DEPT, HawkSEM")</f>
        <v>Clutch, WebFX, SmartSites, Disruptive Advertising, Funnel Boost Media, Searchbloom, DEPT, HawkSEM</v>
      </c>
      <c r="I25" s="11">
        <f>IFERROR(__xludf.DUMMYFUNCTION("""COMPUTED_VALUE"""),31.0)</f>
        <v>31</v>
      </c>
      <c r="J25" s="11">
        <f>IFERROR(__xludf.DUMMYFUNCTION("""COMPUTED_VALUE"""),0.03)</f>
        <v>0.03</v>
      </c>
      <c r="K25" s="11">
        <f>IFERROR(__xludf.DUMMYFUNCTION("""COMPUTED_VALUE"""),0.19)</f>
        <v>0.19</v>
      </c>
    </row>
    <row r="26" ht="15.75" customHeight="1">
      <c r="A26" s="10" t="str">
        <f>IFERROR(__xludf.DUMMYFUNCTION("""COMPUTED_VALUE"""),"https://www.m1-project.com/blog/10-best-ai-marketing-agencies-in-depth-comparison")</f>
        <v>https://www.m1-project.com/blog/10-best-ai-marketing-agencies-in-depth-comparison</v>
      </c>
      <c r="B26" s="11" t="str">
        <f>IFERROR(__xludf.DUMMYFUNCTION("""COMPUTED_VALUE"""),"10 Best AI Marketing Agencies: In-Depth Comparison | M1-Project")</f>
        <v>10 Best AI Marketing Agencies: In-Depth Comparison | M1-Project</v>
      </c>
      <c r="C26" s="10" t="str">
        <f>IFERROR(__xludf.DUMMYFUNCTION("""COMPUTED_VALUE"""),"m1-project.com")</f>
        <v>m1-project.com</v>
      </c>
      <c r="D26" s="11" t="str">
        <f>IFERROR(__xludf.DUMMYFUNCTION("""COMPUTED_VALUE"""),"LISTICLE")</f>
        <v>LISTICLE</v>
      </c>
      <c r="E26" s="11" t="str">
        <f>IFERROR(__xludf.DUMMYFUNCTION("""COMPUTED_VALUE"""),"CORPORATE")</f>
        <v>CORPORATE</v>
      </c>
      <c r="F26" s="11" t="str">
        <f>IFERROR(__xludf.DUMMYFUNCTION("""COMPUTED_VALUE"""),"Listicle")</f>
        <v>Listicle</v>
      </c>
      <c r="G26" s="11" t="b">
        <f>IFERROR(__xludf.DUMMYFUNCTION("""COMPUTED_VALUE"""),FALSE)</f>
        <v>0</v>
      </c>
      <c r="H26" s="11" t="str">
        <f>IFERROR(__xludf.DUMMYFUNCTION("""COMPUTED_VALUE"""),"NinjaPromo, Ignite Visibility, Major Tom, McKinsey, Measured")</f>
        <v>NinjaPromo, Ignite Visibility, Major Tom, McKinsey, Measured</v>
      </c>
      <c r="I26" s="11">
        <f>IFERROR(__xludf.DUMMYFUNCTION("""COMPUTED_VALUE"""),30.0)</f>
        <v>30</v>
      </c>
      <c r="J26" s="11">
        <f>IFERROR(__xludf.DUMMYFUNCTION("""COMPUTED_VALUE"""),0.03)</f>
        <v>0.03</v>
      </c>
      <c r="K26" s="11">
        <f>IFERROR(__xludf.DUMMYFUNCTION("""COMPUTED_VALUE"""),0.57)</f>
        <v>0.57</v>
      </c>
    </row>
    <row r="27" ht="15.75" customHeight="1">
      <c r="A27" s="10" t="str">
        <f>IFERROR(__xludf.DUMMYFUNCTION("""COMPUTED_VALUE"""),"https://directiveconsulting.com/blog/top-performance-marketing-agencies/")</f>
        <v>https://directiveconsulting.com/blog/top-performance-marketing-agencies/</v>
      </c>
      <c r="B27" s="11" t="str">
        <f>IFERROR(__xludf.DUMMYFUNCTION("""COMPUTED_VALUE"""),"18 Best Performance Marketing Agencies For B2B - Directive")</f>
        <v>18 Best Performance Marketing Agencies For B2B - Directive</v>
      </c>
      <c r="C27" s="10" t="str">
        <f>IFERROR(__xludf.DUMMYFUNCTION("""COMPUTED_VALUE"""),"directiveconsulting.com")</f>
        <v>directiveconsulting.com</v>
      </c>
      <c r="D27" s="11" t="str">
        <f>IFERROR(__xludf.DUMMYFUNCTION("""COMPUTED_VALUE"""),"LISTICLE")</f>
        <v>LISTICLE</v>
      </c>
      <c r="E27" s="11" t="str">
        <f>IFERROR(__xludf.DUMMYFUNCTION("""COMPUTED_VALUE"""),"COMPETITOR")</f>
        <v>COMPETITOR</v>
      </c>
      <c r="F27" s="11" t="str">
        <f>IFERROR(__xludf.DUMMYFUNCTION("""COMPUTED_VALUE"""),"Listicle")</f>
        <v>Listicle</v>
      </c>
      <c r="G27" s="11" t="b">
        <f>IFERROR(__xludf.DUMMYFUNCTION("""COMPUTED_VALUE"""),FALSE)</f>
        <v>0</v>
      </c>
      <c r="H27" s="11" t="str">
        <f>IFERROR(__xludf.DUMMYFUNCTION("""COMPUTED_VALUE"""),"Directive, NoGood, Common Thread Collective, Amsive, Hey Digital, Right Side Up, Wpromote, Darkroom, inBeat, Single Grain, Omniscient Digital, Seer Interactive, Brighter Click, Metric Theory, Measured, TransUnion, Clutch")</f>
        <v>Directive, NoGood, Common Thread Collective, Amsive, Hey Digital, Right Side Up, Wpromote, Darkroom, inBeat, Single Grain, Omniscient Digital, Seer Interactive, Brighter Click, Metric Theory, Measured, TransUnion, Clutch</v>
      </c>
      <c r="I27" s="11">
        <f>IFERROR(__xludf.DUMMYFUNCTION("""COMPUTED_VALUE"""),29.0)</f>
        <v>29</v>
      </c>
      <c r="J27" s="11">
        <f>IFERROR(__xludf.DUMMYFUNCTION("""COMPUTED_VALUE"""),0.03)</f>
        <v>0.03</v>
      </c>
      <c r="K27" s="11">
        <f>IFERROR(__xludf.DUMMYFUNCTION("""COMPUTED_VALUE"""),1.72)</f>
        <v>1.72</v>
      </c>
    </row>
    <row r="28" ht="15.75" customHeight="1">
      <c r="A28" s="10" t="str">
        <f>IFERROR(__xludf.DUMMYFUNCTION("""COMPUTED_VALUE"""),"https://firstpagesage.com/seo-blog/the-top-saas-geo-aeo-agencies/")</f>
        <v>https://firstpagesage.com/seo-blog/the-top-saas-geo-aeo-agencies/</v>
      </c>
      <c r="B28" s="11" t="str">
        <f>IFERROR(__xludf.DUMMYFUNCTION("""COMPUTED_VALUE"""),"The Top SaaS GEO / AEO Agencies of 2026 – First Page Sage")</f>
        <v>The Top SaaS GEO / AEO Agencies of 2026 – First Page Sage</v>
      </c>
      <c r="C28" s="10" t="str">
        <f>IFERROR(__xludf.DUMMYFUNCTION("""COMPUTED_VALUE"""),"firstpagesage.com")</f>
        <v>firstpagesage.com</v>
      </c>
      <c r="D28" s="11" t="str">
        <f>IFERROR(__xludf.DUMMYFUNCTION("""COMPUTED_VALUE"""),"LISTICLE")</f>
        <v>LISTICLE</v>
      </c>
      <c r="E28" s="11" t="str">
        <f>IFERROR(__xludf.DUMMYFUNCTION("""COMPUTED_VALUE"""),"COMPETITOR")</f>
        <v>COMPETITOR</v>
      </c>
      <c r="F28" s="11" t="str">
        <f>IFERROR(__xludf.DUMMYFUNCTION("""COMPUTED_VALUE"""),"Listicle")</f>
        <v>Listicle</v>
      </c>
      <c r="G28" s="11" t="b">
        <f>IFERROR(__xludf.DUMMYFUNCTION("""COMPUTED_VALUE"""),FALSE)</f>
        <v>0</v>
      </c>
      <c r="H28" s="11" t="str">
        <f>IFERROR(__xludf.DUMMYFUNCTION("""COMPUTED_VALUE"""),"First Page Sage, Clutch, Searchbloom")</f>
        <v>First Page Sage, Clutch, Searchbloom</v>
      </c>
      <c r="I28" s="11">
        <f>IFERROR(__xludf.DUMMYFUNCTION("""COMPUTED_VALUE"""),29.0)</f>
        <v>29</v>
      </c>
      <c r="J28" s="11">
        <f>IFERROR(__xludf.DUMMYFUNCTION("""COMPUTED_VALUE"""),0.03)</f>
        <v>0.03</v>
      </c>
      <c r="K28" s="11">
        <f>IFERROR(__xludf.DUMMYFUNCTION("""COMPUTED_VALUE"""),1.17)</f>
        <v>1.17</v>
      </c>
    </row>
    <row r="29" ht="15.75" customHeight="1">
      <c r="A29" s="10" t="str">
        <f>IFERROR(__xludf.DUMMYFUNCTION("""COMPUTED_VALUE"""),"https://nationalmarketingawards.com/leaderboard/")</f>
        <v>https://nationalmarketingawards.com/leaderboard/</v>
      </c>
      <c r="B29" s="11" t="str">
        <f>IFERROR(__xludf.DUMMYFUNCTION("""COMPUTED_VALUE"""),"Award-Winning Marketing Agencies in the USA: 2026 National Leaderboard | National Marketing Awards")</f>
        <v>Award-Winning Marketing Agencies in the USA: 2026 National Leaderboard | National Marketing Awards</v>
      </c>
      <c r="C29" s="10" t="str">
        <f>IFERROR(__xludf.DUMMYFUNCTION("""COMPUTED_VALUE"""),"nationalmarketingawards.com")</f>
        <v>nationalmarketingawards.com</v>
      </c>
      <c r="D29" s="11" t="str">
        <f>IFERROR(__xludf.DUMMYFUNCTION("""COMPUTED_VALUE"""),"LISTICLE")</f>
        <v>LISTICLE</v>
      </c>
      <c r="E29" s="11" t="str">
        <f>IFERROR(__xludf.DUMMYFUNCTION("""COMPUTED_VALUE"""),"REFERENCE")</f>
        <v>REFERENCE</v>
      </c>
      <c r="F29" s="11" t="str">
        <f>IFERROR(__xludf.DUMMYFUNCTION("""COMPUTED_VALUE"""),"Listicle")</f>
        <v>Listicle</v>
      </c>
      <c r="G29" s="11" t="b">
        <f>IFERROR(__xludf.DUMMYFUNCTION("""COMPUTED_VALUE"""),FALSE)</f>
        <v>0</v>
      </c>
      <c r="H29" s="11" t="str">
        <f>IFERROR(__xludf.DUMMYFUNCTION("""COMPUTED_VALUE"""),"Clutch, WebFX, Ignite Visibility, SmartSites, Disruptive Advertising, LYFE Marketing, Directive, Power Digital, Wpromote, KlientBoost, Single Grain, Sociallyin, Viral Nation, Tinuiti, Hawke Media, NoGood")</f>
        <v>Clutch, WebFX, Ignite Visibility, SmartSites, Disruptive Advertising, LYFE Marketing, Directive, Power Digital, Wpromote, KlientBoost, Single Grain, Sociallyin, Viral Nation, Tinuiti, Hawke Media, NoGood</v>
      </c>
      <c r="I29" s="11">
        <f>IFERROR(__xludf.DUMMYFUNCTION("""COMPUTED_VALUE"""),29.0)</f>
        <v>29</v>
      </c>
      <c r="J29" s="11">
        <f>IFERROR(__xludf.DUMMYFUNCTION("""COMPUTED_VALUE"""),0.03)</f>
        <v>0.03</v>
      </c>
      <c r="K29" s="11">
        <f>IFERROR(__xludf.DUMMYFUNCTION("""COMPUTED_VALUE"""),0.1)</f>
        <v>0.1</v>
      </c>
    </row>
    <row r="30" ht="15.75" customHeight="1">
      <c r="A30" s="10" t="str">
        <f>IFERROR(__xludf.DUMMYFUNCTION("""COMPUTED_VALUE"""),"https://riseopp.com/blog/top-25-geo-agencies-in-the-united-states")</f>
        <v>https://riseopp.com/blog/top-25-geo-agencies-in-the-united-states</v>
      </c>
      <c r="B30" s="11" t="str">
        <f>IFERROR(__xludf.DUMMYFUNCTION("""COMPUTED_VALUE"""),"Top 25 GEO Agencies in the United States - RiseOpp")</f>
        <v>Top 25 GEO Agencies in the United States - RiseOpp</v>
      </c>
      <c r="C30" s="10" t="str">
        <f>IFERROR(__xludf.DUMMYFUNCTION("""COMPUTED_VALUE"""),"riseopp.com")</f>
        <v>riseopp.com</v>
      </c>
      <c r="D30" s="11" t="str">
        <f>IFERROR(__xludf.DUMMYFUNCTION("""COMPUTED_VALUE"""),"LISTICLE")</f>
        <v>LISTICLE</v>
      </c>
      <c r="E30" s="11" t="str">
        <f>IFERROR(__xludf.DUMMYFUNCTION("""COMPUTED_VALUE"""),"CORPORATE")</f>
        <v>CORPORATE</v>
      </c>
      <c r="F30" s="11" t="str">
        <f>IFERROR(__xludf.DUMMYFUNCTION("""COMPUTED_VALUE"""),"Listicle")</f>
        <v>Listicle</v>
      </c>
      <c r="G30" s="11" t="b">
        <f>IFERROR(__xludf.DUMMYFUNCTION("""COMPUTED_VALUE"""),FALSE)</f>
        <v>0</v>
      </c>
      <c r="H30" s="11" t="str">
        <f>IFERROR(__xludf.DUMMYFUNCTION("""COMPUTED_VALUE"""),"WebFX, Intero Digital, Siege Media, iPullRank, Omniscient Digital, First Page Sage, Hawke Media, Single Grain, Go Fish Digital")</f>
        <v>WebFX, Intero Digital, Siege Media, iPullRank, Omniscient Digital, First Page Sage, Hawke Media, Single Grain, Go Fish Digital</v>
      </c>
      <c r="I30" s="11">
        <f>IFERROR(__xludf.DUMMYFUNCTION("""COMPUTED_VALUE"""),29.0)</f>
        <v>29</v>
      </c>
      <c r="J30" s="11">
        <f>IFERROR(__xludf.DUMMYFUNCTION("""COMPUTED_VALUE"""),0.03)</f>
        <v>0.03</v>
      </c>
      <c r="K30" s="11">
        <f>IFERROR(__xludf.DUMMYFUNCTION("""COMPUTED_VALUE"""),0.76)</f>
        <v>0.76</v>
      </c>
    </row>
    <row r="31" ht="15.75" customHeight="1">
      <c r="A31" s="10" t="str">
        <f>IFERROR(__xludf.DUMMYFUNCTION("""COMPUTED_VALUE"""),"https://sociallyin.com/resources/top-paid-media-agencies-us/")</f>
        <v>https://sociallyin.com/resources/top-paid-media-agencies-us/</v>
      </c>
      <c r="B31" s="11" t="str">
        <f>IFERROR(__xludf.DUMMYFUNCTION("""COMPUTED_VALUE"""),"Top 5 Paid Media Agencies US: An Expert 2026 Review")</f>
        <v>Top 5 Paid Media Agencies US: An Expert 2026 Review</v>
      </c>
      <c r="C31" s="10" t="str">
        <f>IFERROR(__xludf.DUMMYFUNCTION("""COMPUTED_VALUE"""),"sociallyin.com")</f>
        <v>sociallyin.com</v>
      </c>
      <c r="D31" s="11" t="str">
        <f>IFERROR(__xludf.DUMMYFUNCTION("""COMPUTED_VALUE"""),"LISTICLE")</f>
        <v>LISTICLE</v>
      </c>
      <c r="E31" s="11" t="str">
        <f>IFERROR(__xludf.DUMMYFUNCTION("""COMPUTED_VALUE"""),"COMPETITOR")</f>
        <v>COMPETITOR</v>
      </c>
      <c r="F31" s="11" t="str">
        <f>IFERROR(__xludf.DUMMYFUNCTION("""COMPUTED_VALUE"""),"Listicle")</f>
        <v>Listicle</v>
      </c>
      <c r="G31" s="11" t="b">
        <f>IFERROR(__xludf.DUMMYFUNCTION("""COMPUTED_VALUE"""),FALSE)</f>
        <v>0</v>
      </c>
      <c r="H31" s="11" t="str">
        <f>IFERROR(__xludf.DUMMYFUNCTION("""COMPUTED_VALUE"""),"Sociallyin, Wpromote, Marcel Digital, Tinuiti, Momentum")</f>
        <v>Sociallyin, Wpromote, Marcel Digital, Tinuiti, Momentum</v>
      </c>
      <c r="I31" s="11">
        <f>IFERROR(__xludf.DUMMYFUNCTION("""COMPUTED_VALUE"""),29.0)</f>
        <v>29</v>
      </c>
      <c r="J31" s="11">
        <f>IFERROR(__xludf.DUMMYFUNCTION("""COMPUTED_VALUE"""),0.03)</f>
        <v>0.03</v>
      </c>
      <c r="K31" s="11">
        <f>IFERROR(__xludf.DUMMYFUNCTION("""COMPUTED_VALUE"""),0.48)</f>
        <v>0.48</v>
      </c>
    </row>
    <row r="32" ht="15.75" customHeight="1">
      <c r="A32" s="10" t="str">
        <f>IFERROR(__xludf.DUMMYFUNCTION("""COMPUTED_VALUE"""),"https://www.superside.com/blog/creative-agencies")</f>
        <v>https://www.superside.com/blog/creative-agencies</v>
      </c>
      <c r="B32" s="11" t="str">
        <f>IFERROR(__xludf.DUMMYFUNCTION("""COMPUTED_VALUE"""),"14 Best Creative Agencies That Make Brands Stand Out in 2026")</f>
        <v>14 Best Creative Agencies That Make Brands Stand Out in 2026</v>
      </c>
      <c r="C32" s="10" t="str">
        <f>IFERROR(__xludf.DUMMYFUNCTION("""COMPUTED_VALUE"""),"superside.com")</f>
        <v>superside.com</v>
      </c>
      <c r="D32" s="11" t="str">
        <f>IFERROR(__xludf.DUMMYFUNCTION("""COMPUTED_VALUE"""),"LISTICLE")</f>
        <v>LISTICLE</v>
      </c>
      <c r="E32" s="11" t="str">
        <f>IFERROR(__xludf.DUMMYFUNCTION("""COMPUTED_VALUE"""),"COMPETITOR")</f>
        <v>COMPETITOR</v>
      </c>
      <c r="F32" s="11" t="str">
        <f>IFERROR(__xludf.DUMMYFUNCTION("""COMPUTED_VALUE"""),"Listicle")</f>
        <v>Listicle</v>
      </c>
      <c r="G32" s="11" t="b">
        <f>IFERROR(__xludf.DUMMYFUNCTION("""COMPUTED_VALUE"""),FALSE)</f>
        <v>0</v>
      </c>
      <c r="H32" s="11" t="str">
        <f>IFERROR(__xludf.DUMMYFUNCTION("""COMPUTED_VALUE"""),"Superside, Giant Spoon, Wieden+Kennedy, Huge, Ogilvy")</f>
        <v>Superside, Giant Spoon, Wieden+Kennedy, Huge, Ogilvy</v>
      </c>
      <c r="I32" s="11">
        <f>IFERROR(__xludf.DUMMYFUNCTION("""COMPUTED_VALUE"""),29.0)</f>
        <v>29</v>
      </c>
      <c r="J32" s="11">
        <f>IFERROR(__xludf.DUMMYFUNCTION("""COMPUTED_VALUE"""),0.03)</f>
        <v>0.03</v>
      </c>
      <c r="K32" s="11">
        <f>IFERROR(__xludf.DUMMYFUNCTION("""COMPUTED_VALUE"""),1.48)</f>
        <v>1.48</v>
      </c>
    </row>
    <row r="33" ht="15.75" customHeight="1">
      <c r="A33" s="10" t="str">
        <f>IFERROR(__xludf.DUMMYFUNCTION("""COMPUTED_VALUE"""),"https://www.cometly.com/post/marketing-incrementality-testing-tools")</f>
        <v>https://www.cometly.com/post/marketing-incrementality-testing-tools</v>
      </c>
      <c r="B33" s="11" t="str">
        <f>IFERROR(__xludf.DUMMYFUNCTION("""COMPUTED_VALUE"""),"9 Best Marketing Incrementality Testing Tools 2026")</f>
        <v>9 Best Marketing Incrementality Testing Tools 2026</v>
      </c>
      <c r="C33" s="10" t="str">
        <f>IFERROR(__xludf.DUMMYFUNCTION("""COMPUTED_VALUE"""),"cometly.com")</f>
        <v>cometly.com</v>
      </c>
      <c r="D33" s="11" t="str">
        <f>IFERROR(__xludf.DUMMYFUNCTION("""COMPUTED_VALUE"""),"LISTICLE")</f>
        <v>LISTICLE</v>
      </c>
      <c r="E33" s="11" t="str">
        <f>IFERROR(__xludf.DUMMYFUNCTION("""COMPUTED_VALUE"""),"COMPETITOR")</f>
        <v>COMPETITOR</v>
      </c>
      <c r="F33" s="11" t="str">
        <f>IFERROR(__xludf.DUMMYFUNCTION("""COMPUTED_VALUE"""),"Listicle")</f>
        <v>Listicle</v>
      </c>
      <c r="G33" s="11" t="b">
        <f>IFERROR(__xludf.DUMMYFUNCTION("""COMPUTED_VALUE"""),FALSE)</f>
        <v>0</v>
      </c>
      <c r="H33" s="11" t="str">
        <f>IFERROR(__xludf.DUMMYFUNCTION("""COMPUTED_VALUE"""),"Cometly, Measured, Rockerbox, Northbeam, LifeSight, Haus, Recast")</f>
        <v>Cometly, Measured, Rockerbox, Northbeam, LifeSight, Haus, Recast</v>
      </c>
      <c r="I33" s="11">
        <f>IFERROR(__xludf.DUMMYFUNCTION("""COMPUTED_VALUE"""),28.0)</f>
        <v>28</v>
      </c>
      <c r="J33" s="11">
        <f>IFERROR(__xludf.DUMMYFUNCTION("""COMPUTED_VALUE"""),0.03)</f>
        <v>0.03</v>
      </c>
      <c r="K33" s="11">
        <f>IFERROR(__xludf.DUMMYFUNCTION("""COMPUTED_VALUE"""),1.18)</f>
        <v>1.18</v>
      </c>
    </row>
    <row r="34" ht="15.75" customHeight="1">
      <c r="A34" s="10" t="str">
        <f>IFERROR(__xludf.DUMMYFUNCTION("""COMPUTED_VALUE"""),"https://www.creativefrontiers.co/blog/the-20-best-creative-marketing-agencies-in-the-usa-2025-guide")</f>
        <v>https://www.creativefrontiers.co/blog/the-20-best-creative-marketing-agencies-in-the-usa-2025-guide</v>
      </c>
      <c r="B34" s="11" t="str">
        <f>IFERROR(__xludf.DUMMYFUNCTION("""COMPUTED_VALUE"""),"The 20 Best Creative Marketing Agencies in the USA [2025 Guide] | Creative Frontiers")</f>
        <v>The 20 Best Creative Marketing Agencies in the USA [2025 Guide] | Creative Frontiers</v>
      </c>
      <c r="C34" s="10" t="str">
        <f>IFERROR(__xludf.DUMMYFUNCTION("""COMPUTED_VALUE"""),"creativefrontiers.co")</f>
        <v>creativefrontiers.co</v>
      </c>
      <c r="D34" s="11" t="str">
        <f>IFERROR(__xludf.DUMMYFUNCTION("""COMPUTED_VALUE"""),"LISTICLE")</f>
        <v>LISTICLE</v>
      </c>
      <c r="E34" s="11" t="str">
        <f>IFERROR(__xludf.DUMMYFUNCTION("""COMPUTED_VALUE"""),"OTHER")</f>
        <v>OTHER</v>
      </c>
      <c r="F34" s="11" t="str">
        <f>IFERROR(__xludf.DUMMYFUNCTION("""COMPUTED_VALUE"""),"Listicle")</f>
        <v>Listicle</v>
      </c>
      <c r="G34" s="11" t="b">
        <f>IFERROR(__xludf.DUMMYFUNCTION("""COMPUTED_VALUE"""),FALSE)</f>
        <v>0</v>
      </c>
      <c r="H34" s="11" t="str">
        <f>IFERROR(__xludf.DUMMYFUNCTION("""COMPUTED_VALUE"""),"Wieden+Kennedy, Droga5, Accenture Song, R/GA, BBDO, 72andSunny, Huge, TBWA\Chiat\Day, Giant Spoon, DEPT, Clutch")</f>
        <v>Wieden+Kennedy, Droga5, Accenture Song, R/GA, BBDO, 72andSunny, Huge, TBWA\Chiat\Day, Giant Spoon, DEPT, Clutch</v>
      </c>
      <c r="I34" s="11">
        <f>IFERROR(__xludf.DUMMYFUNCTION("""COMPUTED_VALUE"""),28.0)</f>
        <v>28</v>
      </c>
      <c r="J34" s="11">
        <f>IFERROR(__xludf.DUMMYFUNCTION("""COMPUTED_VALUE"""),0.03)</f>
        <v>0.03</v>
      </c>
      <c r="K34" s="11">
        <f>IFERROR(__xludf.DUMMYFUNCTION("""COMPUTED_VALUE"""),0.5)</f>
        <v>0.5</v>
      </c>
    </row>
    <row r="35" ht="15.75" customHeight="1">
      <c r="A35" s="10" t="str">
        <f>IFERROR(__xludf.DUMMYFUNCTION("""COMPUTED_VALUE"""),"https://quimbydigital.com/top-social-media-agencies-in-the-us-2026/")</f>
        <v>https://quimbydigital.com/top-social-media-agencies-in-the-us-2026/</v>
      </c>
      <c r="B35" s="11" t="str">
        <f>IFERROR(__xludf.DUMMYFUNCTION("""COMPUTED_VALUE"""),"Top Social Media Marketing Agencies in the USA | 2026")</f>
        <v>Top Social Media Marketing Agencies in the USA | 2026</v>
      </c>
      <c r="C35" s="10" t="str">
        <f>IFERROR(__xludf.DUMMYFUNCTION("""COMPUTED_VALUE"""),"quimbydigital.com")</f>
        <v>quimbydigital.com</v>
      </c>
      <c r="D35" s="11" t="str">
        <f>IFERROR(__xludf.DUMMYFUNCTION("""COMPUTED_VALUE"""),"LISTICLE")</f>
        <v>LISTICLE</v>
      </c>
      <c r="E35" s="11" t="str">
        <f>IFERROR(__xludf.DUMMYFUNCTION("""COMPUTED_VALUE"""),"CORPORATE")</f>
        <v>CORPORATE</v>
      </c>
      <c r="F35" s="11" t="str">
        <f>IFERROR(__xludf.DUMMYFUNCTION("""COMPUTED_VALUE"""),"Listicle")</f>
        <v>Listicle</v>
      </c>
      <c r="G35" s="11" t="b">
        <f>IFERROR(__xludf.DUMMYFUNCTION("""COMPUTED_VALUE"""),FALSE)</f>
        <v>0</v>
      </c>
      <c r="H35" s="11" t="str">
        <f>IFERROR(__xludf.DUMMYFUNCTION("""COMPUTED_VALUE"""),"inBeat, Wpromote, Disruptive Advertising, MuteSix, Tinuiti, Sociallyin, Ignite Visibility, WebFX, Thrive Internet Marketing Agency, The Social Shepherd, NoGood, Viral Nation, Amsive")</f>
        <v>inBeat, Wpromote, Disruptive Advertising, MuteSix, Tinuiti, Sociallyin, Ignite Visibility, WebFX, Thrive Internet Marketing Agency, The Social Shepherd, NoGood, Viral Nation, Amsive</v>
      </c>
      <c r="I35" s="11">
        <f>IFERROR(__xludf.DUMMYFUNCTION("""COMPUTED_VALUE"""),28.0)</f>
        <v>28</v>
      </c>
      <c r="J35" s="11">
        <f>IFERROR(__xludf.DUMMYFUNCTION("""COMPUTED_VALUE"""),0.03)</f>
        <v>0.03</v>
      </c>
      <c r="K35" s="11">
        <f>IFERROR(__xludf.DUMMYFUNCTION("""COMPUTED_VALUE"""),1.14)</f>
        <v>1.14</v>
      </c>
    </row>
    <row r="36" ht="15.75" customHeight="1">
      <c r="A36" s="10" t="str">
        <f>IFERROR(__xludf.DUMMYFUNCTION("""COMPUTED_VALUE"""),"https://www.ritnerdigital.com/blog/the-best-seo-and-ai-search-agencies-in-the-united-states-right-now")</f>
        <v>https://www.ritnerdigital.com/blog/the-best-seo-and-ai-search-agencies-in-the-united-states-right-now</v>
      </c>
      <c r="B36" s="11" t="str">
        <f>IFERROR(__xludf.DUMMYFUNCTION("""COMPUTED_VALUE"""),"The Best SEO and AI Search Agencies in the United States Right Now (2026) — Ritner Digital | AI Search &amp;amp; SEO Agency")</f>
        <v>The Best SEO and AI Search Agencies in the United States Right Now (2026) — Ritner Digital | AI Search &amp;amp; SEO Agency</v>
      </c>
      <c r="C36" s="10" t="str">
        <f>IFERROR(__xludf.DUMMYFUNCTION("""COMPUTED_VALUE"""),"ritnerdigital.com")</f>
        <v>ritnerdigital.com</v>
      </c>
      <c r="D36" s="11" t="str">
        <f>IFERROR(__xludf.DUMMYFUNCTION("""COMPUTED_VALUE"""),"LISTICLE")</f>
        <v>LISTICLE</v>
      </c>
      <c r="E36" s="11" t="str">
        <f>IFERROR(__xludf.DUMMYFUNCTION("""COMPUTED_VALUE"""),"CORPORATE")</f>
        <v>CORPORATE</v>
      </c>
      <c r="F36" s="11" t="str">
        <f>IFERROR(__xludf.DUMMYFUNCTION("""COMPUTED_VALUE"""),"Listicle")</f>
        <v>Listicle</v>
      </c>
      <c r="G36" s="11" t="b">
        <f>IFERROR(__xludf.DUMMYFUNCTION("""COMPUTED_VALUE"""),FALSE)</f>
        <v>0</v>
      </c>
      <c r="H36" s="11" t="str">
        <f>IFERROR(__xludf.DUMMYFUNCTION("""COMPUTED_VALUE"""),"WebFX, Thrive Internet Marketing Agency, Ignite Visibility, Silverback Strategies, Victorious, First Page Sage, iPullRank, Siege Media, Single Grain, Graphite, SmartSites, Funnel Boost Media, Clutch, Searchbloom")</f>
        <v>WebFX, Thrive Internet Marketing Agency, Ignite Visibility, Silverback Strategies, Victorious, First Page Sage, iPullRank, Siege Media, Single Grain, Graphite, SmartSites, Funnel Boost Media, Clutch, Searchbloom</v>
      </c>
      <c r="I36" s="11">
        <f>IFERROR(__xludf.DUMMYFUNCTION("""COMPUTED_VALUE"""),28.0)</f>
        <v>28</v>
      </c>
      <c r="J36" s="11">
        <f>IFERROR(__xludf.DUMMYFUNCTION("""COMPUTED_VALUE"""),0.03)</f>
        <v>0.03</v>
      </c>
      <c r="K36" s="11">
        <f>IFERROR(__xludf.DUMMYFUNCTION("""COMPUTED_VALUE"""),0.68)</f>
        <v>0.68</v>
      </c>
    </row>
    <row r="37" ht="15.75" customHeight="1">
      <c r="A37" s="10" t="str">
        <f>IFERROR(__xludf.DUMMYFUNCTION("""COMPUTED_VALUE"""),"https://www.callboxinc.com/growth-hacking/best-aeo-agencies/")</f>
        <v>https://www.callboxinc.com/growth-hacking/best-aeo-agencies/</v>
      </c>
      <c r="B37" s="11" t="str">
        <f>IFERROR(__xludf.DUMMYFUNCTION("""COMPUTED_VALUE"""),"8 Top AEO Agencies in 2026 for Lead Generation")</f>
        <v>8 Top AEO Agencies in 2026 for Lead Generation</v>
      </c>
      <c r="C37" s="10" t="str">
        <f>IFERROR(__xludf.DUMMYFUNCTION("""COMPUTED_VALUE"""),"callboxinc.com")</f>
        <v>callboxinc.com</v>
      </c>
      <c r="D37" s="11" t="str">
        <f>IFERROR(__xludf.DUMMYFUNCTION("""COMPUTED_VALUE"""),"LISTICLE")</f>
        <v>LISTICLE</v>
      </c>
      <c r="E37" s="11" t="str">
        <f>IFERROR(__xludf.DUMMYFUNCTION("""COMPUTED_VALUE"""),"CORPORATE")</f>
        <v>CORPORATE</v>
      </c>
      <c r="F37" s="11" t="str">
        <f>IFERROR(__xludf.DUMMYFUNCTION("""COMPUTED_VALUE"""),"Listicle")</f>
        <v>Listicle</v>
      </c>
      <c r="G37" s="11" t="b">
        <f>IFERROR(__xludf.DUMMYFUNCTION("""COMPUTED_VALUE"""),FALSE)</f>
        <v>0</v>
      </c>
      <c r="H37" s="11" t="str">
        <f>IFERROR(__xludf.DUMMYFUNCTION("""COMPUTED_VALUE"""),"DEPT, Clutch, First Page Sage, iPullRank, Omniscient Digital, Directive, Siege Media, Animalz")</f>
        <v>DEPT, Clutch, First Page Sage, iPullRank, Omniscient Digital, Directive, Siege Media, Animalz</v>
      </c>
      <c r="I37" s="11">
        <f>IFERROR(__xludf.DUMMYFUNCTION("""COMPUTED_VALUE"""),27.0)</f>
        <v>27</v>
      </c>
      <c r="J37" s="11">
        <f>IFERROR(__xludf.DUMMYFUNCTION("""COMPUTED_VALUE"""),0.03)</f>
        <v>0.03</v>
      </c>
      <c r="K37" s="11">
        <f>IFERROR(__xludf.DUMMYFUNCTION("""COMPUTED_VALUE"""),0.93)</f>
        <v>0.93</v>
      </c>
    </row>
    <row r="38" ht="15.75" customHeight="1">
      <c r="A38" s="10" t="str">
        <f>IFERROR(__xludf.DUMMYFUNCTION("""COMPUTED_VALUE"""),"https://directiveconsulting.com/blog/best-marketing-data-agency/")</f>
        <v>https://directiveconsulting.com/blog/best-marketing-data-agency/</v>
      </c>
      <c r="B38" s="11" t="str">
        <f>IFERROR(__xludf.DUMMYFUNCTION("""COMPUTED_VALUE"""),"18 Best Marketing Data Agencies for B2B - Directive")</f>
        <v>18 Best Marketing Data Agencies for B2B - Directive</v>
      </c>
      <c r="C38" s="10" t="str">
        <f>IFERROR(__xludf.DUMMYFUNCTION("""COMPUTED_VALUE"""),"directiveconsulting.com")</f>
        <v>directiveconsulting.com</v>
      </c>
      <c r="D38" s="11" t="str">
        <f>IFERROR(__xludf.DUMMYFUNCTION("""COMPUTED_VALUE"""),"LISTICLE")</f>
        <v>LISTICLE</v>
      </c>
      <c r="E38" s="11" t="str">
        <f>IFERROR(__xludf.DUMMYFUNCTION("""COMPUTED_VALUE"""),"COMPETITOR")</f>
        <v>COMPETITOR</v>
      </c>
      <c r="F38" s="11" t="str">
        <f>IFERROR(__xludf.DUMMYFUNCTION("""COMPUTED_VALUE"""),"Listicle")</f>
        <v>Listicle</v>
      </c>
      <c r="G38" s="11" t="b">
        <f>IFERROR(__xludf.DUMMYFUNCTION("""COMPUTED_VALUE"""),FALSE)</f>
        <v>0</v>
      </c>
      <c r="H38" s="11" t="str">
        <f>IFERROR(__xludf.DUMMYFUNCTION("""COMPUTED_VALUE"""),"Directive, RevPartners, KlientBoost, Brainlabs, Power Digital, Measured, Clutch")</f>
        <v>Directive, RevPartners, KlientBoost, Brainlabs, Power Digital, Measured, Clutch</v>
      </c>
      <c r="I38" s="11">
        <f>IFERROR(__xludf.DUMMYFUNCTION("""COMPUTED_VALUE"""),27.0)</f>
        <v>27</v>
      </c>
      <c r="J38" s="11">
        <f>IFERROR(__xludf.DUMMYFUNCTION("""COMPUTED_VALUE"""),0.03)</f>
        <v>0.03</v>
      </c>
      <c r="K38" s="11">
        <f>IFERROR(__xludf.DUMMYFUNCTION("""COMPUTED_VALUE"""),1.7)</f>
        <v>1.7</v>
      </c>
    </row>
    <row r="39" ht="15.75" customHeight="1">
      <c r="A39" s="10" t="str">
        <f>IFERROR(__xludf.DUMMYFUNCTION("""COMPUTED_VALUE"""),"https://www.linkedin.com/pulse/top-10-aeo-agencies-usa-2026-best-answer-engine-companies-sam-israel-pgcwc")</f>
        <v>https://www.linkedin.com/pulse/top-10-aeo-agencies-usa-2026-best-answer-engine-companies-sam-israel-pgcwc</v>
      </c>
      <c r="B39" s="11" t="str">
        <f>IFERROR(__xludf.DUMMYFUNCTION("""COMPUTED_VALUE"""),"Top 10 AEO Agencies in the USA (2026): The Best Answer Engine Optimization Companies for AI Search Visibility")</f>
        <v>Top 10 AEO Agencies in the USA (2026): The Best Answer Engine Optimization Companies for AI Search Visibility</v>
      </c>
      <c r="C39" s="10" t="str">
        <f>IFERROR(__xludf.DUMMYFUNCTION("""COMPUTED_VALUE"""),"linkedin.com")</f>
        <v>linkedin.com</v>
      </c>
      <c r="D39" s="11" t="str">
        <f>IFERROR(__xludf.DUMMYFUNCTION("""COMPUTED_VALUE"""),"LISTICLE")</f>
        <v>LISTICLE</v>
      </c>
      <c r="E39" s="11" t="str">
        <f>IFERROR(__xludf.DUMMYFUNCTION("""COMPUTED_VALUE"""),"UGC")</f>
        <v>UGC</v>
      </c>
      <c r="F39" s="11" t="str">
        <f>IFERROR(__xludf.DUMMYFUNCTION("""COMPUTED_VALUE"""),"Listicle")</f>
        <v>Listicle</v>
      </c>
      <c r="G39" s="11" t="b">
        <f>IFERROR(__xludf.DUMMYFUNCTION("""COMPUTED_VALUE"""),FALSE)</f>
        <v>0</v>
      </c>
      <c r="H39" s="11" t="str">
        <f>IFERROR(__xludf.DUMMYFUNCTION("""COMPUTED_VALUE"""),"iPullRank, Omniscient Digital, Siege Media, WebFX, Single Grain, First Page Sage, NoGood, RevenueZen")</f>
        <v>iPullRank, Omniscient Digital, Siege Media, WebFX, Single Grain, First Page Sage, NoGood, RevenueZen</v>
      </c>
      <c r="I39" s="11">
        <f>IFERROR(__xludf.DUMMYFUNCTION("""COMPUTED_VALUE"""),27.0)</f>
        <v>27</v>
      </c>
      <c r="J39" s="11">
        <f>IFERROR(__xludf.DUMMYFUNCTION("""COMPUTED_VALUE"""),0.03)</f>
        <v>0.03</v>
      </c>
      <c r="K39" s="11">
        <f>IFERROR(__xludf.DUMMYFUNCTION("""COMPUTED_VALUE"""),2.15)</f>
        <v>2.15</v>
      </c>
    </row>
    <row r="40" ht="15.75" customHeight="1">
      <c r="A40" s="10" t="str">
        <f>IFERROR(__xludf.DUMMYFUNCTION("""COMPUTED_VALUE"""),"https://percepture.com/geo-insights/best-ai-seo-agencies-usa/")</f>
        <v>https://percepture.com/geo-insights/best-ai-seo-agencies-usa/</v>
      </c>
      <c r="B40" s="11" t="str">
        <f>IFERROR(__xludf.DUMMYFUNCTION("""COMPUTED_VALUE"""),"Best AI SEO Agencies In The USA: Search Growth Guide for")</f>
        <v>Best AI SEO Agencies In The USA: Search Growth Guide for</v>
      </c>
      <c r="C40" s="10" t="str">
        <f>IFERROR(__xludf.DUMMYFUNCTION("""COMPUTED_VALUE"""),"percepture.com")</f>
        <v>percepture.com</v>
      </c>
      <c r="D40" s="11" t="str">
        <f>IFERROR(__xludf.DUMMYFUNCTION("""COMPUTED_VALUE"""),"LISTICLE")</f>
        <v>LISTICLE</v>
      </c>
      <c r="E40" s="11" t="str">
        <f>IFERROR(__xludf.DUMMYFUNCTION("""COMPUTED_VALUE"""),"COMPETITOR")</f>
        <v>COMPETITOR</v>
      </c>
      <c r="F40" s="11" t="str">
        <f>IFERROR(__xludf.DUMMYFUNCTION("""COMPUTED_VALUE"""),"Listicle")</f>
        <v>Listicle</v>
      </c>
      <c r="G40" s="11" t="b">
        <f>IFERROR(__xludf.DUMMYFUNCTION("""COMPUTED_VALUE"""),FALSE)</f>
        <v>0</v>
      </c>
      <c r="H40" s="11" t="str">
        <f>IFERROR(__xludf.DUMMYFUNCTION("""COMPUTED_VALUE"""),"Percepture, Daydream, iPullRank, First Page Sage, Siege Media, Intero Digital, WebFX, Searchbloom")</f>
        <v>Percepture, Daydream, iPullRank, First Page Sage, Siege Media, Intero Digital, WebFX, Searchbloom</v>
      </c>
      <c r="I40" s="11">
        <f>IFERROR(__xludf.DUMMYFUNCTION("""COMPUTED_VALUE"""),27.0)</f>
        <v>27</v>
      </c>
      <c r="J40" s="11">
        <f>IFERROR(__xludf.DUMMYFUNCTION("""COMPUTED_VALUE"""),0.03)</f>
        <v>0.03</v>
      </c>
      <c r="K40" s="11">
        <f>IFERROR(__xludf.DUMMYFUNCTION("""COMPUTED_VALUE"""),1.41)</f>
        <v>1.41</v>
      </c>
    </row>
    <row r="41" ht="15.75" customHeight="1">
      <c r="A41" s="10" t="str">
        <f>IFERROR(__xludf.DUMMYFUNCTION("""COMPUTED_VALUE"""),"https://inbeat.agency/blog/top-advertising-agencies")</f>
        <v>https://inbeat.agency/blog/top-advertising-agencies</v>
      </c>
      <c r="B41" s="11" t="str">
        <f>IFERROR(__xludf.DUMMYFUNCTION("""COMPUTED_VALUE"""),"Leading Advertising Agencies in the USA - inBeat Agency")</f>
        <v>Leading Advertising Agencies in the USA - inBeat Agency</v>
      </c>
      <c r="C41" s="11" t="str">
        <f>IFERROR(__xludf.DUMMYFUNCTION("""COMPUTED_VALUE"""),"inbeat.agency")</f>
        <v>inbeat.agency</v>
      </c>
      <c r="D41" s="11" t="str">
        <f>IFERROR(__xludf.DUMMYFUNCTION("""COMPUTED_VALUE"""),"LISTICLE")</f>
        <v>LISTICLE</v>
      </c>
      <c r="E41" s="11" t="str">
        <f>IFERROR(__xludf.DUMMYFUNCTION("""COMPUTED_VALUE"""),"COMPETITOR")</f>
        <v>COMPETITOR</v>
      </c>
      <c r="F41" s="11" t="str">
        <f>IFERROR(__xludf.DUMMYFUNCTION("""COMPUTED_VALUE"""),"Listicle")</f>
        <v>Listicle</v>
      </c>
      <c r="G41" s="11" t="b">
        <f>IFERROR(__xludf.DUMMYFUNCTION("""COMPUTED_VALUE"""),FALSE)</f>
        <v>0</v>
      </c>
      <c r="H41" s="11" t="str">
        <f>IFERROR(__xludf.DUMMYFUNCTION("""COMPUTED_VALUE"""),"inBeat, Nielsen, Wieden+Kennedy, Droga5, BBDO, 72andSunny, Anomaly, Ogilvy, Accenture Song, WPP, IBM")</f>
        <v>inBeat, Nielsen, Wieden+Kennedy, Droga5, BBDO, 72andSunny, Anomaly, Ogilvy, Accenture Song, WPP, IBM</v>
      </c>
      <c r="I41" s="11">
        <f>IFERROR(__xludf.DUMMYFUNCTION("""COMPUTED_VALUE"""),26.0)</f>
        <v>26</v>
      </c>
      <c r="J41" s="11">
        <f>IFERROR(__xludf.DUMMYFUNCTION("""COMPUTED_VALUE"""),0.03)</f>
        <v>0.03</v>
      </c>
      <c r="K41" s="11">
        <f>IFERROR(__xludf.DUMMYFUNCTION("""COMPUTED_VALUE"""),0.27)</f>
        <v>0.27</v>
      </c>
    </row>
    <row r="42" ht="15.75" customHeight="1">
      <c r="A42" s="10" t="str">
        <f>IFERROR(__xludf.DUMMYFUNCTION("""COMPUTED_VALUE"""),"https://thesocialshepherd.com/blog/top-paid-social-agencies-us")</f>
        <v>https://thesocialshepherd.com/blog/top-paid-social-agencies-us</v>
      </c>
      <c r="B42" s="11" t="str">
        <f>IFERROR(__xludf.DUMMYFUNCTION("""COMPUTED_VALUE"""),"The Social Shepherd | Top 17 Paid Social Agencies in the U.S. (2026)")</f>
        <v>The Social Shepherd | Top 17 Paid Social Agencies in the U.S. (2026)</v>
      </c>
      <c r="C42" s="10" t="str">
        <f>IFERROR(__xludf.DUMMYFUNCTION("""COMPUTED_VALUE"""),"thesocialshepherd.com")</f>
        <v>thesocialshepherd.com</v>
      </c>
      <c r="D42" s="11" t="str">
        <f>IFERROR(__xludf.DUMMYFUNCTION("""COMPUTED_VALUE"""),"LISTICLE")</f>
        <v>LISTICLE</v>
      </c>
      <c r="E42" s="11" t="str">
        <f>IFERROR(__xludf.DUMMYFUNCTION("""COMPUTED_VALUE"""),"COMPETITOR")</f>
        <v>COMPETITOR</v>
      </c>
      <c r="F42" s="11" t="str">
        <f>IFERROR(__xludf.DUMMYFUNCTION("""COMPUTED_VALUE"""),"Listicle")</f>
        <v>Listicle</v>
      </c>
      <c r="G42" s="11" t="b">
        <f>IFERROR(__xludf.DUMMYFUNCTION("""COMPUTED_VALUE"""),FALSE)</f>
        <v>0</v>
      </c>
      <c r="H42" s="11" t="str">
        <f>IFERROR(__xludf.DUMMYFUNCTION("""COMPUTED_VALUE"""),"The Social Shepherd, Disruptive Advertising, Jellyfish, Tinuiti, iProspect")</f>
        <v>The Social Shepherd, Disruptive Advertising, Jellyfish, Tinuiti, iProspect</v>
      </c>
      <c r="I42" s="11">
        <f>IFERROR(__xludf.DUMMYFUNCTION("""COMPUTED_VALUE"""),26.0)</f>
        <v>26</v>
      </c>
      <c r="J42" s="11">
        <f>IFERROR(__xludf.DUMMYFUNCTION("""COMPUTED_VALUE"""),0.03)</f>
        <v>0.03</v>
      </c>
      <c r="K42" s="11">
        <f>IFERROR(__xludf.DUMMYFUNCTION("""COMPUTED_VALUE"""),0.92)</f>
        <v>0.92</v>
      </c>
    </row>
    <row r="43" ht="15.75" customHeight="1">
      <c r="A43" s="10" t="str">
        <f>IFERROR(__xludf.DUMMYFUNCTION("""COMPUTED_VALUE"""),"https://www.webtonic.io/blog/top-performance-marketing-agencies-us")</f>
        <v>https://www.webtonic.io/blog/top-performance-marketing-agencies-us</v>
      </c>
      <c r="B43" s="11" t="str">
        <f>IFERROR(__xludf.DUMMYFUNCTION("""COMPUTED_VALUE"""),"The 50 Top Performance Marketing Agencies in the US as of 2026")</f>
        <v>The 50 Top Performance Marketing Agencies in the US as of 2026</v>
      </c>
      <c r="C43" s="10" t="str">
        <f>IFERROR(__xludf.DUMMYFUNCTION("""COMPUTED_VALUE"""),"webtonic.io")</f>
        <v>webtonic.io</v>
      </c>
      <c r="D43" s="11" t="str">
        <f>IFERROR(__xludf.DUMMYFUNCTION("""COMPUTED_VALUE"""),"LISTICLE")</f>
        <v>LISTICLE</v>
      </c>
      <c r="E43" s="11" t="str">
        <f>IFERROR(__xludf.DUMMYFUNCTION("""COMPUTED_VALUE"""),"COMPETITOR")</f>
        <v>COMPETITOR</v>
      </c>
      <c r="F43" s="11" t="str">
        <f>IFERROR(__xludf.DUMMYFUNCTION("""COMPUTED_VALUE"""),"Listicle")</f>
        <v>Listicle</v>
      </c>
      <c r="G43" s="11" t="b">
        <f>IFERROR(__xludf.DUMMYFUNCTION("""COMPUTED_VALUE"""),FALSE)</f>
        <v>0</v>
      </c>
      <c r="H43" s="11" t="str">
        <f>IFERROR(__xludf.DUMMYFUNCTION("""COMPUTED_VALUE"""),"Web Tonic, NoGood, Disruptive Advertising, Tinuiti, Wpromote, TransUnion, Power Digital, KlientBoost, Ignite Visibility, Directive, Thrive Internet Marketing Agency, LYFE Marketing, HawkSEM, iProspect, Dentsu, Merkle, MuteSix, WebFX, SmartSites, Single Gr"&amp;"ain, NinjaPromo, Silverback Strategies, IBM, Sociallyin, Refine Labs, Clutch, Accelerated Digital Media, Victorious, Avenue Z, Major Tom, NP Digital, Searchbloom")</f>
        <v>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v>
      </c>
      <c r="I43" s="11">
        <f>IFERROR(__xludf.DUMMYFUNCTION("""COMPUTED_VALUE"""),26.0)</f>
        <v>26</v>
      </c>
      <c r="J43" s="11">
        <f>IFERROR(__xludf.DUMMYFUNCTION("""COMPUTED_VALUE"""),0.03)</f>
        <v>0.03</v>
      </c>
      <c r="K43" s="11">
        <f>IFERROR(__xludf.DUMMYFUNCTION("""COMPUTED_VALUE"""),0.42)</f>
        <v>0.42</v>
      </c>
    </row>
    <row r="44" ht="15.75" customHeight="1">
      <c r="A44" s="10" t="str">
        <f>IFERROR(__xludf.DUMMYFUNCTION("""COMPUTED_VALUE"""),"https://www.designrush.com/agency/digital-marketing/us")</f>
        <v>https://www.designrush.com/agency/digital-marketing/us</v>
      </c>
      <c r="B44" s="11" t="str">
        <f>IFERROR(__xludf.DUMMYFUNCTION("""COMPUTED_VALUE"""),"Digital Marketing Agencies in US - Jul 2026 | DesignRush")</f>
        <v>Digital Marketing Agencies in US - Jul 2026 | DesignRush</v>
      </c>
      <c r="C44" s="10" t="str">
        <f>IFERROR(__xludf.DUMMYFUNCTION("""COMPUTED_VALUE"""),"designrush.com")</f>
        <v>designrush.com</v>
      </c>
      <c r="D44" s="11" t="str">
        <f>IFERROR(__xludf.DUMMYFUNCTION("""COMPUTED_VALUE"""),"LISTICLE")</f>
        <v>LISTICLE</v>
      </c>
      <c r="E44" s="11" t="str">
        <f>IFERROR(__xludf.DUMMYFUNCTION("""COMPUTED_VALUE"""),"CORPORATE")</f>
        <v>CORPORATE</v>
      </c>
      <c r="F44" s="11" t="str">
        <f>IFERROR(__xludf.DUMMYFUNCTION("""COMPUTED_VALUE"""),"Listicle")</f>
        <v>Listicle</v>
      </c>
      <c r="G44" s="11" t="b">
        <f>IFERROR(__xludf.DUMMYFUNCTION("""COMPUTED_VALUE"""),FALSE)</f>
        <v>0</v>
      </c>
      <c r="H44" s="11" t="str">
        <f>IFERROR(__xludf.DUMMYFUNCTION("""COMPUTED_VALUE"""),"Funnel Boost Media, Huge, SmartSites, Searchbloom, Silverback Strategies, Disruptive Advertising, PwC, Clutch, Intero Digital, IBM, NinjaPromo, KlientBoost, Elit-Web, McKinsey, HawkSEM")</f>
        <v>Funnel Boost Media, Huge, SmartSites, Searchbloom, Silverback Strategies, Disruptive Advertising, PwC, Clutch, Intero Digital, IBM, NinjaPromo, KlientBoost, Elit-Web, McKinsey, HawkSEM</v>
      </c>
      <c r="I44" s="11">
        <f>IFERROR(__xludf.DUMMYFUNCTION("""COMPUTED_VALUE"""),25.0)</f>
        <v>25</v>
      </c>
      <c r="J44" s="11">
        <f>IFERROR(__xludf.DUMMYFUNCTION("""COMPUTED_VALUE"""),0.02)</f>
        <v>0.02</v>
      </c>
      <c r="K44" s="11">
        <f>IFERROR(__xludf.DUMMYFUNCTION("""COMPUTED_VALUE"""),0.16)</f>
        <v>0.16</v>
      </c>
    </row>
    <row r="45" ht="15.75" customHeight="1">
      <c r="A45" s="10" t="str">
        <f>IFERROR(__xludf.DUMMYFUNCTION("""COMPUTED_VALUE"""),"https://www.agencycluster.com/top-25/branding-creative-agencies")</f>
        <v>https://www.agencycluster.com/top-25/branding-creative-agencies</v>
      </c>
      <c r="B45" s="11" t="str">
        <f>IFERROR(__xludf.DUMMYFUNCTION("""COMPUTED_VALUE"""),"Top 25 Branding &amp;amp; Creative Design Agencies in the USA (2026) | AgencyCluster")</f>
        <v>Top 25 Branding &amp;amp; Creative Design Agencies in the USA (2026) | AgencyCluster</v>
      </c>
      <c r="C45" s="10" t="str">
        <f>IFERROR(__xludf.DUMMYFUNCTION("""COMPUTED_VALUE"""),"agencycluster.com")</f>
        <v>agencycluster.com</v>
      </c>
      <c r="D45" s="11" t="str">
        <f>IFERROR(__xludf.DUMMYFUNCTION("""COMPUTED_VALUE"""),"LISTICLE")</f>
        <v>LISTICLE</v>
      </c>
      <c r="E45" s="11" t="str">
        <f>IFERROR(__xludf.DUMMYFUNCTION("""COMPUTED_VALUE"""),"REFERENCE")</f>
        <v>REFERENCE</v>
      </c>
      <c r="F45" s="11" t="str">
        <f>IFERROR(__xludf.DUMMYFUNCTION("""COMPUTED_VALUE"""),"Listicle")</f>
        <v>Listicle</v>
      </c>
      <c r="G45" s="11" t="b">
        <f>IFERROR(__xludf.DUMMYFUNCTION("""COMPUTED_VALUE"""),FALSE)</f>
        <v>0</v>
      </c>
      <c r="H45" s="11" t="str">
        <f>IFERROR(__xludf.DUMMYFUNCTION("""COMPUTED_VALUE"""),"Clay, Pentagram, R/GA, Wolff Olins, Wieden+Kennedy")</f>
        <v>Clay, Pentagram, R/GA, Wolff Olins, Wieden+Kennedy</v>
      </c>
      <c r="I45" s="11">
        <f>IFERROR(__xludf.DUMMYFUNCTION("""COMPUTED_VALUE"""),24.0)</f>
        <v>24</v>
      </c>
      <c r="J45" s="11">
        <f>IFERROR(__xludf.DUMMYFUNCTION("""COMPUTED_VALUE"""),0.02)</f>
        <v>0.02</v>
      </c>
      <c r="K45" s="11">
        <f>IFERROR(__xludf.DUMMYFUNCTION("""COMPUTED_VALUE"""),1.13)</f>
        <v>1.13</v>
      </c>
    </row>
    <row r="46" ht="15.75" customHeight="1">
      <c r="A46" s="10" t="str">
        <f>IFERROR(__xludf.DUMMYFUNCTION("""COMPUTED_VALUE"""),"https://www.alphaapexgroup.com/blog/top-ai-consulting-firms")</f>
        <v>https://www.alphaapexgroup.com/blog/top-ai-consulting-firms</v>
      </c>
      <c r="B46"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46" s="10" t="str">
        <f>IFERROR(__xludf.DUMMYFUNCTION("""COMPUTED_VALUE"""),"alphaapexgroup.com")</f>
        <v>alphaapexgroup.com</v>
      </c>
      <c r="D46" s="11" t="str">
        <f>IFERROR(__xludf.DUMMYFUNCTION("""COMPUTED_VALUE"""),"LISTICLE")</f>
        <v>LISTICLE</v>
      </c>
      <c r="E46" s="11" t="str">
        <f>IFERROR(__xludf.DUMMYFUNCTION("""COMPUTED_VALUE"""),"CORPORATE")</f>
        <v>CORPORATE</v>
      </c>
      <c r="F46" s="11" t="str">
        <f>IFERROR(__xludf.DUMMYFUNCTION("""COMPUTED_VALUE"""),"Listicle")</f>
        <v>Listicle</v>
      </c>
      <c r="G46" s="11" t="b">
        <f>IFERROR(__xludf.DUMMYFUNCTION("""COMPUTED_VALUE"""),FALSE)</f>
        <v>0</v>
      </c>
      <c r="H46" s="11" t="str">
        <f>IFERROR(__xludf.DUMMYFUNCTION("""COMPUTED_VALUE"""),"Artefact, McKinsey, QuantumBlack, Ogilvy, Clutch")</f>
        <v>Artefact, McKinsey, QuantumBlack, Ogilvy, Clutch</v>
      </c>
      <c r="I46" s="11">
        <f>IFERROR(__xludf.DUMMYFUNCTION("""COMPUTED_VALUE"""),24.0)</f>
        <v>24</v>
      </c>
      <c r="J46" s="11">
        <f>IFERROR(__xludf.DUMMYFUNCTION("""COMPUTED_VALUE"""),0.02)</f>
        <v>0.02</v>
      </c>
      <c r="K46" s="11">
        <f>IFERROR(__xludf.DUMMYFUNCTION("""COMPUTED_VALUE"""),1.04)</f>
        <v>1.04</v>
      </c>
    </row>
    <row r="47" ht="15.75" customHeight="1">
      <c r="A47" s="10" t="str">
        <f>IFERROR(__xludf.DUMMYFUNCTION("""COMPUTED_VALUE"""),"https://nogood.io/blog/marketing-agencies-usa/#:~:text=%2D%20NoGood.%20Born%20in%20New%20York%20City,%2D%20BBDO.%20%2D%20Digitas.%20%2D%20Disruptive%20Advertising.")</f>
        <v>https://nogood.io/blog/marketing-agencies-usa/#:~:text=%2D%20NoGood.%20Born%20in%20New%20York%20City,%2D%20BBDO.%20%2D%20Digitas.%20%2D%20Disruptive%20Advertising.</v>
      </c>
      <c r="B47" s="11" t="str">
        <f>IFERROR(__xludf.DUMMYFUNCTION("""COMPUTED_VALUE"""),"Top Digital Marketing Agencies In The USA (2026)")</f>
        <v>Top Digital Marketing Agencies In The USA (2026)</v>
      </c>
      <c r="C47" s="10" t="str">
        <f>IFERROR(__xludf.DUMMYFUNCTION("""COMPUTED_VALUE"""),"nogood.io")</f>
        <v>nogood.io</v>
      </c>
      <c r="D47" s="11" t="str">
        <f>IFERROR(__xludf.DUMMYFUNCTION("""COMPUTED_VALUE"""),"LISTICLE")</f>
        <v>LISTICLE</v>
      </c>
      <c r="E47" s="11" t="str">
        <f>IFERROR(__xludf.DUMMYFUNCTION("""COMPUTED_VALUE"""),"COMPETITOR")</f>
        <v>COMPETITOR</v>
      </c>
      <c r="F47" s="11" t="str">
        <f>IFERROR(__xludf.DUMMYFUNCTION("""COMPUTED_VALUE"""),"Listicle")</f>
        <v>Listicle</v>
      </c>
      <c r="G47" s="11" t="b">
        <f>IFERROR(__xludf.DUMMYFUNCTION("""COMPUTED_VALUE"""),FALSE)</f>
        <v>0</v>
      </c>
      <c r="H47" s="11" t="str">
        <f>IFERROR(__xludf.DUMMYFUNCTION("""COMPUTED_VALUE"""),"NoGood, Ogilvy, DEPT, Disruptive Advertising, Ignite Visibility, Clutch, IBM, BBDO, Digitas, Publicis Groupe, Wieden+Kennedy, Dentsu, Monks, Major Tom, LYFE Marketing, Funnel Boost Media, Metric Theory")</f>
        <v>NoGood, Ogilvy, DEPT, Disruptive Advertising, Ignite Visibility, Clutch, IBM, BBDO, Digitas, Publicis Groupe, Wieden+Kennedy, Dentsu, Monks, Major Tom, LYFE Marketing, Funnel Boost Media, Metric Theory</v>
      </c>
      <c r="I47" s="11">
        <f>IFERROR(__xludf.DUMMYFUNCTION("""COMPUTED_VALUE"""),24.0)</f>
        <v>24</v>
      </c>
      <c r="J47" s="11">
        <f>IFERROR(__xludf.DUMMYFUNCTION("""COMPUTED_VALUE"""),0.02)</f>
        <v>0.02</v>
      </c>
      <c r="K47" s="11">
        <f>IFERROR(__xludf.DUMMYFUNCTION("""COMPUTED_VALUE"""),2.25)</f>
        <v>2.25</v>
      </c>
    </row>
    <row r="48" ht="15.75" customHeight="1">
      <c r="A48" s="10" t="str">
        <f>IFERROR(__xludf.DUMMYFUNCTION("""COMPUTED_VALUE"""),"https://www.revvgrowth.com/aeo/aeo-agency-in-usa")</f>
        <v>https://www.revvgrowth.com/aeo/aeo-agency-in-usa</v>
      </c>
      <c r="B48" s="11" t="str">
        <f>IFERROR(__xludf.DUMMYFUNCTION("""COMPUTED_VALUE"""),"AEO | Discover the 10 Best AEO Agencies in the USA for AI Visibility")</f>
        <v>AEO | Discover the 10 Best AEO Agencies in the USA for AI Visibility</v>
      </c>
      <c r="C48" s="10" t="str">
        <f>IFERROR(__xludf.DUMMYFUNCTION("""COMPUTED_VALUE"""),"revvgrowth.com")</f>
        <v>revvgrowth.com</v>
      </c>
      <c r="D48" s="11" t="str">
        <f>IFERROR(__xludf.DUMMYFUNCTION("""COMPUTED_VALUE"""),"LISTICLE")</f>
        <v>LISTICLE</v>
      </c>
      <c r="E48" s="11" t="str">
        <f>IFERROR(__xludf.DUMMYFUNCTION("""COMPUTED_VALUE"""),"CORPORATE")</f>
        <v>CORPORATE</v>
      </c>
      <c r="F48" s="11" t="str">
        <f>IFERROR(__xludf.DUMMYFUNCTION("""COMPUTED_VALUE"""),"Listicle")</f>
        <v>Listicle</v>
      </c>
      <c r="G48" s="11" t="b">
        <f>IFERROR(__xludf.DUMMYFUNCTION("""COMPUTED_VALUE"""),FALSE)</f>
        <v>0</v>
      </c>
      <c r="H48" s="11" t="str">
        <f>IFERROR(__xludf.DUMMYFUNCTION("""COMPUTED_VALUE"""),"RevenueZen, Omniscient Digital, iPullRank, WebFX, First Page Sage, Single Grain, Avenue Z, NoGood, Siege Media, Clutch")</f>
        <v>RevenueZen, Omniscient Digital, iPullRank, WebFX, First Page Sage, Single Grain, Avenue Z, NoGood, Siege Media, Clutch</v>
      </c>
      <c r="I48" s="11">
        <f>IFERROR(__xludf.DUMMYFUNCTION("""COMPUTED_VALUE"""),24.0)</f>
        <v>24</v>
      </c>
      <c r="J48" s="11">
        <f>IFERROR(__xludf.DUMMYFUNCTION("""COMPUTED_VALUE"""),0.02)</f>
        <v>0.02</v>
      </c>
      <c r="K48" s="11">
        <f>IFERROR(__xludf.DUMMYFUNCTION("""COMPUTED_VALUE"""),0.79)</f>
        <v>0.79</v>
      </c>
    </row>
    <row r="49" ht="15.75" customHeight="1">
      <c r="A49" s="10" t="str">
        <f>IFERROR(__xludf.DUMMYFUNCTION("""COMPUTED_VALUE"""),"https://sociallyin.com/resources/top-google-ads-agencies-us/")</f>
        <v>https://sociallyin.com/resources/top-google-ads-agencies-us/</v>
      </c>
      <c r="B49" s="11" t="str">
        <f>IFERROR(__xludf.DUMMYFUNCTION("""COMPUTED_VALUE"""),"Top 15 Google Ads Agencies in the US: 2026 Review")</f>
        <v>Top 15 Google Ads Agencies in the US: 2026 Review</v>
      </c>
      <c r="C49" s="10" t="str">
        <f>IFERROR(__xludf.DUMMYFUNCTION("""COMPUTED_VALUE"""),"sociallyin.com")</f>
        <v>sociallyin.com</v>
      </c>
      <c r="D49" s="11" t="str">
        <f>IFERROR(__xludf.DUMMYFUNCTION("""COMPUTED_VALUE"""),"LISTICLE")</f>
        <v>LISTICLE</v>
      </c>
      <c r="E49" s="11" t="str">
        <f>IFERROR(__xludf.DUMMYFUNCTION("""COMPUTED_VALUE"""),"COMPETITOR")</f>
        <v>COMPETITOR</v>
      </c>
      <c r="F49" s="11" t="str">
        <f>IFERROR(__xludf.DUMMYFUNCTION("""COMPUTED_VALUE"""),"Listicle")</f>
        <v>Listicle</v>
      </c>
      <c r="G49" s="11" t="b">
        <f>IFERROR(__xludf.DUMMYFUNCTION("""COMPUTED_VALUE"""),FALSE)</f>
        <v>0</v>
      </c>
      <c r="H49" s="11" t="str">
        <f>IFERROR(__xludf.DUMMYFUNCTION("""COMPUTED_VALUE"""),"Sociallyin, WebFX, SmartSites, AdVenture Media, Ignite Visibility, Disruptive Advertising, KlientBoost, Single Grain, Thrive Internet Marketing Agency, Measured")</f>
        <v>Sociallyin, WebFX, SmartSites, AdVenture Media, Ignite Visibility, Disruptive Advertising, KlientBoost, Single Grain, Thrive Internet Marketing Agency, Measured</v>
      </c>
      <c r="I49" s="11">
        <f>IFERROR(__xludf.DUMMYFUNCTION("""COMPUTED_VALUE"""),24.0)</f>
        <v>24</v>
      </c>
      <c r="J49" s="11">
        <f>IFERROR(__xludf.DUMMYFUNCTION("""COMPUTED_VALUE"""),0.02)</f>
        <v>0.02</v>
      </c>
      <c r="K49" s="11">
        <f>IFERROR(__xludf.DUMMYFUNCTION("""COMPUTED_VALUE"""),1.38)</f>
        <v>1.38</v>
      </c>
    </row>
    <row r="50" ht="15.75" customHeight="1">
      <c r="A50" s="10" t="str">
        <f>IFERROR(__xludf.DUMMYFUNCTION("""COMPUTED_VALUE"""),"https://www.solved6.com/blogs/best-digital-marketing-agencies-usa-2026_report")</f>
        <v>https://www.solved6.com/blogs/best-digital-marketing-agencies-usa-2026_report</v>
      </c>
      <c r="B50" s="11" t="str">
        <f>IFERROR(__xludf.DUMMYFUNCTION("""COMPUTED_VALUE"""),"The 7 Best Digital Marketing Agencies in the USA (2026 Rankings) - BrightEdge")</f>
        <v>The 7 Best Digital Marketing Agencies in the USA (2026 Rankings) - BrightEdge</v>
      </c>
      <c r="C50" s="10" t="str">
        <f>IFERROR(__xludf.DUMMYFUNCTION("""COMPUTED_VALUE"""),"solved6.com")</f>
        <v>solved6.com</v>
      </c>
      <c r="D50" s="11" t="str">
        <f>IFERROR(__xludf.DUMMYFUNCTION("""COMPUTED_VALUE"""),"LISTICLE")</f>
        <v>LISTICLE</v>
      </c>
      <c r="E50" s="11" t="str">
        <f>IFERROR(__xludf.DUMMYFUNCTION("""COMPUTED_VALUE"""),"CORPORATE")</f>
        <v>CORPORATE</v>
      </c>
      <c r="F50" s="11" t="str">
        <f>IFERROR(__xludf.DUMMYFUNCTION("""COMPUTED_VALUE"""),"Listicle")</f>
        <v>Listicle</v>
      </c>
      <c r="G50" s="11" t="b">
        <f>IFERROR(__xludf.DUMMYFUNCTION("""COMPUTED_VALUE"""),FALSE)</f>
        <v>0</v>
      </c>
      <c r="H50" s="11" t="str">
        <f>IFERROR(__xludf.DUMMYFUNCTION("""COMPUTED_VALUE"""),"NoGood, Disruptive Advertising, Clutch, New Engen, Wieden+Kennedy")</f>
        <v>NoGood, Disruptive Advertising, Clutch, New Engen, Wieden+Kennedy</v>
      </c>
      <c r="I50" s="11">
        <f>IFERROR(__xludf.DUMMYFUNCTION("""COMPUTED_VALUE"""),24.0)</f>
        <v>24</v>
      </c>
      <c r="J50" s="11">
        <f>IFERROR(__xludf.DUMMYFUNCTION("""COMPUTED_VALUE"""),0.02)</f>
        <v>0.02</v>
      </c>
      <c r="K50" s="11">
        <f>IFERROR(__xludf.DUMMYFUNCTION("""COMPUTED_VALUE"""),1.46)</f>
        <v>1.46</v>
      </c>
    </row>
    <row r="51" ht="15.75" customHeight="1">
      <c r="A51" s="10" t="str">
        <f>IFERROR(__xludf.DUMMYFUNCTION("""COMPUTED_VALUE"""),"https://www.uforocks.com/blog/top-ai-marketing-agencies-in-the-u-s/")</f>
        <v>https://www.uforocks.com/blog/top-ai-marketing-agencies-in-the-u-s/</v>
      </c>
      <c r="B51" s="11" t="str">
        <f>IFERROR(__xludf.DUMMYFUNCTION("""COMPUTED_VALUE"""),"Top AI Marketing Agencies in the U.S. - UFO Digital Marketing Agency")</f>
        <v>Top AI Marketing Agencies in the U.S. - UFO Digital Marketing Agency</v>
      </c>
      <c r="C51" s="10" t="str">
        <f>IFERROR(__xludf.DUMMYFUNCTION("""COMPUTED_VALUE"""),"uforocks.com")</f>
        <v>uforocks.com</v>
      </c>
      <c r="D51" s="11" t="str">
        <f>IFERROR(__xludf.DUMMYFUNCTION("""COMPUTED_VALUE"""),"LISTICLE")</f>
        <v>LISTICLE</v>
      </c>
      <c r="E51" s="11" t="str">
        <f>IFERROR(__xludf.DUMMYFUNCTION("""COMPUTED_VALUE"""),"CORPORATE")</f>
        <v>CORPORATE</v>
      </c>
      <c r="F51" s="11" t="str">
        <f>IFERROR(__xludf.DUMMYFUNCTION("""COMPUTED_VALUE"""),"Listicle")</f>
        <v>Listicle</v>
      </c>
      <c r="G51" s="11" t="b">
        <f>IFERROR(__xludf.DUMMYFUNCTION("""COMPUTED_VALUE"""),FALSE)</f>
        <v>0</v>
      </c>
      <c r="H51" s="11" t="str">
        <f>IFERROR(__xludf.DUMMYFUNCTION("""COMPUTED_VALUE"""),"NoGood, SmartSites, Single Grain, IBM, NP Digital, Tinuiti, WebFX, Wpromote, Clay")</f>
        <v>NoGood, SmartSites, Single Grain, IBM, NP Digital, Tinuiti, WebFX, Wpromote, Clay</v>
      </c>
      <c r="I51" s="11">
        <f>IFERROR(__xludf.DUMMYFUNCTION("""COMPUTED_VALUE"""),24.0)</f>
        <v>24</v>
      </c>
      <c r="J51" s="11">
        <f>IFERROR(__xludf.DUMMYFUNCTION("""COMPUTED_VALUE"""),0.02)</f>
        <v>0.02</v>
      </c>
      <c r="K51" s="11">
        <f>IFERROR(__xludf.DUMMYFUNCTION("""COMPUTED_VALUE"""),0.38)</f>
        <v>0.38</v>
      </c>
    </row>
    <row r="52" ht="15.75" customHeight="1">
      <c r="A52" s="10" t="str">
        <f>IFERROR(__xludf.DUMMYFUNCTION("""COMPUTED_VALUE"""),"https://aeovision.ai/articles/best-aeo-geo-agencies-2026/")</f>
        <v>https://aeovision.ai/articles/best-aeo-geo-agencies-2026/</v>
      </c>
      <c r="B52" s="11" t="str">
        <f>IFERROR(__xludf.DUMMYFUNCTION("""COMPUTED_VALUE"""),"Best 60+ AEO/GEO Agencies in 2026 (US, Europe &amp;amp; Asia Directory) | AEO Vision")</f>
        <v>Best 60+ AEO/GEO Agencies in 2026 (US, Europe &amp;amp; Asia Directory) | AEO Vision</v>
      </c>
      <c r="C52" s="10" t="str">
        <f>IFERROR(__xludf.DUMMYFUNCTION("""COMPUTED_VALUE"""),"aeovision.ai")</f>
        <v>aeovision.ai</v>
      </c>
      <c r="D52" s="11" t="str">
        <f>IFERROR(__xludf.DUMMYFUNCTION("""COMPUTED_VALUE"""),"LISTICLE")</f>
        <v>LISTICLE</v>
      </c>
      <c r="E52" s="11" t="str">
        <f>IFERROR(__xludf.DUMMYFUNCTION("""COMPUTED_VALUE"""),"CORPORATE")</f>
        <v>CORPORATE</v>
      </c>
      <c r="F52" s="11" t="str">
        <f>IFERROR(__xludf.DUMMYFUNCTION("""COMPUTED_VALUE"""),"Listicle")</f>
        <v>Listicle</v>
      </c>
      <c r="G52" s="11" t="b">
        <f>IFERROR(__xludf.DUMMYFUNCTION("""COMPUTED_VALUE"""),FALSE)</f>
        <v>0</v>
      </c>
      <c r="H52" s="11" t="str">
        <f>IFERROR(__xludf.DUMMYFUNCTION("""COMPUTED_VALUE"""),"First Page Sage, iPullRank, Siege Media, Omniscient Digital, Optimist, NoGood, Directive, Animalz, RevenueZen, Single Grain, Avenue Z, Darkroom, Wpromote, Amsive, Discovered Labs")</f>
        <v>First Page Sage, iPullRank, Siege Media, Omniscient Digital, Optimist, NoGood, Directive, Animalz, RevenueZen, Single Grain, Avenue Z, Darkroom, Wpromote, Amsive, Discovered Labs</v>
      </c>
      <c r="I52" s="11">
        <f>IFERROR(__xludf.DUMMYFUNCTION("""COMPUTED_VALUE"""),23.0)</f>
        <v>23</v>
      </c>
      <c r="J52" s="11">
        <f>IFERROR(__xludf.DUMMYFUNCTION("""COMPUTED_VALUE"""),0.02)</f>
        <v>0.02</v>
      </c>
      <c r="K52" s="11">
        <f>IFERROR(__xludf.DUMMYFUNCTION("""COMPUTED_VALUE"""),0.39)</f>
        <v>0.39</v>
      </c>
    </row>
    <row r="53" ht="15.75" customHeight="1">
      <c r="A53" s="10" t="str">
        <f>IFERROR(__xludf.DUMMYFUNCTION("""COMPUTED_VALUE"""),"https://www.haus.io/blog/choosing-the-best-incrementality-testing-tool")</f>
        <v>https://www.haus.io/blog/choosing-the-best-incrementality-testing-tool</v>
      </c>
      <c r="B53" s="11" t="str">
        <f>IFERROR(__xludf.DUMMYFUNCTION("""COMPUTED_VALUE"""),"Incrementality Testing: How to Choose the Best Tool")</f>
        <v>Incrementality Testing: How to Choose the Best Tool</v>
      </c>
      <c r="C53" s="10" t="str">
        <f>IFERROR(__xludf.DUMMYFUNCTION("""COMPUTED_VALUE"""),"haus.io")</f>
        <v>haus.io</v>
      </c>
      <c r="D53" s="11" t="str">
        <f>IFERROR(__xludf.DUMMYFUNCTION("""COMPUTED_VALUE"""),"LISTICLE")</f>
        <v>LISTICLE</v>
      </c>
      <c r="E53" s="11" t="str">
        <f>IFERROR(__xludf.DUMMYFUNCTION("""COMPUTED_VALUE"""),"COMPETITOR")</f>
        <v>COMPETITOR</v>
      </c>
      <c r="F53" s="11" t="str">
        <f>IFERROR(__xludf.DUMMYFUNCTION("""COMPUTED_VALUE"""),"Listicle")</f>
        <v>Listicle</v>
      </c>
      <c r="G53" s="11" t="b">
        <f>IFERROR(__xludf.DUMMYFUNCTION("""COMPUTED_VALUE"""),FALSE)</f>
        <v>0</v>
      </c>
      <c r="H53" s="11" t="str">
        <f>IFERROR(__xludf.DUMMYFUNCTION("""COMPUTED_VALUE"""),"Haus, Anomaly")</f>
        <v>Haus, Anomaly</v>
      </c>
      <c r="I53" s="11">
        <f>IFERROR(__xludf.DUMMYFUNCTION("""COMPUTED_VALUE"""),23.0)</f>
        <v>23</v>
      </c>
      <c r="J53" s="11">
        <f>IFERROR(__xludf.DUMMYFUNCTION("""COMPUTED_VALUE"""),0.02)</f>
        <v>0.02</v>
      </c>
      <c r="K53" s="11">
        <f>IFERROR(__xludf.DUMMYFUNCTION("""COMPUTED_VALUE"""),0.57)</f>
        <v>0.57</v>
      </c>
    </row>
    <row r="54" ht="15.75" customHeight="1">
      <c r="A54" s="10" t="str">
        <f>IFERROR(__xludf.DUMMYFUNCTION("""COMPUTED_VALUE"""),"https://www.rankshift.ai/blog/best-geo-agencies/")</f>
        <v>https://www.rankshift.ai/blog/best-geo-agencies/</v>
      </c>
      <c r="B54" s="11" t="str">
        <f>IFERROR(__xludf.DUMMYFUNCTION("""COMPUTED_VALUE"""),"20 Best GEO Agencies in 2026 for Generative Engine Optimization")</f>
        <v>20 Best GEO Agencies in 2026 for Generative Engine Optimization</v>
      </c>
      <c r="C54" s="10" t="str">
        <f>IFERROR(__xludf.DUMMYFUNCTION("""COMPUTED_VALUE"""),"rankshift.ai")</f>
        <v>rankshift.ai</v>
      </c>
      <c r="D54" s="11" t="str">
        <f>IFERROR(__xludf.DUMMYFUNCTION("""COMPUTED_VALUE"""),"LISTICLE")</f>
        <v>LISTICLE</v>
      </c>
      <c r="E54" s="11" t="str">
        <f>IFERROR(__xludf.DUMMYFUNCTION("""COMPUTED_VALUE"""),"CORPORATE")</f>
        <v>CORPORATE</v>
      </c>
      <c r="F54" s="11" t="str">
        <f>IFERROR(__xludf.DUMMYFUNCTION("""COMPUTED_VALUE"""),"Listicle")</f>
        <v>Listicle</v>
      </c>
      <c r="G54" s="11" t="b">
        <f>IFERROR(__xludf.DUMMYFUNCTION("""COMPUTED_VALUE"""),FALSE)</f>
        <v>0</v>
      </c>
      <c r="H54" s="11" t="str">
        <f>IFERROR(__xludf.DUMMYFUNCTION("""COMPUTED_VALUE"""),"Graphite, Seer Interactive, Go Fish Digital, iPullRank, WebFX, Clutch")</f>
        <v>Graphite, Seer Interactive, Go Fish Digital, iPullRank, WebFX, Clutch</v>
      </c>
      <c r="I54" s="11">
        <f>IFERROR(__xludf.DUMMYFUNCTION("""COMPUTED_VALUE"""),23.0)</f>
        <v>23</v>
      </c>
      <c r="J54" s="11">
        <f>IFERROR(__xludf.DUMMYFUNCTION("""COMPUTED_VALUE"""),0.02)</f>
        <v>0.02</v>
      </c>
      <c r="K54" s="11">
        <f>IFERROR(__xludf.DUMMYFUNCTION("""COMPUTED_VALUE"""),0.74)</f>
        <v>0.74</v>
      </c>
    </row>
    <row r="55" ht="15.75" customHeight="1">
      <c r="A55" s="10" t="str">
        <f>IFERROR(__xludf.DUMMYFUNCTION("""COMPUTED_VALUE"""),"https://www.silverbackstrategies.com/lists/best-ai-search-agencies-in-2026-ranked-reviewed/")</f>
        <v>https://www.silverbackstrategies.com/lists/best-ai-search-agencies-in-2026-ranked-reviewed/</v>
      </c>
      <c r="B55" s="11" t="str">
        <f>IFERROR(__xludf.DUMMYFUNCTION("""COMPUTED_VALUE"""),"Best AI Search Agencies in 2026 (Ranked &amp;amp; Reviewed) | Silverback Strategies")</f>
        <v>Best AI Search Agencies in 2026 (Ranked &amp;amp; Reviewed) | Silverback Strategies</v>
      </c>
      <c r="C55" s="10" t="str">
        <f>IFERROR(__xludf.DUMMYFUNCTION("""COMPUTED_VALUE"""),"silverbackstrategies.com")</f>
        <v>silverbackstrategies.com</v>
      </c>
      <c r="D55" s="11" t="str">
        <f>IFERROR(__xludf.DUMMYFUNCTION("""COMPUTED_VALUE"""),"LISTICLE")</f>
        <v>LISTICLE</v>
      </c>
      <c r="E55" s="11" t="str">
        <f>IFERROR(__xludf.DUMMYFUNCTION("""COMPUTED_VALUE"""),"COMPETITOR")</f>
        <v>COMPETITOR</v>
      </c>
      <c r="F55" s="11" t="str">
        <f>IFERROR(__xludf.DUMMYFUNCTION("""COMPUTED_VALUE"""),"Listicle")</f>
        <v>Listicle</v>
      </c>
      <c r="G55" s="11" t="b">
        <f>IFERROR(__xludf.DUMMYFUNCTION("""COMPUTED_VALUE"""),FALSE)</f>
        <v>0</v>
      </c>
      <c r="H55" s="11" t="str">
        <f>IFERROR(__xludf.DUMMYFUNCTION("""COMPUTED_VALUE"""),"Silverback Strategies, Clutch, WebFX, Directive, Brainlabs, Omniscient Digital, Measured")</f>
        <v>Silverback Strategies, Clutch, WebFX, Directive, Brainlabs, Omniscient Digital, Measured</v>
      </c>
      <c r="I55" s="11">
        <f>IFERROR(__xludf.DUMMYFUNCTION("""COMPUTED_VALUE"""),23.0)</f>
        <v>23</v>
      </c>
      <c r="J55" s="11">
        <f>IFERROR(__xludf.DUMMYFUNCTION("""COMPUTED_VALUE"""),0.02)</f>
        <v>0.02</v>
      </c>
      <c r="K55" s="11">
        <f>IFERROR(__xludf.DUMMYFUNCTION("""COMPUTED_VALUE"""),1.0)</f>
        <v>1</v>
      </c>
    </row>
    <row r="56" ht="15.75" customHeight="1">
      <c r="A56" s="10" t="str">
        <f>IFERROR(__xludf.DUMMYFUNCTION("""COMPUTED_VALUE"""),"https://thriveagency.com/news/top-generative-engine-optimization-geo-agencies/")</f>
        <v>https://thriveagency.com/news/top-generative-engine-optimization-geo-agencies/</v>
      </c>
      <c r="B56" s="11" t="str">
        <f>IFERROR(__xludf.DUMMYFUNCTION("""COMPUTED_VALUE"""),"10 Top Generative Engine Optimization (GEO) Agencies in 2026")</f>
        <v>10 Top Generative Engine Optimization (GEO) Agencies in 2026</v>
      </c>
      <c r="C56" s="10" t="str">
        <f>IFERROR(__xludf.DUMMYFUNCTION("""COMPUTED_VALUE"""),"thriveagency.com")</f>
        <v>thriveagency.com</v>
      </c>
      <c r="D56" s="11" t="str">
        <f>IFERROR(__xludf.DUMMYFUNCTION("""COMPUTED_VALUE"""),"LISTICLE")</f>
        <v>LISTICLE</v>
      </c>
      <c r="E56" s="11" t="str">
        <f>IFERROR(__xludf.DUMMYFUNCTION("""COMPUTED_VALUE"""),"COMPETITOR")</f>
        <v>COMPETITOR</v>
      </c>
      <c r="F56" s="11" t="str">
        <f>IFERROR(__xludf.DUMMYFUNCTION("""COMPUTED_VALUE"""),"Listicle")</f>
        <v>Listicle</v>
      </c>
      <c r="G56" s="11" t="b">
        <f>IFERROR(__xludf.DUMMYFUNCTION("""COMPUTED_VALUE"""),FALSE)</f>
        <v>0</v>
      </c>
      <c r="H56" s="11" t="str">
        <f>IFERROR(__xludf.DUMMYFUNCTION("""COMPUTED_VALUE"""),"Thrive Internet Marketing Agency, Siege Media, Victorious, Power Digital, Percepture, Go Fish Digital, Directive, Measured")</f>
        <v>Thrive Internet Marketing Agency, Siege Media, Victorious, Power Digital, Percepture, Go Fish Digital, Directive, Measured</v>
      </c>
      <c r="I56" s="11">
        <f>IFERROR(__xludf.DUMMYFUNCTION("""COMPUTED_VALUE"""),23.0)</f>
        <v>23</v>
      </c>
      <c r="J56" s="11">
        <f>IFERROR(__xludf.DUMMYFUNCTION("""COMPUTED_VALUE"""),0.02)</f>
        <v>0.02</v>
      </c>
      <c r="K56" s="11">
        <f>IFERROR(__xludf.DUMMYFUNCTION("""COMPUTED_VALUE"""),0.91)</f>
        <v>0.91</v>
      </c>
    </row>
    <row r="57" ht="15.75" customHeight="1">
      <c r="A57" s="10" t="str">
        <f>IFERROR(__xludf.DUMMYFUNCTION("""COMPUTED_VALUE"""),"https://www.yesoptimist.com/best-ai-seo-agencies/")</f>
        <v>https://www.yesoptimist.com/best-ai-seo-agencies/</v>
      </c>
      <c r="B57" s="11" t="str">
        <f>IFERROR(__xludf.DUMMYFUNCTION("""COMPUTED_VALUE"""),"The 7 Best AI SEO Agencies Helping Clients Win AI Search in 2026 | Optimist")</f>
        <v>The 7 Best AI SEO Agencies Helping Clients Win AI Search in 2026 | Optimist</v>
      </c>
      <c r="C57" s="10" t="str">
        <f>IFERROR(__xludf.DUMMYFUNCTION("""COMPUTED_VALUE"""),"yesoptimist.com")</f>
        <v>yesoptimist.com</v>
      </c>
      <c r="D57" s="11" t="str">
        <f>IFERROR(__xludf.DUMMYFUNCTION("""COMPUTED_VALUE"""),"LISTICLE")</f>
        <v>LISTICLE</v>
      </c>
      <c r="E57" s="11" t="str">
        <f>IFERROR(__xludf.DUMMYFUNCTION("""COMPUTED_VALUE"""),"COMPETITOR")</f>
        <v>COMPETITOR</v>
      </c>
      <c r="F57" s="11" t="str">
        <f>IFERROR(__xludf.DUMMYFUNCTION("""COMPUTED_VALUE"""),"Listicle")</f>
        <v>Listicle</v>
      </c>
      <c r="G57" s="11" t="b">
        <f>IFERROR(__xludf.DUMMYFUNCTION("""COMPUTED_VALUE"""),FALSE)</f>
        <v>0</v>
      </c>
      <c r="H57" s="11" t="str">
        <f>IFERROR(__xludf.DUMMYFUNCTION("""COMPUTED_VALUE"""),"Measured, Optimist, iPullRank, Omniscient Digital, RevenueZen, Siege Media, Single Grain, Clutch, Seer Interactive, Intero Digital")</f>
        <v>Measured, Optimist, iPullRank, Omniscient Digital, RevenueZen, Siege Media, Single Grain, Clutch, Seer Interactive, Intero Digital</v>
      </c>
      <c r="I57" s="11">
        <f>IFERROR(__xludf.DUMMYFUNCTION("""COMPUTED_VALUE"""),23.0)</f>
        <v>23</v>
      </c>
      <c r="J57" s="11">
        <f>IFERROR(__xludf.DUMMYFUNCTION("""COMPUTED_VALUE"""),0.02)</f>
        <v>0.02</v>
      </c>
      <c r="K57" s="11">
        <f>IFERROR(__xludf.DUMMYFUNCTION("""COMPUTED_VALUE"""),2.43)</f>
        <v>2.43</v>
      </c>
    </row>
    <row r="58" ht="15.75" customHeight="1">
      <c r="A58" s="10" t="str">
        <f>IFERROR(__xludf.DUMMYFUNCTION("""COMPUTED_VALUE"""),"https://www.growthspreeofficial.com/blogs/top-6-ai-powered-b2b-saas-marketing-agencies-in-the-united-states-2026")</f>
        <v>https://www.growthspreeofficial.com/blogs/top-6-ai-powered-b2b-saas-marketing-agencies-in-the-united-states-2026</v>
      </c>
      <c r="B58" s="11" t="str">
        <f>IFERROR(__xludf.DUMMYFUNCTION("""COMPUTED_VALUE"""),"Top 6 AI-Powered B2B SaaS Marketing Agencies USA 2026")</f>
        <v>Top 6 AI-Powered B2B SaaS Marketing Agencies USA 2026</v>
      </c>
      <c r="C58" s="10" t="str">
        <f>IFERROR(__xludf.DUMMYFUNCTION("""COMPUTED_VALUE"""),"growthspreeofficial.com")</f>
        <v>growthspreeofficial.com</v>
      </c>
      <c r="D58" s="11" t="str">
        <f>IFERROR(__xludf.DUMMYFUNCTION("""COMPUTED_VALUE"""),"LISTICLE")</f>
        <v>LISTICLE</v>
      </c>
      <c r="E58" s="11" t="str">
        <f>IFERROR(__xludf.DUMMYFUNCTION("""COMPUTED_VALUE"""),"CORPORATE")</f>
        <v>CORPORATE</v>
      </c>
      <c r="F58" s="11" t="str">
        <f>IFERROR(__xludf.DUMMYFUNCTION("""COMPUTED_VALUE"""),"Listicle")</f>
        <v>Listicle</v>
      </c>
      <c r="G58" s="11" t="b">
        <f>IFERROR(__xludf.DUMMYFUNCTION("""COMPUTED_VALUE"""),FALSE)</f>
        <v>0</v>
      </c>
      <c r="H58" s="11" t="str">
        <f>IFERROR(__xludf.DUMMYFUNCTION("""COMPUTED_VALUE"""),"GrowthSpree, Clutch, Measured")</f>
        <v>GrowthSpree, Clutch, Measured</v>
      </c>
      <c r="I58" s="11">
        <f>IFERROR(__xludf.DUMMYFUNCTION("""COMPUTED_VALUE"""),22.0)</f>
        <v>22</v>
      </c>
      <c r="J58" s="11">
        <f>IFERROR(__xludf.DUMMYFUNCTION("""COMPUTED_VALUE"""),0.02)</f>
        <v>0.02</v>
      </c>
      <c r="K58" s="11">
        <f>IFERROR(__xludf.DUMMYFUNCTION("""COMPUTED_VALUE"""),1.45)</f>
        <v>1.45</v>
      </c>
    </row>
    <row r="59" ht="15.75" customHeight="1">
      <c r="A59" s="10" t="str">
        <f>IFERROR(__xludf.DUMMYFUNCTION("""COMPUTED_VALUE"""),"https://lifesight.io/blog/best-incrementality-testing-tools/")</f>
        <v>https://lifesight.io/blog/best-incrementality-testing-tools/</v>
      </c>
      <c r="B59" s="11" t="str">
        <f>IFERROR(__xludf.DUMMYFUNCTION("""COMPUTED_VALUE"""),"6 Best Incrementality Testing Tools in 2025 [UPDATED] - Lifesight")</f>
        <v>6 Best Incrementality Testing Tools in 2025 [UPDATED] - Lifesight</v>
      </c>
      <c r="C59" s="10" t="str">
        <f>IFERROR(__xludf.DUMMYFUNCTION("""COMPUTED_VALUE"""),"lifesight.io")</f>
        <v>lifesight.io</v>
      </c>
      <c r="D59" s="11" t="str">
        <f>IFERROR(__xludf.DUMMYFUNCTION("""COMPUTED_VALUE"""),"LISTICLE")</f>
        <v>LISTICLE</v>
      </c>
      <c r="E59" s="11" t="str">
        <f>IFERROR(__xludf.DUMMYFUNCTION("""COMPUTED_VALUE"""),"COMPETITOR")</f>
        <v>COMPETITOR</v>
      </c>
      <c r="F59" s="11" t="str">
        <f>IFERROR(__xludf.DUMMYFUNCTION("""COMPUTED_VALUE"""),"Listicle")</f>
        <v>Listicle</v>
      </c>
      <c r="G59" s="11" t="b">
        <f>IFERROR(__xludf.DUMMYFUNCTION("""COMPUTED_VALUE"""),FALSE)</f>
        <v>0</v>
      </c>
      <c r="H59" s="11" t="str">
        <f>IFERROR(__xludf.DUMMYFUNCTION("""COMPUTED_VALUE"""),"LifeSight, Haus, Measured, Recast, LiftLab, Northbeam, Triple Whale")</f>
        <v>LifeSight, Haus, Measured, Recast, LiftLab, Northbeam, Triple Whale</v>
      </c>
      <c r="I59" s="11">
        <f>IFERROR(__xludf.DUMMYFUNCTION("""COMPUTED_VALUE"""),22.0)</f>
        <v>22</v>
      </c>
      <c r="J59" s="11">
        <f>IFERROR(__xludf.DUMMYFUNCTION("""COMPUTED_VALUE"""),0.02)</f>
        <v>0.02</v>
      </c>
      <c r="K59" s="11">
        <f>IFERROR(__xludf.DUMMYFUNCTION("""COMPUTED_VALUE"""),0.77)</f>
        <v>0.77</v>
      </c>
    </row>
    <row r="60" ht="15.75" customHeight="1">
      <c r="A60" s="10" t="str">
        <f>IFERROR(__xludf.DUMMYFUNCTION("""COMPUTED_VALUE"""),"https://www.lyfemarketing.com/blog/top-paid-media-agencies-us/")</f>
        <v>https://www.lyfemarketing.com/blog/top-paid-media-agencies-us/</v>
      </c>
      <c r="B60" s="11" t="str">
        <f>IFERROR(__xludf.DUMMYFUNCTION("""COMPUTED_VALUE"""),"Top 20 Paid Media Agencies In The US 2026")</f>
        <v>Top 20 Paid Media Agencies In The US 2026</v>
      </c>
      <c r="C60" s="10" t="str">
        <f>IFERROR(__xludf.DUMMYFUNCTION("""COMPUTED_VALUE"""),"lyfemarketing.com")</f>
        <v>lyfemarketing.com</v>
      </c>
      <c r="D60" s="11" t="str">
        <f>IFERROR(__xludf.DUMMYFUNCTION("""COMPUTED_VALUE"""),"LISTICLE")</f>
        <v>LISTICLE</v>
      </c>
      <c r="E60" s="11" t="str">
        <f>IFERROR(__xludf.DUMMYFUNCTION("""COMPUTED_VALUE"""),"CORPORATE")</f>
        <v>CORPORATE</v>
      </c>
      <c r="F60" s="11" t="str">
        <f>IFERROR(__xludf.DUMMYFUNCTION("""COMPUTED_VALUE"""),"Listicle")</f>
        <v>Listicle</v>
      </c>
      <c r="G60" s="11" t="b">
        <f>IFERROR(__xludf.DUMMYFUNCTION("""COMPUTED_VALUE"""),FALSE)</f>
        <v>0</v>
      </c>
      <c r="H60" s="11" t="str">
        <f>IFERROR(__xludf.DUMMYFUNCTION("""COMPUTED_VALUE"""),"LYFE Marketing, Marcel Digital, Power Digital, Anomaly, Tinuiti")</f>
        <v>LYFE Marketing, Marcel Digital, Power Digital, Anomaly, Tinuiti</v>
      </c>
      <c r="I60" s="11">
        <f>IFERROR(__xludf.DUMMYFUNCTION("""COMPUTED_VALUE"""),22.0)</f>
        <v>22</v>
      </c>
      <c r="J60" s="11">
        <f>IFERROR(__xludf.DUMMYFUNCTION("""COMPUTED_VALUE"""),0.02)</f>
        <v>0.02</v>
      </c>
      <c r="K60" s="11">
        <f>IFERROR(__xludf.DUMMYFUNCTION("""COMPUTED_VALUE"""),0.82)</f>
        <v>0.82</v>
      </c>
    </row>
    <row r="61" ht="15.75" customHeight="1">
      <c r="A61" s="10" t="str">
        <f>IFERROR(__xludf.DUMMYFUNCTION("""COMPUTED_VALUE"""),"https://thesocialshepherd.com/blog/top-creative-agencies-us")</f>
        <v>https://thesocialshepherd.com/blog/top-creative-agencies-us</v>
      </c>
      <c r="B61" s="11" t="str">
        <f>IFERROR(__xludf.DUMMYFUNCTION("""COMPUTED_VALUE"""),"The Social Shepherd | Top 17 Creative Agencies in the U.S. (2026)")</f>
        <v>The Social Shepherd | Top 17 Creative Agencies in the U.S. (2026)</v>
      </c>
      <c r="C61" s="10" t="str">
        <f>IFERROR(__xludf.DUMMYFUNCTION("""COMPUTED_VALUE"""),"thesocialshepherd.com")</f>
        <v>thesocialshepherd.com</v>
      </c>
      <c r="D61" s="11" t="str">
        <f>IFERROR(__xludf.DUMMYFUNCTION("""COMPUTED_VALUE"""),"LISTICLE")</f>
        <v>LISTICLE</v>
      </c>
      <c r="E61" s="11" t="str">
        <f>IFERROR(__xludf.DUMMYFUNCTION("""COMPUTED_VALUE"""),"COMPETITOR")</f>
        <v>COMPETITOR</v>
      </c>
      <c r="F61" s="11" t="str">
        <f>IFERROR(__xludf.DUMMYFUNCTION("""COMPUTED_VALUE"""),"Listicle")</f>
        <v>Listicle</v>
      </c>
      <c r="G61" s="11" t="b">
        <f>IFERROR(__xludf.DUMMYFUNCTION("""COMPUTED_VALUE"""),FALSE)</f>
        <v>0</v>
      </c>
      <c r="H61" s="11" t="str">
        <f>IFERROR(__xludf.DUMMYFUNCTION("""COMPUTED_VALUE"""),"The Social Shepherd, inBeat, Dentsu")</f>
        <v>The Social Shepherd, inBeat, Dentsu</v>
      </c>
      <c r="I61" s="11">
        <f>IFERROR(__xludf.DUMMYFUNCTION("""COMPUTED_VALUE"""),22.0)</f>
        <v>22</v>
      </c>
      <c r="J61" s="11">
        <f>IFERROR(__xludf.DUMMYFUNCTION("""COMPUTED_VALUE"""),0.02)</f>
        <v>0.02</v>
      </c>
      <c r="K61" s="11">
        <f>IFERROR(__xludf.DUMMYFUNCTION("""COMPUTED_VALUE"""),0.77)</f>
        <v>0.77</v>
      </c>
    </row>
    <row r="62" ht="15.75" customHeight="1">
      <c r="A62" s="10" t="str">
        <f>IFERROR(__xludf.DUMMYFUNCTION("""COMPUTED_VALUE"""),"https://www.dataally.ai/blog/best-performance-marketing-agencies")</f>
        <v>https://www.dataally.ai/blog/best-performance-marketing-agencies</v>
      </c>
      <c r="B62" s="11" t="str">
        <f>IFERROR(__xludf.DUMMYFUNCTION("""COMPUTED_VALUE"""),"10 Best Performance Marketing Agencies in 2026")</f>
        <v>10 Best Performance Marketing Agencies in 2026</v>
      </c>
      <c r="C62" s="10" t="str">
        <f>IFERROR(__xludf.DUMMYFUNCTION("""COMPUTED_VALUE"""),"dataally.ai")</f>
        <v>dataally.ai</v>
      </c>
      <c r="D62" s="11" t="str">
        <f>IFERROR(__xludf.DUMMYFUNCTION("""COMPUTED_VALUE"""),"LISTICLE")</f>
        <v>LISTICLE</v>
      </c>
      <c r="E62" s="11" t="str">
        <f>IFERROR(__xludf.DUMMYFUNCTION("""COMPUTED_VALUE"""),"CORPORATE")</f>
        <v>CORPORATE</v>
      </c>
      <c r="F62" s="11" t="str">
        <f>IFERROR(__xludf.DUMMYFUNCTION("""COMPUTED_VALUE"""),"Listicle")</f>
        <v>Listicle</v>
      </c>
      <c r="G62" s="11" t="b">
        <f>IFERROR(__xludf.DUMMYFUNCTION("""COMPUTED_VALUE"""),FALSE)</f>
        <v>0</v>
      </c>
      <c r="H62" s="11" t="str">
        <f>IFERROR(__xludf.DUMMYFUNCTION("""COMPUTED_VALUE"""),"Nielsen, Power Digital, Brighter Click, Common Thread Collective, Tinuiti, Wpromote, MuteSix, Directive, NoGood, Right Side Up")</f>
        <v>Nielsen, Power Digital, Brighter Click, Common Thread Collective, Tinuiti, Wpromote, MuteSix, Directive, NoGood, Right Side Up</v>
      </c>
      <c r="I62" s="11">
        <f>IFERROR(__xludf.DUMMYFUNCTION("""COMPUTED_VALUE"""),21.0)</f>
        <v>21</v>
      </c>
      <c r="J62" s="11">
        <f>IFERROR(__xludf.DUMMYFUNCTION("""COMPUTED_VALUE"""),0.02)</f>
        <v>0.02</v>
      </c>
      <c r="K62" s="11">
        <f>IFERROR(__xludf.DUMMYFUNCTION("""COMPUTED_VALUE"""),0.24)</f>
        <v>0.24</v>
      </c>
    </row>
    <row r="63" ht="15.75" customHeight="1">
      <c r="A63" s="10" t="str">
        <f>IFERROR(__xludf.DUMMYFUNCTION("""COMPUTED_VALUE"""),"https://primeavenuegroup.com/best-aeo-agencies/")</f>
        <v>https://primeavenuegroup.com/best-aeo-agencies/</v>
      </c>
      <c r="B63" s="11" t="str">
        <f>IFERROR(__xludf.DUMMYFUNCTION("""COMPUTED_VALUE"""),"Top 9 Best AEO Agencies in 2026 - Complete Guide to Answer Engine Optimization Providers - Prime Avenue Group")</f>
        <v>Top 9 Best AEO Agencies in 2026 - Complete Guide to Answer Engine Optimization Providers - Prime Avenue Group</v>
      </c>
      <c r="C63" s="10" t="str">
        <f>IFERROR(__xludf.DUMMYFUNCTION("""COMPUTED_VALUE"""),"primeavenuegroup.com")</f>
        <v>primeavenuegroup.com</v>
      </c>
      <c r="D63" s="11" t="str">
        <f>IFERROR(__xludf.DUMMYFUNCTION("""COMPUTED_VALUE"""),"LISTICLE")</f>
        <v>LISTICLE</v>
      </c>
      <c r="E63" s="11" t="str">
        <f>IFERROR(__xludf.DUMMYFUNCTION("""COMPUTED_VALUE"""),"CORPORATE")</f>
        <v>CORPORATE</v>
      </c>
      <c r="F63" s="11" t="str">
        <f>IFERROR(__xludf.DUMMYFUNCTION("""COMPUTED_VALUE"""),"Listicle")</f>
        <v>Listicle</v>
      </c>
      <c r="G63" s="11" t="b">
        <f>IFERROR(__xludf.DUMMYFUNCTION("""COMPUTED_VALUE"""),FALSE)</f>
        <v>0</v>
      </c>
      <c r="H63" s="11" t="str">
        <f>IFERROR(__xludf.DUMMYFUNCTION("""COMPUTED_VALUE"""),"First Page Sage, NoGood, Siege Media, Directive, Animalz, Amsive, Clutch")</f>
        <v>First Page Sage, NoGood, Siege Media, Directive, Animalz, Amsive, Clutch</v>
      </c>
      <c r="I63" s="11">
        <f>IFERROR(__xludf.DUMMYFUNCTION("""COMPUTED_VALUE"""),21.0)</f>
        <v>21</v>
      </c>
      <c r="J63" s="11">
        <f>IFERROR(__xludf.DUMMYFUNCTION("""COMPUTED_VALUE"""),0.02)</f>
        <v>0.02</v>
      </c>
      <c r="K63" s="11">
        <f>IFERROR(__xludf.DUMMYFUNCTION("""COMPUTED_VALUE"""),1.05)</f>
        <v>1.05</v>
      </c>
    </row>
    <row r="64" ht="15.75" customHeight="1">
      <c r="A64" s="10" t="str">
        <f>IFERROR(__xludf.DUMMYFUNCTION("""COMPUTED_VALUE"""),"https://qoulomb.com/best-geo-agencies-in-the-usa/")</f>
        <v>https://qoulomb.com/best-geo-agencies-in-the-usa/</v>
      </c>
      <c r="B64" s="11" t="str">
        <f>IFERROR(__xludf.DUMMYFUNCTION("""COMPUTED_VALUE"""),"Best GEO Agencies in the USA")</f>
        <v>Best GEO Agencies in the USA</v>
      </c>
      <c r="C64" s="10" t="str">
        <f>IFERROR(__xludf.DUMMYFUNCTION("""COMPUTED_VALUE"""),"qoulomb.com")</f>
        <v>qoulomb.com</v>
      </c>
      <c r="D64" s="11" t="str">
        <f>IFERROR(__xludf.DUMMYFUNCTION("""COMPUTED_VALUE"""),"LISTICLE")</f>
        <v>LISTICLE</v>
      </c>
      <c r="E64" s="11" t="str">
        <f>IFERROR(__xludf.DUMMYFUNCTION("""COMPUTED_VALUE"""),"CORPORATE")</f>
        <v>CORPORATE</v>
      </c>
      <c r="F64" s="11" t="str">
        <f>IFERROR(__xludf.DUMMYFUNCTION("""COMPUTED_VALUE"""),"Listicle")</f>
        <v>Listicle</v>
      </c>
      <c r="G64" s="11" t="b">
        <f>IFERROR(__xludf.DUMMYFUNCTION("""COMPUTED_VALUE"""),FALSE)</f>
        <v>0</v>
      </c>
      <c r="H64" s="11" t="str">
        <f>IFERROR(__xludf.DUMMYFUNCTION("""COMPUTED_VALUE"""),"iPullRank, NoGood, WebFX, Directive, Avenue Z, Momentum")</f>
        <v>iPullRank, NoGood, WebFX, Directive, Avenue Z, Momentum</v>
      </c>
      <c r="I64" s="11">
        <f>IFERROR(__xludf.DUMMYFUNCTION("""COMPUTED_VALUE"""),21.0)</f>
        <v>21</v>
      </c>
      <c r="J64" s="11">
        <f>IFERROR(__xludf.DUMMYFUNCTION("""COMPUTED_VALUE"""),0.02)</f>
        <v>0.02</v>
      </c>
      <c r="K64" s="11">
        <f>IFERROR(__xludf.DUMMYFUNCTION("""COMPUTED_VALUE"""),1.43)</f>
        <v>1.43</v>
      </c>
    </row>
    <row r="65" ht="15.75" customHeight="1">
      <c r="A65" s="10" t="str">
        <f>IFERROR(__xludf.DUMMYFUNCTION("""COMPUTED_VALUE"""),"https://www.ritnerdigital.com/blog/best-ai-search-agencies-in-the-us")</f>
        <v>https://www.ritnerdigital.com/blog/best-ai-search-agencies-in-the-us</v>
      </c>
      <c r="B65" s="11" t="str">
        <f>IFERROR(__xludf.DUMMYFUNCTION("""COMPUTED_VALUE"""),"Best AI Search Agencies in the US: Who's Doing Real Work and How to Choose — Ritner Digital | AI Search &amp;amp; SEO Agency")</f>
        <v>Best AI Search Agencies in the US: Who's Doing Real Work and How to Choose — Ritner Digital | AI Search &amp;amp; SEO Agency</v>
      </c>
      <c r="C65" s="10" t="str">
        <f>IFERROR(__xludf.DUMMYFUNCTION("""COMPUTED_VALUE"""),"ritnerdigital.com")</f>
        <v>ritnerdigital.com</v>
      </c>
      <c r="D65" s="11" t="str">
        <f>IFERROR(__xludf.DUMMYFUNCTION("""COMPUTED_VALUE"""),"LISTICLE")</f>
        <v>LISTICLE</v>
      </c>
      <c r="E65" s="11" t="str">
        <f>IFERROR(__xludf.DUMMYFUNCTION("""COMPUTED_VALUE"""),"CORPORATE")</f>
        <v>CORPORATE</v>
      </c>
      <c r="F65" s="11" t="str">
        <f>IFERROR(__xludf.DUMMYFUNCTION("""COMPUTED_VALUE"""),"Listicle")</f>
        <v>Listicle</v>
      </c>
      <c r="G65" s="11" t="b">
        <f>IFERROR(__xludf.DUMMYFUNCTION("""COMPUTED_VALUE"""),FALSE)</f>
        <v>0</v>
      </c>
      <c r="H65" s="11" t="str">
        <f>IFERROR(__xludf.DUMMYFUNCTION("""COMPUTED_VALUE"""),"Measured, iPullRank, Siege Media")</f>
        <v>Measured, iPullRank, Siege Media</v>
      </c>
      <c r="I65" s="11">
        <f>IFERROR(__xludf.DUMMYFUNCTION("""COMPUTED_VALUE"""),21.0)</f>
        <v>21</v>
      </c>
      <c r="J65" s="11">
        <f>IFERROR(__xludf.DUMMYFUNCTION("""COMPUTED_VALUE"""),0.02)</f>
        <v>0.02</v>
      </c>
      <c r="K65" s="11">
        <f>IFERROR(__xludf.DUMMYFUNCTION("""COMPUTED_VALUE"""),0.57)</f>
        <v>0.57</v>
      </c>
    </row>
    <row r="66" ht="15.75" customHeight="1">
      <c r="A66" s="10" t="str">
        <f>IFERROR(__xludf.DUMMYFUNCTION("""COMPUTED_VALUE"""),"https://www.searchbloom.com/strategy/5-top-rated-google-ads-agencies/")</f>
        <v>https://www.searchbloom.com/strategy/5-top-rated-google-ads-agencies/</v>
      </c>
      <c r="B66" s="11" t="str">
        <f>IFERROR(__xludf.DUMMYFUNCTION("""COMPUTED_VALUE"""),"5 Top-Rated Google Ads Agencies for 2026")</f>
        <v>5 Top-Rated Google Ads Agencies for 2026</v>
      </c>
      <c r="C66" s="10" t="str">
        <f>IFERROR(__xludf.DUMMYFUNCTION("""COMPUTED_VALUE"""),"searchbloom.com")</f>
        <v>searchbloom.com</v>
      </c>
      <c r="D66" s="11" t="str">
        <f>IFERROR(__xludf.DUMMYFUNCTION("""COMPUTED_VALUE"""),"LISTICLE")</f>
        <v>LISTICLE</v>
      </c>
      <c r="E66" s="11" t="str">
        <f>IFERROR(__xludf.DUMMYFUNCTION("""COMPUTED_VALUE"""),"COMPETITOR")</f>
        <v>COMPETITOR</v>
      </c>
      <c r="F66" s="11" t="str">
        <f>IFERROR(__xludf.DUMMYFUNCTION("""COMPUTED_VALUE"""),"Listicle")</f>
        <v>Listicle</v>
      </c>
      <c r="G66" s="11" t="b">
        <f>IFERROR(__xludf.DUMMYFUNCTION("""COMPUTED_VALUE"""),FALSE)</f>
        <v>0</v>
      </c>
      <c r="H66" s="11" t="str">
        <f>IFERROR(__xludf.DUMMYFUNCTION("""COMPUTED_VALUE"""),"Searchbloom, BCG, LYFE Marketing, Clutch, Measured, KlientBoost, Disruptive Advertising")</f>
        <v>Searchbloom, BCG, LYFE Marketing, Clutch, Measured, KlientBoost, Disruptive Advertising</v>
      </c>
      <c r="I66" s="11">
        <f>IFERROR(__xludf.DUMMYFUNCTION("""COMPUTED_VALUE"""),21.0)</f>
        <v>21</v>
      </c>
      <c r="J66" s="11">
        <f>IFERROR(__xludf.DUMMYFUNCTION("""COMPUTED_VALUE"""),0.02)</f>
        <v>0.02</v>
      </c>
      <c r="K66" s="11">
        <f>IFERROR(__xludf.DUMMYFUNCTION("""COMPUTED_VALUE"""),0.0)</f>
        <v>0</v>
      </c>
    </row>
    <row r="67" ht="15.75" customHeight="1">
      <c r="A67" s="10" t="str">
        <f>IFERROR(__xludf.DUMMYFUNCTION("""COMPUTED_VALUE"""),"https://segmentstream.com/blog/articles/top-10-incrementality-testing-tools")</f>
        <v>https://segmentstream.com/blog/articles/top-10-incrementality-testing-tools</v>
      </c>
      <c r="B67" s="11" t="str">
        <f>IFERROR(__xludf.DUMMYFUNCTION("""COMPUTED_VALUE"""),"10 Best Incrementality Testing Tools (2026) — SegmentStream")</f>
        <v>10 Best Incrementality Testing Tools (2026) — SegmentStream</v>
      </c>
      <c r="C67" s="10" t="str">
        <f>IFERROR(__xludf.DUMMYFUNCTION("""COMPUTED_VALUE"""),"segmentstream.com")</f>
        <v>segmentstream.com</v>
      </c>
      <c r="D67" s="11" t="str">
        <f>IFERROR(__xludf.DUMMYFUNCTION("""COMPUTED_VALUE"""),"LISTICLE")</f>
        <v>LISTICLE</v>
      </c>
      <c r="E67" s="11" t="str">
        <f>IFERROR(__xludf.DUMMYFUNCTION("""COMPUTED_VALUE"""),"COMPETITOR")</f>
        <v>COMPETITOR</v>
      </c>
      <c r="F67" s="11" t="str">
        <f>IFERROR(__xludf.DUMMYFUNCTION("""COMPUTED_VALUE"""),"Listicle")</f>
        <v>Listicle</v>
      </c>
      <c r="G67" s="11" t="b">
        <f>IFERROR(__xludf.DUMMYFUNCTION("""COMPUTED_VALUE"""),FALSE)</f>
        <v>0</v>
      </c>
      <c r="H67" s="11" t="str">
        <f>IFERROR(__xludf.DUMMYFUNCTION("""COMPUTED_VALUE"""),"SegmentStream, Measured, Haus, LifeSight, Rockerbox, Recast, LiftLab, INCRMNTAL")</f>
        <v>SegmentStream, Measured, Haus, LifeSight, Rockerbox, Recast, LiftLab, INCRMNTAL</v>
      </c>
      <c r="I67" s="11">
        <f>IFERROR(__xludf.DUMMYFUNCTION("""COMPUTED_VALUE"""),21.0)</f>
        <v>21</v>
      </c>
      <c r="J67" s="11">
        <f>IFERROR(__xludf.DUMMYFUNCTION("""COMPUTED_VALUE"""),0.02)</f>
        <v>0.02</v>
      </c>
      <c r="K67" s="11">
        <f>IFERROR(__xludf.DUMMYFUNCTION("""COMPUTED_VALUE"""),2.48)</f>
        <v>2.48</v>
      </c>
    </row>
    <row r="68" ht="15.75" customHeight="1">
      <c r="A68" s="10" t="str">
        <f>IFERROR(__xludf.DUMMYFUNCTION("""COMPUTED_VALUE"""),"https://www.adbeacon.com/19-best-marketing-attribution-software-solutions-in-2026/")</f>
        <v>https://www.adbeacon.com/19-best-marketing-attribution-software-solutions-in-2026/</v>
      </c>
      <c r="B68" s="11" t="str">
        <f>IFERROR(__xludf.DUMMYFUNCTION("""COMPUTED_VALUE"""),"19 Best Marketing Attribution Software Solutions in 2026 | AdBeacon")</f>
        <v>19 Best Marketing Attribution Software Solutions in 2026 | AdBeacon</v>
      </c>
      <c r="C68" s="10" t="str">
        <f>IFERROR(__xludf.DUMMYFUNCTION("""COMPUTED_VALUE"""),"adbeacon.com")</f>
        <v>adbeacon.com</v>
      </c>
      <c r="D68" s="11" t="str">
        <f>IFERROR(__xludf.DUMMYFUNCTION("""COMPUTED_VALUE"""),"LISTICLE")</f>
        <v>LISTICLE</v>
      </c>
      <c r="E68" s="11" t="str">
        <f>IFERROR(__xludf.DUMMYFUNCTION("""COMPUTED_VALUE"""),"CORPORATE")</f>
        <v>CORPORATE</v>
      </c>
      <c r="F68" s="11" t="str">
        <f>IFERROR(__xludf.DUMMYFUNCTION("""COMPUTED_VALUE"""),"Listicle")</f>
        <v>Listicle</v>
      </c>
      <c r="G68" s="11" t="b">
        <f>IFERROR(__xludf.DUMMYFUNCTION("""COMPUTED_VALUE"""),FALSE)</f>
        <v>0</v>
      </c>
      <c r="H68" s="11" t="str">
        <f>IFERROR(__xludf.DUMMYFUNCTION("""COMPUTED_VALUE"""),"HockeyStack, Ruler Analytics, Anomaly, Triple Whale, Rockerbox")</f>
        <v>HockeyStack, Ruler Analytics, Anomaly, Triple Whale, Rockerbox</v>
      </c>
      <c r="I68" s="11">
        <f>IFERROR(__xludf.DUMMYFUNCTION("""COMPUTED_VALUE"""),20.0)</f>
        <v>20</v>
      </c>
      <c r="J68" s="11">
        <f>IFERROR(__xludf.DUMMYFUNCTION("""COMPUTED_VALUE"""),0.02)</f>
        <v>0.02</v>
      </c>
      <c r="K68" s="11">
        <f>IFERROR(__xludf.DUMMYFUNCTION("""COMPUTED_VALUE"""),1.1)</f>
        <v>1.1</v>
      </c>
    </row>
    <row r="69" ht="15.75" customHeight="1">
      <c r="A69" s="10" t="str">
        <f>IFERROR(__xludf.DUMMYFUNCTION("""COMPUTED_VALUE"""),"https://clicksgeek.com/marketing-attribution-tracking-services/")</f>
        <v>https://clicksgeek.com/marketing-attribution-tracking-services/</v>
      </c>
      <c r="B69" s="11" t="str">
        <f>IFERROR(__xludf.DUMMYFUNCTION("""COMPUTED_VALUE"""),"9 Best Marketing Attribution Tracking Services 2026")</f>
        <v>9 Best Marketing Attribution Tracking Services 2026</v>
      </c>
      <c r="C69" s="10" t="str">
        <f>IFERROR(__xludf.DUMMYFUNCTION("""COMPUTED_VALUE"""),"clicksgeek.com")</f>
        <v>clicksgeek.com</v>
      </c>
      <c r="D69" s="11" t="str">
        <f>IFERROR(__xludf.DUMMYFUNCTION("""COMPUTED_VALUE"""),"LISTICLE")</f>
        <v>LISTICLE</v>
      </c>
      <c r="E69" s="11" t="str">
        <f>IFERROR(__xludf.DUMMYFUNCTION("""COMPUTED_VALUE"""),"CORPORATE")</f>
        <v>CORPORATE</v>
      </c>
      <c r="F69" s="11" t="str">
        <f>IFERROR(__xludf.DUMMYFUNCTION("""COMPUTED_VALUE"""),"Listicle")</f>
        <v>Listicle</v>
      </c>
      <c r="G69" s="11" t="b">
        <f>IFERROR(__xludf.DUMMYFUNCTION("""COMPUTED_VALUE"""),FALSE)</f>
        <v>0</v>
      </c>
      <c r="H69" s="11" t="str">
        <f>IFERROR(__xludf.DUMMYFUNCTION("""COMPUTED_VALUE"""),"Measured, Triple Whale, Northbeam, Ruler Analytics, Rockerbox")</f>
        <v>Measured, Triple Whale, Northbeam, Ruler Analytics, Rockerbox</v>
      </c>
      <c r="I69" s="11">
        <f>IFERROR(__xludf.DUMMYFUNCTION("""COMPUTED_VALUE"""),20.0)</f>
        <v>20</v>
      </c>
      <c r="J69" s="11">
        <f>IFERROR(__xludf.DUMMYFUNCTION("""COMPUTED_VALUE"""),0.02)</f>
        <v>0.02</v>
      </c>
      <c r="K69" s="11">
        <f>IFERROR(__xludf.DUMMYFUNCTION("""COMPUTED_VALUE"""),1.2)</f>
        <v>1.2</v>
      </c>
    </row>
    <row r="70" ht="15.75" customHeight="1">
      <c r="A70" s="10" t="str">
        <f>IFERROR(__xludf.DUMMYFUNCTION("""COMPUTED_VALUE"""),"https://www.designrush.com/agency/digital-marketing/performance-marketing-agencies")</f>
        <v>https://www.designrush.com/agency/digital-marketing/performance-marketing-agencies</v>
      </c>
      <c r="B70" s="11" t="str">
        <f>IFERROR(__xludf.DUMMYFUNCTION("""COMPUTED_VALUE"""),"Top Performance Marketing Agencies in 2026")</f>
        <v>Top Performance Marketing Agencies in 2026</v>
      </c>
      <c r="C70" s="10" t="str">
        <f>IFERROR(__xludf.DUMMYFUNCTION("""COMPUTED_VALUE"""),"designrush.com")</f>
        <v>designrush.com</v>
      </c>
      <c r="D70" s="11" t="str">
        <f>IFERROR(__xludf.DUMMYFUNCTION("""COMPUTED_VALUE"""),"LISTICLE")</f>
        <v>LISTICLE</v>
      </c>
      <c r="E70" s="11" t="str">
        <f>IFERROR(__xludf.DUMMYFUNCTION("""COMPUTED_VALUE"""),"CORPORATE")</f>
        <v>CORPORATE</v>
      </c>
      <c r="F70" s="11" t="str">
        <f>IFERROR(__xludf.DUMMYFUNCTION("""COMPUTED_VALUE"""),"Listicle")</f>
        <v>Listicle</v>
      </c>
      <c r="G70" s="11" t="b">
        <f>IFERROR(__xludf.DUMMYFUNCTION("""COMPUTED_VALUE"""),FALSE)</f>
        <v>0</v>
      </c>
      <c r="H70" s="11" t="str">
        <f>IFERROR(__xludf.DUMMYFUNCTION("""COMPUTED_VALUE"""),"Amsive, MuteSix, Wpromote, NoGood, Power Digital, Huge, Searchbloom, Funnel Boost Media, SmartSites, Intero Digital, Silverback Strategies, Disruptive Advertising, PwC, Web Tonic, KlientBoost, DEPT")</f>
        <v>Amsive, MuteSix, Wpromote, NoGood, Power Digital, Huge, Searchbloom, Funnel Boost Media, SmartSites, Intero Digital, Silverback Strategies, Disruptive Advertising, PwC, Web Tonic, KlientBoost, DEPT</v>
      </c>
      <c r="I70" s="11">
        <f>IFERROR(__xludf.DUMMYFUNCTION("""COMPUTED_VALUE"""),20.0)</f>
        <v>20</v>
      </c>
      <c r="J70" s="11">
        <f>IFERROR(__xludf.DUMMYFUNCTION("""COMPUTED_VALUE"""),0.02)</f>
        <v>0.02</v>
      </c>
      <c r="K70" s="11">
        <f>IFERROR(__xludf.DUMMYFUNCTION("""COMPUTED_VALUE"""),0.05)</f>
        <v>0.05</v>
      </c>
    </row>
    <row r="71" ht="15.75" customHeight="1">
      <c r="A71" s="10" t="str">
        <f>IFERROR(__xludf.DUMMYFUNCTION("""COMPUTED_VALUE"""),"https://www.rzlt.io/blog/best-ai-marketing-agencies-in-2026-the-definitive-guide-by-specialty")</f>
        <v>https://www.rzlt.io/blog/best-ai-marketing-agencies-in-2026-the-definitive-guide-by-specialty</v>
      </c>
      <c r="B71" s="11" t="str">
        <f>IFERROR(__xludf.DUMMYFUNCTION("""COMPUTED_VALUE"""),"Best AI Marketing Agencies in 2026: The Definitive Guide")</f>
        <v>Best AI Marketing Agencies in 2026: The Definitive Guide</v>
      </c>
      <c r="C71" s="10" t="str">
        <f>IFERROR(__xludf.DUMMYFUNCTION("""COMPUTED_VALUE"""),"rzlt.io")</f>
        <v>rzlt.io</v>
      </c>
      <c r="D71" s="11" t="str">
        <f>IFERROR(__xludf.DUMMYFUNCTION("""COMPUTED_VALUE"""),"LISTICLE")</f>
        <v>LISTICLE</v>
      </c>
      <c r="E71" s="11" t="str">
        <f>IFERROR(__xludf.DUMMYFUNCTION("""COMPUTED_VALUE"""),"CORPORATE")</f>
        <v>CORPORATE</v>
      </c>
      <c r="F71" s="11" t="str">
        <f>IFERROR(__xludf.DUMMYFUNCTION("""COMPUTED_VALUE"""),"Listicle")</f>
        <v>Listicle</v>
      </c>
      <c r="G71" s="11" t="b">
        <f>IFERROR(__xludf.DUMMYFUNCTION("""COMPUTED_VALUE"""),FALSE)</f>
        <v>0</v>
      </c>
      <c r="H71" s="11" t="str">
        <f>IFERROR(__xludf.DUMMYFUNCTION("""COMPUTED_VALUE"""),"Monks, NoGood, Superside, Wpromote, Viral Nation, Jellyfish, Clutch")</f>
        <v>Monks, NoGood, Superside, Wpromote, Viral Nation, Jellyfish, Clutch</v>
      </c>
      <c r="I71" s="11">
        <f>IFERROR(__xludf.DUMMYFUNCTION("""COMPUTED_VALUE"""),20.0)</f>
        <v>20</v>
      </c>
      <c r="J71" s="11">
        <f>IFERROR(__xludf.DUMMYFUNCTION("""COMPUTED_VALUE"""),0.02)</f>
        <v>0.02</v>
      </c>
      <c r="K71" s="11">
        <f>IFERROR(__xludf.DUMMYFUNCTION("""COMPUTED_VALUE"""),2.45)</f>
        <v>2.45</v>
      </c>
    </row>
    <row r="72" ht="15.75" customHeight="1">
      <c r="A72" s="10" t="str">
        <f>IFERROR(__xludf.DUMMYFUNCTION("""COMPUTED_VALUE"""),"https://www.weareqry.com/blog/best-paid-media-agencies")</f>
        <v>https://www.weareqry.com/blog/best-paid-media-agencies</v>
      </c>
      <c r="B72" s="11" t="str">
        <f>IFERROR(__xludf.DUMMYFUNCTION("""COMPUTED_VALUE"""),"Best Paid Media Agencies for 2026 | QRY")</f>
        <v>Best Paid Media Agencies for 2026 | QRY</v>
      </c>
      <c r="C72" s="10" t="str">
        <f>IFERROR(__xludf.DUMMYFUNCTION("""COMPUTED_VALUE"""),"weareqry.com")</f>
        <v>weareqry.com</v>
      </c>
      <c r="D72" s="11" t="str">
        <f>IFERROR(__xludf.DUMMYFUNCTION("""COMPUTED_VALUE"""),"LISTICLE")</f>
        <v>LISTICLE</v>
      </c>
      <c r="E72" s="11" t="str">
        <f>IFERROR(__xludf.DUMMYFUNCTION("""COMPUTED_VALUE"""),"CORPORATE")</f>
        <v>CORPORATE</v>
      </c>
      <c r="F72" s="11" t="str">
        <f>IFERROR(__xludf.DUMMYFUNCTION("""COMPUTED_VALUE"""),"Listicle")</f>
        <v>Listicle</v>
      </c>
      <c r="G72" s="11" t="b">
        <f>IFERROR(__xludf.DUMMYFUNCTION("""COMPUTED_VALUE"""),FALSE)</f>
        <v>0</v>
      </c>
      <c r="H72" s="11" t="str">
        <f>IFERROR(__xludf.DUMMYFUNCTION("""COMPUTED_VALUE"""),"Wpromote, Power Digital, WebFX, Single Grain, Directive, Tinuiti")</f>
        <v>Wpromote, Power Digital, WebFX, Single Grain, Directive, Tinuiti</v>
      </c>
      <c r="I72" s="11">
        <f>IFERROR(__xludf.DUMMYFUNCTION("""COMPUTED_VALUE"""),20.0)</f>
        <v>20</v>
      </c>
      <c r="J72" s="11">
        <f>IFERROR(__xludf.DUMMYFUNCTION("""COMPUTED_VALUE"""),0.02)</f>
        <v>0.02</v>
      </c>
      <c r="K72" s="11">
        <f>IFERROR(__xludf.DUMMYFUNCTION("""COMPUTED_VALUE"""),1.5)</f>
        <v>1.5</v>
      </c>
    </row>
    <row r="73" ht="15.75" customHeight="1">
      <c r="A73" s="10" t="str">
        <f>IFERROR(__xludf.DUMMYFUNCTION("""COMPUTED_VALUE"""),"https://www.adbeacon.com/7-best-marketing-attribution-tools-compared-2026/")</f>
        <v>https://www.adbeacon.com/7-best-marketing-attribution-tools-compared-2026/</v>
      </c>
      <c r="B73" s="11" t="str">
        <f>IFERROR(__xludf.DUMMYFUNCTION("""COMPUTED_VALUE"""),"7 Best Marketing Attribution Tools Compared (2026) | AdBeacon")</f>
        <v>7 Best Marketing Attribution Tools Compared (2026) | AdBeacon</v>
      </c>
      <c r="C73" s="10" t="str">
        <f>IFERROR(__xludf.DUMMYFUNCTION("""COMPUTED_VALUE"""),"adbeacon.com")</f>
        <v>adbeacon.com</v>
      </c>
      <c r="D73" s="11" t="str">
        <f>IFERROR(__xludf.DUMMYFUNCTION("""COMPUTED_VALUE"""),"LISTICLE")</f>
        <v>LISTICLE</v>
      </c>
      <c r="E73" s="11" t="str">
        <f>IFERROR(__xludf.DUMMYFUNCTION("""COMPUTED_VALUE"""),"CORPORATE")</f>
        <v>CORPORATE</v>
      </c>
      <c r="F73" s="11" t="str">
        <f>IFERROR(__xludf.DUMMYFUNCTION("""COMPUTED_VALUE"""),"Listicle")</f>
        <v>Listicle</v>
      </c>
      <c r="G73" s="11" t="b">
        <f>IFERROR(__xludf.DUMMYFUNCTION("""COMPUTED_VALUE"""),FALSE)</f>
        <v>0</v>
      </c>
      <c r="H73" s="11" t="str">
        <f>IFERROR(__xludf.DUMMYFUNCTION("""COMPUTED_VALUE"""),"Cometly, Triple Whale, Northbeam, Rockerbox, Ruler Analytics")</f>
        <v>Cometly, Triple Whale, Northbeam, Rockerbox, Ruler Analytics</v>
      </c>
      <c r="I73" s="11">
        <f>IFERROR(__xludf.DUMMYFUNCTION("""COMPUTED_VALUE"""),19.0)</f>
        <v>19</v>
      </c>
      <c r="J73" s="11">
        <f>IFERROR(__xludf.DUMMYFUNCTION("""COMPUTED_VALUE"""),0.02)</f>
        <v>0.02</v>
      </c>
      <c r="K73" s="11">
        <f>IFERROR(__xludf.DUMMYFUNCTION("""COMPUTED_VALUE"""),1.21)</f>
        <v>1.21</v>
      </c>
    </row>
    <row r="74" ht="15.75" customHeight="1">
      <c r="A74" s="10" t="str">
        <f>IFERROR(__xludf.DUMMYFUNCTION("""COMPUTED_VALUE"""),"https://www.fahrenheitmarketing.com/services/strategy/top-10-marketing-agencies-usa/#:~:text=A%20powerhouse%20in%20the%20top%2010%20media,them%20a%20place%20among%20top%20marketing%20firms.")</f>
        <v>https://www.fahrenheitmarketing.com/services/strategy/top-10-marketing-agencies-usa/#:~:text=A%20powerhouse%20in%20the%20top%2010%20media,them%20a%20place%20among%20top%20marketing%20firms.</v>
      </c>
      <c r="B74" s="11" t="str">
        <f>IFERROR(__xludf.DUMMYFUNCTION("""COMPUTED_VALUE"""),"Top 10 Marketing Agencies in the USA — and What to Look for When Choosing One - Fahrenheit Marketing")</f>
        <v>Top 10 Marketing Agencies in the USA — and What to Look for When Choosing One - Fahrenheit Marketing</v>
      </c>
      <c r="C74" s="10" t="str">
        <f>IFERROR(__xludf.DUMMYFUNCTION("""COMPUTED_VALUE"""),"fahrenheitmarketing.com")</f>
        <v>fahrenheitmarketing.com</v>
      </c>
      <c r="D74" s="11" t="str">
        <f>IFERROR(__xludf.DUMMYFUNCTION("""COMPUTED_VALUE"""),"LISTICLE")</f>
        <v>LISTICLE</v>
      </c>
      <c r="E74" s="11" t="str">
        <f>IFERROR(__xludf.DUMMYFUNCTION("""COMPUTED_VALUE"""),"CORPORATE")</f>
        <v>CORPORATE</v>
      </c>
      <c r="F74" s="11" t="str">
        <f>IFERROR(__xludf.DUMMYFUNCTION("""COMPUTED_VALUE"""),"Listicle")</f>
        <v>Listicle</v>
      </c>
      <c r="G74" s="11" t="b">
        <f>IFERROR(__xludf.DUMMYFUNCTION("""COMPUTED_VALUE"""),FALSE)</f>
        <v>0</v>
      </c>
      <c r="H74" s="11" t="str">
        <f>IFERROR(__xludf.DUMMYFUNCTION("""COMPUTED_VALUE"""),"Ignite Visibility, Thrive Internet Marketing Agency, WebFX, Disruptive Advertising, NoGood, Tinuiti, Measured")</f>
        <v>Ignite Visibility, Thrive Internet Marketing Agency, WebFX, Disruptive Advertising, NoGood, Tinuiti, Measured</v>
      </c>
      <c r="I74" s="11">
        <f>IFERROR(__xludf.DUMMYFUNCTION("""COMPUTED_VALUE"""),19.0)</f>
        <v>19</v>
      </c>
      <c r="J74" s="11">
        <f>IFERROR(__xludf.DUMMYFUNCTION("""COMPUTED_VALUE"""),0.02)</f>
        <v>0.02</v>
      </c>
      <c r="K74" s="11">
        <f>IFERROR(__xludf.DUMMYFUNCTION("""COMPUTED_VALUE"""),1.05)</f>
        <v>1.05</v>
      </c>
    </row>
    <row r="75" ht="15.75" customHeight="1">
      <c r="A75" s="10" t="str">
        <f>IFERROR(__xludf.DUMMYFUNCTION("""COMPUTED_VALUE"""),"https://www.leewayhertz.com/top-ai-consulting-companies/")</f>
        <v>https://www.leewayhertz.com/top-ai-consulting-companies/</v>
      </c>
      <c r="B75" s="11" t="str">
        <f>IFERROR(__xludf.DUMMYFUNCTION("""COMPUTED_VALUE"""),"Top 10 AI Consulting Companies 2026 | Top AI Consultants")</f>
        <v>Top 10 AI Consulting Companies 2026 | Top AI Consultants</v>
      </c>
      <c r="C75" s="10" t="str">
        <f>IFERROR(__xludf.DUMMYFUNCTION("""COMPUTED_VALUE"""),"leewayhertz.com")</f>
        <v>leewayhertz.com</v>
      </c>
      <c r="D75" s="11" t="str">
        <f>IFERROR(__xludf.DUMMYFUNCTION("""COMPUTED_VALUE"""),"LISTICLE")</f>
        <v>LISTICLE</v>
      </c>
      <c r="E75" s="11" t="str">
        <f>IFERROR(__xludf.DUMMYFUNCTION("""COMPUTED_VALUE"""),"CORPORATE")</f>
        <v>CORPORATE</v>
      </c>
      <c r="F75" s="11" t="str">
        <f>IFERROR(__xludf.DUMMYFUNCTION("""COMPUTED_VALUE"""),"Listicle")</f>
        <v>Listicle</v>
      </c>
      <c r="G75" s="11" t="b">
        <f>IFERROR(__xludf.DUMMYFUNCTION("""COMPUTED_VALUE"""),FALSE)</f>
        <v>0</v>
      </c>
      <c r="H75" s="11"/>
      <c r="I75" s="11">
        <f>IFERROR(__xludf.DUMMYFUNCTION("""COMPUTED_VALUE"""),19.0)</f>
        <v>19</v>
      </c>
      <c r="J75" s="11">
        <f>IFERROR(__xludf.DUMMYFUNCTION("""COMPUTED_VALUE"""),0.02)</f>
        <v>0.02</v>
      </c>
      <c r="K75" s="11">
        <f>IFERROR(__xludf.DUMMYFUNCTION("""COMPUTED_VALUE"""),0.05)</f>
        <v>0.05</v>
      </c>
    </row>
    <row r="76" ht="15.75" customHeight="1">
      <c r="A76" s="10" t="str">
        <f>IFERROR(__xludf.DUMMYFUNCTION("""COMPUTED_VALUE"""),"https://nogood.io/blog/ai-marketing-agency/")</f>
        <v>https://nogood.io/blog/ai-marketing-agency/</v>
      </c>
      <c r="B76" s="11" t="str">
        <f>IFERROR(__xludf.DUMMYFUNCTION("""COMPUTED_VALUE"""),"Top 5 AI Marketing Agencies for Growth in 2026 | NoGood")</f>
        <v>Top 5 AI Marketing Agencies for Growth in 2026 | NoGood</v>
      </c>
      <c r="C76" s="10" t="str">
        <f>IFERROR(__xludf.DUMMYFUNCTION("""COMPUTED_VALUE"""),"nogood.io")</f>
        <v>nogood.io</v>
      </c>
      <c r="D76" s="11" t="str">
        <f>IFERROR(__xludf.DUMMYFUNCTION("""COMPUTED_VALUE"""),"LISTICLE")</f>
        <v>LISTICLE</v>
      </c>
      <c r="E76" s="11" t="str">
        <f>IFERROR(__xludf.DUMMYFUNCTION("""COMPUTED_VALUE"""),"COMPETITOR")</f>
        <v>COMPETITOR</v>
      </c>
      <c r="F76" s="11" t="str">
        <f>IFERROR(__xludf.DUMMYFUNCTION("""COMPUTED_VALUE"""),"Listicle")</f>
        <v>Listicle</v>
      </c>
      <c r="G76" s="11" t="b">
        <f>IFERROR(__xludf.DUMMYFUNCTION("""COMPUTED_VALUE"""),FALSE)</f>
        <v>0</v>
      </c>
      <c r="H76" s="11" t="str">
        <f>IFERROR(__xludf.DUMMYFUNCTION("""COMPUTED_VALUE"""),"NoGood, Keenfolks, Single Grain, inBeat")</f>
        <v>NoGood, Keenfolks, Single Grain, inBeat</v>
      </c>
      <c r="I76" s="11">
        <f>IFERROR(__xludf.DUMMYFUNCTION("""COMPUTED_VALUE"""),19.0)</f>
        <v>19</v>
      </c>
      <c r="J76" s="11">
        <f>IFERROR(__xludf.DUMMYFUNCTION("""COMPUTED_VALUE"""),0.02)</f>
        <v>0.02</v>
      </c>
      <c r="K76" s="11">
        <f>IFERROR(__xludf.DUMMYFUNCTION("""COMPUTED_VALUE"""),0.53)</f>
        <v>0.53</v>
      </c>
    </row>
    <row r="77" ht="15.75" customHeight="1">
      <c r="A77" s="10" t="str">
        <f>IFERROR(__xludf.DUMMYFUNCTION("""COMPUTED_VALUE"""),"https://thatware.co/10-best-aeo-companies-in-usa/")</f>
        <v>https://thatware.co/10-best-aeo-companies-in-usa/</v>
      </c>
      <c r="B77" s="11" t="str">
        <f>IFERROR(__xludf.DUMMYFUNCTION("""COMPUTED_VALUE"""),"10 Best AEO Companies in the United States You Should Partner")</f>
        <v>10 Best AEO Companies in the United States You Should Partner</v>
      </c>
      <c r="C77" s="10" t="str">
        <f>IFERROR(__xludf.DUMMYFUNCTION("""COMPUTED_VALUE"""),"thatware.co")</f>
        <v>thatware.co</v>
      </c>
      <c r="D77" s="11" t="str">
        <f>IFERROR(__xludf.DUMMYFUNCTION("""COMPUTED_VALUE"""),"LISTICLE")</f>
        <v>LISTICLE</v>
      </c>
      <c r="E77" s="11" t="str">
        <f>IFERROR(__xludf.DUMMYFUNCTION("""COMPUTED_VALUE"""),"CORPORATE")</f>
        <v>CORPORATE</v>
      </c>
      <c r="F77" s="11" t="str">
        <f>IFERROR(__xludf.DUMMYFUNCTION("""COMPUTED_VALUE"""),"Listicle")</f>
        <v>Listicle</v>
      </c>
      <c r="G77" s="11" t="b">
        <f>IFERROR(__xludf.DUMMYFUNCTION("""COMPUTED_VALUE"""),FALSE)</f>
        <v>0</v>
      </c>
      <c r="H77" s="11" t="str">
        <f>IFERROR(__xludf.DUMMYFUNCTION("""COMPUTED_VALUE"""),"WebFX, Victorious, Funnel Boost Media, SmartSites, Ignite Visibility, Intero Digital, Clutch")</f>
        <v>WebFX, Victorious, Funnel Boost Media, SmartSites, Ignite Visibility, Intero Digital, Clutch</v>
      </c>
      <c r="I77" s="11">
        <f>IFERROR(__xludf.DUMMYFUNCTION("""COMPUTED_VALUE"""),19.0)</f>
        <v>19</v>
      </c>
      <c r="J77" s="11">
        <f>IFERROR(__xludf.DUMMYFUNCTION("""COMPUTED_VALUE"""),0.02)</f>
        <v>0.02</v>
      </c>
      <c r="K77" s="11">
        <f>IFERROR(__xludf.DUMMYFUNCTION("""COMPUTED_VALUE"""),0.58)</f>
        <v>0.58</v>
      </c>
    </row>
    <row r="78" ht="15.75" customHeight="1">
      <c r="A78" s="10" t="str">
        <f>IFERROR(__xludf.DUMMYFUNCTION("""COMPUTED_VALUE"""),"https://www.darkroomagency.com/observatory/the-12-top-rated-paid-media-agencies-this-year")</f>
        <v>https://www.darkroomagency.com/observatory/the-12-top-rated-paid-media-agencies-this-year</v>
      </c>
      <c r="B78" s="11" t="str">
        <f>IFERROR(__xludf.DUMMYFUNCTION("""COMPUTED_VALUE"""),"Top-Rated Paid Media Agencies for Scalable Growth")</f>
        <v>Top-Rated Paid Media Agencies for Scalable Growth</v>
      </c>
      <c r="C78" s="10" t="str">
        <f>IFERROR(__xludf.DUMMYFUNCTION("""COMPUTED_VALUE"""),"darkroomagency.com")</f>
        <v>darkroomagency.com</v>
      </c>
      <c r="D78" s="11" t="str">
        <f>IFERROR(__xludf.DUMMYFUNCTION("""COMPUTED_VALUE"""),"LISTICLE")</f>
        <v>LISTICLE</v>
      </c>
      <c r="E78" s="11" t="str">
        <f>IFERROR(__xludf.DUMMYFUNCTION("""COMPUTED_VALUE"""),"COMPETITOR")</f>
        <v>COMPETITOR</v>
      </c>
      <c r="F78" s="11" t="str">
        <f>IFERROR(__xludf.DUMMYFUNCTION("""COMPUTED_VALUE"""),"Listicle")</f>
        <v>Listicle</v>
      </c>
      <c r="G78" s="11" t="b">
        <f>IFERROR(__xludf.DUMMYFUNCTION("""COMPUTED_VALUE"""),FALSE)</f>
        <v>0</v>
      </c>
      <c r="H78" s="11" t="str">
        <f>IFERROR(__xludf.DUMMYFUNCTION("""COMPUTED_VALUE"""),"Darkroom, Tinuiti, NoGood, Power Digital, MuteSix, Disruptive Advertising, Wpromote, HawkSEM, LYFE Marketing, Directive, inBeat, Droga5")</f>
        <v>Darkroom, Tinuiti, NoGood, Power Digital, MuteSix, Disruptive Advertising, Wpromote, HawkSEM, LYFE Marketing, Directive, inBeat, Droga5</v>
      </c>
      <c r="I78" s="11">
        <f>IFERROR(__xludf.DUMMYFUNCTION("""COMPUTED_VALUE"""),18.0)</f>
        <v>18</v>
      </c>
      <c r="J78" s="11">
        <f>IFERROR(__xludf.DUMMYFUNCTION("""COMPUTED_VALUE"""),0.02)</f>
        <v>0.02</v>
      </c>
      <c r="K78" s="11">
        <f>IFERROR(__xludf.DUMMYFUNCTION("""COMPUTED_VALUE"""),1.44)</f>
        <v>1.44</v>
      </c>
    </row>
    <row r="79" ht="15.75" customHeight="1">
      <c r="A79" s="10" t="str">
        <f>IFERROR(__xludf.DUMMYFUNCTION("""COMPUTED_VALUE"""),"https://disruptiveadvertising.com/blog/business/best-ppc-agencies-in-the-us/")</f>
        <v>https://disruptiveadvertising.com/blog/business/best-ppc-agencies-in-the-us/</v>
      </c>
      <c r="B79" s="11" t="str">
        <f>IFERROR(__xludf.DUMMYFUNCTION("""COMPUTED_VALUE"""),"Best PPC Agencies In The U.S For 2026 | Disruptive Advertising")</f>
        <v>Best PPC Agencies In The U.S For 2026 | Disruptive Advertising</v>
      </c>
      <c r="C79" s="10" t="str">
        <f>IFERROR(__xludf.DUMMYFUNCTION("""COMPUTED_VALUE"""),"disruptiveadvertising.com")</f>
        <v>disruptiveadvertising.com</v>
      </c>
      <c r="D79" s="11" t="str">
        <f>IFERROR(__xludf.DUMMYFUNCTION("""COMPUTED_VALUE"""),"LISTICLE")</f>
        <v>LISTICLE</v>
      </c>
      <c r="E79" s="11" t="str">
        <f>IFERROR(__xludf.DUMMYFUNCTION("""COMPUTED_VALUE"""),"COMPETITOR")</f>
        <v>COMPETITOR</v>
      </c>
      <c r="F79" s="11" t="str">
        <f>IFERROR(__xludf.DUMMYFUNCTION("""COMPUTED_VALUE"""),"Listicle")</f>
        <v>Listicle</v>
      </c>
      <c r="G79" s="11" t="b">
        <f>IFERROR(__xludf.DUMMYFUNCTION("""COMPUTED_VALUE"""),FALSE)</f>
        <v>0</v>
      </c>
      <c r="H79" s="11" t="str">
        <f>IFERROR(__xludf.DUMMYFUNCTION("""COMPUTED_VALUE"""),"Disruptive Advertising, Momentum, KlientBoost, SmartSites, Silverback Strategies, Single Grain, Clutch, HawkSEM, Intero Digital")</f>
        <v>Disruptive Advertising, Momentum, KlientBoost, SmartSites, Silverback Strategies, Single Grain, Clutch, HawkSEM, Intero Digital</v>
      </c>
      <c r="I79" s="11">
        <f>IFERROR(__xludf.DUMMYFUNCTION("""COMPUTED_VALUE"""),18.0)</f>
        <v>18</v>
      </c>
      <c r="J79" s="11">
        <f>IFERROR(__xludf.DUMMYFUNCTION("""COMPUTED_VALUE"""),0.02)</f>
        <v>0.02</v>
      </c>
      <c r="K79" s="11">
        <f>IFERROR(__xludf.DUMMYFUNCTION("""COMPUTED_VALUE"""),1.44)</f>
        <v>1.44</v>
      </c>
    </row>
    <row r="80" ht="15.75" customHeight="1">
      <c r="A80" s="10" t="str">
        <f>IFERROR(__xludf.DUMMYFUNCTION("""COMPUTED_VALUE"""),"https://www.loudface.co/blog/best-aeo-agencies-2026")</f>
        <v>https://www.loudface.co/blog/best-aeo-agencies-2026</v>
      </c>
      <c r="B80" s="11" t="str">
        <f>IFERROR(__xludf.DUMMYFUNCTION("""COMPUTED_VALUE"""),"Best AEO &amp;amp; AI Search Agencies in 2026 (Ranked) | LoudFace")</f>
        <v>Best AEO &amp;amp; AI Search Agencies in 2026 (Ranked) | LoudFace</v>
      </c>
      <c r="C80" s="10" t="str">
        <f>IFERROR(__xludf.DUMMYFUNCTION("""COMPUTED_VALUE"""),"loudface.co")</f>
        <v>loudface.co</v>
      </c>
      <c r="D80" s="11" t="str">
        <f>IFERROR(__xludf.DUMMYFUNCTION("""COMPUTED_VALUE"""),"LISTICLE")</f>
        <v>LISTICLE</v>
      </c>
      <c r="E80" s="11" t="str">
        <f>IFERROR(__xludf.DUMMYFUNCTION("""COMPUTED_VALUE"""),"CORPORATE")</f>
        <v>CORPORATE</v>
      </c>
      <c r="F80" s="11" t="str">
        <f>IFERROR(__xludf.DUMMYFUNCTION("""COMPUTED_VALUE"""),"Listicle")</f>
        <v>Listicle</v>
      </c>
      <c r="G80" s="11" t="b">
        <f>IFERROR(__xludf.DUMMYFUNCTION("""COMPUTED_VALUE"""),FALSE)</f>
        <v>0</v>
      </c>
      <c r="H80" s="11" t="str">
        <f>IFERROR(__xludf.DUMMYFUNCTION("""COMPUTED_VALUE"""),"iPullRank, First Page Sage, NoGood, Omniscient Digital, Animalz, Siege Media, Avenue Z, Measured")</f>
        <v>iPullRank, First Page Sage, NoGood, Omniscient Digital, Animalz, Siege Media, Avenue Z, Measured</v>
      </c>
      <c r="I80" s="11">
        <f>IFERROR(__xludf.DUMMYFUNCTION("""COMPUTED_VALUE"""),18.0)</f>
        <v>18</v>
      </c>
      <c r="J80" s="11">
        <f>IFERROR(__xludf.DUMMYFUNCTION("""COMPUTED_VALUE"""),0.02)</f>
        <v>0.02</v>
      </c>
      <c r="K80" s="11">
        <f>IFERROR(__xludf.DUMMYFUNCTION("""COMPUTED_VALUE"""),1.44)</f>
        <v>1.44</v>
      </c>
    </row>
    <row r="81" ht="15.75" customHeight="1">
      <c r="A81" s="10" t="str">
        <f>IFERROR(__xludf.DUMMYFUNCTION("""COMPUTED_VALUE"""),"https://www.lyfemarketing.com/blog/top-performance-marketing-agencies-us/")</f>
        <v>https://www.lyfemarketing.com/blog/top-performance-marketing-agencies-us/</v>
      </c>
      <c r="B81" s="11" t="str">
        <f>IFERROR(__xludf.DUMMYFUNCTION("""COMPUTED_VALUE"""),"Top 36 Performance Marketing Agencies In The US 2026")</f>
        <v>Top 36 Performance Marketing Agencies In The US 2026</v>
      </c>
      <c r="C81" s="10" t="str">
        <f>IFERROR(__xludf.DUMMYFUNCTION("""COMPUTED_VALUE"""),"lyfemarketing.com")</f>
        <v>lyfemarketing.com</v>
      </c>
      <c r="D81" s="11" t="str">
        <f>IFERROR(__xludf.DUMMYFUNCTION("""COMPUTED_VALUE"""),"LISTICLE")</f>
        <v>LISTICLE</v>
      </c>
      <c r="E81" s="11" t="str">
        <f>IFERROR(__xludf.DUMMYFUNCTION("""COMPUTED_VALUE"""),"CORPORATE")</f>
        <v>CORPORATE</v>
      </c>
      <c r="F81" s="11" t="str">
        <f>IFERROR(__xludf.DUMMYFUNCTION("""COMPUTED_VALUE"""),"Listicle")</f>
        <v>Listicle</v>
      </c>
      <c r="G81" s="11" t="b">
        <f>IFERROR(__xludf.DUMMYFUNCTION("""COMPUTED_VALUE"""),FALSE)</f>
        <v>0</v>
      </c>
      <c r="H81" s="11" t="str">
        <f>IFERROR(__xludf.DUMMYFUNCTION("""COMPUTED_VALUE"""),"LYFE Marketing, Tinuiti, Directive, Kobe Digital, Power Digital, Amsive, Wpromote, Disruptive Advertising, Right Side Up, Ignite Visibility, MuteSix, Brainlabs, WPP, Publicis Groupe, Sociallyin")</f>
        <v>LYFE Marketing, Tinuiti, Directive, Kobe Digital, Power Digital, Amsive, Wpromote, Disruptive Advertising, Right Side Up, Ignite Visibility, MuteSix, Brainlabs, WPP, Publicis Groupe, Sociallyin</v>
      </c>
      <c r="I81" s="11">
        <f>IFERROR(__xludf.DUMMYFUNCTION("""COMPUTED_VALUE"""),18.0)</f>
        <v>18</v>
      </c>
      <c r="J81" s="11">
        <f>IFERROR(__xludf.DUMMYFUNCTION("""COMPUTED_VALUE"""),0.02)</f>
        <v>0.02</v>
      </c>
      <c r="K81" s="11">
        <f>IFERROR(__xludf.DUMMYFUNCTION("""COMPUTED_VALUE"""),1.17)</f>
        <v>1.17</v>
      </c>
    </row>
    <row r="82" ht="15.75" customHeight="1">
      <c r="A82" s="10" t="str">
        <f>IFERROR(__xludf.DUMMYFUNCTION("""COMPUTED_VALUE"""),"https://mightyandtrue.com/insights/blog/best-ai-marketing-agencies/")</f>
        <v>https://mightyandtrue.com/insights/blog/best-ai-marketing-agencies/</v>
      </c>
      <c r="B82" s="11" t="str">
        <f>IFERROR(__xludf.DUMMYFUNCTION("""COMPUTED_VALUE"""),"The 10 Best AI Marketing Agencies in 2026 (Verified List) | Inference — Mighty &amp;amp; True")</f>
        <v>The 10 Best AI Marketing Agencies in 2026 (Verified List) | Inference — Mighty &amp;amp; True</v>
      </c>
      <c r="C82" s="10" t="str">
        <f>IFERROR(__xludf.DUMMYFUNCTION("""COMPUTED_VALUE"""),"mightyandtrue.com")</f>
        <v>mightyandtrue.com</v>
      </c>
      <c r="D82" s="11" t="str">
        <f>IFERROR(__xludf.DUMMYFUNCTION("""COMPUTED_VALUE"""),"LISTICLE")</f>
        <v>LISTICLE</v>
      </c>
      <c r="E82" s="11" t="str">
        <f>IFERROR(__xludf.DUMMYFUNCTION("""COMPUTED_VALUE"""),"CORPORATE")</f>
        <v>CORPORATE</v>
      </c>
      <c r="F82" s="11" t="str">
        <f>IFERROR(__xludf.DUMMYFUNCTION("""COMPUTED_VALUE"""),"Listicle")</f>
        <v>Listicle</v>
      </c>
      <c r="G82" s="11" t="b">
        <f>IFERROR(__xludf.DUMMYFUNCTION("""COMPUTED_VALUE"""),FALSE)</f>
        <v>0</v>
      </c>
      <c r="H82" s="11" t="str">
        <f>IFERROR(__xludf.DUMMYFUNCTION("""COMPUTED_VALUE"""),"Directive, Superside, NoGood, Single Grain, Omniscient Digital, Jellyfish, Keenfolks, Optimist, Daydream")</f>
        <v>Directive, Superside, NoGood, Single Grain, Omniscient Digital, Jellyfish, Keenfolks, Optimist, Daydream</v>
      </c>
      <c r="I82" s="11">
        <f>IFERROR(__xludf.DUMMYFUNCTION("""COMPUTED_VALUE"""),18.0)</f>
        <v>18</v>
      </c>
      <c r="J82" s="11">
        <f>IFERROR(__xludf.DUMMYFUNCTION("""COMPUTED_VALUE"""),0.02)</f>
        <v>0.02</v>
      </c>
      <c r="K82" s="11">
        <f>IFERROR(__xludf.DUMMYFUNCTION("""COMPUTED_VALUE"""),2.44)</f>
        <v>2.44</v>
      </c>
    </row>
    <row r="83" ht="15.75" customHeight="1">
      <c r="A83" s="10" t="str">
        <f>IFERROR(__xludf.DUMMYFUNCTION("""COMPUTED_VALUE"""),"https://www.webtonic.io/blog/top-display-advertising-agencies")</f>
        <v>https://www.webtonic.io/blog/top-display-advertising-agencies</v>
      </c>
      <c r="B83" s="11" t="str">
        <f>IFERROR(__xludf.DUMMYFUNCTION("""COMPUTED_VALUE"""),"The 50 Top Display Advertising Agencies as of 2026")</f>
        <v>The 50 Top Display Advertising Agencies as of 2026</v>
      </c>
      <c r="C83" s="10" t="str">
        <f>IFERROR(__xludf.DUMMYFUNCTION("""COMPUTED_VALUE"""),"webtonic.io")</f>
        <v>webtonic.io</v>
      </c>
      <c r="D83" s="11" t="str">
        <f>IFERROR(__xludf.DUMMYFUNCTION("""COMPUTED_VALUE"""),"LISTICLE")</f>
        <v>LISTICLE</v>
      </c>
      <c r="E83" s="11" t="str">
        <f>IFERROR(__xludf.DUMMYFUNCTION("""COMPUTED_VALUE"""),"COMPETITOR")</f>
        <v>COMPETITOR</v>
      </c>
      <c r="F83" s="11" t="str">
        <f>IFERROR(__xludf.DUMMYFUNCTION("""COMPUTED_VALUE"""),"Listicle")</f>
        <v>Listicle</v>
      </c>
      <c r="G83" s="11" t="b">
        <f>IFERROR(__xludf.DUMMYFUNCTION("""COMPUTED_VALUE"""),FALSE)</f>
        <v>0</v>
      </c>
      <c r="H83" s="11" t="str">
        <f>IFERROR(__xludf.DUMMYFUNCTION("""COMPUTED_VALUE"""),"Web Tonic, WPP, GroupM, Measured, AdVenture Media")</f>
        <v>Web Tonic, WPP, GroupM, Measured, AdVenture Media</v>
      </c>
      <c r="I83" s="11">
        <f>IFERROR(__xludf.DUMMYFUNCTION("""COMPUTED_VALUE"""),18.0)</f>
        <v>18</v>
      </c>
      <c r="J83" s="11">
        <f>IFERROR(__xludf.DUMMYFUNCTION("""COMPUTED_VALUE"""),0.02)</f>
        <v>0.02</v>
      </c>
      <c r="K83" s="11">
        <f>IFERROR(__xludf.DUMMYFUNCTION("""COMPUTED_VALUE"""),0.89)</f>
        <v>0.89</v>
      </c>
    </row>
    <row r="84" ht="15.75" customHeight="1">
      <c r="A84" s="10" t="str">
        <f>IFERROR(__xludf.DUMMYFUNCTION("""COMPUTED_VALUE"""),"https://beomniscient.com/blog/best-analytics-agency/")</f>
        <v>https://beomniscient.com/blog/best-analytics-agency/</v>
      </c>
      <c r="B84" s="11" t="str">
        <f>IFERROR(__xludf.DUMMYFUNCTION("""COMPUTED_VALUE"""),"The 6 Best Web Analytics Agencies in 2026 - Omniscient Digital")</f>
        <v>The 6 Best Web Analytics Agencies in 2026 - Omniscient Digital</v>
      </c>
      <c r="C84" s="10" t="str">
        <f>IFERROR(__xludf.DUMMYFUNCTION("""COMPUTED_VALUE"""),"beomniscient.com")</f>
        <v>beomniscient.com</v>
      </c>
      <c r="D84" s="11" t="str">
        <f>IFERROR(__xludf.DUMMYFUNCTION("""COMPUTED_VALUE"""),"LISTICLE")</f>
        <v>LISTICLE</v>
      </c>
      <c r="E84" s="11" t="str">
        <f>IFERROR(__xludf.DUMMYFUNCTION("""COMPUTED_VALUE"""),"COMPETITOR")</f>
        <v>COMPETITOR</v>
      </c>
      <c r="F84" s="11" t="str">
        <f>IFERROR(__xludf.DUMMYFUNCTION("""COMPUTED_VALUE"""),"Listicle")</f>
        <v>Listicle</v>
      </c>
      <c r="G84" s="11" t="b">
        <f>IFERROR(__xludf.DUMMYFUNCTION("""COMPUTED_VALUE"""),FALSE)</f>
        <v>0</v>
      </c>
      <c r="H84" s="11" t="str">
        <f>IFERROR(__xludf.DUMMYFUNCTION("""COMPUTED_VALUE"""),"Omniscient Digital, Seer Interactive, Evolytics, Huge")</f>
        <v>Omniscient Digital, Seer Interactive, Evolytics, Huge</v>
      </c>
      <c r="I84" s="11">
        <f>IFERROR(__xludf.DUMMYFUNCTION("""COMPUTED_VALUE"""),17.0)</f>
        <v>17</v>
      </c>
      <c r="J84" s="11">
        <f>IFERROR(__xludf.DUMMYFUNCTION("""COMPUTED_VALUE"""),0.02)</f>
        <v>0.02</v>
      </c>
      <c r="K84" s="11">
        <f>IFERROR(__xludf.DUMMYFUNCTION("""COMPUTED_VALUE"""),1.12)</f>
        <v>1.12</v>
      </c>
    </row>
    <row r="85" ht="15.75" customHeight="1">
      <c r="A85" s="10" t="str">
        <f>IFERROR(__xludf.DUMMYFUNCTION("""COMPUTED_VALUE"""),"https://www.effectivesoft.com/blog/top-ai-consulting-companies-usa.html")</f>
        <v>https://www.effectivesoft.com/blog/top-ai-consulting-companies-usa.html</v>
      </c>
      <c r="B85" s="11" t="str">
        <f>IFERROR(__xludf.DUMMYFUNCTION("""COMPUTED_VALUE"""),"Top 10 AI Consulting Companies in the USA [2026] - EffectiveSoft")</f>
        <v>Top 10 AI Consulting Companies in the USA [2026] - EffectiveSoft</v>
      </c>
      <c r="C85" s="10" t="str">
        <f>IFERROR(__xludf.DUMMYFUNCTION("""COMPUTED_VALUE"""),"effectivesoft.com")</f>
        <v>effectivesoft.com</v>
      </c>
      <c r="D85" s="11" t="str">
        <f>IFERROR(__xludf.DUMMYFUNCTION("""COMPUTED_VALUE"""),"LISTICLE")</f>
        <v>LISTICLE</v>
      </c>
      <c r="E85" s="11" t="str">
        <f>IFERROR(__xludf.DUMMYFUNCTION("""COMPUTED_VALUE"""),"CORPORATE")</f>
        <v>CORPORATE</v>
      </c>
      <c r="F85" s="11" t="str">
        <f>IFERROR(__xludf.DUMMYFUNCTION("""COMPUTED_VALUE"""),"Listicle")</f>
        <v>Listicle</v>
      </c>
      <c r="G85" s="11" t="b">
        <f>IFERROR(__xludf.DUMMYFUNCTION("""COMPUTED_VALUE"""),FALSE)</f>
        <v>0</v>
      </c>
      <c r="H85" s="11" t="str">
        <f>IFERROR(__xludf.DUMMYFUNCTION("""COMPUTED_VALUE"""),"Clutch")</f>
        <v>Clutch</v>
      </c>
      <c r="I85" s="11">
        <f>IFERROR(__xludf.DUMMYFUNCTION("""COMPUTED_VALUE"""),17.0)</f>
        <v>17</v>
      </c>
      <c r="J85" s="11">
        <f>IFERROR(__xludf.DUMMYFUNCTION("""COMPUTED_VALUE"""),0.02)</f>
        <v>0.02</v>
      </c>
      <c r="K85" s="11">
        <f>IFERROR(__xludf.DUMMYFUNCTION("""COMPUTED_VALUE"""),0.35)</f>
        <v>0.35</v>
      </c>
    </row>
    <row r="86" ht="15.75" customHeight="1">
      <c r="A86" s="10" t="str">
        <f>IFERROR(__xludf.DUMMYFUNCTION("""COMPUTED_VALUE"""),"https://marketingltb.com/blog/agency/best-display-ads-agencies/")</f>
        <v>https://marketingltb.com/blog/agency/best-display-ads-agencies/</v>
      </c>
      <c r="B86" s="11" t="str">
        <f>IFERROR(__xludf.DUMMYFUNCTION("""COMPUTED_VALUE"""),"10 Best Display Ads Agencies in 2026 - Marketing LTB")</f>
        <v>10 Best Display Ads Agencies in 2026 - Marketing LTB</v>
      </c>
      <c r="C86" s="10" t="str">
        <f>IFERROR(__xludf.DUMMYFUNCTION("""COMPUTED_VALUE"""),"marketingltb.com")</f>
        <v>marketingltb.com</v>
      </c>
      <c r="D86" s="11" t="str">
        <f>IFERROR(__xludf.DUMMYFUNCTION("""COMPUTED_VALUE"""),"LISTICLE")</f>
        <v>LISTICLE</v>
      </c>
      <c r="E86" s="11" t="str">
        <f>IFERROR(__xludf.DUMMYFUNCTION("""COMPUTED_VALUE"""),"CORPORATE")</f>
        <v>CORPORATE</v>
      </c>
      <c r="F86" s="11" t="str">
        <f>IFERROR(__xludf.DUMMYFUNCTION("""COMPUTED_VALUE"""),"Listicle")</f>
        <v>Listicle</v>
      </c>
      <c r="G86" s="11" t="b">
        <f>IFERROR(__xludf.DUMMYFUNCTION("""COMPUTED_VALUE"""),FALSE)</f>
        <v>0</v>
      </c>
      <c r="H86" s="11" t="str">
        <f>IFERROR(__xludf.DUMMYFUNCTION("""COMPUTED_VALUE"""),"Disruptive Advertising, WebFX, Ignite Visibility, HawkSEM, Tinuiti, SmartSites, Directive, MuteSix, Clutch")</f>
        <v>Disruptive Advertising, WebFX, Ignite Visibility, HawkSEM, Tinuiti, SmartSites, Directive, MuteSix, Clutch</v>
      </c>
      <c r="I86" s="11">
        <f>IFERROR(__xludf.DUMMYFUNCTION("""COMPUTED_VALUE"""),17.0)</f>
        <v>17</v>
      </c>
      <c r="J86" s="11">
        <f>IFERROR(__xludf.DUMMYFUNCTION("""COMPUTED_VALUE"""),0.02)</f>
        <v>0.02</v>
      </c>
      <c r="K86" s="11">
        <f>IFERROR(__xludf.DUMMYFUNCTION("""COMPUTED_VALUE"""),3.53)</f>
        <v>3.53</v>
      </c>
    </row>
    <row r="87" ht="15.75" customHeight="1">
      <c r="A87" s="10" t="str">
        <f>IFERROR(__xludf.DUMMYFUNCTION("""COMPUTED_VALUE"""),"https://www.mintcopywritingstudios.com/blog/ai-search-optimization-geo-agencies")</f>
        <v>https://www.mintcopywritingstudios.com/blog/ai-search-optimization-geo-agencies</v>
      </c>
      <c r="B87" s="11" t="str">
        <f>IFERROR(__xludf.DUMMYFUNCTION("""COMPUTED_VALUE"""),"Top Generative Engine Optimization (GEO) Agencies in 2026: 10+ AI Search Specialists Compared | Mint Studios")</f>
        <v>Top Generative Engine Optimization (GEO) Agencies in 2026: 10+ AI Search Specialists Compared | Mint Studios</v>
      </c>
      <c r="C87" s="10" t="str">
        <f>IFERROR(__xludf.DUMMYFUNCTION("""COMPUTED_VALUE"""),"mintcopywritingstudios.com")</f>
        <v>mintcopywritingstudios.com</v>
      </c>
      <c r="D87" s="11" t="str">
        <f>IFERROR(__xludf.DUMMYFUNCTION("""COMPUTED_VALUE"""),"LISTICLE")</f>
        <v>LISTICLE</v>
      </c>
      <c r="E87" s="11" t="str">
        <f>IFERROR(__xludf.DUMMYFUNCTION("""COMPUTED_VALUE"""),"CORPORATE")</f>
        <v>CORPORATE</v>
      </c>
      <c r="F87" s="11" t="str">
        <f>IFERROR(__xludf.DUMMYFUNCTION("""COMPUTED_VALUE"""),"Listicle")</f>
        <v>Listicle</v>
      </c>
      <c r="G87" s="11" t="b">
        <f>IFERROR(__xludf.DUMMYFUNCTION("""COMPUTED_VALUE"""),FALSE)</f>
        <v>0</v>
      </c>
      <c r="H87" s="11" t="str">
        <f>IFERROR(__xludf.DUMMYFUNCTION("""COMPUTED_VALUE"""),"NoGood, Intero Digital, Victorious, WebFX, The SEO Works, Siege Media, Omniscient Digital, Single Grain, Huge, Measured")</f>
        <v>NoGood, Intero Digital, Victorious, WebFX, The SEO Works, Siege Media, Omniscient Digital, Single Grain, Huge, Measured</v>
      </c>
      <c r="I87" s="11">
        <f>IFERROR(__xludf.DUMMYFUNCTION("""COMPUTED_VALUE"""),17.0)</f>
        <v>17</v>
      </c>
      <c r="J87" s="11">
        <f>IFERROR(__xludf.DUMMYFUNCTION("""COMPUTED_VALUE"""),0.02)</f>
        <v>0.02</v>
      </c>
      <c r="K87" s="11">
        <f>IFERROR(__xludf.DUMMYFUNCTION("""COMPUTED_VALUE"""),0.35)</f>
        <v>0.35</v>
      </c>
    </row>
    <row r="88" ht="15.75" customHeight="1">
      <c r="A88" s="10" t="str">
        <f>IFERROR(__xludf.DUMMYFUNCTION("""COMPUTED_VALUE"""),"https://phosailabs.com/blog/best-ai-consulting-firms-marketing-agencies")</f>
        <v>https://phosailabs.com/blog/best-ai-consulting-firms-marketing-agencies</v>
      </c>
      <c r="B88" s="11" t="str">
        <f>IFERROR(__xludf.DUMMYFUNCTION("""COMPUTED_VALUE"""),"Best AI Consulting for Marketing Agencies (2026)")</f>
        <v>Best AI Consulting for Marketing Agencies (2026)</v>
      </c>
      <c r="C88" s="10" t="str">
        <f>IFERROR(__xludf.DUMMYFUNCTION("""COMPUTED_VALUE"""),"phosailabs.com")</f>
        <v>phosailabs.com</v>
      </c>
      <c r="D88" s="11" t="str">
        <f>IFERROR(__xludf.DUMMYFUNCTION("""COMPUTED_VALUE"""),"LISTICLE")</f>
        <v>LISTICLE</v>
      </c>
      <c r="E88" s="11" t="str">
        <f>IFERROR(__xludf.DUMMYFUNCTION("""COMPUTED_VALUE"""),"CORPORATE")</f>
        <v>CORPORATE</v>
      </c>
      <c r="F88" s="11" t="str">
        <f>IFERROR(__xludf.DUMMYFUNCTION("""COMPUTED_VALUE"""),"Listicle")</f>
        <v>Listicle</v>
      </c>
      <c r="G88" s="11" t="b">
        <f>IFERROR(__xludf.DUMMYFUNCTION("""COMPUTED_VALUE"""),FALSE)</f>
        <v>0</v>
      </c>
      <c r="H88" s="11"/>
      <c r="I88" s="11">
        <f>IFERROR(__xludf.DUMMYFUNCTION("""COMPUTED_VALUE"""),17.0)</f>
        <v>17</v>
      </c>
      <c r="J88" s="11">
        <f>IFERROR(__xludf.DUMMYFUNCTION("""COMPUTED_VALUE"""),0.02)</f>
        <v>0.02</v>
      </c>
      <c r="K88" s="11">
        <f>IFERROR(__xludf.DUMMYFUNCTION("""COMPUTED_VALUE"""),2.35)</f>
        <v>2.35</v>
      </c>
    </row>
    <row r="89" ht="15.75" customHeight="1">
      <c r="A89" s="10" t="str">
        <f>IFERROR(__xludf.DUMMYFUNCTION("""COMPUTED_VALUE"""),"https://thedigitalelevator.com/blog/best-generative-engine-optimization-geo-agencies/")</f>
        <v>https://thedigitalelevator.com/blog/best-generative-engine-optimization-geo-agencies/</v>
      </c>
      <c r="B89" s="11" t="str">
        <f>IFERROR(__xludf.DUMMYFUNCTION("""COMPUTED_VALUE"""),"The 12 Best Generative Engine Optimization (GEO) Agencies of 2026 | Digital Elevator")</f>
        <v>The 12 Best Generative Engine Optimization (GEO) Agencies of 2026 | Digital Elevator</v>
      </c>
      <c r="C89" s="10" t="str">
        <f>IFERROR(__xludf.DUMMYFUNCTION("""COMPUTED_VALUE"""),"thedigitalelevator.com")</f>
        <v>thedigitalelevator.com</v>
      </c>
      <c r="D89" s="11" t="str">
        <f>IFERROR(__xludf.DUMMYFUNCTION("""COMPUTED_VALUE"""),"LISTICLE")</f>
        <v>LISTICLE</v>
      </c>
      <c r="E89" s="11" t="str">
        <f>IFERROR(__xludf.DUMMYFUNCTION("""COMPUTED_VALUE"""),"CORPORATE")</f>
        <v>CORPORATE</v>
      </c>
      <c r="F89" s="11" t="str">
        <f>IFERROR(__xludf.DUMMYFUNCTION("""COMPUTED_VALUE"""),"Listicle")</f>
        <v>Listicle</v>
      </c>
      <c r="G89" s="11" t="b">
        <f>IFERROR(__xludf.DUMMYFUNCTION("""COMPUTED_VALUE"""),FALSE)</f>
        <v>0</v>
      </c>
      <c r="H89" s="11" t="str">
        <f>IFERROR(__xludf.DUMMYFUNCTION("""COMPUTED_VALUE"""),"Graphite, Directive, Animalz, Siege Media, Intero Digital, iPullRank, Go Fish Digital")</f>
        <v>Graphite, Directive, Animalz, Siege Media, Intero Digital, iPullRank, Go Fish Digital</v>
      </c>
      <c r="I89" s="11">
        <f>IFERROR(__xludf.DUMMYFUNCTION("""COMPUTED_VALUE"""),17.0)</f>
        <v>17</v>
      </c>
      <c r="J89" s="11">
        <f>IFERROR(__xludf.DUMMYFUNCTION("""COMPUTED_VALUE"""),0.02)</f>
        <v>0.02</v>
      </c>
      <c r="K89" s="11">
        <f>IFERROR(__xludf.DUMMYFUNCTION("""COMPUTED_VALUE"""),2.35)</f>
        <v>2.35</v>
      </c>
    </row>
    <row r="90" ht="15.75" customHeight="1">
      <c r="A90" s="10" t="str">
        <f>IFERROR(__xludf.DUMMYFUNCTION("""COMPUTED_VALUE"""),"https://www.agencycluster.com/top-10/branding-creative-agencies")</f>
        <v>https://www.agencycluster.com/top-10/branding-creative-agencies</v>
      </c>
      <c r="B90" s="11" t="str">
        <f>IFERROR(__xludf.DUMMYFUNCTION("""COMPUTED_VALUE"""),"Top 10 Branding &amp;amp; Creative Design Agencies in the USA (2026) | AgencyCluster")</f>
        <v>Top 10 Branding &amp;amp; Creative Design Agencies in the USA (2026) | AgencyCluster</v>
      </c>
      <c r="C90" s="10" t="str">
        <f>IFERROR(__xludf.DUMMYFUNCTION("""COMPUTED_VALUE"""),"agencycluster.com")</f>
        <v>agencycluster.com</v>
      </c>
      <c r="D90" s="11" t="str">
        <f>IFERROR(__xludf.DUMMYFUNCTION("""COMPUTED_VALUE"""),"LISTICLE")</f>
        <v>LISTICLE</v>
      </c>
      <c r="E90" s="11" t="str">
        <f>IFERROR(__xludf.DUMMYFUNCTION("""COMPUTED_VALUE"""),"REFERENCE")</f>
        <v>REFERENCE</v>
      </c>
      <c r="F90" s="11" t="str">
        <f>IFERROR(__xludf.DUMMYFUNCTION("""COMPUTED_VALUE"""),"Listicle")</f>
        <v>Listicle</v>
      </c>
      <c r="G90" s="11" t="b">
        <f>IFERROR(__xludf.DUMMYFUNCTION("""COMPUTED_VALUE"""),FALSE)</f>
        <v>0</v>
      </c>
      <c r="H90" s="11" t="str">
        <f>IFERROR(__xludf.DUMMYFUNCTION("""COMPUTED_VALUE"""),"Clay, Pentagram, R/GA, Wolff Olins")</f>
        <v>Clay, Pentagram, R/GA, Wolff Olins</v>
      </c>
      <c r="I90" s="11">
        <f>IFERROR(__xludf.DUMMYFUNCTION("""COMPUTED_VALUE"""),16.0)</f>
        <v>16</v>
      </c>
      <c r="J90" s="11">
        <f>IFERROR(__xludf.DUMMYFUNCTION("""COMPUTED_VALUE"""),0.02)</f>
        <v>0.02</v>
      </c>
      <c r="K90" s="11">
        <f>IFERROR(__xludf.DUMMYFUNCTION("""COMPUTED_VALUE"""),0.38)</f>
        <v>0.38</v>
      </c>
    </row>
    <row r="91" ht="15.75" customHeight="1">
      <c r="A91" s="10" t="str">
        <f>IFERROR(__xludf.DUMMYFUNCTION("""COMPUTED_VALUE"""),"https://www.agencyspotter.com/top/paid-search-and-paid-social-advertising")</f>
        <v>https://www.agencyspotter.com/top/paid-search-and-paid-social-advertising</v>
      </c>
      <c r="B91" s="11" t="str">
        <f>IFERROR(__xludf.DUMMYFUNCTION("""COMPUTED_VALUE"""),"Top 80 Paid Search &amp;amp; Paid Social Advertising Agencies Report | Agency Spotter")</f>
        <v>Top 80 Paid Search &amp;amp; Paid Social Advertising Agencies Report | Agency Spotter</v>
      </c>
      <c r="C91" s="10" t="str">
        <f>IFERROR(__xludf.DUMMYFUNCTION("""COMPUTED_VALUE"""),"agencyspotter.com")</f>
        <v>agencyspotter.com</v>
      </c>
      <c r="D91" s="11" t="str">
        <f>IFERROR(__xludf.DUMMYFUNCTION("""COMPUTED_VALUE"""),"LISTICLE")</f>
        <v>LISTICLE</v>
      </c>
      <c r="E91" s="11" t="str">
        <f>IFERROR(__xludf.DUMMYFUNCTION("""COMPUTED_VALUE"""),"REFERENCE")</f>
        <v>REFERENCE</v>
      </c>
      <c r="F91" s="11" t="str">
        <f>IFERROR(__xludf.DUMMYFUNCTION("""COMPUTED_VALUE"""),"Listicle")</f>
        <v>Listicle</v>
      </c>
      <c r="G91" s="11" t="b">
        <f>IFERROR(__xludf.DUMMYFUNCTION("""COMPUTED_VALUE"""),FALSE)</f>
        <v>0</v>
      </c>
      <c r="H91" s="11" t="str">
        <f>IFERROR(__xludf.DUMMYFUNCTION("""COMPUTED_VALUE"""),"Sociallyin, SmartSites")</f>
        <v>Sociallyin, SmartSites</v>
      </c>
      <c r="I91" s="11">
        <f>IFERROR(__xludf.DUMMYFUNCTION("""COMPUTED_VALUE"""),16.0)</f>
        <v>16</v>
      </c>
      <c r="J91" s="11">
        <f>IFERROR(__xludf.DUMMYFUNCTION("""COMPUTED_VALUE"""),0.02)</f>
        <v>0.02</v>
      </c>
      <c r="K91" s="11">
        <f>IFERROR(__xludf.DUMMYFUNCTION("""COMPUTED_VALUE"""),1.0)</f>
        <v>1</v>
      </c>
    </row>
    <row r="92" ht="15.75" customHeight="1">
      <c r="A92" s="10" t="str">
        <f>IFERROR(__xludf.DUMMYFUNCTION("""COMPUTED_VALUE"""),"https://www.aimerce.ai/blogs/seo/top-5-incrementality-testing-tools-for-dtc-brands-in-2026")</f>
        <v>https://www.aimerce.ai/blogs/seo/top-5-incrementality-testing-tools-for-dtc-brands-in-2026</v>
      </c>
      <c r="B92" s="11" t="str">
        <f>IFERROR(__xludf.DUMMYFUNCTION("""COMPUTED_VALUE"""),"Top 5 Incrementality Testing Tools for DTC Brands in 2026")</f>
        <v>Top 5 Incrementality Testing Tools for DTC Brands in 2026</v>
      </c>
      <c r="C92" s="10" t="str">
        <f>IFERROR(__xludf.DUMMYFUNCTION("""COMPUTED_VALUE"""),"aimerce.ai")</f>
        <v>aimerce.ai</v>
      </c>
      <c r="D92" s="11" t="str">
        <f>IFERROR(__xludf.DUMMYFUNCTION("""COMPUTED_VALUE"""),"LISTICLE")</f>
        <v>LISTICLE</v>
      </c>
      <c r="E92" s="11" t="str">
        <f>IFERROR(__xludf.DUMMYFUNCTION("""COMPUTED_VALUE"""),"CORPORATE")</f>
        <v>CORPORATE</v>
      </c>
      <c r="F92" s="11" t="str">
        <f>IFERROR(__xludf.DUMMYFUNCTION("""COMPUTED_VALUE"""),"Listicle")</f>
        <v>Listicle</v>
      </c>
      <c r="G92" s="11" t="b">
        <f>IFERROR(__xludf.DUMMYFUNCTION("""COMPUTED_VALUE"""),FALSE)</f>
        <v>0</v>
      </c>
      <c r="H92" s="11" t="str">
        <f>IFERROR(__xludf.DUMMYFUNCTION("""COMPUTED_VALUE"""),"Northbeam, Triple Whale, Measured")</f>
        <v>Northbeam, Triple Whale, Measured</v>
      </c>
      <c r="I92" s="11">
        <f>IFERROR(__xludf.DUMMYFUNCTION("""COMPUTED_VALUE"""),16.0)</f>
        <v>16</v>
      </c>
      <c r="J92" s="11">
        <f>IFERROR(__xludf.DUMMYFUNCTION("""COMPUTED_VALUE"""),0.02)</f>
        <v>0.02</v>
      </c>
      <c r="K92" s="11">
        <f>IFERROR(__xludf.DUMMYFUNCTION("""COMPUTED_VALUE"""),0.69)</f>
        <v>0.69</v>
      </c>
    </row>
    <row r="93" ht="15.75" customHeight="1">
      <c r="A93" s="10" t="str">
        <f>IFERROR(__xludf.DUMMYFUNCTION("""COMPUTED_VALUE"""),"https://www.andersoncollaborative.com/best-growth-marketing-agencies-in-the-united-states-accelerating-brand-expansion-through-innovative-strategies/")</f>
        <v>https://www.andersoncollaborative.com/best-growth-marketing-agencies-in-the-united-states-accelerating-brand-expansion-through-innovative-strategies/</v>
      </c>
      <c r="B93" s="11" t="str">
        <f>IFERROR(__xludf.DUMMYFUNCTION("""COMPUTED_VALUE"""),"Best Growth Marketing Agencies in the United States (2026 Rankings)")</f>
        <v>Best Growth Marketing Agencies in the United States (2026 Rankings)</v>
      </c>
      <c r="C93" s="10" t="str">
        <f>IFERROR(__xludf.DUMMYFUNCTION("""COMPUTED_VALUE"""),"andersoncollaborative.com")</f>
        <v>andersoncollaborative.com</v>
      </c>
      <c r="D93" s="11" t="str">
        <f>IFERROR(__xludf.DUMMYFUNCTION("""COMPUTED_VALUE"""),"LISTICLE")</f>
        <v>LISTICLE</v>
      </c>
      <c r="E93" s="11" t="str">
        <f>IFERROR(__xludf.DUMMYFUNCTION("""COMPUTED_VALUE"""),"CORPORATE")</f>
        <v>CORPORATE</v>
      </c>
      <c r="F93" s="11" t="str">
        <f>IFERROR(__xludf.DUMMYFUNCTION("""COMPUTED_VALUE"""),"Listicle")</f>
        <v>Listicle</v>
      </c>
      <c r="G93" s="11" t="b">
        <f>IFERROR(__xludf.DUMMYFUNCTION("""COMPUTED_VALUE"""),FALSE)</f>
        <v>0</v>
      </c>
      <c r="H93" s="11" t="str">
        <f>IFERROR(__xludf.DUMMYFUNCTION("""COMPUTED_VALUE"""),"Tinuiti, Power Digital, NoGood, Directive, KlientBoost, Single Grain, Metric Theory, WebFX, Disruptive Advertising, NP Digital, Wpromote, Seer Interactive, Thrive Internet Marketing Agency")</f>
        <v>Tinuiti, Power Digital, NoGood, Directive, KlientBoost, Single Grain, Metric Theory, WebFX, Disruptive Advertising, NP Digital, Wpromote, Seer Interactive, Thrive Internet Marketing Agency</v>
      </c>
      <c r="I93" s="11">
        <f>IFERROR(__xludf.DUMMYFUNCTION("""COMPUTED_VALUE"""),16.0)</f>
        <v>16</v>
      </c>
      <c r="J93" s="11">
        <f>IFERROR(__xludf.DUMMYFUNCTION("""COMPUTED_VALUE"""),0.02)</f>
        <v>0.02</v>
      </c>
      <c r="K93" s="11">
        <f>IFERROR(__xludf.DUMMYFUNCTION("""COMPUTED_VALUE"""),1.13)</f>
        <v>1.13</v>
      </c>
    </row>
    <row r="94" ht="15.75" customHeight="1">
      <c r="A94" s="10" t="str">
        <f>IFERROR(__xludf.DUMMYFUNCTION("""COMPUTED_VALUE"""),"https://www.designrush.com/agency/digital-marketing/artificial-intelligence")</f>
        <v>https://www.designrush.com/agency/digital-marketing/artificial-intelligence</v>
      </c>
      <c r="B94" s="11" t="str">
        <f>IFERROR(__xludf.DUMMYFUNCTION("""COMPUTED_VALUE"""),"Top AI Marketing Companies in 2026")</f>
        <v>Top AI Marketing Companies in 2026</v>
      </c>
      <c r="C94" s="10" t="str">
        <f>IFERROR(__xludf.DUMMYFUNCTION("""COMPUTED_VALUE"""),"designrush.com")</f>
        <v>designrush.com</v>
      </c>
      <c r="D94" s="11" t="str">
        <f>IFERROR(__xludf.DUMMYFUNCTION("""COMPUTED_VALUE"""),"LISTICLE")</f>
        <v>LISTICLE</v>
      </c>
      <c r="E94" s="11" t="str">
        <f>IFERROR(__xludf.DUMMYFUNCTION("""COMPUTED_VALUE"""),"CORPORATE")</f>
        <v>CORPORATE</v>
      </c>
      <c r="F94" s="11" t="str">
        <f>IFERROR(__xludf.DUMMYFUNCTION("""COMPUTED_VALUE"""),"Listicle")</f>
        <v>Listicle</v>
      </c>
      <c r="G94" s="11" t="b">
        <f>IFERROR(__xludf.DUMMYFUNCTION("""COMPUTED_VALUE"""),FALSE)</f>
        <v>0</v>
      </c>
      <c r="H94" s="11" t="str">
        <f>IFERROR(__xludf.DUMMYFUNCTION("""COMPUTED_VALUE"""),"Amsive, Single Grain, Jellyfish, Major Tom, Searchbloom, SmartSites, Funnel Boost Media, Huge, Intero Digital, Disruptive Advertising, NinjaPromo, PwC, WebFX, IBM")</f>
        <v>Amsive, Single Grain, Jellyfish, Major Tom, Searchbloom, SmartSites, Funnel Boost Media, Huge, Intero Digital, Disruptive Advertising, NinjaPromo, PwC, WebFX, IBM</v>
      </c>
      <c r="I94" s="11">
        <f>IFERROR(__xludf.DUMMYFUNCTION("""COMPUTED_VALUE"""),16.0)</f>
        <v>16</v>
      </c>
      <c r="J94" s="11">
        <f>IFERROR(__xludf.DUMMYFUNCTION("""COMPUTED_VALUE"""),0.02)</f>
        <v>0.02</v>
      </c>
      <c r="K94" s="11">
        <f>IFERROR(__xludf.DUMMYFUNCTION("""COMPUTED_VALUE"""),0.19)</f>
        <v>0.19</v>
      </c>
    </row>
    <row r="95" ht="15.75" customHeight="1">
      <c r="A95" s="10" t="str">
        <f>IFERROR(__xludf.DUMMYFUNCTION("""COMPUTED_VALUE"""),"https://digitalnomadshq.com.au/blog/marketing-agencies-usa/")</f>
        <v>https://digitalnomadshq.com.au/blog/marketing-agencies-usa/</v>
      </c>
      <c r="B95" s="11" t="str">
        <f>IFERROR(__xludf.DUMMYFUNCTION("""COMPUTED_VALUE"""),"15 Top Marketing Agencies in the USA [2026]")</f>
        <v>15 Top Marketing Agencies in the USA [2026]</v>
      </c>
      <c r="C95" s="10" t="str">
        <f>IFERROR(__xludf.DUMMYFUNCTION("""COMPUTED_VALUE"""),"digitalnomadshq.com.au")</f>
        <v>digitalnomadshq.com.au</v>
      </c>
      <c r="D95" s="11" t="str">
        <f>IFERROR(__xludf.DUMMYFUNCTION("""COMPUTED_VALUE"""),"LISTICLE")</f>
        <v>LISTICLE</v>
      </c>
      <c r="E95" s="11" t="str">
        <f>IFERROR(__xludf.DUMMYFUNCTION("""COMPUTED_VALUE"""),"EDITORIAL")</f>
        <v>EDITORIAL</v>
      </c>
      <c r="F95" s="11" t="str">
        <f>IFERROR(__xludf.DUMMYFUNCTION("""COMPUTED_VALUE"""),"Listicle")</f>
        <v>Listicle</v>
      </c>
      <c r="G95" s="11" t="b">
        <f>IFERROR(__xludf.DUMMYFUNCTION("""COMPUTED_VALUE"""),FALSE)</f>
        <v>0</v>
      </c>
      <c r="H95" s="11" t="str">
        <f>IFERROR(__xludf.DUMMYFUNCTION("""COMPUTED_VALUE"""),"BBDO, Ogilvy, SmartSites, NoGood, Clutch, Wieden+Kennedy, Ignite Visibility, Major Tom, Metric Theory, Disruptive Advertising")</f>
        <v>BBDO, Ogilvy, SmartSites, NoGood, Clutch, Wieden+Kennedy, Ignite Visibility, Major Tom, Metric Theory, Disruptive Advertising</v>
      </c>
      <c r="I95" s="11">
        <f>IFERROR(__xludf.DUMMYFUNCTION("""COMPUTED_VALUE"""),16.0)</f>
        <v>16</v>
      </c>
      <c r="J95" s="11">
        <f>IFERROR(__xludf.DUMMYFUNCTION("""COMPUTED_VALUE"""),0.02)</f>
        <v>0.02</v>
      </c>
      <c r="K95" s="11">
        <f>IFERROR(__xludf.DUMMYFUNCTION("""COMPUTED_VALUE"""),0.75)</f>
        <v>0.75</v>
      </c>
    </row>
    <row r="96" ht="15.75" customHeight="1">
      <c r="A96" s="10" t="str">
        <f>IFERROR(__xludf.DUMMYFUNCTION("""COMPUTED_VALUE"""),"https://www.hockeystack.com/blog-posts/best-marketing-attribution-software")</f>
        <v>https://www.hockeystack.com/blog-posts/best-marketing-attribution-software</v>
      </c>
      <c r="B96" s="11" t="str">
        <f>IFERROR(__xludf.DUMMYFUNCTION("""COMPUTED_VALUE"""),"19 Best Marketing Attribution Software Solutions Reviewed for 2026")</f>
        <v>19 Best Marketing Attribution Software Solutions Reviewed for 2026</v>
      </c>
      <c r="C96" s="10" t="str">
        <f>IFERROR(__xludf.DUMMYFUNCTION("""COMPUTED_VALUE"""),"hockeystack.com")</f>
        <v>hockeystack.com</v>
      </c>
      <c r="D96" s="11" t="str">
        <f>IFERROR(__xludf.DUMMYFUNCTION("""COMPUTED_VALUE"""),"LISTICLE")</f>
        <v>LISTICLE</v>
      </c>
      <c r="E96" s="11" t="str">
        <f>IFERROR(__xludf.DUMMYFUNCTION("""COMPUTED_VALUE"""),"COMPETITOR")</f>
        <v>COMPETITOR</v>
      </c>
      <c r="F96" s="11" t="str">
        <f>IFERROR(__xludf.DUMMYFUNCTION("""COMPUTED_VALUE"""),"Listicle")</f>
        <v>Listicle</v>
      </c>
      <c r="G96" s="11" t="b">
        <f>IFERROR(__xludf.DUMMYFUNCTION("""COMPUTED_VALUE"""),FALSE)</f>
        <v>0</v>
      </c>
      <c r="H96" s="11" t="str">
        <f>IFERROR(__xludf.DUMMYFUNCTION("""COMPUTED_VALUE"""),"HockeyStack, Ruler Analytics, Anomaly, Triple Whale, Rockerbox, Northbeam")</f>
        <v>HockeyStack, Ruler Analytics, Anomaly, Triple Whale, Rockerbox, Northbeam</v>
      </c>
      <c r="I96" s="11">
        <f>IFERROR(__xludf.DUMMYFUNCTION("""COMPUTED_VALUE"""),16.0)</f>
        <v>16</v>
      </c>
      <c r="J96" s="11">
        <f>IFERROR(__xludf.DUMMYFUNCTION("""COMPUTED_VALUE"""),0.02)</f>
        <v>0.02</v>
      </c>
      <c r="K96" s="11">
        <f>IFERROR(__xludf.DUMMYFUNCTION("""COMPUTED_VALUE"""),0.06)</f>
        <v>0.06</v>
      </c>
    </row>
    <row r="97" ht="15.75" customHeight="1">
      <c r="A97" s="10" t="str">
        <f>IFERROR(__xludf.DUMMYFUNCTION("""COMPUTED_VALUE"""),"https://marketinginsidergroup.com/content-marketing/best-geo-aeo-agencies-in-us/")</f>
        <v>https://marketinginsidergroup.com/content-marketing/best-geo-aeo-agencies-in-us/</v>
      </c>
      <c r="B97" s="11" t="str">
        <f>IFERROR(__xludf.DUMMYFUNCTION("""COMPUTED_VALUE"""),"The Best Generative Engine Optimization (GEO/AEO) Agencies In The US - Marketing Insider Group")</f>
        <v>The Best Generative Engine Optimization (GEO/AEO) Agencies In The US - Marketing Insider Group</v>
      </c>
      <c r="C97" s="10" t="str">
        <f>IFERROR(__xludf.DUMMYFUNCTION("""COMPUTED_VALUE"""),"marketinginsidergroup.com")</f>
        <v>marketinginsidergroup.com</v>
      </c>
      <c r="D97" s="11" t="str">
        <f>IFERROR(__xludf.DUMMYFUNCTION("""COMPUTED_VALUE"""),"LISTICLE")</f>
        <v>LISTICLE</v>
      </c>
      <c r="E97" s="11" t="str">
        <f>IFERROR(__xludf.DUMMYFUNCTION("""COMPUTED_VALUE"""),"EDITORIAL")</f>
        <v>EDITORIAL</v>
      </c>
      <c r="F97" s="11" t="str">
        <f>IFERROR(__xludf.DUMMYFUNCTION("""COMPUTED_VALUE"""),"Listicle")</f>
        <v>Listicle</v>
      </c>
      <c r="G97" s="11" t="b">
        <f>IFERROR(__xludf.DUMMYFUNCTION("""COMPUTED_VALUE"""),FALSE)</f>
        <v>0</v>
      </c>
      <c r="H97" s="11" t="str">
        <f>IFERROR(__xludf.DUMMYFUNCTION("""COMPUTED_VALUE"""),"NP Digital, Single Grain, Victorious, Ignite Visibility, Siege Media, Directive, Omniscient Digital, Animalz")</f>
        <v>NP Digital, Single Grain, Victorious, Ignite Visibility, Siege Media, Directive, Omniscient Digital, Animalz</v>
      </c>
      <c r="I97" s="11">
        <f>IFERROR(__xludf.DUMMYFUNCTION("""COMPUTED_VALUE"""),16.0)</f>
        <v>16</v>
      </c>
      <c r="J97" s="11">
        <f>IFERROR(__xludf.DUMMYFUNCTION("""COMPUTED_VALUE"""),0.02)</f>
        <v>0.02</v>
      </c>
      <c r="K97" s="11">
        <f>IFERROR(__xludf.DUMMYFUNCTION("""COMPUTED_VALUE"""),0.13)</f>
        <v>0.13</v>
      </c>
    </row>
    <row r="98" ht="15.75" customHeight="1">
      <c r="A98" s="10" t="str">
        <f>IFERROR(__xludf.DUMMYFUNCTION("""COMPUTED_VALUE"""),"https://qoulomb.com/best-ai-seo-agencies-in-the-usa/")</f>
        <v>https://qoulomb.com/best-ai-seo-agencies-in-the-usa/</v>
      </c>
      <c r="B98" s="11" t="str">
        <f>IFERROR(__xludf.DUMMYFUNCTION("""COMPUTED_VALUE"""),"7 Best AI SEO Agencies in the USA (2026)")</f>
        <v>7 Best AI SEO Agencies in the USA (2026)</v>
      </c>
      <c r="C98" s="10" t="str">
        <f>IFERROR(__xludf.DUMMYFUNCTION("""COMPUTED_VALUE"""),"qoulomb.com")</f>
        <v>qoulomb.com</v>
      </c>
      <c r="D98" s="11" t="str">
        <f>IFERROR(__xludf.DUMMYFUNCTION("""COMPUTED_VALUE"""),"LISTICLE")</f>
        <v>LISTICLE</v>
      </c>
      <c r="E98" s="11" t="str">
        <f>IFERROR(__xludf.DUMMYFUNCTION("""COMPUTED_VALUE"""),"CORPORATE")</f>
        <v>CORPORATE</v>
      </c>
      <c r="F98" s="11" t="str">
        <f>IFERROR(__xludf.DUMMYFUNCTION("""COMPUTED_VALUE"""),"Listicle")</f>
        <v>Listicle</v>
      </c>
      <c r="G98" s="11" t="b">
        <f>IFERROR(__xludf.DUMMYFUNCTION("""COMPUTED_VALUE"""),FALSE)</f>
        <v>0</v>
      </c>
      <c r="H98" s="11" t="str">
        <f>IFERROR(__xludf.DUMMYFUNCTION("""COMPUTED_VALUE"""),"Searchbloom, iPullRank, Seer Interactive, Omniscient Digital, Single Grain, Clutch, Victorious, Siege Media, Directive, Measured")</f>
        <v>Searchbloom, iPullRank, Seer Interactive, Omniscient Digital, Single Grain, Clutch, Victorious, Siege Media, Directive, Measured</v>
      </c>
      <c r="I98" s="11">
        <f>IFERROR(__xludf.DUMMYFUNCTION("""COMPUTED_VALUE"""),16.0)</f>
        <v>16</v>
      </c>
      <c r="J98" s="11">
        <f>IFERROR(__xludf.DUMMYFUNCTION("""COMPUTED_VALUE"""),0.02)</f>
        <v>0.02</v>
      </c>
      <c r="K98" s="11">
        <f>IFERROR(__xludf.DUMMYFUNCTION("""COMPUTED_VALUE"""),1.06)</f>
        <v>1.06</v>
      </c>
    </row>
    <row r="99" ht="15.75" customHeight="1">
      <c r="A99" s="10" t="str">
        <f>IFERROR(__xludf.DUMMYFUNCTION("""COMPUTED_VALUE"""),"https://www.relevance.com/2026-report-the-best-generative-engine-optimization-agencies/")</f>
        <v>https://www.relevance.com/2026-report-the-best-generative-engine-optimization-agencies/</v>
      </c>
      <c r="B99" s="11" t="str">
        <f>IFERROR(__xludf.DUMMYFUNCTION("""COMPUTED_VALUE"""),"The Best Generative Engine Optimization Agencies [2026 Report] - Relevance")</f>
        <v>The Best Generative Engine Optimization Agencies [2026 Report] - Relevance</v>
      </c>
      <c r="C99" s="10" t="str">
        <f>IFERROR(__xludf.DUMMYFUNCTION("""COMPUTED_VALUE"""),"relevance.com")</f>
        <v>relevance.com</v>
      </c>
      <c r="D99" s="11" t="str">
        <f>IFERROR(__xludf.DUMMYFUNCTION("""COMPUTED_VALUE"""),"LISTICLE")</f>
        <v>LISTICLE</v>
      </c>
      <c r="E99" s="11" t="str">
        <f>IFERROR(__xludf.DUMMYFUNCTION("""COMPUTED_VALUE"""),"CORPORATE")</f>
        <v>CORPORATE</v>
      </c>
      <c r="F99" s="11" t="str">
        <f>IFERROR(__xludf.DUMMYFUNCTION("""COMPUTED_VALUE"""),"Listicle")</f>
        <v>Listicle</v>
      </c>
      <c r="G99" s="11" t="b">
        <f>IFERROR(__xludf.DUMMYFUNCTION("""COMPUTED_VALUE"""),FALSE)</f>
        <v>0</v>
      </c>
      <c r="H99" s="11" t="str">
        <f>IFERROR(__xludf.DUMMYFUNCTION("""COMPUTED_VALUE"""),"Go Fish Digital, Siege Media, Victorious, Omniscient Digital, Directive")</f>
        <v>Go Fish Digital, Siege Media, Victorious, Omniscient Digital, Directive</v>
      </c>
      <c r="I99" s="11">
        <f>IFERROR(__xludf.DUMMYFUNCTION("""COMPUTED_VALUE"""),16.0)</f>
        <v>16</v>
      </c>
      <c r="J99" s="11">
        <f>IFERROR(__xludf.DUMMYFUNCTION("""COMPUTED_VALUE"""),0.02)</f>
        <v>0.02</v>
      </c>
      <c r="K99" s="11">
        <f>IFERROR(__xludf.DUMMYFUNCTION("""COMPUTED_VALUE"""),2.5)</f>
        <v>2.5</v>
      </c>
    </row>
    <row r="100" ht="15.75" customHeight="1">
      <c r="A100" s="10" t="str">
        <f>IFERROR(__xludf.DUMMYFUNCTION("""COMPUTED_VALUE"""),"https://scopicstudios.com/blog/top-marketing-analytics-agencies/")</f>
        <v>https://scopicstudios.com/blog/top-marketing-analytics-agencies/</v>
      </c>
      <c r="B100" s="11" t="str">
        <f>IFERROR(__xludf.DUMMYFUNCTION("""COMPUTED_VALUE"""),"Top Marketing Analytics Agencies in 2026")</f>
        <v>Top Marketing Analytics Agencies in 2026</v>
      </c>
      <c r="C100" s="10" t="str">
        <f>IFERROR(__xludf.DUMMYFUNCTION("""COMPUTED_VALUE"""),"scopicstudios.com")</f>
        <v>scopicstudios.com</v>
      </c>
      <c r="D100" s="11" t="str">
        <f>IFERROR(__xludf.DUMMYFUNCTION("""COMPUTED_VALUE"""),"LISTICLE")</f>
        <v>LISTICLE</v>
      </c>
      <c r="E100" s="11" t="str">
        <f>IFERROR(__xludf.DUMMYFUNCTION("""COMPUTED_VALUE"""),"CORPORATE")</f>
        <v>CORPORATE</v>
      </c>
      <c r="F100" s="11" t="str">
        <f>IFERROR(__xludf.DUMMYFUNCTION("""COMPUTED_VALUE"""),"Listicle")</f>
        <v>Listicle</v>
      </c>
      <c r="G100" s="11" t="b">
        <f>IFERROR(__xludf.DUMMYFUNCTION("""COMPUTED_VALUE"""),FALSE)</f>
        <v>0</v>
      </c>
      <c r="H100" s="11" t="str">
        <f>IFERROR(__xludf.DUMMYFUNCTION("""COMPUTED_VALUE"""),"Clutch")</f>
        <v>Clutch</v>
      </c>
      <c r="I100" s="11">
        <f>IFERROR(__xludf.DUMMYFUNCTION("""COMPUTED_VALUE"""),16.0)</f>
        <v>16</v>
      </c>
      <c r="J100" s="11">
        <f>IFERROR(__xludf.DUMMYFUNCTION("""COMPUTED_VALUE"""),0.02)</f>
        <v>0.02</v>
      </c>
      <c r="K100" s="11">
        <f>IFERROR(__xludf.DUMMYFUNCTION("""COMPUTED_VALUE"""),0.25)</f>
        <v>0.25</v>
      </c>
    </row>
    <row r="101" ht="15.75" customHeight="1">
      <c r="A101" s="10" t="str">
        <f>IFERROR(__xludf.DUMMYFUNCTION("""COMPUTED_VALUE"""),"https://sociallyin.com/resources/top-paid-social-agencies-us/")</f>
        <v>https://sociallyin.com/resources/top-paid-social-agencies-us/</v>
      </c>
      <c r="B101" s="11" t="str">
        <f>IFERROR(__xludf.DUMMYFUNCTION("""COMPUTED_VALUE"""),"Top 5 Paid Social Agencies US for 2026: An Expert Review")</f>
        <v>Top 5 Paid Social Agencies US for 2026: An Expert Review</v>
      </c>
      <c r="C101" s="10" t="str">
        <f>IFERROR(__xludf.DUMMYFUNCTION("""COMPUTED_VALUE"""),"sociallyin.com")</f>
        <v>sociallyin.com</v>
      </c>
      <c r="D101" s="11" t="str">
        <f>IFERROR(__xludf.DUMMYFUNCTION("""COMPUTED_VALUE"""),"LISTICLE")</f>
        <v>LISTICLE</v>
      </c>
      <c r="E101" s="11" t="str">
        <f>IFERROR(__xludf.DUMMYFUNCTION("""COMPUTED_VALUE"""),"COMPETITOR")</f>
        <v>COMPETITOR</v>
      </c>
      <c r="F101" s="11" t="str">
        <f>IFERROR(__xludf.DUMMYFUNCTION("""COMPUTED_VALUE"""),"Listicle")</f>
        <v>Listicle</v>
      </c>
      <c r="G101" s="11" t="b">
        <f>IFERROR(__xludf.DUMMYFUNCTION("""COMPUTED_VALUE"""),FALSE)</f>
        <v>0</v>
      </c>
      <c r="H101" s="11" t="str">
        <f>IFERROR(__xludf.DUMMYFUNCTION("""COMPUTED_VALUE"""),"Sociallyin, Tinuiti, Power Digital, VaynerMedia, NP Digital, Clutch")</f>
        <v>Sociallyin, Tinuiti, Power Digital, VaynerMedia, NP Digital, Clutch</v>
      </c>
      <c r="I101" s="11">
        <f>IFERROR(__xludf.DUMMYFUNCTION("""COMPUTED_VALUE"""),16.0)</f>
        <v>16</v>
      </c>
      <c r="J101" s="11">
        <f>IFERROR(__xludf.DUMMYFUNCTION("""COMPUTED_VALUE"""),0.02)</f>
        <v>0.02</v>
      </c>
      <c r="K101" s="11">
        <f>IFERROR(__xludf.DUMMYFUNCTION("""COMPUTED_VALUE"""),0.38)</f>
        <v>0.38</v>
      </c>
    </row>
    <row r="102" ht="15.75" customHeight="1">
      <c r="A102" s="10" t="str">
        <f>IFERROR(__xludf.DUMMYFUNCTION("""COMPUTED_VALUE"""),"https://stratabeat.com/best-geo-agency/#:~:text=%23%20%233%20iPullRank%20Headquarters%20%7C%20New%20York%2C,Pricing%20%7C%20Custom%20%E2%80%94%20contact%20for%20quote")</f>
        <v>https://stratabeat.com/best-geo-agency/#:~:text=%23%20%233%20iPullRank%20Headquarters%20%7C%20New%20York%2C,Pricing%20%7C%20Custom%20%E2%80%94%20contact%20for%20quote</v>
      </c>
      <c r="B102" s="11" t="str">
        <f>IFERROR(__xludf.DUMMYFUNCTION("""COMPUTED_VALUE"""),"The 10 Best GEO Agencies in 2026 | Stratabeat")</f>
        <v>The 10 Best GEO Agencies in 2026 | Stratabeat</v>
      </c>
      <c r="C102" s="10" t="str">
        <f>IFERROR(__xludf.DUMMYFUNCTION("""COMPUTED_VALUE"""),"stratabeat.com")</f>
        <v>stratabeat.com</v>
      </c>
      <c r="D102" s="11" t="str">
        <f>IFERROR(__xludf.DUMMYFUNCTION("""COMPUTED_VALUE"""),"LISTICLE")</f>
        <v>LISTICLE</v>
      </c>
      <c r="E102" s="11" t="str">
        <f>IFERROR(__xludf.DUMMYFUNCTION("""COMPUTED_VALUE"""),"COMPETITOR")</f>
        <v>COMPETITOR</v>
      </c>
      <c r="F102" s="11" t="str">
        <f>IFERROR(__xludf.DUMMYFUNCTION("""COMPUTED_VALUE"""),"Listicle")</f>
        <v>Listicle</v>
      </c>
      <c r="G102" s="11" t="b">
        <f>IFERROR(__xludf.DUMMYFUNCTION("""COMPUTED_VALUE"""),FALSE)</f>
        <v>0</v>
      </c>
      <c r="H102" s="11" t="str">
        <f>IFERROR(__xludf.DUMMYFUNCTION("""COMPUTED_VALUE"""),"Stratabeat, Clutch, Go Fish Digital, iPullRank, First Page Sage, Omniscient Digital, RevenueZen, Avenue Z")</f>
        <v>Stratabeat, Clutch, Go Fish Digital, iPullRank, First Page Sage, Omniscient Digital, RevenueZen, Avenue Z</v>
      </c>
      <c r="I102" s="11">
        <f>IFERROR(__xludf.DUMMYFUNCTION("""COMPUTED_VALUE"""),16.0)</f>
        <v>16</v>
      </c>
      <c r="J102" s="11">
        <f>IFERROR(__xludf.DUMMYFUNCTION("""COMPUTED_VALUE"""),0.02)</f>
        <v>0.02</v>
      </c>
      <c r="K102" s="11">
        <f>IFERROR(__xludf.DUMMYFUNCTION("""COMPUTED_VALUE"""),0.88)</f>
        <v>0.88</v>
      </c>
    </row>
    <row r="103" ht="15.75" customHeight="1">
      <c r="A103" s="10" t="str">
        <f>IFERROR(__xludf.DUMMYFUNCTION("""COMPUTED_VALUE"""),"https://www.thedrum.com/news/meet-the-us-agencies-with-the-biggest-increase-in-this-year-s-world-creative-rankings")</f>
        <v>https://www.thedrum.com/news/meet-the-us-agencies-with-the-biggest-increase-in-this-year-s-world-creative-rankings</v>
      </c>
      <c r="B103" s="11" t="str">
        <f>IFERROR(__xludf.DUMMYFUNCTION("""COMPUTED_VALUE"""),"Rising stars (and stripes): the US agencies storming up the World Creative Rankings \| The Drum")</f>
        <v>Rising stars (and stripes): the US agencies storming up the World Creative Rankings \| The Drum</v>
      </c>
      <c r="C103" s="10" t="str">
        <f>IFERROR(__xludf.DUMMYFUNCTION("""COMPUTED_VALUE"""),"thedrum.com")</f>
        <v>thedrum.com</v>
      </c>
      <c r="D103" s="11" t="str">
        <f>IFERROR(__xludf.DUMMYFUNCTION("""COMPUTED_VALUE"""),"LISTICLE")</f>
        <v>LISTICLE</v>
      </c>
      <c r="E103" s="11" t="str">
        <f>IFERROR(__xludf.DUMMYFUNCTION("""COMPUTED_VALUE"""),"EDITORIAL")</f>
        <v>EDITORIAL</v>
      </c>
      <c r="F103" s="11" t="str">
        <f>IFERROR(__xludf.DUMMYFUNCTION("""COMPUTED_VALUE"""),"Listicle")</f>
        <v>Listicle</v>
      </c>
      <c r="G103" s="11" t="b">
        <f>IFERROR(__xludf.DUMMYFUNCTION("""COMPUTED_VALUE"""),FALSE)</f>
        <v>0</v>
      </c>
      <c r="H103" s="11" t="str">
        <f>IFERROR(__xludf.DUMMYFUNCTION("""COMPUTED_VALUE"""),"VML, Wieden+Kennedy, AKQA")</f>
        <v>VML, Wieden+Kennedy, AKQA</v>
      </c>
      <c r="I103" s="11">
        <f>IFERROR(__xludf.DUMMYFUNCTION("""COMPUTED_VALUE"""),16.0)</f>
        <v>16</v>
      </c>
      <c r="J103" s="11">
        <f>IFERROR(__xludf.DUMMYFUNCTION("""COMPUTED_VALUE"""),0.02)</f>
        <v>0.02</v>
      </c>
      <c r="K103" s="11">
        <f>IFERROR(__xludf.DUMMYFUNCTION("""COMPUTED_VALUE"""),0.63)</f>
        <v>0.63</v>
      </c>
    </row>
    <row r="104" ht="15.75" customHeight="1">
      <c r="A104" s="10" t="str">
        <f>IFERROR(__xludf.DUMMYFUNCTION("""COMPUTED_VALUE"""),"https://www.uforocks.com/blog/top-performance-marketing-agencies-in-the-u-s/")</f>
        <v>https://www.uforocks.com/blog/top-performance-marketing-agencies-in-the-u-s/</v>
      </c>
      <c r="B104" s="11" t="str">
        <f>IFERROR(__xludf.DUMMYFUNCTION("""COMPUTED_VALUE"""),"Top Performance Marketing Agencies in the U.S. - UFO Digital Marketing Agency")</f>
        <v>Top Performance Marketing Agencies in the U.S. - UFO Digital Marketing Agency</v>
      </c>
      <c r="C104" s="10" t="str">
        <f>IFERROR(__xludf.DUMMYFUNCTION("""COMPUTED_VALUE"""),"uforocks.com")</f>
        <v>uforocks.com</v>
      </c>
      <c r="D104" s="11" t="str">
        <f>IFERROR(__xludf.DUMMYFUNCTION("""COMPUTED_VALUE"""),"LISTICLE")</f>
        <v>LISTICLE</v>
      </c>
      <c r="E104" s="11" t="str">
        <f>IFERROR(__xludf.DUMMYFUNCTION("""COMPUTED_VALUE"""),"CORPORATE")</f>
        <v>CORPORATE</v>
      </c>
      <c r="F104" s="11" t="str">
        <f>IFERROR(__xludf.DUMMYFUNCTION("""COMPUTED_VALUE"""),"Listicle")</f>
        <v>Listicle</v>
      </c>
      <c r="G104" s="11" t="b">
        <f>IFERROR(__xludf.DUMMYFUNCTION("""COMPUTED_VALUE"""),FALSE)</f>
        <v>0</v>
      </c>
      <c r="H104" s="11" t="str">
        <f>IFERROR(__xludf.DUMMYFUNCTION("""COMPUTED_VALUE"""),"Accelerated Digital Media, Amsive, Hawke Media, Kobe Digital, New Engen, Publicis Groupe, Power Digital")</f>
        <v>Accelerated Digital Media, Amsive, Hawke Media, Kobe Digital, New Engen, Publicis Groupe, Power Digital</v>
      </c>
      <c r="I104" s="11">
        <f>IFERROR(__xludf.DUMMYFUNCTION("""COMPUTED_VALUE"""),16.0)</f>
        <v>16</v>
      </c>
      <c r="J104" s="11">
        <f>IFERROR(__xludf.DUMMYFUNCTION("""COMPUTED_VALUE"""),0.02)</f>
        <v>0.02</v>
      </c>
      <c r="K104" s="11">
        <f>IFERROR(__xludf.DUMMYFUNCTION("""COMPUTED_VALUE"""),0.63)</f>
        <v>0.63</v>
      </c>
    </row>
    <row r="105" ht="15.75" customHeight="1">
      <c r="A105" s="10" t="str">
        <f>IFERROR(__xludf.DUMMYFUNCTION("""COMPUTED_VALUE"""),"https://www.designrush.com/agency/paid-media-pay-per-click/display-advertising-agency")</f>
        <v>https://www.designrush.com/agency/paid-media-pay-per-click/display-advertising-agency</v>
      </c>
      <c r="B105" s="11" t="str">
        <f>IFERROR(__xludf.DUMMYFUNCTION("""COMPUTED_VALUE"""),"Top Display Advertising Agencies in 2026")</f>
        <v>Top Display Advertising Agencies in 2026</v>
      </c>
      <c r="C105" s="10" t="str">
        <f>IFERROR(__xludf.DUMMYFUNCTION("""COMPUTED_VALUE"""),"designrush.com")</f>
        <v>designrush.com</v>
      </c>
      <c r="D105" s="11" t="str">
        <f>IFERROR(__xludf.DUMMYFUNCTION("""COMPUTED_VALUE"""),"LISTICLE")</f>
        <v>LISTICLE</v>
      </c>
      <c r="E105" s="11" t="str">
        <f>IFERROR(__xludf.DUMMYFUNCTION("""COMPUTED_VALUE"""),"CORPORATE")</f>
        <v>CORPORATE</v>
      </c>
      <c r="F105" s="11" t="str">
        <f>IFERROR(__xludf.DUMMYFUNCTION("""COMPUTED_VALUE"""),"Listicle")</f>
        <v>Listicle</v>
      </c>
      <c r="G105" s="11" t="b">
        <f>IFERROR(__xludf.DUMMYFUNCTION("""COMPUTED_VALUE"""),FALSE)</f>
        <v>0</v>
      </c>
      <c r="H105" s="11" t="str">
        <f>IFERROR(__xludf.DUMMYFUNCTION("""COMPUTED_VALUE"""),"Searchbloom, SmartSites, Funnel Boost Media, Huge, Disruptive Advertising, AdVenture Media, Web Tonic, WebFX")</f>
        <v>Searchbloom, SmartSites, Funnel Boost Media, Huge, Disruptive Advertising, AdVenture Media, Web Tonic, WebFX</v>
      </c>
      <c r="I105" s="11">
        <f>IFERROR(__xludf.DUMMYFUNCTION("""COMPUTED_VALUE"""),15.0)</f>
        <v>15</v>
      </c>
      <c r="J105" s="11">
        <f>IFERROR(__xludf.DUMMYFUNCTION("""COMPUTED_VALUE"""),0.01)</f>
        <v>0.01</v>
      </c>
      <c r="K105" s="11">
        <f>IFERROR(__xludf.DUMMYFUNCTION("""COMPUTED_VALUE"""),0.4)</f>
        <v>0.4</v>
      </c>
    </row>
    <row r="106" ht="15.75" customHeight="1">
      <c r="A106" s="10" t="str">
        <f>IFERROR(__xludf.DUMMYFUNCTION("""COMPUTED_VALUE"""),"https://www.lyfemarketing.com/blog/top-paid-social-agencies-us/")</f>
        <v>https://www.lyfemarketing.com/blog/top-paid-social-agencies-us/</v>
      </c>
      <c r="B106" s="11" t="str">
        <f>IFERROR(__xludf.DUMMYFUNCTION("""COMPUTED_VALUE"""),"Top 20 Paid Social Agencies In The US 2026")</f>
        <v>Top 20 Paid Social Agencies In The US 2026</v>
      </c>
      <c r="C106" s="10" t="str">
        <f>IFERROR(__xludf.DUMMYFUNCTION("""COMPUTED_VALUE"""),"lyfemarketing.com")</f>
        <v>lyfemarketing.com</v>
      </c>
      <c r="D106" s="11" t="str">
        <f>IFERROR(__xludf.DUMMYFUNCTION("""COMPUTED_VALUE"""),"LISTICLE")</f>
        <v>LISTICLE</v>
      </c>
      <c r="E106" s="11" t="str">
        <f>IFERROR(__xludf.DUMMYFUNCTION("""COMPUTED_VALUE"""),"CORPORATE")</f>
        <v>CORPORATE</v>
      </c>
      <c r="F106" s="11" t="str">
        <f>IFERROR(__xludf.DUMMYFUNCTION("""COMPUTED_VALUE"""),"Listicle")</f>
        <v>Listicle</v>
      </c>
      <c r="G106" s="11" t="b">
        <f>IFERROR(__xludf.DUMMYFUNCTION("""COMPUTED_VALUE"""),FALSE)</f>
        <v>0</v>
      </c>
      <c r="H106" s="11" t="str">
        <f>IFERROR(__xludf.DUMMYFUNCTION("""COMPUTED_VALUE"""),"LYFE Marketing, Marcel Digital, Jellyfish, Tinuiti, Power Digital, Anomaly")</f>
        <v>LYFE Marketing, Marcel Digital, Jellyfish, Tinuiti, Power Digital, Anomaly</v>
      </c>
      <c r="I106" s="11">
        <f>IFERROR(__xludf.DUMMYFUNCTION("""COMPUTED_VALUE"""),15.0)</f>
        <v>15</v>
      </c>
      <c r="J106" s="11">
        <f>IFERROR(__xludf.DUMMYFUNCTION("""COMPUTED_VALUE"""),0.01)</f>
        <v>0.01</v>
      </c>
      <c r="K106" s="11">
        <f>IFERROR(__xludf.DUMMYFUNCTION("""COMPUTED_VALUE"""),0.27)</f>
        <v>0.27</v>
      </c>
    </row>
    <row r="107" ht="15.75" customHeight="1">
      <c r="A107" s="10" t="str">
        <f>IFERROR(__xludf.DUMMYFUNCTION("""COMPUTED_VALUE"""),"https://sageitinc.com/reference-center/best-ai-consulting-companies")</f>
        <v>https://sageitinc.com/reference-center/best-ai-consulting-companies</v>
      </c>
      <c r="B107" s="11" t="str">
        <f>IFERROR(__xludf.DUMMYFUNCTION("""COMPUTED_VALUE"""),"10 Best AI Consulting Companies to De-Risk Your AI Adoption")</f>
        <v>10 Best AI Consulting Companies to De-Risk Your AI Adoption</v>
      </c>
      <c r="C107" s="10" t="str">
        <f>IFERROR(__xludf.DUMMYFUNCTION("""COMPUTED_VALUE"""),"sageitinc.com")</f>
        <v>sageitinc.com</v>
      </c>
      <c r="D107" s="11" t="str">
        <f>IFERROR(__xludf.DUMMYFUNCTION("""COMPUTED_VALUE"""),"LISTICLE")</f>
        <v>LISTICLE</v>
      </c>
      <c r="E107" s="11" t="str">
        <f>IFERROR(__xludf.DUMMYFUNCTION("""COMPUTED_VALUE"""),"CORPORATE")</f>
        <v>CORPORATE</v>
      </c>
      <c r="F107" s="11" t="str">
        <f>IFERROR(__xludf.DUMMYFUNCTION("""COMPUTED_VALUE"""),"Listicle")</f>
        <v>Listicle</v>
      </c>
      <c r="G107" s="11" t="b">
        <f>IFERROR(__xludf.DUMMYFUNCTION("""COMPUTED_VALUE"""),FALSE)</f>
        <v>0</v>
      </c>
      <c r="H107" s="11" t="str">
        <f>IFERROR(__xludf.DUMMYFUNCTION("""COMPUTED_VALUE"""),"IBM, QuantumBlack, McKinsey, Anomaly, Clutch")</f>
        <v>IBM, QuantumBlack, McKinsey, Anomaly, Clutch</v>
      </c>
      <c r="I107" s="11">
        <f>IFERROR(__xludf.DUMMYFUNCTION("""COMPUTED_VALUE"""),15.0)</f>
        <v>15</v>
      </c>
      <c r="J107" s="11">
        <f>IFERROR(__xludf.DUMMYFUNCTION("""COMPUTED_VALUE"""),0.01)</f>
        <v>0.01</v>
      </c>
      <c r="K107" s="11">
        <f>IFERROR(__xludf.DUMMYFUNCTION("""COMPUTED_VALUE"""),1.47)</f>
        <v>1.47</v>
      </c>
    </row>
    <row r="108" ht="15.75" customHeight="1">
      <c r="A108" s="10" t="str">
        <f>IFERROR(__xludf.DUMMYFUNCTION("""COMPUTED_VALUE"""),"https://sweatpantsagency.com/the-top-9-social-media-ad-agencies")</f>
        <v>https://sweatpantsagency.com/the-top-9-social-media-ad-agencies</v>
      </c>
      <c r="B108" s="11" t="str">
        <f>IFERROR(__xludf.DUMMYFUNCTION("""COMPUTED_VALUE"""),"9 Best Paid Social Agencies for DTC Brands (2026) | Sweat Pants Agency")</f>
        <v>9 Best Paid Social Agencies for DTC Brands (2026) | Sweat Pants Agency</v>
      </c>
      <c r="C108" s="10" t="str">
        <f>IFERROR(__xludf.DUMMYFUNCTION("""COMPUTED_VALUE"""),"sweatpantsagency.com")</f>
        <v>sweatpantsagency.com</v>
      </c>
      <c r="D108" s="11" t="str">
        <f>IFERROR(__xludf.DUMMYFUNCTION("""COMPUTED_VALUE"""),"LISTICLE")</f>
        <v>LISTICLE</v>
      </c>
      <c r="E108" s="11" t="str">
        <f>IFERROR(__xludf.DUMMYFUNCTION("""COMPUTED_VALUE"""),"CORPORATE")</f>
        <v>CORPORATE</v>
      </c>
      <c r="F108" s="11" t="str">
        <f>IFERROR(__xludf.DUMMYFUNCTION("""COMPUTED_VALUE"""),"Listicle")</f>
        <v>Listicle</v>
      </c>
      <c r="G108" s="11" t="b">
        <f>IFERROR(__xludf.DUMMYFUNCTION("""COMPUTED_VALUE"""),FALSE)</f>
        <v>0</v>
      </c>
      <c r="H108" s="11" t="str">
        <f>IFERROR(__xludf.DUMMYFUNCTION("""COMPUTED_VALUE"""),"LYFE Marketing, The Social Shepherd, Sociallyin, Superside, MuteSix")</f>
        <v>LYFE Marketing, The Social Shepherd, Sociallyin, Superside, MuteSix</v>
      </c>
      <c r="I108" s="11">
        <f>IFERROR(__xludf.DUMMYFUNCTION("""COMPUTED_VALUE"""),15.0)</f>
        <v>15</v>
      </c>
      <c r="J108" s="11">
        <f>IFERROR(__xludf.DUMMYFUNCTION("""COMPUTED_VALUE"""),0.01)</f>
        <v>0.01</v>
      </c>
      <c r="K108" s="11">
        <f>IFERROR(__xludf.DUMMYFUNCTION("""COMPUTED_VALUE"""),1.67)</f>
        <v>1.67</v>
      </c>
    </row>
    <row r="109" ht="15.75" customHeight="1">
      <c r="A109" s="10" t="str">
        <f>IFERROR(__xludf.DUMMYFUNCTION("""COMPUTED_VALUE"""),"https://thesocialshepherd.com/blog/top-google-ads-agencies-us")</f>
        <v>https://thesocialshepherd.com/blog/top-google-ads-agencies-us</v>
      </c>
      <c r="B109" s="11" t="str">
        <f>IFERROR(__xludf.DUMMYFUNCTION("""COMPUTED_VALUE"""),"The Social Shepherd | Top 17 Google Ads Agencies in the U.S. (2026)")</f>
        <v>The Social Shepherd | Top 17 Google Ads Agencies in the U.S. (2026)</v>
      </c>
      <c r="C109" s="10" t="str">
        <f>IFERROR(__xludf.DUMMYFUNCTION("""COMPUTED_VALUE"""),"thesocialshepherd.com")</f>
        <v>thesocialshepherd.com</v>
      </c>
      <c r="D109" s="11" t="str">
        <f>IFERROR(__xludf.DUMMYFUNCTION("""COMPUTED_VALUE"""),"LISTICLE")</f>
        <v>LISTICLE</v>
      </c>
      <c r="E109" s="11" t="str">
        <f>IFERROR(__xludf.DUMMYFUNCTION("""COMPUTED_VALUE"""),"COMPETITOR")</f>
        <v>COMPETITOR</v>
      </c>
      <c r="F109" s="11" t="str">
        <f>IFERROR(__xludf.DUMMYFUNCTION("""COMPUTED_VALUE"""),"Listicle")</f>
        <v>Listicle</v>
      </c>
      <c r="G109" s="11" t="b">
        <f>IFERROR(__xludf.DUMMYFUNCTION("""COMPUTED_VALUE"""),FALSE)</f>
        <v>0</v>
      </c>
      <c r="H109" s="11" t="str">
        <f>IFERROR(__xludf.DUMMYFUNCTION("""COMPUTED_VALUE"""),"The Social Shepherd, KlientBoost, Directive, Metric Theory, WebFX, Single Grain")</f>
        <v>The Social Shepherd, KlientBoost, Directive, Metric Theory, WebFX, Single Grain</v>
      </c>
      <c r="I109" s="11">
        <f>IFERROR(__xludf.DUMMYFUNCTION("""COMPUTED_VALUE"""),15.0)</f>
        <v>15</v>
      </c>
      <c r="J109" s="11">
        <f>IFERROR(__xludf.DUMMYFUNCTION("""COMPUTED_VALUE"""),0.01)</f>
        <v>0.01</v>
      </c>
      <c r="K109" s="11">
        <f>IFERROR(__xludf.DUMMYFUNCTION("""COMPUTED_VALUE"""),1.4)</f>
        <v>1.4</v>
      </c>
    </row>
    <row r="110" ht="15.75" customHeight="1">
      <c r="A110" s="10" t="str">
        <f>IFERROR(__xludf.DUMMYFUNCTION("""COMPUTED_VALUE"""),"https://thesocialshepherd.com/blog/top-social-media-agencies-us")</f>
        <v>https://thesocialshepherd.com/blog/top-social-media-agencies-us</v>
      </c>
      <c r="B110" s="11" t="str">
        <f>IFERROR(__xludf.DUMMYFUNCTION("""COMPUTED_VALUE"""),"The Social Shepherd | Top 17 Social Media Marketing Agencies in the…")</f>
        <v>The Social Shepherd | Top 17 Social Media Marketing Agencies in the…</v>
      </c>
      <c r="C110" s="10" t="str">
        <f>IFERROR(__xludf.DUMMYFUNCTION("""COMPUTED_VALUE"""),"thesocialshepherd.com")</f>
        <v>thesocialshepherd.com</v>
      </c>
      <c r="D110" s="11" t="str">
        <f>IFERROR(__xludf.DUMMYFUNCTION("""COMPUTED_VALUE"""),"LISTICLE")</f>
        <v>LISTICLE</v>
      </c>
      <c r="E110" s="11" t="str">
        <f>IFERROR(__xludf.DUMMYFUNCTION("""COMPUTED_VALUE"""),"COMPETITOR")</f>
        <v>COMPETITOR</v>
      </c>
      <c r="F110" s="11" t="str">
        <f>IFERROR(__xludf.DUMMYFUNCTION("""COMPUTED_VALUE"""),"Listicle")</f>
        <v>Listicle</v>
      </c>
      <c r="G110" s="11" t="b">
        <f>IFERROR(__xludf.DUMMYFUNCTION("""COMPUTED_VALUE"""),FALSE)</f>
        <v>0</v>
      </c>
      <c r="H110" s="11" t="str">
        <f>IFERROR(__xludf.DUMMYFUNCTION("""COMPUTED_VALUE"""),"The Social Shepherd, inBeat, Ignite Visibility")</f>
        <v>The Social Shepherd, inBeat, Ignite Visibility</v>
      </c>
      <c r="I110" s="11">
        <f>IFERROR(__xludf.DUMMYFUNCTION("""COMPUTED_VALUE"""),15.0)</f>
        <v>15</v>
      </c>
      <c r="J110" s="11">
        <f>IFERROR(__xludf.DUMMYFUNCTION("""COMPUTED_VALUE"""),0.01)</f>
        <v>0.01</v>
      </c>
      <c r="K110" s="11">
        <f>IFERROR(__xludf.DUMMYFUNCTION("""COMPUTED_VALUE"""),0.07)</f>
        <v>0.07</v>
      </c>
    </row>
    <row r="111" ht="15.75" customHeight="1">
      <c r="A111" s="10" t="str">
        <f>IFERROR(__xludf.DUMMYFUNCTION("""COMPUTED_VALUE"""),"https://thriveagency.com/news/best-digital-marketing-agencies/")</f>
        <v>https://thriveagency.com/news/best-digital-marketing-agencies/</v>
      </c>
      <c r="B111" s="11" t="str">
        <f>IFERROR(__xludf.DUMMYFUNCTION("""COMPUTED_VALUE"""),"20 Best Digital Marketing Agencies in 2026 | Thrive Agency")</f>
        <v>20 Best Digital Marketing Agencies in 2026 | Thrive Agency</v>
      </c>
      <c r="C111" s="10" t="str">
        <f>IFERROR(__xludf.DUMMYFUNCTION("""COMPUTED_VALUE"""),"thriveagency.com")</f>
        <v>thriveagency.com</v>
      </c>
      <c r="D111" s="11" t="str">
        <f>IFERROR(__xludf.DUMMYFUNCTION("""COMPUTED_VALUE"""),"LISTICLE")</f>
        <v>LISTICLE</v>
      </c>
      <c r="E111" s="11" t="str">
        <f>IFERROR(__xludf.DUMMYFUNCTION("""COMPUTED_VALUE"""),"COMPETITOR")</f>
        <v>COMPETITOR</v>
      </c>
      <c r="F111" s="11" t="str">
        <f>IFERROR(__xludf.DUMMYFUNCTION("""COMPUTED_VALUE"""),"Listicle")</f>
        <v>Listicle</v>
      </c>
      <c r="G111" s="11" t="b">
        <f>IFERROR(__xludf.DUMMYFUNCTION("""COMPUTED_VALUE"""),FALSE)</f>
        <v>0</v>
      </c>
      <c r="H111" s="11" t="str">
        <f>IFERROR(__xludf.DUMMYFUNCTION("""COMPUTED_VALUE"""),"Thrive Internet Marketing Agency, Disruptive Advertising, Power Digital, Intero Digital, KlientBoost, NP Digital, Directive, Victorious, VaynerMedia, Ogilvy, Tinuiti, Refine Labs, Single Grain, Major Tom")</f>
        <v>Thrive Internet Marketing Agency, Disruptive Advertising, Power Digital, Intero Digital, KlientBoost, NP Digital, Directive, Victorious, VaynerMedia, Ogilvy, Tinuiti, Refine Labs, Single Grain, Major Tom</v>
      </c>
      <c r="I111" s="11">
        <f>IFERROR(__xludf.DUMMYFUNCTION("""COMPUTED_VALUE"""),15.0)</f>
        <v>15</v>
      </c>
      <c r="J111" s="11">
        <f>IFERROR(__xludf.DUMMYFUNCTION("""COMPUTED_VALUE"""),0.01)</f>
        <v>0.01</v>
      </c>
      <c r="K111" s="11">
        <f>IFERROR(__xludf.DUMMYFUNCTION("""COMPUTED_VALUE"""),1.07)</f>
        <v>1.07</v>
      </c>
    </row>
    <row r="112" ht="15.75" customHeight="1">
      <c r="A112" s="10" t="str">
        <f>IFERROR(__xludf.DUMMYFUNCTION("""COMPUTED_VALUE"""),"https://visionlabs.com/blog/top-web-analytics-agencies/")</f>
        <v>https://visionlabs.com/blog/top-web-analytics-agencies/</v>
      </c>
      <c r="B112" s="11" t="str">
        <f>IFERROR(__xludf.DUMMYFUNCTION("""COMPUTED_VALUE"""),"Best 7 Web Analytics Agencies of 2026 - A curated list | Vision Labs")</f>
        <v>Best 7 Web Analytics Agencies of 2026 - A curated list | Vision Labs</v>
      </c>
      <c r="C112" s="10" t="str">
        <f>IFERROR(__xludf.DUMMYFUNCTION("""COMPUTED_VALUE"""),"visionlabs.com")</f>
        <v>visionlabs.com</v>
      </c>
      <c r="D112" s="11" t="str">
        <f>IFERROR(__xludf.DUMMYFUNCTION("""COMPUTED_VALUE"""),"LISTICLE")</f>
        <v>LISTICLE</v>
      </c>
      <c r="E112" s="11" t="str">
        <f>IFERROR(__xludf.DUMMYFUNCTION("""COMPUTED_VALUE"""),"CORPORATE")</f>
        <v>CORPORATE</v>
      </c>
      <c r="F112" s="11" t="str">
        <f>IFERROR(__xludf.DUMMYFUNCTION("""COMPUTED_VALUE"""),"Listicle")</f>
        <v>Listicle</v>
      </c>
      <c r="G112" s="11" t="b">
        <f>IFERROR(__xludf.DUMMYFUNCTION("""COMPUTED_VALUE"""),FALSE)</f>
        <v>0</v>
      </c>
      <c r="H112" s="11" t="str">
        <f>IFERROR(__xludf.DUMMYFUNCTION("""COMPUTED_VALUE"""),"Omniscient Digital, Artefact, IBM")</f>
        <v>Omniscient Digital, Artefact, IBM</v>
      </c>
      <c r="I112" s="11">
        <f>IFERROR(__xludf.DUMMYFUNCTION("""COMPUTED_VALUE"""),15.0)</f>
        <v>15</v>
      </c>
      <c r="J112" s="11">
        <f>IFERROR(__xludf.DUMMYFUNCTION("""COMPUTED_VALUE"""),0.01)</f>
        <v>0.01</v>
      </c>
      <c r="K112" s="11">
        <f>IFERROR(__xludf.DUMMYFUNCTION("""COMPUTED_VALUE"""),1.27)</f>
        <v>1.27</v>
      </c>
    </row>
    <row r="113" ht="15.75" customHeight="1">
      <c r="A113" s="10" t="str">
        <f>IFERROR(__xludf.DUMMYFUNCTION("""COMPUTED_VALUE"""),"https://www.cometly.com/post/marketing-attribution-tools-for-agencies")</f>
        <v>https://www.cometly.com/post/marketing-attribution-tools-for-agencies</v>
      </c>
      <c r="B113" s="11" t="str">
        <f>IFERROR(__xludf.DUMMYFUNCTION("""COMPUTED_VALUE"""),"Best Marketing Attribution Tools For Agencies 2026")</f>
        <v>Best Marketing Attribution Tools For Agencies 2026</v>
      </c>
      <c r="C113" s="10" t="str">
        <f>IFERROR(__xludf.DUMMYFUNCTION("""COMPUTED_VALUE"""),"cometly.com")</f>
        <v>cometly.com</v>
      </c>
      <c r="D113" s="11" t="str">
        <f>IFERROR(__xludf.DUMMYFUNCTION("""COMPUTED_VALUE"""),"LISTICLE")</f>
        <v>LISTICLE</v>
      </c>
      <c r="E113" s="11" t="str">
        <f>IFERROR(__xludf.DUMMYFUNCTION("""COMPUTED_VALUE"""),"COMPETITOR")</f>
        <v>COMPETITOR</v>
      </c>
      <c r="F113" s="11" t="str">
        <f>IFERROR(__xludf.DUMMYFUNCTION("""COMPUTED_VALUE"""),"Listicle")</f>
        <v>Listicle</v>
      </c>
      <c r="G113" s="11" t="b">
        <f>IFERROR(__xludf.DUMMYFUNCTION("""COMPUTED_VALUE"""),FALSE)</f>
        <v>0</v>
      </c>
      <c r="H113" s="11" t="str">
        <f>IFERROR(__xludf.DUMMYFUNCTION("""COMPUTED_VALUE"""),"Cometly, Triple Whale, Northbeam, Rockerbox, Ruler Analytics")</f>
        <v>Cometly, Triple Whale, Northbeam, Rockerbox, Ruler Analytics</v>
      </c>
      <c r="I113" s="11">
        <f>IFERROR(__xludf.DUMMYFUNCTION("""COMPUTED_VALUE"""),14.0)</f>
        <v>14</v>
      </c>
      <c r="J113" s="11">
        <f>IFERROR(__xludf.DUMMYFUNCTION("""COMPUTED_VALUE"""),0.01)</f>
        <v>0.01</v>
      </c>
      <c r="K113" s="11">
        <f>IFERROR(__xludf.DUMMYFUNCTION("""COMPUTED_VALUE"""),0.86)</f>
        <v>0.86</v>
      </c>
    </row>
    <row r="114" ht="15.75" customHeight="1">
      <c r="A114" s="10" t="str">
        <f>IFERROR(__xludf.DUMMYFUNCTION("""COMPUTED_VALUE"""),"https://dmidigitalmarketing.com/top-15-ai-marketing-agencies-in-the-us-2026/")</f>
        <v>https://dmidigitalmarketing.com/top-15-ai-marketing-agencies-in-the-us-2026/</v>
      </c>
      <c r="B114" s="11" t="str">
        <f>IFERROR(__xludf.DUMMYFUNCTION("""COMPUTED_VALUE"""),"&amp;nbsp;Top 15 AI Marketing Agencies in the US (2026) -")</f>
        <v>&amp;nbsp;Top 15 AI Marketing Agencies in the US (2026) -</v>
      </c>
      <c r="C114" s="10" t="str">
        <f>IFERROR(__xludf.DUMMYFUNCTION("""COMPUTED_VALUE"""),"dmidigitalmarketing.com")</f>
        <v>dmidigitalmarketing.com</v>
      </c>
      <c r="D114" s="11" t="str">
        <f>IFERROR(__xludf.DUMMYFUNCTION("""COMPUTED_VALUE"""),"LISTICLE")</f>
        <v>LISTICLE</v>
      </c>
      <c r="E114" s="11" t="str">
        <f>IFERROR(__xludf.DUMMYFUNCTION("""COMPUTED_VALUE"""),"CORPORATE")</f>
        <v>CORPORATE</v>
      </c>
      <c r="F114" s="11" t="str">
        <f>IFERROR(__xludf.DUMMYFUNCTION("""COMPUTED_VALUE"""),"Listicle")</f>
        <v>Listicle</v>
      </c>
      <c r="G114" s="11" t="b">
        <f>IFERROR(__xludf.DUMMYFUNCTION("""COMPUTED_VALUE"""),FALSE)</f>
        <v>0</v>
      </c>
      <c r="H114" s="11" t="str">
        <f>IFERROR(__xludf.DUMMYFUNCTION("""COMPUTED_VALUE"""),"Amsive, Viral Nation, Directive, Single Grain, Ignite Visibility, SmartSites, NoGood")</f>
        <v>Amsive, Viral Nation, Directive, Single Grain, Ignite Visibility, SmartSites, NoGood</v>
      </c>
      <c r="I114" s="11">
        <f>IFERROR(__xludf.DUMMYFUNCTION("""COMPUTED_VALUE"""),14.0)</f>
        <v>14</v>
      </c>
      <c r="J114" s="11">
        <f>IFERROR(__xludf.DUMMYFUNCTION("""COMPUTED_VALUE"""),0.01)</f>
        <v>0.01</v>
      </c>
      <c r="K114" s="11">
        <f>IFERROR(__xludf.DUMMYFUNCTION("""COMPUTED_VALUE"""),1.0)</f>
        <v>1</v>
      </c>
    </row>
    <row r="115" ht="15.75" customHeight="1">
      <c r="A115" s="10" t="str">
        <f>IFERROR(__xludf.DUMMYFUNCTION("""COMPUTED_VALUE"""),"https://thecmo.com/tools/best-marketing-attribution-software/")</f>
        <v>https://thecmo.com/tools/best-marketing-attribution-software/</v>
      </c>
      <c r="B115" s="11" t="str">
        <f>IFERROR(__xludf.DUMMYFUNCTION("""COMPUTED_VALUE"""),"10 Best Marketing Attribution Software Reviewed For 2026")</f>
        <v>10 Best Marketing Attribution Software Reviewed For 2026</v>
      </c>
      <c r="C115" s="10" t="str">
        <f>IFERROR(__xludf.DUMMYFUNCTION("""COMPUTED_VALUE"""),"thecmo.com")</f>
        <v>thecmo.com</v>
      </c>
      <c r="D115" s="11" t="str">
        <f>IFERROR(__xludf.DUMMYFUNCTION("""COMPUTED_VALUE"""),"LISTICLE")</f>
        <v>LISTICLE</v>
      </c>
      <c r="E115" s="11" t="str">
        <f>IFERROR(__xludf.DUMMYFUNCTION("""COMPUTED_VALUE"""),"OTHER")</f>
        <v>OTHER</v>
      </c>
      <c r="F115" s="11" t="str">
        <f>IFERROR(__xludf.DUMMYFUNCTION("""COMPUTED_VALUE"""),"Listicle")</f>
        <v>Listicle</v>
      </c>
      <c r="G115" s="11" t="b">
        <f>IFERROR(__xludf.DUMMYFUNCTION("""COMPUTED_VALUE"""),FALSE)</f>
        <v>0</v>
      </c>
      <c r="H115" s="11" t="str">
        <f>IFERROR(__xludf.DUMMYFUNCTION("""COMPUTED_VALUE"""),"HockeyStack, Triple Whale, Anomaly, Ruler Analytics, Neustar, Huge")</f>
        <v>HockeyStack, Triple Whale, Anomaly, Ruler Analytics, Neustar, Huge</v>
      </c>
      <c r="I115" s="11">
        <f>IFERROR(__xludf.DUMMYFUNCTION("""COMPUTED_VALUE"""),14.0)</f>
        <v>14</v>
      </c>
      <c r="J115" s="11">
        <f>IFERROR(__xludf.DUMMYFUNCTION("""COMPUTED_VALUE"""),0.01)</f>
        <v>0.01</v>
      </c>
      <c r="K115" s="11">
        <f>IFERROR(__xludf.DUMMYFUNCTION("""COMPUTED_VALUE"""),0.0)</f>
        <v>0</v>
      </c>
    </row>
    <row r="116" ht="15.75" customHeight="1">
      <c r="A116" s="10" t="str">
        <f>IFERROR(__xludf.DUMMYFUNCTION("""COMPUTED_VALUE"""),"https://thesocialshepherd.com/blog/top-performance-marketing-agencies-us")</f>
        <v>https://thesocialshepherd.com/blog/top-performance-marketing-agencies-us</v>
      </c>
      <c r="B116" s="11" t="str">
        <f>IFERROR(__xludf.DUMMYFUNCTION("""COMPUTED_VALUE"""),"The Social Shepherd | Top 17 Performance Marketing Agencies in the…")</f>
        <v>The Social Shepherd | Top 17 Performance Marketing Agencies in the…</v>
      </c>
      <c r="C116" s="10" t="str">
        <f>IFERROR(__xludf.DUMMYFUNCTION("""COMPUTED_VALUE"""),"thesocialshepherd.com")</f>
        <v>thesocialshepherd.com</v>
      </c>
      <c r="D116" s="11" t="str">
        <f>IFERROR(__xludf.DUMMYFUNCTION("""COMPUTED_VALUE"""),"LISTICLE")</f>
        <v>LISTICLE</v>
      </c>
      <c r="E116" s="11" t="str">
        <f>IFERROR(__xludf.DUMMYFUNCTION("""COMPUTED_VALUE"""),"COMPETITOR")</f>
        <v>COMPETITOR</v>
      </c>
      <c r="F116" s="11" t="str">
        <f>IFERROR(__xludf.DUMMYFUNCTION("""COMPUTED_VALUE"""),"Listicle")</f>
        <v>Listicle</v>
      </c>
      <c r="G116" s="11" t="b">
        <f>IFERROR(__xludf.DUMMYFUNCTION("""COMPUTED_VALUE"""),FALSE)</f>
        <v>0</v>
      </c>
      <c r="H116" s="11" t="str">
        <f>IFERROR(__xludf.DUMMYFUNCTION("""COMPUTED_VALUE"""),"The Social Shepherd, Single Grain, Tinuiti, Power Digital")</f>
        <v>The Social Shepherd, Single Grain, Tinuiti, Power Digital</v>
      </c>
      <c r="I116" s="11">
        <f>IFERROR(__xludf.DUMMYFUNCTION("""COMPUTED_VALUE"""),14.0)</f>
        <v>14</v>
      </c>
      <c r="J116" s="11">
        <f>IFERROR(__xludf.DUMMYFUNCTION("""COMPUTED_VALUE"""),0.01)</f>
        <v>0.01</v>
      </c>
      <c r="K116" s="11">
        <f>IFERROR(__xludf.DUMMYFUNCTION("""COMPUTED_VALUE"""),0.0)</f>
        <v>0</v>
      </c>
    </row>
    <row r="117" ht="15.75" customHeight="1">
      <c r="A117" s="10" t="str">
        <f>IFERROR(__xludf.DUMMYFUNCTION("""COMPUTED_VALUE"""),"https://www.cometly.com/post/best-top-marketing-attribution-firms-in-usa")</f>
        <v>https://www.cometly.com/post/best-top-marketing-attribution-firms-in-usa</v>
      </c>
      <c r="B117" s="11" t="str">
        <f>IFERROR(__xludf.DUMMYFUNCTION("""COMPUTED_VALUE"""),"Top Marketing Attribution Firms In Usa: 2026 Guide")</f>
        <v>Top Marketing Attribution Firms In Usa: 2026 Guide</v>
      </c>
      <c r="C117" s="10" t="str">
        <f>IFERROR(__xludf.DUMMYFUNCTION("""COMPUTED_VALUE"""),"cometly.com")</f>
        <v>cometly.com</v>
      </c>
      <c r="D117" s="11" t="str">
        <f>IFERROR(__xludf.DUMMYFUNCTION("""COMPUTED_VALUE"""),"LISTICLE")</f>
        <v>LISTICLE</v>
      </c>
      <c r="E117" s="11" t="str">
        <f>IFERROR(__xludf.DUMMYFUNCTION("""COMPUTED_VALUE"""),"COMPETITOR")</f>
        <v>COMPETITOR</v>
      </c>
      <c r="F117" s="11" t="str">
        <f>IFERROR(__xludf.DUMMYFUNCTION("""COMPUTED_VALUE"""),"Listicle")</f>
        <v>Listicle</v>
      </c>
      <c r="G117" s="11" t="b">
        <f>IFERROR(__xludf.DUMMYFUNCTION("""COMPUTED_VALUE"""),FALSE)</f>
        <v>0</v>
      </c>
      <c r="H117" s="11" t="str">
        <f>IFERROR(__xludf.DUMMYFUNCTION("""COMPUTED_VALUE"""),"Cometly, Triple Whale, Northbeam, Rockerbox, Measured")</f>
        <v>Cometly, Triple Whale, Northbeam, Rockerbox, Measured</v>
      </c>
      <c r="I117" s="11">
        <f>IFERROR(__xludf.DUMMYFUNCTION("""COMPUTED_VALUE"""),13.0)</f>
        <v>13</v>
      </c>
      <c r="J117" s="11">
        <f>IFERROR(__xludf.DUMMYFUNCTION("""COMPUTED_VALUE"""),0.01)</f>
        <v>0.01</v>
      </c>
      <c r="K117" s="11">
        <f>IFERROR(__xludf.DUMMYFUNCTION("""COMPUTED_VALUE"""),0.38)</f>
        <v>0.38</v>
      </c>
    </row>
    <row r="118" ht="15.75" customHeight="1">
      <c r="A118" s="10" t="str">
        <f>IFERROR(__xludf.DUMMYFUNCTION("""COMPUTED_VALUE"""),"https://www.cometly.com/post/incrementality-measurement-tool")</f>
        <v>https://www.cometly.com/post/incrementality-measurement-tool</v>
      </c>
      <c r="B118" s="11" t="str">
        <f>IFERROR(__xludf.DUMMYFUNCTION("""COMPUTED_VALUE"""),"9 Best Incrementality Measurement Tools: 2026 Guide")</f>
        <v>9 Best Incrementality Measurement Tools: 2026 Guide</v>
      </c>
      <c r="C118" s="10" t="str">
        <f>IFERROR(__xludf.DUMMYFUNCTION("""COMPUTED_VALUE"""),"cometly.com")</f>
        <v>cometly.com</v>
      </c>
      <c r="D118" s="11" t="str">
        <f>IFERROR(__xludf.DUMMYFUNCTION("""COMPUTED_VALUE"""),"LISTICLE")</f>
        <v>LISTICLE</v>
      </c>
      <c r="E118" s="11" t="str">
        <f>IFERROR(__xludf.DUMMYFUNCTION("""COMPUTED_VALUE"""),"COMPETITOR")</f>
        <v>COMPETITOR</v>
      </c>
      <c r="F118" s="11" t="str">
        <f>IFERROR(__xludf.DUMMYFUNCTION("""COMPUTED_VALUE"""),"Listicle")</f>
        <v>Listicle</v>
      </c>
      <c r="G118" s="11" t="b">
        <f>IFERROR(__xludf.DUMMYFUNCTION("""COMPUTED_VALUE"""),FALSE)</f>
        <v>0</v>
      </c>
      <c r="H118" s="11" t="str">
        <f>IFERROR(__xludf.DUMMYFUNCTION("""COMPUTED_VALUE"""),"Cometly, Measured, Rockerbox, Northbeam, Recast, Haus")</f>
        <v>Cometly, Measured, Rockerbox, Northbeam, Recast, Haus</v>
      </c>
      <c r="I118" s="11">
        <f>IFERROR(__xludf.DUMMYFUNCTION("""COMPUTED_VALUE"""),13.0)</f>
        <v>13</v>
      </c>
      <c r="J118" s="11">
        <f>IFERROR(__xludf.DUMMYFUNCTION("""COMPUTED_VALUE"""),0.01)</f>
        <v>0.01</v>
      </c>
      <c r="K118" s="11">
        <f>IFERROR(__xludf.DUMMYFUNCTION("""COMPUTED_VALUE"""),0.23)</f>
        <v>0.23</v>
      </c>
    </row>
    <row r="119" ht="15.75" customHeight="1">
      <c r="A119" s="10" t="str">
        <f>IFERROR(__xludf.DUMMYFUNCTION("""COMPUTED_VALUE"""),"https://www.creativemilkshake.com/blog/top-us-performance-marketing-agencies")</f>
        <v>https://www.creativemilkshake.com/blog/top-us-performance-marketing-agencies</v>
      </c>
      <c r="B119" s="11" t="str">
        <f>IFERROR(__xludf.DUMMYFUNCTION("""COMPUTED_VALUE"""),"Top 12 US Performance Marketing Agencies Turning Ad Spend into Revenue in 2026 | Creative Milkshake")</f>
        <v>Top 12 US Performance Marketing Agencies Turning Ad Spend into Revenue in 2026 | Creative Milkshake</v>
      </c>
      <c r="C119" s="10" t="str">
        <f>IFERROR(__xludf.DUMMYFUNCTION("""COMPUTED_VALUE"""),"creativemilkshake.com")</f>
        <v>creativemilkshake.com</v>
      </c>
      <c r="D119" s="11" t="str">
        <f>IFERROR(__xludf.DUMMYFUNCTION("""COMPUTED_VALUE"""),"LISTICLE")</f>
        <v>LISTICLE</v>
      </c>
      <c r="E119" s="11" t="str">
        <f>IFERROR(__xludf.DUMMYFUNCTION("""COMPUTED_VALUE"""),"CORPORATE")</f>
        <v>CORPORATE</v>
      </c>
      <c r="F119" s="11" t="str">
        <f>IFERROR(__xludf.DUMMYFUNCTION("""COMPUTED_VALUE"""),"Listicle")</f>
        <v>Listicle</v>
      </c>
      <c r="G119" s="11" t="b">
        <f>IFERROR(__xludf.DUMMYFUNCTION("""COMPUTED_VALUE"""),FALSE)</f>
        <v>0</v>
      </c>
      <c r="H119" s="11" t="str">
        <f>IFERROR(__xludf.DUMMYFUNCTION("""COMPUTED_VALUE"""),"Amsive, MuteSix, Clutch, NP Digital, NoGood, KlientBoost, Wpromote, TransUnion")</f>
        <v>Amsive, MuteSix, Clutch, NP Digital, NoGood, KlientBoost, Wpromote, TransUnion</v>
      </c>
      <c r="I119" s="11">
        <f>IFERROR(__xludf.DUMMYFUNCTION("""COMPUTED_VALUE"""),13.0)</f>
        <v>13</v>
      </c>
      <c r="J119" s="11">
        <f>IFERROR(__xludf.DUMMYFUNCTION("""COMPUTED_VALUE"""),0.01)</f>
        <v>0.01</v>
      </c>
      <c r="K119" s="11">
        <f>IFERROR(__xludf.DUMMYFUNCTION("""COMPUTED_VALUE"""),1.0)</f>
        <v>1</v>
      </c>
    </row>
    <row r="120" ht="15.75" customHeight="1">
      <c r="A120" s="10" t="str">
        <f>IFERROR(__xludf.DUMMYFUNCTION("""COMPUTED_VALUE"""),"https://www.cygnet.one/feeds/blog/compare-ai-consulting-marketing-automation")</f>
        <v>https://www.cygnet.one/feeds/blog/compare-ai-consulting-marketing-automation</v>
      </c>
      <c r="B120" s="11" t="str">
        <f>IFERROR(__xludf.DUMMYFUNCTION("""COMPUTED_VALUE"""),"Top AI Marketing Automation Consulting Services — 2026")</f>
        <v>Top AI Marketing Automation Consulting Services — 2026</v>
      </c>
      <c r="C120" s="11" t="str">
        <f>IFERROR(__xludf.DUMMYFUNCTION("""COMPUTED_VALUE"""),"cygnet.one")</f>
        <v>cygnet.one</v>
      </c>
      <c r="D120" s="11" t="str">
        <f>IFERROR(__xludf.DUMMYFUNCTION("""COMPUTED_VALUE"""),"LISTICLE")</f>
        <v>LISTICLE</v>
      </c>
      <c r="E120" s="11" t="str">
        <f>IFERROR(__xludf.DUMMYFUNCTION("""COMPUTED_VALUE"""),"OTHER")</f>
        <v>OTHER</v>
      </c>
      <c r="F120" s="11" t="str">
        <f>IFERROR(__xludf.DUMMYFUNCTION("""COMPUTED_VALUE"""),"Listicle")</f>
        <v>Listicle</v>
      </c>
      <c r="G120" s="11" t="b">
        <f>IFERROR(__xludf.DUMMYFUNCTION("""COMPUTED_VALUE"""),FALSE)</f>
        <v>0</v>
      </c>
      <c r="H120" s="11" t="str">
        <f>IFERROR(__xludf.DUMMYFUNCTION("""COMPUTED_VALUE"""),"Accenture Song, Deloitte Digital, Merkle, Publicis Sapient, Ogilvy, Dentsu, Publicis Groupe, WPP, McKinsey")</f>
        <v>Accenture Song, Deloitte Digital, Merkle, Publicis Sapient, Ogilvy, Dentsu, Publicis Groupe, WPP, McKinsey</v>
      </c>
      <c r="I120" s="11">
        <f>IFERROR(__xludf.DUMMYFUNCTION("""COMPUTED_VALUE"""),13.0)</f>
        <v>13</v>
      </c>
      <c r="J120" s="11">
        <f>IFERROR(__xludf.DUMMYFUNCTION("""COMPUTED_VALUE"""),0.01)</f>
        <v>0.01</v>
      </c>
      <c r="K120" s="11">
        <f>IFERROR(__xludf.DUMMYFUNCTION("""COMPUTED_VALUE"""),0.23)</f>
        <v>0.23</v>
      </c>
    </row>
    <row r="121" ht="15.75" customHeight="1">
      <c r="A121" s="10" t="str">
        <f>IFERROR(__xludf.DUMMYFUNCTION("""COMPUTED_VALUE"""),"https://funnel.io/blog/top-mta-tools")</f>
        <v>https://funnel.io/blog/top-mta-tools</v>
      </c>
      <c r="B121" s="11" t="str">
        <f>IFERROR(__xludf.DUMMYFUNCTION("""COMPUTED_VALUE"""),"Top multi-touch attribution (MTA) tools for 2026")</f>
        <v>Top multi-touch attribution (MTA) tools for 2026</v>
      </c>
      <c r="C121" s="10" t="str">
        <f>IFERROR(__xludf.DUMMYFUNCTION("""COMPUTED_VALUE"""),"funnel.io")</f>
        <v>funnel.io</v>
      </c>
      <c r="D121" s="11" t="str">
        <f>IFERROR(__xludf.DUMMYFUNCTION("""COMPUTED_VALUE"""),"LISTICLE")</f>
        <v>LISTICLE</v>
      </c>
      <c r="E121" s="11" t="str">
        <f>IFERROR(__xludf.DUMMYFUNCTION("""COMPUTED_VALUE"""),"CORPORATE")</f>
        <v>CORPORATE</v>
      </c>
      <c r="F121" s="11" t="str">
        <f>IFERROR(__xludf.DUMMYFUNCTION("""COMPUTED_VALUE"""),"Listicle")</f>
        <v>Listicle</v>
      </c>
      <c r="G121" s="11" t="b">
        <f>IFERROR(__xludf.DUMMYFUNCTION("""COMPUTED_VALUE"""),FALSE)</f>
        <v>0</v>
      </c>
      <c r="H121" s="11" t="str">
        <f>IFERROR(__xludf.DUMMYFUNCTION("""COMPUTED_VALUE"""),"HockeyStack, SegmentStream, Northbeam")</f>
        <v>HockeyStack, SegmentStream, Northbeam</v>
      </c>
      <c r="I121" s="11">
        <f>IFERROR(__xludf.DUMMYFUNCTION("""COMPUTED_VALUE"""),13.0)</f>
        <v>13</v>
      </c>
      <c r="J121" s="11">
        <f>IFERROR(__xludf.DUMMYFUNCTION("""COMPUTED_VALUE"""),0.01)</f>
        <v>0.01</v>
      </c>
      <c r="K121" s="11">
        <f>IFERROR(__xludf.DUMMYFUNCTION("""COMPUTED_VALUE"""),1.08)</f>
        <v>1.08</v>
      </c>
    </row>
    <row r="122" ht="15.75" customHeight="1">
      <c r="A122" s="10" t="str">
        <f>IFERROR(__xludf.DUMMYFUNCTION("""COMPUTED_VALUE"""),"https://www.growth-hackers.net/best-analytics-marketing-agencies/")</f>
        <v>https://www.growth-hackers.net/best-analytics-marketing-agencies/</v>
      </c>
      <c r="B122" s="11" t="str">
        <f>IFERROR(__xludf.DUMMYFUNCTION("""COMPUTED_VALUE"""),"Top 11 Analytics Marketing Agencies in 2026 | Hire the Best Analytics Marketing Agency | Growth Hackers")</f>
        <v>Top 11 Analytics Marketing Agencies in 2026 | Hire the Best Analytics Marketing Agency | Growth Hackers</v>
      </c>
      <c r="C122" s="10" t="str">
        <f>IFERROR(__xludf.DUMMYFUNCTION("""COMPUTED_VALUE"""),"growth-hackers.net")</f>
        <v>growth-hackers.net</v>
      </c>
      <c r="D122" s="11" t="str">
        <f>IFERROR(__xludf.DUMMYFUNCTION("""COMPUTED_VALUE"""),"LISTICLE")</f>
        <v>LISTICLE</v>
      </c>
      <c r="E122" s="11" t="str">
        <f>IFERROR(__xludf.DUMMYFUNCTION("""COMPUTED_VALUE"""),"CORPORATE")</f>
        <v>CORPORATE</v>
      </c>
      <c r="F122" s="11" t="str">
        <f>IFERROR(__xludf.DUMMYFUNCTION("""COMPUTED_VALUE"""),"Listicle")</f>
        <v>Listicle</v>
      </c>
      <c r="G122" s="11" t="b">
        <f>IFERROR(__xludf.DUMMYFUNCTION("""COMPUTED_VALUE"""),FALSE)</f>
        <v>0</v>
      </c>
      <c r="H122" s="11" t="str">
        <f>IFERROR(__xludf.DUMMYFUNCTION("""COMPUTED_VALUE"""),"Seer Interactive, Evolytics")</f>
        <v>Seer Interactive, Evolytics</v>
      </c>
      <c r="I122" s="11">
        <f>IFERROR(__xludf.DUMMYFUNCTION("""COMPUTED_VALUE"""),13.0)</f>
        <v>13</v>
      </c>
      <c r="J122" s="11">
        <f>IFERROR(__xludf.DUMMYFUNCTION("""COMPUTED_VALUE"""),0.01)</f>
        <v>0.01</v>
      </c>
      <c r="K122" s="11">
        <f>IFERROR(__xludf.DUMMYFUNCTION("""COMPUTED_VALUE"""),0.92)</f>
        <v>0.92</v>
      </c>
    </row>
    <row r="123" ht="15.75" customHeight="1">
      <c r="A123" s="10" t="str">
        <f>IFERROR(__xludf.DUMMYFUNCTION("""COMPUTED_VALUE"""),"https://www.inbeat.co/articles/paid-media-agencies/")</f>
        <v>https://www.inbeat.co/articles/paid-media-agencies/</v>
      </c>
      <c r="B123" s="11" t="str">
        <f>IFERROR(__xludf.DUMMYFUNCTION("""COMPUTED_VALUE"""),"15 Top Paid Media Agencies: Finding the Right Partner for 2026")</f>
        <v>15 Top Paid Media Agencies: Finding the Right Partner for 2026</v>
      </c>
      <c r="C123" s="10" t="str">
        <f>IFERROR(__xludf.DUMMYFUNCTION("""COMPUTED_VALUE"""),"inbeat.co")</f>
        <v>inbeat.co</v>
      </c>
      <c r="D123" s="11" t="str">
        <f>IFERROR(__xludf.DUMMYFUNCTION("""COMPUTED_VALUE"""),"LISTICLE")</f>
        <v>LISTICLE</v>
      </c>
      <c r="E123" s="11" t="str">
        <f>IFERROR(__xludf.DUMMYFUNCTION("""COMPUTED_VALUE"""),"CORPORATE")</f>
        <v>CORPORATE</v>
      </c>
      <c r="F123" s="11" t="str">
        <f>IFERROR(__xludf.DUMMYFUNCTION("""COMPUTED_VALUE"""),"Listicle")</f>
        <v>Listicle</v>
      </c>
      <c r="G123" s="11" t="b">
        <f>IFERROR(__xludf.DUMMYFUNCTION("""COMPUTED_VALUE"""),FALSE)</f>
        <v>0</v>
      </c>
      <c r="H123" s="11" t="str">
        <f>IFERROR(__xludf.DUMMYFUNCTION("""COMPUTED_VALUE"""),"inBeat, Web Tonic, NoGood, Power Digital, Clutch, Disruptive Advertising, The Social Shepherd, Single Grain, Marcel Digital")</f>
        <v>inBeat, Web Tonic, NoGood, Power Digital, Clutch, Disruptive Advertising, The Social Shepherd, Single Grain, Marcel Digital</v>
      </c>
      <c r="I123" s="11">
        <f>IFERROR(__xludf.DUMMYFUNCTION("""COMPUTED_VALUE"""),13.0)</f>
        <v>13</v>
      </c>
      <c r="J123" s="11">
        <f>IFERROR(__xludf.DUMMYFUNCTION("""COMPUTED_VALUE"""),0.01)</f>
        <v>0.01</v>
      </c>
      <c r="K123" s="11">
        <f>IFERROR(__xludf.DUMMYFUNCTION("""COMPUTED_VALUE"""),0.0)</f>
        <v>0</v>
      </c>
    </row>
    <row r="124" ht="15.75" customHeight="1">
      <c r="A124" s="10" t="str">
        <f>IFERROR(__xludf.DUMMYFUNCTION("""COMPUTED_VALUE"""),"https://influencermarketinghub.com/ai-marketing-agencies/")</f>
        <v>https://influencermarketinghub.com/ai-marketing-agencies/</v>
      </c>
      <c r="B124" s="11" t="str">
        <f>IFERROR(__xludf.DUMMYFUNCTION("""COMPUTED_VALUE"""),"Best AI Marketing Agencies For 2026")</f>
        <v>Best AI Marketing Agencies For 2026</v>
      </c>
      <c r="C124" s="10" t="str">
        <f>IFERROR(__xludf.DUMMYFUNCTION("""COMPUTED_VALUE"""),"influencermarketinghub.com")</f>
        <v>influencermarketinghub.com</v>
      </c>
      <c r="D124" s="11" t="str">
        <f>IFERROR(__xludf.DUMMYFUNCTION("""COMPUTED_VALUE"""),"LISTICLE")</f>
        <v>LISTICLE</v>
      </c>
      <c r="E124" s="11" t="str">
        <f>IFERROR(__xludf.DUMMYFUNCTION("""COMPUTED_VALUE"""),"REFERENCE")</f>
        <v>REFERENCE</v>
      </c>
      <c r="F124" s="11" t="str">
        <f>IFERROR(__xludf.DUMMYFUNCTION("""COMPUTED_VALUE"""),"Listicle")</f>
        <v>Listicle</v>
      </c>
      <c r="G124" s="11" t="b">
        <f>IFERROR(__xludf.DUMMYFUNCTION("""COMPUTED_VALUE"""),FALSE)</f>
        <v>0</v>
      </c>
      <c r="H124" s="11" t="str">
        <f>IFERROR(__xludf.DUMMYFUNCTION("""COMPUTED_VALUE"""),"Viral Nation, SmartSites, McKinsey, Momentum, Clutch, Wpromote, Dentsu, Sociallyin")</f>
        <v>Viral Nation, SmartSites, McKinsey, Momentum, Clutch, Wpromote, Dentsu, Sociallyin</v>
      </c>
      <c r="I124" s="11">
        <f>IFERROR(__xludf.DUMMYFUNCTION("""COMPUTED_VALUE"""),13.0)</f>
        <v>13</v>
      </c>
      <c r="J124" s="11">
        <f>IFERROR(__xludf.DUMMYFUNCTION("""COMPUTED_VALUE"""),0.01)</f>
        <v>0.01</v>
      </c>
      <c r="K124" s="11">
        <f>IFERROR(__xludf.DUMMYFUNCTION("""COMPUTED_VALUE"""),0.15)</f>
        <v>0.15</v>
      </c>
    </row>
    <row r="125" ht="15.75" customHeight="1">
      <c r="A125" s="10" t="str">
        <f>IFERROR(__xludf.DUMMYFUNCTION("""COMPUTED_VALUE"""),"https://influencermarketinghub.com/google-ads-agencies/")</f>
        <v>https://influencermarketinghub.com/google-ads-agencies/</v>
      </c>
      <c r="B125" s="11" t="str">
        <f>IFERROR(__xludf.DUMMYFUNCTION("""COMPUTED_VALUE"""),"22 of the Best Google Ads Agencies for 2025")</f>
        <v>22 of the Best Google Ads Agencies for 2025</v>
      </c>
      <c r="C125" s="10" t="str">
        <f>IFERROR(__xludf.DUMMYFUNCTION("""COMPUTED_VALUE"""),"influencermarketinghub.com")</f>
        <v>influencermarketinghub.com</v>
      </c>
      <c r="D125" s="11" t="str">
        <f>IFERROR(__xludf.DUMMYFUNCTION("""COMPUTED_VALUE"""),"LISTICLE")</f>
        <v>LISTICLE</v>
      </c>
      <c r="E125" s="11" t="str">
        <f>IFERROR(__xludf.DUMMYFUNCTION("""COMPUTED_VALUE"""),"REFERENCE")</f>
        <v>REFERENCE</v>
      </c>
      <c r="F125" s="11" t="str">
        <f>IFERROR(__xludf.DUMMYFUNCTION("""COMPUTED_VALUE"""),"Listicle")</f>
        <v>Listicle</v>
      </c>
      <c r="G125" s="11" t="b">
        <f>IFERROR(__xludf.DUMMYFUNCTION("""COMPUTED_VALUE"""),FALSE)</f>
        <v>0</v>
      </c>
      <c r="H125" s="11" t="str">
        <f>IFERROR(__xludf.DUMMYFUNCTION("""COMPUTED_VALUE"""),"Viral Nation, SmartSites, NinjaPromo, McKinsey, LYFE Marketing, Measured, WebFX, Intero Digital, KlientBoost, Ignite Visibility, Single Grain, Disruptive Advertising, Thrive Internet Marketing Agency, Directive")</f>
        <v>Viral Nation, SmartSites, NinjaPromo, McKinsey, LYFE Marketing, Measured, WebFX, Intero Digital, KlientBoost, Ignite Visibility, Single Grain, Disruptive Advertising, Thrive Internet Marketing Agency, Directive</v>
      </c>
      <c r="I125" s="11">
        <f>IFERROR(__xludf.DUMMYFUNCTION("""COMPUTED_VALUE"""),13.0)</f>
        <v>13</v>
      </c>
      <c r="J125" s="11">
        <f>IFERROR(__xludf.DUMMYFUNCTION("""COMPUTED_VALUE"""),0.01)</f>
        <v>0.01</v>
      </c>
      <c r="K125" s="11">
        <f>IFERROR(__xludf.DUMMYFUNCTION("""COMPUTED_VALUE"""),0.0)</f>
        <v>0</v>
      </c>
    </row>
    <row r="126" ht="15.75" customHeight="1">
      <c r="A126" s="10" t="str">
        <f>IFERROR(__xludf.DUMMYFUNCTION("""COMPUTED_VALUE"""),"https://influencermarketinghub.com/marketing-analytics-agency/")</f>
        <v>https://influencermarketinghub.com/marketing-analytics-agency/</v>
      </c>
      <c r="B126" s="11" t="str">
        <f>IFERROR(__xludf.DUMMYFUNCTION("""COMPUTED_VALUE"""),"Top 12 Marketing Analytics Agency Selections for Data-Driven Success")</f>
        <v>Top 12 Marketing Analytics Agency Selections for Data-Driven Success</v>
      </c>
      <c r="C126" s="10" t="str">
        <f>IFERROR(__xludf.DUMMYFUNCTION("""COMPUTED_VALUE"""),"influencermarketinghub.com")</f>
        <v>influencermarketinghub.com</v>
      </c>
      <c r="D126" s="11" t="str">
        <f>IFERROR(__xludf.DUMMYFUNCTION("""COMPUTED_VALUE"""),"LISTICLE")</f>
        <v>LISTICLE</v>
      </c>
      <c r="E126" s="11" t="str">
        <f>IFERROR(__xludf.DUMMYFUNCTION("""COMPUTED_VALUE"""),"REFERENCE")</f>
        <v>REFERENCE</v>
      </c>
      <c r="F126" s="11" t="str">
        <f>IFERROR(__xludf.DUMMYFUNCTION("""COMPUTED_VALUE"""),"Listicle")</f>
        <v>Listicle</v>
      </c>
      <c r="G126" s="11" t="b">
        <f>IFERROR(__xludf.DUMMYFUNCTION("""COMPUTED_VALUE"""),FALSE)</f>
        <v>0</v>
      </c>
      <c r="H126" s="11" t="str">
        <f>IFERROR(__xludf.DUMMYFUNCTION("""COMPUTED_VALUE"""),"Viral Nation, SmartSites, McKinsey, Noble Studios, Forthea, GroupM, WPP, Disruptive Advertising")</f>
        <v>Viral Nation, SmartSites, McKinsey, Noble Studios, Forthea, GroupM, WPP, Disruptive Advertising</v>
      </c>
      <c r="I126" s="11">
        <f>IFERROR(__xludf.DUMMYFUNCTION("""COMPUTED_VALUE"""),13.0)</f>
        <v>13</v>
      </c>
      <c r="J126" s="11">
        <f>IFERROR(__xludf.DUMMYFUNCTION("""COMPUTED_VALUE"""),0.01)</f>
        <v>0.01</v>
      </c>
      <c r="K126" s="11">
        <f>IFERROR(__xludf.DUMMYFUNCTION("""COMPUTED_VALUE"""),0.46)</f>
        <v>0.46</v>
      </c>
    </row>
    <row r="127" ht="15.75" customHeight="1">
      <c r="A127" s="10" t="str">
        <f>IFERROR(__xludf.DUMMYFUNCTION("""COMPUTED_VALUE"""),"https://www.maxiomtech.com/top-10-ai-marketing-automation-agencies/")</f>
        <v>https://www.maxiomtech.com/top-10-ai-marketing-automation-agencies/</v>
      </c>
      <c r="B127" s="11" t="str">
        <f>IFERROR(__xludf.DUMMYFUNCTION("""COMPUTED_VALUE"""),"Top 10 AI Marketing Automation Agencies in 2026")</f>
        <v>Top 10 AI Marketing Automation Agencies in 2026</v>
      </c>
      <c r="C127" s="10" t="str">
        <f>IFERROR(__xludf.DUMMYFUNCTION("""COMPUTED_VALUE"""),"maxiomtech.com")</f>
        <v>maxiomtech.com</v>
      </c>
      <c r="D127" s="11" t="str">
        <f>IFERROR(__xludf.DUMMYFUNCTION("""COMPUTED_VALUE"""),"LISTICLE")</f>
        <v>LISTICLE</v>
      </c>
      <c r="E127" s="11" t="str">
        <f>IFERROR(__xludf.DUMMYFUNCTION("""COMPUTED_VALUE"""),"CORPORATE")</f>
        <v>CORPORATE</v>
      </c>
      <c r="F127" s="11" t="str">
        <f>IFERROR(__xludf.DUMMYFUNCTION("""COMPUTED_VALUE"""),"Listicle")</f>
        <v>Listicle</v>
      </c>
      <c r="G127" s="11" t="b">
        <f>IFERROR(__xludf.DUMMYFUNCTION("""COMPUTED_VALUE"""),FALSE)</f>
        <v>0</v>
      </c>
      <c r="H127" s="11" t="str">
        <f>IFERROR(__xludf.DUMMYFUNCTION("""COMPUTED_VALUE"""),"Accenture Song, Droga5, Deloitte Digital, PwC, VML, WPP, Single Grain, Merkle, Dentsu, Publicis Sapient, Publicis Groupe, Ogilvy")</f>
        <v>Accenture Song, Droga5, Deloitte Digital, PwC, VML, WPP, Single Grain, Merkle, Dentsu, Publicis Sapient, Publicis Groupe, Ogilvy</v>
      </c>
      <c r="I127" s="11">
        <f>IFERROR(__xludf.DUMMYFUNCTION("""COMPUTED_VALUE"""),13.0)</f>
        <v>13</v>
      </c>
      <c r="J127" s="11">
        <f>IFERROR(__xludf.DUMMYFUNCTION("""COMPUTED_VALUE"""),0.01)</f>
        <v>0.01</v>
      </c>
      <c r="K127" s="11">
        <f>IFERROR(__xludf.DUMMYFUNCTION("""COMPUTED_VALUE"""),1.46)</f>
        <v>1.46</v>
      </c>
    </row>
    <row r="128" ht="15.75" customHeight="1">
      <c r="A128" s="10" t="str">
        <f>IFERROR(__xludf.DUMMYFUNCTION("""COMPUTED_VALUE"""),"https://nationalmarketingawards.com/awards/categories/ppc/")</f>
        <v>https://nationalmarketingawards.com/awards/categories/ppc/</v>
      </c>
      <c r="B128" s="11" t="str">
        <f>IFERROR(__xludf.DUMMYFUNCTION("""COMPUTED_VALUE"""),"Best PPC &amp;amp; Paid Media Agencies in the US (2026) | National Marketing Awards")</f>
        <v>Best PPC &amp;amp; Paid Media Agencies in the US (2026) | National Marketing Awards</v>
      </c>
      <c r="C128" s="10" t="str">
        <f>IFERROR(__xludf.DUMMYFUNCTION("""COMPUTED_VALUE"""),"nationalmarketingawards.com")</f>
        <v>nationalmarketingawards.com</v>
      </c>
      <c r="D128" s="11" t="str">
        <f>IFERROR(__xludf.DUMMYFUNCTION("""COMPUTED_VALUE"""),"LISTICLE")</f>
        <v>LISTICLE</v>
      </c>
      <c r="E128" s="11" t="str">
        <f>IFERROR(__xludf.DUMMYFUNCTION("""COMPUTED_VALUE"""),"REFERENCE")</f>
        <v>REFERENCE</v>
      </c>
      <c r="F128" s="11" t="str">
        <f>IFERROR(__xludf.DUMMYFUNCTION("""COMPUTED_VALUE"""),"Listicle")</f>
        <v>Listicle</v>
      </c>
      <c r="G128" s="11" t="b">
        <f>IFERROR(__xludf.DUMMYFUNCTION("""COMPUTED_VALUE"""),FALSE)</f>
        <v>0</v>
      </c>
      <c r="H128" s="11" t="str">
        <f>IFERROR(__xludf.DUMMYFUNCTION("""COMPUTED_VALUE"""),"WebFX, Ignite Visibility, SmartSites, Clutch, HawkSEM, Measured, Disruptive Advertising, LYFE Marketing, Intero Digital, Noble Studios, NP Digital, Marcel Digital, Directive, Seer Interactive, Silverback Strategies, Power Digital, Searchbloom, Wpromote, K"&amp;"lientBoost, Single Grain, PMG, Sociallyin, First Page Sage, Clay, Tinuiti, Hawke Media")</f>
        <v>WebFX, Ignite Visibility, SmartSites, Clutch, HawkSEM, Measured, Disruptive Advertising, LYFE Marketing, Intero Digital, Noble Studios, NP Digital, Marcel Digital, Directive, Seer Interactive, Silverback Strategies, Power Digital, Searchbloom, Wpromote, KlientBoost, Single Grain, PMG, Sociallyin, First Page Sage, Clay, Tinuiti, Hawke Media</v>
      </c>
      <c r="I128" s="11">
        <f>IFERROR(__xludf.DUMMYFUNCTION("""COMPUTED_VALUE"""),13.0)</f>
        <v>13</v>
      </c>
      <c r="J128" s="11">
        <f>IFERROR(__xludf.DUMMYFUNCTION("""COMPUTED_VALUE"""),0.01)</f>
        <v>0.01</v>
      </c>
      <c r="K128" s="11">
        <f>IFERROR(__xludf.DUMMYFUNCTION("""COMPUTED_VALUE"""),0.31)</f>
        <v>0.31</v>
      </c>
    </row>
    <row r="129" ht="15.75" customHeight="1">
      <c r="A129" s="10" t="str">
        <f>IFERROR(__xludf.DUMMYFUNCTION("""COMPUTED_VALUE"""),"https://www.revvgrowth.com/geo/geo-agency-usa")</f>
        <v>https://www.revvgrowth.com/geo/geo-agency-usa</v>
      </c>
      <c r="B129" s="11" t="str">
        <f>IFERROR(__xludf.DUMMYFUNCTION("""COMPUTED_VALUE"""),"Best GEO Agency in the USA for B2B SaaS (2026)")</f>
        <v>Best GEO Agency in the USA for B2B SaaS (2026)</v>
      </c>
      <c r="C129" s="10" t="str">
        <f>IFERROR(__xludf.DUMMYFUNCTION("""COMPUTED_VALUE"""),"revvgrowth.com")</f>
        <v>revvgrowth.com</v>
      </c>
      <c r="D129" s="11" t="str">
        <f>IFERROR(__xludf.DUMMYFUNCTION("""COMPUTED_VALUE"""),"LISTICLE")</f>
        <v>LISTICLE</v>
      </c>
      <c r="E129" s="11" t="str">
        <f>IFERROR(__xludf.DUMMYFUNCTION("""COMPUTED_VALUE"""),"CORPORATE")</f>
        <v>CORPORATE</v>
      </c>
      <c r="F129" s="11" t="str">
        <f>IFERROR(__xludf.DUMMYFUNCTION("""COMPUTED_VALUE"""),"Listicle")</f>
        <v>Listicle</v>
      </c>
      <c r="G129" s="11" t="b">
        <f>IFERROR(__xludf.DUMMYFUNCTION("""COMPUTED_VALUE"""),FALSE)</f>
        <v>0</v>
      </c>
      <c r="H129" s="11" t="str">
        <f>IFERROR(__xludf.DUMMYFUNCTION("""COMPUTED_VALUE"""),"iPullRank, First Page Sage, Omniscient Digital, Siege Media, NoGood, Directive, Go Fish Digital, Animalz, Clutch, Measured")</f>
        <v>iPullRank, First Page Sage, Omniscient Digital, Siege Media, NoGood, Directive, Go Fish Digital, Animalz, Clutch, Measured</v>
      </c>
      <c r="I129" s="11">
        <f>IFERROR(__xludf.DUMMYFUNCTION("""COMPUTED_VALUE"""),13.0)</f>
        <v>13</v>
      </c>
      <c r="J129" s="11">
        <f>IFERROR(__xludf.DUMMYFUNCTION("""COMPUTED_VALUE"""),0.01)</f>
        <v>0.01</v>
      </c>
      <c r="K129" s="11">
        <f>IFERROR(__xludf.DUMMYFUNCTION("""COMPUTED_VALUE"""),1.0)</f>
        <v>1</v>
      </c>
    </row>
    <row r="130" ht="15.75" customHeight="1">
      <c r="A130" s="10" t="str">
        <f>IFERROR(__xludf.DUMMYFUNCTION("""COMPUTED_VALUE"""),"https://sage.agency/blog/best-google-ads-agency-partners-for-2026/")</f>
        <v>https://sage.agency/blog/best-google-ads-agency-partners-for-2026/</v>
      </c>
      <c r="B130" s="11" t="str">
        <f>IFERROR(__xludf.DUMMYFUNCTION("""COMPUTED_VALUE"""),"Best Google Ads Agency Partners for 2026 - Sage Digital Agency")</f>
        <v>Best Google Ads Agency Partners for 2026 - Sage Digital Agency</v>
      </c>
      <c r="C130" s="11" t="str">
        <f>IFERROR(__xludf.DUMMYFUNCTION("""COMPUTED_VALUE"""),"sage.agency")</f>
        <v>sage.agency</v>
      </c>
      <c r="D130" s="11" t="str">
        <f>IFERROR(__xludf.DUMMYFUNCTION("""COMPUTED_VALUE"""),"LISTICLE")</f>
        <v>LISTICLE</v>
      </c>
      <c r="E130" s="11" t="str">
        <f>IFERROR(__xludf.DUMMYFUNCTION("""COMPUTED_VALUE"""),"CORPORATE")</f>
        <v>CORPORATE</v>
      </c>
      <c r="F130" s="11" t="str">
        <f>IFERROR(__xludf.DUMMYFUNCTION("""COMPUTED_VALUE"""),"Listicle")</f>
        <v>Listicle</v>
      </c>
      <c r="G130" s="11" t="b">
        <f>IFERROR(__xludf.DUMMYFUNCTION("""COMPUTED_VALUE"""),FALSE)</f>
        <v>0</v>
      </c>
      <c r="H130" s="11" t="str">
        <f>IFERROR(__xludf.DUMMYFUNCTION("""COMPUTED_VALUE"""),"KlientBoost, SmartSites, Disruptive Advertising, Clutch, WebFX, Thrive Internet Marketing Agency")</f>
        <v>KlientBoost, SmartSites, Disruptive Advertising, Clutch, WebFX, Thrive Internet Marketing Agency</v>
      </c>
      <c r="I130" s="11">
        <f>IFERROR(__xludf.DUMMYFUNCTION("""COMPUTED_VALUE"""),13.0)</f>
        <v>13</v>
      </c>
      <c r="J130" s="11">
        <f>IFERROR(__xludf.DUMMYFUNCTION("""COMPUTED_VALUE"""),0.01)</f>
        <v>0.01</v>
      </c>
      <c r="K130" s="11">
        <f>IFERROR(__xludf.DUMMYFUNCTION("""COMPUTED_VALUE"""),1.08)</f>
        <v>1.08</v>
      </c>
    </row>
    <row r="131" ht="15.75" customHeight="1">
      <c r="A131" s="10" t="str">
        <f>IFERROR(__xludf.DUMMYFUNCTION("""COMPUTED_VALUE"""),"https://scalixai.com/blog/top-google-ad-agencies-in-us")</f>
        <v>https://scalixai.com/blog/top-google-ad-agencies-in-us</v>
      </c>
      <c r="B131" s="11" t="str">
        <f>IFERROR(__xludf.DUMMYFUNCTION("""COMPUTED_VALUE"""),"Top 10 Google Ads Agencies in the US (2026) — Ranked &amp;amp; Reviewed")</f>
        <v>Top 10 Google Ads Agencies in the US (2026) — Ranked &amp;amp; Reviewed</v>
      </c>
      <c r="C131" s="10" t="str">
        <f>IFERROR(__xludf.DUMMYFUNCTION("""COMPUTED_VALUE"""),"scalixai.com")</f>
        <v>scalixai.com</v>
      </c>
      <c r="D131" s="11" t="str">
        <f>IFERROR(__xludf.DUMMYFUNCTION("""COMPUTED_VALUE"""),"LISTICLE")</f>
        <v>LISTICLE</v>
      </c>
      <c r="E131" s="11" t="str">
        <f>IFERROR(__xludf.DUMMYFUNCTION("""COMPUTED_VALUE"""),"CORPORATE")</f>
        <v>CORPORATE</v>
      </c>
      <c r="F131" s="11" t="str">
        <f>IFERROR(__xludf.DUMMYFUNCTION("""COMPUTED_VALUE"""),"Listicle")</f>
        <v>Listicle</v>
      </c>
      <c r="G131" s="11" t="b">
        <f>IFERROR(__xludf.DUMMYFUNCTION("""COMPUTED_VALUE"""),FALSE)</f>
        <v>0</v>
      </c>
      <c r="H131" s="11" t="str">
        <f>IFERROR(__xludf.DUMMYFUNCTION("""COMPUTED_VALUE"""),"Disruptive Advertising, Directive, KlientBoost, WebFX, Intero Digital, Power Digital")</f>
        <v>Disruptive Advertising, Directive, KlientBoost, WebFX, Intero Digital, Power Digital</v>
      </c>
      <c r="I131" s="11">
        <f>IFERROR(__xludf.DUMMYFUNCTION("""COMPUTED_VALUE"""),13.0)</f>
        <v>13</v>
      </c>
      <c r="J131" s="11">
        <f>IFERROR(__xludf.DUMMYFUNCTION("""COMPUTED_VALUE"""),0.01)</f>
        <v>0.01</v>
      </c>
      <c r="K131" s="11">
        <f>IFERROR(__xludf.DUMMYFUNCTION("""COMPUTED_VALUE"""),0.46)</f>
        <v>0.46</v>
      </c>
    </row>
    <row r="132" ht="15.75" customHeight="1">
      <c r="A132" s="10" t="str">
        <f>IFERROR(__xludf.DUMMYFUNCTION("""COMPUTED_VALUE"""),"https://seoprofy.com/blog/best-ai-seo-agencies/")</f>
        <v>https://seoprofy.com/blog/best-ai-seo-agencies/</v>
      </c>
      <c r="B132" s="11" t="str">
        <f>IFERROR(__xludf.DUMMYFUNCTION("""COMPUTED_VALUE"""),"The 10 Best AI SEO Agencies &amp;amp; Services for 2026")</f>
        <v>The 10 Best AI SEO Agencies &amp;amp; Services for 2026</v>
      </c>
      <c r="C132" s="10" t="str">
        <f>IFERROR(__xludf.DUMMYFUNCTION("""COMPUTED_VALUE"""),"seoprofy.com")</f>
        <v>seoprofy.com</v>
      </c>
      <c r="D132" s="11" t="str">
        <f>IFERROR(__xludf.DUMMYFUNCTION("""COMPUTED_VALUE"""),"LISTICLE")</f>
        <v>LISTICLE</v>
      </c>
      <c r="E132" s="11" t="str">
        <f>IFERROR(__xludf.DUMMYFUNCTION("""COMPUTED_VALUE"""),"CORPORATE")</f>
        <v>CORPORATE</v>
      </c>
      <c r="F132" s="11" t="str">
        <f>IFERROR(__xludf.DUMMYFUNCTION("""COMPUTED_VALUE"""),"Listicle")</f>
        <v>Listicle</v>
      </c>
      <c r="G132" s="11" t="b">
        <f>IFERROR(__xludf.DUMMYFUNCTION("""COMPUTED_VALUE"""),FALSE)</f>
        <v>0</v>
      </c>
      <c r="H132" s="11" t="str">
        <f>IFERROR(__xludf.DUMMYFUNCTION("""COMPUTED_VALUE"""),"iPullRank, NP Digital, Omniscient Digital, NoGood, Siege Media, WebFX, Victorious, Clutch, McKinsey")</f>
        <v>iPullRank, NP Digital, Omniscient Digital, NoGood, Siege Media, WebFX, Victorious, Clutch, McKinsey</v>
      </c>
      <c r="I132" s="11">
        <f>IFERROR(__xludf.DUMMYFUNCTION("""COMPUTED_VALUE"""),13.0)</f>
        <v>13</v>
      </c>
      <c r="J132" s="11">
        <f>IFERROR(__xludf.DUMMYFUNCTION("""COMPUTED_VALUE"""),0.01)</f>
        <v>0.01</v>
      </c>
      <c r="K132" s="11">
        <f>IFERROR(__xludf.DUMMYFUNCTION("""COMPUTED_VALUE"""),0.46)</f>
        <v>0.46</v>
      </c>
    </row>
    <row r="133" ht="15.75" customHeight="1">
      <c r="A133" s="10" t="str">
        <f>IFERROR(__xludf.DUMMYFUNCTION("""COMPUTED_VALUE"""),"https://thebrandsbureau.com/top-creative-agencies-2026/")</f>
        <v>https://thebrandsbureau.com/top-creative-agencies-2026/</v>
      </c>
      <c r="B133" s="11" t="str">
        <f>IFERROR(__xludf.DUMMYFUNCTION("""COMPUTED_VALUE"""),"14 Best Creative Agencies in the World for Your Brand 2026")</f>
        <v>14 Best Creative Agencies in the World for Your Brand 2026</v>
      </c>
      <c r="C133" s="10" t="str">
        <f>IFERROR(__xludf.DUMMYFUNCTION("""COMPUTED_VALUE"""),"thebrandsbureau.com")</f>
        <v>thebrandsbureau.com</v>
      </c>
      <c r="D133" s="11" t="str">
        <f>IFERROR(__xludf.DUMMYFUNCTION("""COMPUTED_VALUE"""),"LISTICLE")</f>
        <v>LISTICLE</v>
      </c>
      <c r="E133" s="11" t="str">
        <f>IFERROR(__xludf.DUMMYFUNCTION("""COMPUTED_VALUE"""),"CORPORATE")</f>
        <v>CORPORATE</v>
      </c>
      <c r="F133" s="11" t="str">
        <f>IFERROR(__xludf.DUMMYFUNCTION("""COMPUTED_VALUE"""),"Listicle")</f>
        <v>Listicle</v>
      </c>
      <c r="G133" s="11" t="b">
        <f>IFERROR(__xludf.DUMMYFUNCTION("""COMPUTED_VALUE"""),FALSE)</f>
        <v>0</v>
      </c>
      <c r="H133" s="11" t="str">
        <f>IFERROR(__xludf.DUMMYFUNCTION("""COMPUTED_VALUE"""),"Pentagram, R/GA, Wieden+Kennedy, Ogilvy, IBM, Huge, Droga5, AKQA, Superside, BBDO, VML")</f>
        <v>Pentagram, R/GA, Wieden+Kennedy, Ogilvy, IBM, Huge, Droga5, AKQA, Superside, BBDO, VML</v>
      </c>
      <c r="I133" s="11">
        <f>IFERROR(__xludf.DUMMYFUNCTION("""COMPUTED_VALUE"""),13.0)</f>
        <v>13</v>
      </c>
      <c r="J133" s="11">
        <f>IFERROR(__xludf.DUMMYFUNCTION("""COMPUTED_VALUE"""),0.01)</f>
        <v>0.01</v>
      </c>
      <c r="K133" s="11">
        <f>IFERROR(__xludf.DUMMYFUNCTION("""COMPUTED_VALUE"""),1.15)</f>
        <v>1.15</v>
      </c>
    </row>
    <row r="134" ht="15.75" customHeight="1">
      <c r="A134" s="10" t="str">
        <f>IFERROR(__xludf.DUMMYFUNCTION("""COMPUTED_VALUE"""),"https://www.topseobrands.com/best-display-advertising-firms-in-usa")</f>
        <v>https://www.topseobrands.com/best-display-advertising-firms-in-usa</v>
      </c>
      <c r="B134" s="11" t="str">
        <f>IFERROR(__xludf.DUMMYFUNCTION("""COMPUTED_VALUE"""),"Best Display Advertising Firms in United States | Top SEO Brands")</f>
        <v>Best Display Advertising Firms in United States | Top SEO Brands</v>
      </c>
      <c r="C134" s="10" t="str">
        <f>IFERROR(__xludf.DUMMYFUNCTION("""COMPUTED_VALUE"""),"topseobrands.com")</f>
        <v>topseobrands.com</v>
      </c>
      <c r="D134" s="11" t="str">
        <f>IFERROR(__xludf.DUMMYFUNCTION("""COMPUTED_VALUE"""),"LISTICLE")</f>
        <v>LISTICLE</v>
      </c>
      <c r="E134" s="11" t="str">
        <f>IFERROR(__xludf.DUMMYFUNCTION("""COMPUTED_VALUE"""),"REFERENCE")</f>
        <v>REFERENCE</v>
      </c>
      <c r="F134" s="11" t="str">
        <f>IFERROR(__xludf.DUMMYFUNCTION("""COMPUTED_VALUE"""),"Listicle")</f>
        <v>Listicle</v>
      </c>
      <c r="G134" s="11" t="b">
        <f>IFERROR(__xludf.DUMMYFUNCTION("""COMPUTED_VALUE"""),FALSE)</f>
        <v>0</v>
      </c>
      <c r="H134" s="11" t="str">
        <f>IFERROR(__xludf.DUMMYFUNCTION("""COMPUTED_VALUE"""),"Disruptive Advertising")</f>
        <v>Disruptive Advertising</v>
      </c>
      <c r="I134" s="11">
        <f>IFERROR(__xludf.DUMMYFUNCTION("""COMPUTED_VALUE"""),13.0)</f>
        <v>13</v>
      </c>
      <c r="J134" s="11">
        <f>IFERROR(__xludf.DUMMYFUNCTION("""COMPUTED_VALUE"""),0.01)</f>
        <v>0.01</v>
      </c>
      <c r="K134" s="11">
        <f>IFERROR(__xludf.DUMMYFUNCTION("""COMPUTED_VALUE"""),0.0)</f>
        <v>0</v>
      </c>
    </row>
    <row r="135" ht="15.75" customHeight="1">
      <c r="A135" s="10" t="str">
        <f>IFERROR(__xludf.DUMMYFUNCTION("""COMPUTED_VALUE"""),"https://aeoagency.org/best-aeo-agencies/")</f>
        <v>https://aeoagency.org/best-aeo-agencies/</v>
      </c>
      <c r="B135" s="11" t="str">
        <f>IFERROR(__xludf.DUMMYFUNCTION("""COMPUTED_VALUE"""),"Best AEO Agencies 2025-2026")</f>
        <v>Best AEO Agencies 2025-2026</v>
      </c>
      <c r="C135" s="10" t="str">
        <f>IFERROR(__xludf.DUMMYFUNCTION("""COMPUTED_VALUE"""),"aeoagency.org")</f>
        <v>aeoagency.org</v>
      </c>
      <c r="D135" s="11" t="str">
        <f>IFERROR(__xludf.DUMMYFUNCTION("""COMPUTED_VALUE"""),"LISTICLE")</f>
        <v>LISTICLE</v>
      </c>
      <c r="E135" s="11" t="str">
        <f>IFERROR(__xludf.DUMMYFUNCTION("""COMPUTED_VALUE"""),"CORPORATE")</f>
        <v>CORPORATE</v>
      </c>
      <c r="F135" s="11" t="str">
        <f>IFERROR(__xludf.DUMMYFUNCTION("""COMPUTED_VALUE"""),"Listicle")</f>
        <v>Listicle</v>
      </c>
      <c r="G135" s="11" t="b">
        <f>IFERROR(__xludf.DUMMYFUNCTION("""COMPUTED_VALUE"""),FALSE)</f>
        <v>0</v>
      </c>
      <c r="H135" s="11" t="str">
        <f>IFERROR(__xludf.DUMMYFUNCTION("""COMPUTED_VALUE"""),"Marcel Digital, Graphite, Amsive")</f>
        <v>Marcel Digital, Graphite, Amsive</v>
      </c>
      <c r="I135" s="11">
        <f>IFERROR(__xludf.DUMMYFUNCTION("""COMPUTED_VALUE"""),12.0)</f>
        <v>12</v>
      </c>
      <c r="J135" s="11">
        <f>IFERROR(__xludf.DUMMYFUNCTION("""COMPUTED_VALUE"""),0.01)</f>
        <v>0.01</v>
      </c>
      <c r="K135" s="11">
        <f>IFERROR(__xludf.DUMMYFUNCTION("""COMPUTED_VALUE"""),0.83)</f>
        <v>0.83</v>
      </c>
    </row>
    <row r="136" ht="15.75" customHeight="1">
      <c r="A136" s="10" t="str">
        <f>IFERROR(__xludf.DUMMYFUNCTION("""COMPUTED_VALUE"""),"https://www.agencycluster.com/top-10/ppc-performance-marketing-agencies")</f>
        <v>https://www.agencycluster.com/top-10/ppc-performance-marketing-agencies</v>
      </c>
      <c r="B136" s="11" t="str">
        <f>IFERROR(__xludf.DUMMYFUNCTION("""COMPUTED_VALUE"""),"Top 10 PPC &amp;amp; Performance Marketing Agencies in the USA (2026) | AgencyCluster")</f>
        <v>Top 10 PPC &amp;amp; Performance Marketing Agencies in the USA (2026) | AgencyCluster</v>
      </c>
      <c r="C136" s="10" t="str">
        <f>IFERROR(__xludf.DUMMYFUNCTION("""COMPUTED_VALUE"""),"agencycluster.com")</f>
        <v>agencycluster.com</v>
      </c>
      <c r="D136" s="11" t="str">
        <f>IFERROR(__xludf.DUMMYFUNCTION("""COMPUTED_VALUE"""),"LISTICLE")</f>
        <v>LISTICLE</v>
      </c>
      <c r="E136" s="11" t="str">
        <f>IFERROR(__xludf.DUMMYFUNCTION("""COMPUTED_VALUE"""),"REFERENCE")</f>
        <v>REFERENCE</v>
      </c>
      <c r="F136" s="11" t="str">
        <f>IFERROR(__xludf.DUMMYFUNCTION("""COMPUTED_VALUE"""),"Listicle")</f>
        <v>Listicle</v>
      </c>
      <c r="G136" s="11" t="b">
        <f>IFERROR(__xludf.DUMMYFUNCTION("""COMPUTED_VALUE"""),FALSE)</f>
        <v>0</v>
      </c>
      <c r="H136" s="11" t="str">
        <f>IFERROR(__xludf.DUMMYFUNCTION("""COMPUTED_VALUE"""),"Disruptive Advertising, Ignite Visibility, KlientBoost, NP Digital, Power Digital, SmartSites, Tinuiti, WebFX, Wpromote")</f>
        <v>Disruptive Advertising, Ignite Visibility, KlientBoost, NP Digital, Power Digital, SmartSites, Tinuiti, WebFX, Wpromote</v>
      </c>
      <c r="I136" s="11">
        <f>IFERROR(__xludf.DUMMYFUNCTION("""COMPUTED_VALUE"""),12.0)</f>
        <v>12</v>
      </c>
      <c r="J136" s="11">
        <f>IFERROR(__xludf.DUMMYFUNCTION("""COMPUTED_VALUE"""),0.01)</f>
        <v>0.01</v>
      </c>
      <c r="K136" s="11">
        <f>IFERROR(__xludf.DUMMYFUNCTION("""COMPUTED_VALUE"""),0.0)</f>
        <v>0</v>
      </c>
    </row>
    <row r="137" ht="15.75" customHeight="1">
      <c r="A137" s="10" t="str">
        <f>IFERROR(__xludf.DUMMYFUNCTION("""COMPUTED_VALUE"""),"https://www.agencycluster.com/top-25/ppc-performance-marketing-agencies")</f>
        <v>https://www.agencycluster.com/top-25/ppc-performance-marketing-agencies</v>
      </c>
      <c r="B137" s="11" t="str">
        <f>IFERROR(__xludf.DUMMYFUNCTION("""COMPUTED_VALUE"""),"Top 25 PPC &amp;amp; Performance Marketing Agencies in the USA (2026) | AgencyCluster")</f>
        <v>Top 25 PPC &amp;amp; Performance Marketing Agencies in the USA (2026) | AgencyCluster</v>
      </c>
      <c r="C137" s="10" t="str">
        <f>IFERROR(__xludf.DUMMYFUNCTION("""COMPUTED_VALUE"""),"agencycluster.com")</f>
        <v>agencycluster.com</v>
      </c>
      <c r="D137" s="11" t="str">
        <f>IFERROR(__xludf.DUMMYFUNCTION("""COMPUTED_VALUE"""),"LISTICLE")</f>
        <v>LISTICLE</v>
      </c>
      <c r="E137" s="11" t="str">
        <f>IFERROR(__xludf.DUMMYFUNCTION("""COMPUTED_VALUE"""),"REFERENCE")</f>
        <v>REFERENCE</v>
      </c>
      <c r="F137" s="11" t="str">
        <f>IFERROR(__xludf.DUMMYFUNCTION("""COMPUTED_VALUE"""),"Listicle")</f>
        <v>Listicle</v>
      </c>
      <c r="G137" s="11" t="b">
        <f>IFERROR(__xludf.DUMMYFUNCTION("""COMPUTED_VALUE"""),FALSE)</f>
        <v>0</v>
      </c>
      <c r="H137" s="11" t="str">
        <f>IFERROR(__xludf.DUMMYFUNCTION("""COMPUTED_VALUE"""),"Disruptive Advertising, Ignite Visibility, KlientBoost, NP Digital, Power Digital, SmartSites, Tinuiti, WebFX, Wpromote, Amsive, HawkSEM, Intero Digital, Kobe Digital, New Engen, NoGood, Seer Interactive, Thrive Internet Marketing Agency")</f>
        <v>Disruptive Advertising, Ignite Visibility, KlientBoost, NP Digital, Power Digital, SmartSites, Tinuiti, WebFX, Wpromote, Amsive, HawkSEM, Intero Digital, Kobe Digital, New Engen, NoGood, Seer Interactive, Thrive Internet Marketing Agency</v>
      </c>
      <c r="I137" s="11">
        <f>IFERROR(__xludf.DUMMYFUNCTION("""COMPUTED_VALUE"""),12.0)</f>
        <v>12</v>
      </c>
      <c r="J137" s="11">
        <f>IFERROR(__xludf.DUMMYFUNCTION("""COMPUTED_VALUE"""),0.01)</f>
        <v>0.01</v>
      </c>
      <c r="K137" s="11">
        <f>IFERROR(__xludf.DUMMYFUNCTION("""COMPUTED_VALUE"""),0.25)</f>
        <v>0.25</v>
      </c>
    </row>
    <row r="138" ht="15.75" customHeight="1">
      <c r="A138" s="10" t="str">
        <f>IFERROR(__xludf.DUMMYFUNCTION("""COMPUTED_VALUE"""),"https://beomniscient.com/blog/growth-marketing-agency/#:~:text=Growth%20Marketing%20Pro.%20Olivine%20Marketing.%201.%20%2D,Disruptive%20Advertising.%20%2D%20Skale.%20%2D%20Directive%20Consulting.")</f>
        <v>https://beomniscient.com/blog/growth-marketing-agency/#:~:text=Growth%20Marketing%20Pro.%20Olivine%20Marketing.%201.%20%2D,Disruptive%20Advertising.%20%2D%20Skale.%20%2D%20Directive%20Consulting.</v>
      </c>
      <c r="B138" s="11" t="str">
        <f>IFERROR(__xludf.DUMMYFUNCTION("""COMPUTED_VALUE"""),"The 16 Best Growth Marketing Agencies in 2026 - Omniscient Digital")</f>
        <v>The 16 Best Growth Marketing Agencies in 2026 - Omniscient Digital</v>
      </c>
      <c r="C138" s="10" t="str">
        <f>IFERROR(__xludf.DUMMYFUNCTION("""COMPUTED_VALUE"""),"beomniscient.com")</f>
        <v>beomniscient.com</v>
      </c>
      <c r="D138" s="11" t="str">
        <f>IFERROR(__xludf.DUMMYFUNCTION("""COMPUTED_VALUE"""),"LISTICLE")</f>
        <v>LISTICLE</v>
      </c>
      <c r="E138" s="11" t="str">
        <f>IFERROR(__xludf.DUMMYFUNCTION("""COMPUTED_VALUE"""),"COMPETITOR")</f>
        <v>COMPETITOR</v>
      </c>
      <c r="F138" s="11" t="str">
        <f>IFERROR(__xludf.DUMMYFUNCTION("""COMPUTED_VALUE"""),"Listicle")</f>
        <v>Listicle</v>
      </c>
      <c r="G138" s="11" t="b">
        <f>IFERROR(__xludf.DUMMYFUNCTION("""COMPUTED_VALUE"""),FALSE)</f>
        <v>0</v>
      </c>
      <c r="H138" s="11" t="str">
        <f>IFERROR(__xludf.DUMMYFUNCTION("""COMPUTED_VALUE"""),"Omniscient Digital, Ignite Visibility, Single Grain, Disruptive Advertising, NoGood, Directive, Graphite, NP Digital, Superside, Momentum")</f>
        <v>Omniscient Digital, Ignite Visibility, Single Grain, Disruptive Advertising, NoGood, Directive, Graphite, NP Digital, Superside, Momentum</v>
      </c>
      <c r="I138" s="11">
        <f>IFERROR(__xludf.DUMMYFUNCTION("""COMPUTED_VALUE"""),12.0)</f>
        <v>12</v>
      </c>
      <c r="J138" s="11">
        <f>IFERROR(__xludf.DUMMYFUNCTION("""COMPUTED_VALUE"""),0.01)</f>
        <v>0.01</v>
      </c>
      <c r="K138" s="11">
        <f>IFERROR(__xludf.DUMMYFUNCTION("""COMPUTED_VALUE"""),1.0)</f>
        <v>1</v>
      </c>
    </row>
    <row r="139" ht="15.75" customHeight="1">
      <c r="A139" s="10" t="str">
        <f>IFERROR(__xludf.DUMMYFUNCTION("""COMPUTED_VALUE"""),"https://www.dataally.ai/blog/best-paid-ads-agency")</f>
        <v>https://www.dataally.ai/blog/best-paid-ads-agency</v>
      </c>
      <c r="B139" s="11" t="str">
        <f>IFERROR(__xludf.DUMMYFUNCTION("""COMPUTED_VALUE"""),"8 Best Paid Ads Agency in 2026: Top Paid Social Ad Agencies Ranked")</f>
        <v>8 Best Paid Ads Agency in 2026: Top Paid Social Ad Agencies Ranked</v>
      </c>
      <c r="C139" s="10" t="str">
        <f>IFERROR(__xludf.DUMMYFUNCTION("""COMPUTED_VALUE"""),"dataally.ai")</f>
        <v>dataally.ai</v>
      </c>
      <c r="D139" s="11" t="str">
        <f>IFERROR(__xludf.DUMMYFUNCTION("""COMPUTED_VALUE"""),"LISTICLE")</f>
        <v>LISTICLE</v>
      </c>
      <c r="E139" s="11" t="str">
        <f>IFERROR(__xludf.DUMMYFUNCTION("""COMPUTED_VALUE"""),"CORPORATE")</f>
        <v>CORPORATE</v>
      </c>
      <c r="F139" s="11" t="str">
        <f>IFERROR(__xludf.DUMMYFUNCTION("""COMPUTED_VALUE"""),"Listicle")</f>
        <v>Listicle</v>
      </c>
      <c r="G139" s="11" t="b">
        <f>IFERROR(__xludf.DUMMYFUNCTION("""COMPUTED_VALUE"""),FALSE)</f>
        <v>0</v>
      </c>
      <c r="H139" s="11" t="str">
        <f>IFERROR(__xludf.DUMMYFUNCTION("""COMPUTED_VALUE"""),"Brighter Click, Darkroom, NP Digital, The Social Shepherd, KlientBoost, Disruptive Advertising, Directive, Viral Nation, Northbeam, Triple Whale, Momentum")</f>
        <v>Brighter Click, Darkroom, NP Digital, The Social Shepherd, KlientBoost, Disruptive Advertising, Directive, Viral Nation, Northbeam, Triple Whale, Momentum</v>
      </c>
      <c r="I139" s="11">
        <f>IFERROR(__xludf.DUMMYFUNCTION("""COMPUTED_VALUE"""),12.0)</f>
        <v>12</v>
      </c>
      <c r="J139" s="11">
        <f>IFERROR(__xludf.DUMMYFUNCTION("""COMPUTED_VALUE"""),0.01)</f>
        <v>0.01</v>
      </c>
      <c r="K139" s="11">
        <f>IFERROR(__xludf.DUMMYFUNCTION("""COMPUTED_VALUE"""),1.5)</f>
        <v>1.5</v>
      </c>
    </row>
    <row r="140" ht="15.75" customHeight="1">
      <c r="A140" s="10" t="str">
        <f>IFERROR(__xludf.DUMMYFUNCTION("""COMPUTED_VALUE"""),"https://www.enzuzo.com/blog/best-google-ads-agencies")</f>
        <v>https://www.enzuzo.com/blog/best-google-ads-agencies</v>
      </c>
      <c r="B140" s="11" t="str">
        <f>IFERROR(__xludf.DUMMYFUNCTION("""COMPUTED_VALUE"""),"The 13 Top Google Ads Agencies [Reviewed &amp;amp; Rated]")</f>
        <v>The 13 Top Google Ads Agencies [Reviewed &amp;amp; Rated]</v>
      </c>
      <c r="C140" s="10" t="str">
        <f>IFERROR(__xludf.DUMMYFUNCTION("""COMPUTED_VALUE"""),"enzuzo.com")</f>
        <v>enzuzo.com</v>
      </c>
      <c r="D140" s="11" t="str">
        <f>IFERROR(__xludf.DUMMYFUNCTION("""COMPUTED_VALUE"""),"LISTICLE")</f>
        <v>LISTICLE</v>
      </c>
      <c r="E140" s="11" t="str">
        <f>IFERROR(__xludf.DUMMYFUNCTION("""COMPUTED_VALUE"""),"CORPORATE")</f>
        <v>CORPORATE</v>
      </c>
      <c r="F140" s="11" t="str">
        <f>IFERROR(__xludf.DUMMYFUNCTION("""COMPUTED_VALUE"""),"Listicle")</f>
        <v>Listicle</v>
      </c>
      <c r="G140" s="11" t="b">
        <f>IFERROR(__xludf.DUMMYFUNCTION("""COMPUTED_VALUE"""),FALSE)</f>
        <v>0</v>
      </c>
      <c r="H140" s="11" t="str">
        <f>IFERROR(__xludf.DUMMYFUNCTION("""COMPUTED_VALUE"""),"SmartSites, NinjaPromo, Clutch")</f>
        <v>SmartSites, NinjaPromo, Clutch</v>
      </c>
      <c r="I140" s="11">
        <f>IFERROR(__xludf.DUMMYFUNCTION("""COMPUTED_VALUE"""),12.0)</f>
        <v>12</v>
      </c>
      <c r="J140" s="11">
        <f>IFERROR(__xludf.DUMMYFUNCTION("""COMPUTED_VALUE"""),0.01)</f>
        <v>0.01</v>
      </c>
      <c r="K140" s="11">
        <f>IFERROR(__xludf.DUMMYFUNCTION("""COMPUTED_VALUE"""),0.0)</f>
        <v>0</v>
      </c>
    </row>
    <row r="141" ht="15.75" customHeight="1">
      <c r="A141" s="10" t="str">
        <f>IFERROR(__xludf.DUMMYFUNCTION("""COMPUTED_VALUE"""),"https://firstpagesage.com/seo-blog/the-top-growth-marketing-agencies/#:~:text=Power%20Digital%20is%20a%20tech%2Denabled%20growth%20marketing,forecasts%2C%20and%20tracks%20attribution%20across%20every%20channel.")</f>
        <v>https://firstpagesage.com/seo-blog/the-top-growth-marketing-agencies/#:~:text=Power%20Digital%20is%20a%20tech%2Denabled%20growth%20marketing,forecasts%2C%20and%20tracks%20attribution%20across%20every%20channel.</v>
      </c>
      <c r="B141" s="11" t="str">
        <f>IFERROR(__xludf.DUMMYFUNCTION("""COMPUTED_VALUE"""),"The Top Growth Marketing Agencies in 2026 – First Page Sage")</f>
        <v>The Top Growth Marketing Agencies in 2026 – First Page Sage</v>
      </c>
      <c r="C141" s="10" t="str">
        <f>IFERROR(__xludf.DUMMYFUNCTION("""COMPUTED_VALUE"""),"firstpagesage.com")</f>
        <v>firstpagesage.com</v>
      </c>
      <c r="D141" s="11" t="str">
        <f>IFERROR(__xludf.DUMMYFUNCTION("""COMPUTED_VALUE"""),"LISTICLE")</f>
        <v>LISTICLE</v>
      </c>
      <c r="E141" s="11" t="str">
        <f>IFERROR(__xludf.DUMMYFUNCTION("""COMPUTED_VALUE"""),"COMPETITOR")</f>
        <v>COMPETITOR</v>
      </c>
      <c r="F141" s="11" t="str">
        <f>IFERROR(__xludf.DUMMYFUNCTION("""COMPUTED_VALUE"""),"Listicle")</f>
        <v>Listicle</v>
      </c>
      <c r="G141" s="11" t="b">
        <f>IFERROR(__xludf.DUMMYFUNCTION("""COMPUTED_VALUE"""),FALSE)</f>
        <v>0</v>
      </c>
      <c r="H141" s="11" t="str">
        <f>IFERROR(__xludf.DUMMYFUNCTION("""COMPUTED_VALUE"""),"First Page Sage, Power Digital, Disruptive Advertising")</f>
        <v>First Page Sage, Power Digital, Disruptive Advertising</v>
      </c>
      <c r="I141" s="11">
        <f>IFERROR(__xludf.DUMMYFUNCTION("""COMPUTED_VALUE"""),12.0)</f>
        <v>12</v>
      </c>
      <c r="J141" s="11">
        <f>IFERROR(__xludf.DUMMYFUNCTION("""COMPUTED_VALUE"""),0.01)</f>
        <v>0.01</v>
      </c>
      <c r="K141" s="11">
        <f>IFERROR(__xludf.DUMMYFUNCTION("""COMPUTED_VALUE"""),1.42)</f>
        <v>1.42</v>
      </c>
    </row>
    <row r="142" ht="15.75" customHeight="1">
      <c r="A142" s="10" t="str">
        <f>IFERROR(__xludf.DUMMYFUNCTION("""COMPUTED_VALUE"""),"https://growthmanager.ai/best-geo-agency")</f>
        <v>https://growthmanager.ai/best-geo-agency</v>
      </c>
      <c r="B142" s="11" t="str">
        <f>IFERROR(__xludf.DUMMYFUNCTION("""COMPUTED_VALUE"""),"Best GEO agencies in 2026, reviewed and ranked")</f>
        <v>Best GEO agencies in 2026, reviewed and ranked</v>
      </c>
      <c r="C142" s="10" t="str">
        <f>IFERROR(__xludf.DUMMYFUNCTION("""COMPUTED_VALUE"""),"growthmanager.ai")</f>
        <v>growthmanager.ai</v>
      </c>
      <c r="D142" s="11" t="str">
        <f>IFERROR(__xludf.DUMMYFUNCTION("""COMPUTED_VALUE"""),"LISTICLE")</f>
        <v>LISTICLE</v>
      </c>
      <c r="E142" s="11" t="str">
        <f>IFERROR(__xludf.DUMMYFUNCTION("""COMPUTED_VALUE"""),"CORPORATE")</f>
        <v>CORPORATE</v>
      </c>
      <c r="F142" s="11" t="str">
        <f>IFERROR(__xludf.DUMMYFUNCTION("""COMPUTED_VALUE"""),"Listicle")</f>
        <v>Listicle</v>
      </c>
      <c r="G142" s="11" t="b">
        <f>IFERROR(__xludf.DUMMYFUNCTION("""COMPUTED_VALUE"""),FALSE)</f>
        <v>0</v>
      </c>
      <c r="H142" s="11" t="str">
        <f>IFERROR(__xludf.DUMMYFUNCTION("""COMPUTED_VALUE"""),"Momentum")</f>
        <v>Momentum</v>
      </c>
      <c r="I142" s="11">
        <f>IFERROR(__xludf.DUMMYFUNCTION("""COMPUTED_VALUE"""),12.0)</f>
        <v>12</v>
      </c>
      <c r="J142" s="11">
        <f>IFERROR(__xludf.DUMMYFUNCTION("""COMPUTED_VALUE"""),0.01)</f>
        <v>0.01</v>
      </c>
      <c r="K142" s="11">
        <f>IFERROR(__xludf.DUMMYFUNCTION("""COMPUTED_VALUE"""),0.17)</f>
        <v>0.17</v>
      </c>
    </row>
    <row r="143" ht="15.75" customHeight="1">
      <c r="A143" s="10" t="str">
        <f>IFERROR(__xludf.DUMMYFUNCTION("""COMPUTED_VALUE"""),"https://www.gtm8020.com/blog/best-aeo-agencies")</f>
        <v>https://www.gtm8020.com/blog/best-aeo-agencies</v>
      </c>
      <c r="B143" s="11" t="str">
        <f>IFERROR(__xludf.DUMMYFUNCTION("""COMPUTED_VALUE"""),"Best AEO Agencies - 2026 — GTM 8020")</f>
        <v>Best AEO Agencies - 2026 — GTM 8020</v>
      </c>
      <c r="C143" s="10" t="str">
        <f>IFERROR(__xludf.DUMMYFUNCTION("""COMPUTED_VALUE"""),"gtm8020.com")</f>
        <v>gtm8020.com</v>
      </c>
      <c r="D143" s="11" t="str">
        <f>IFERROR(__xludf.DUMMYFUNCTION("""COMPUTED_VALUE"""),"LISTICLE")</f>
        <v>LISTICLE</v>
      </c>
      <c r="E143" s="11" t="str">
        <f>IFERROR(__xludf.DUMMYFUNCTION("""COMPUTED_VALUE"""),"OTHER")</f>
        <v>OTHER</v>
      </c>
      <c r="F143" s="11" t="str">
        <f>IFERROR(__xludf.DUMMYFUNCTION("""COMPUTED_VALUE"""),"Listicle")</f>
        <v>Listicle</v>
      </c>
      <c r="G143" s="11" t="b">
        <f>IFERROR(__xludf.DUMMYFUNCTION("""COMPUTED_VALUE"""),FALSE)</f>
        <v>0</v>
      </c>
      <c r="H143" s="11" t="str">
        <f>IFERROR(__xludf.DUMMYFUNCTION("""COMPUTED_VALUE"""),"Siege Media, Omniscient Digital, Graphite, Amsive, NP Digital, Momentum")</f>
        <v>Siege Media, Omniscient Digital, Graphite, Amsive, NP Digital, Momentum</v>
      </c>
      <c r="I143" s="11">
        <f>IFERROR(__xludf.DUMMYFUNCTION("""COMPUTED_VALUE"""),12.0)</f>
        <v>12</v>
      </c>
      <c r="J143" s="11">
        <f>IFERROR(__xludf.DUMMYFUNCTION("""COMPUTED_VALUE"""),0.01)</f>
        <v>0.01</v>
      </c>
      <c r="K143" s="11">
        <f>IFERROR(__xludf.DUMMYFUNCTION("""COMPUTED_VALUE"""),0.0)</f>
        <v>0</v>
      </c>
    </row>
    <row r="144" ht="15.75" customHeight="1">
      <c r="A144" s="10" t="str">
        <f>IFERROR(__xludf.DUMMYFUNCTION("""COMPUTED_VALUE"""),"https://www.intellectyx.com/list-of-20-leading-ai-consulting-firms-providing-comprehensive-services/")</f>
        <v>https://www.intellectyx.com/list-of-20-leading-ai-consulting-firms-providing-comprehensive-services/</v>
      </c>
      <c r="B144" s="11" t="str">
        <f>IFERROR(__xludf.DUMMYFUNCTION("""COMPUTED_VALUE"""),"List of 20 Leading AI Consulting Firms")</f>
        <v>List of 20 Leading AI Consulting Firms</v>
      </c>
      <c r="C144" s="10" t="str">
        <f>IFERROR(__xludf.DUMMYFUNCTION("""COMPUTED_VALUE"""),"intellectyx.com")</f>
        <v>intellectyx.com</v>
      </c>
      <c r="D144" s="11" t="str">
        <f>IFERROR(__xludf.DUMMYFUNCTION("""COMPUTED_VALUE"""),"LISTICLE")</f>
        <v>LISTICLE</v>
      </c>
      <c r="E144" s="11" t="str">
        <f>IFERROR(__xludf.DUMMYFUNCTION("""COMPUTED_VALUE"""),"UGC")</f>
        <v>UGC</v>
      </c>
      <c r="F144" s="11" t="str">
        <f>IFERROR(__xludf.DUMMYFUNCTION("""COMPUTED_VALUE"""),"Listicle")</f>
        <v>Listicle</v>
      </c>
      <c r="G144" s="11" t="b">
        <f>IFERROR(__xludf.DUMMYFUNCTION("""COMPUTED_VALUE"""),FALSE)</f>
        <v>0</v>
      </c>
      <c r="H144" s="11" t="str">
        <f>IFERROR(__xludf.DUMMYFUNCTION("""COMPUTED_VALUE"""),"IBM, McKinsey, PwC, BCG")</f>
        <v>IBM, McKinsey, PwC, BCG</v>
      </c>
      <c r="I144" s="11">
        <f>IFERROR(__xludf.DUMMYFUNCTION("""COMPUTED_VALUE"""),12.0)</f>
        <v>12</v>
      </c>
      <c r="J144" s="11">
        <f>IFERROR(__xludf.DUMMYFUNCTION("""COMPUTED_VALUE"""),0.01)</f>
        <v>0.01</v>
      </c>
      <c r="K144" s="11">
        <f>IFERROR(__xludf.DUMMYFUNCTION("""COMPUTED_VALUE"""),0.0)</f>
        <v>0</v>
      </c>
    </row>
    <row r="145" ht="15.75" customHeight="1">
      <c r="A145" s="10" t="str">
        <f>IFERROR(__xludf.DUMMYFUNCTION("""COMPUTED_VALUE"""),"https://joseangelostudios.com/paid-social-agency/")</f>
        <v>https://joseangelostudios.com/paid-social-agency/</v>
      </c>
      <c r="B145" s="11" t="str">
        <f>IFERROR(__xludf.DUMMYFUNCTION("""COMPUTED_VALUE"""),"21 Best Paid Social Media Agencies of 2025")</f>
        <v>21 Best Paid Social Media Agencies of 2025</v>
      </c>
      <c r="C145" s="10" t="str">
        <f>IFERROR(__xludf.DUMMYFUNCTION("""COMPUTED_VALUE"""),"joseangelostudios.com")</f>
        <v>joseangelostudios.com</v>
      </c>
      <c r="D145" s="11" t="str">
        <f>IFERROR(__xludf.DUMMYFUNCTION("""COMPUTED_VALUE"""),"LISTICLE")</f>
        <v>LISTICLE</v>
      </c>
      <c r="E145" s="11" t="str">
        <f>IFERROR(__xludf.DUMMYFUNCTION("""COMPUTED_VALUE"""),"CORPORATE")</f>
        <v>CORPORATE</v>
      </c>
      <c r="F145" s="11" t="str">
        <f>IFERROR(__xludf.DUMMYFUNCTION("""COMPUTED_VALUE"""),"Listicle")</f>
        <v>Listicle</v>
      </c>
      <c r="G145" s="11" t="b">
        <f>IFERROR(__xludf.DUMMYFUNCTION("""COMPUTED_VALUE"""),FALSE)</f>
        <v>0</v>
      </c>
      <c r="H145" s="11" t="str">
        <f>IFERROR(__xludf.DUMMYFUNCTION("""COMPUTED_VALUE"""),"SmartSites, Clutch, AdVenture Media, KlientBoost, Acadia, Huge")</f>
        <v>SmartSites, Clutch, AdVenture Media, KlientBoost, Acadia, Huge</v>
      </c>
      <c r="I145" s="11">
        <f>IFERROR(__xludf.DUMMYFUNCTION("""COMPUTED_VALUE"""),12.0)</f>
        <v>12</v>
      </c>
      <c r="J145" s="11">
        <f>IFERROR(__xludf.DUMMYFUNCTION("""COMPUTED_VALUE"""),0.01)</f>
        <v>0.01</v>
      </c>
      <c r="K145" s="11">
        <f>IFERROR(__xludf.DUMMYFUNCTION("""COMPUTED_VALUE"""),0.0)</f>
        <v>0</v>
      </c>
    </row>
    <row r="146" ht="15.75" customHeight="1">
      <c r="A146" s="10" t="str">
        <f>IFERROR(__xludf.DUMMYFUNCTION("""COMPUTED_VALUE"""),"https://www.measured.com/faq/top-10-best-media-mix-modeling-companies-software-for-2026/")</f>
        <v>https://www.measured.com/faq/top-10-best-media-mix-modeling-companies-software-for-2026/</v>
      </c>
      <c r="B146" s="11" t="str">
        <f>IFERROR(__xludf.DUMMYFUNCTION("""COMPUTED_VALUE"""),"Top 11 Best Media Mix Modeling Companies &amp; Software for 2026 \| Measured®")</f>
        <v>Top 11 Best Media Mix Modeling Companies &amp; Software for 2026 \| Measured®</v>
      </c>
      <c r="C146" s="10" t="str">
        <f>IFERROR(__xludf.DUMMYFUNCTION("""COMPUTED_VALUE"""),"measured.com")</f>
        <v>measured.com</v>
      </c>
      <c r="D146" s="11" t="str">
        <f>IFERROR(__xludf.DUMMYFUNCTION("""COMPUTED_VALUE"""),"LISTICLE")</f>
        <v>LISTICLE</v>
      </c>
      <c r="E146" s="11" t="str">
        <f>IFERROR(__xludf.DUMMYFUNCTION("""COMPUTED_VALUE"""),"COMPETITOR")</f>
        <v>COMPETITOR</v>
      </c>
      <c r="F146" s="11" t="str">
        <f>IFERROR(__xludf.DUMMYFUNCTION("""COMPUTED_VALUE"""),"Listicle")</f>
        <v>Listicle</v>
      </c>
      <c r="G146" s="11" t="b">
        <f>IFERROR(__xludf.DUMMYFUNCTION("""COMPUTED_VALUE"""),FALSE)</f>
        <v>0</v>
      </c>
      <c r="H146" s="11" t="str">
        <f>IFERROR(__xludf.DUMMYFUNCTION("""COMPUTED_VALUE"""),"Measured, Clay, Nielsen, Analytic Partners, Kantar, Neustar, TransUnion, Gain Theory, WPP, Recast, Anomaly, Haus, Rockerbox")</f>
        <v>Measured, Clay, Nielsen, Analytic Partners, Kantar, Neustar, TransUnion, Gain Theory, WPP, Recast, Anomaly, Haus, Rockerbox</v>
      </c>
      <c r="I146" s="11">
        <f>IFERROR(__xludf.DUMMYFUNCTION("""COMPUTED_VALUE"""),12.0)</f>
        <v>12</v>
      </c>
      <c r="J146" s="11">
        <f>IFERROR(__xludf.DUMMYFUNCTION("""COMPUTED_VALUE"""),0.01)</f>
        <v>0.01</v>
      </c>
      <c r="K146" s="11">
        <f>IFERROR(__xludf.DUMMYFUNCTION("""COMPUTED_VALUE"""),0.58)</f>
        <v>0.58</v>
      </c>
    </row>
    <row r="147" ht="15.75" customHeight="1">
      <c r="A147" s="10" t="str">
        <f>IFERROR(__xludf.DUMMYFUNCTION("""COMPUTED_VALUE"""),"https://nealschaffer.com/ai-marketing-agency/")</f>
        <v>https://nealschaffer.com/ai-marketing-agency/</v>
      </c>
      <c r="B147" s="11" t="str">
        <f>IFERROR(__xludf.DUMMYFUNCTION("""COMPUTED_VALUE"""),"15 Best AI Marketing Agencies Helping Brands Grow in 2026")</f>
        <v>15 Best AI Marketing Agencies Helping Brands Grow in 2026</v>
      </c>
      <c r="C147" s="10" t="str">
        <f>IFERROR(__xludf.DUMMYFUNCTION("""COMPUTED_VALUE"""),"nealschaffer.com")</f>
        <v>nealschaffer.com</v>
      </c>
      <c r="D147" s="11" t="str">
        <f>IFERROR(__xludf.DUMMYFUNCTION("""COMPUTED_VALUE"""),"LISTICLE")</f>
        <v>LISTICLE</v>
      </c>
      <c r="E147" s="11" t="str">
        <f>IFERROR(__xludf.DUMMYFUNCTION("""COMPUTED_VALUE"""),"CORPORATE")</f>
        <v>CORPORATE</v>
      </c>
      <c r="F147" s="11" t="str">
        <f>IFERROR(__xludf.DUMMYFUNCTION("""COMPUTED_VALUE"""),"Listicle")</f>
        <v>Listicle</v>
      </c>
      <c r="G147" s="11" t="b">
        <f>IFERROR(__xludf.DUMMYFUNCTION("""COMPUTED_VALUE"""),FALSE)</f>
        <v>0</v>
      </c>
      <c r="H147" s="11" t="str">
        <f>IFERROR(__xludf.DUMMYFUNCTION("""COMPUTED_VALUE"""),"Clutch, McKinsey, QuantumBlack, Measured")</f>
        <v>Clutch, McKinsey, QuantumBlack, Measured</v>
      </c>
      <c r="I147" s="11">
        <f>IFERROR(__xludf.DUMMYFUNCTION("""COMPUTED_VALUE"""),12.0)</f>
        <v>12</v>
      </c>
      <c r="J147" s="11">
        <f>IFERROR(__xludf.DUMMYFUNCTION("""COMPUTED_VALUE"""),0.01)</f>
        <v>0.01</v>
      </c>
      <c r="K147" s="11">
        <f>IFERROR(__xludf.DUMMYFUNCTION("""COMPUTED_VALUE"""),0.67)</f>
        <v>0.67</v>
      </c>
    </row>
    <row r="148" ht="15.75" customHeight="1">
      <c r="A148" s="10" t="str">
        <f>IFERROR(__xludf.DUMMYFUNCTION("""COMPUTED_VALUE"""),"https://ninjapromo.io/best-ai-marketing-agencies")</f>
        <v>https://ninjapromo.io/best-ai-marketing-agencies</v>
      </c>
      <c r="B148" s="11" t="str">
        <f>IFERROR(__xludf.DUMMYFUNCTION("""COMPUTED_VALUE"""),"Top 8 AI Marketing Agencies for AI-Driven Digital Campaigns in 2026")</f>
        <v>Top 8 AI Marketing Agencies for AI-Driven Digital Campaigns in 2026</v>
      </c>
      <c r="C148" s="10" t="str">
        <f>IFERROR(__xludf.DUMMYFUNCTION("""COMPUTED_VALUE"""),"ninjapromo.io")</f>
        <v>ninjapromo.io</v>
      </c>
      <c r="D148" s="11" t="str">
        <f>IFERROR(__xludf.DUMMYFUNCTION("""COMPUTED_VALUE"""),"LISTICLE")</f>
        <v>LISTICLE</v>
      </c>
      <c r="E148" s="11" t="str">
        <f>IFERROR(__xludf.DUMMYFUNCTION("""COMPUTED_VALUE"""),"COMPETITOR")</f>
        <v>COMPETITOR</v>
      </c>
      <c r="F148" s="11" t="str">
        <f>IFERROR(__xludf.DUMMYFUNCTION("""COMPUTED_VALUE"""),"Listicle")</f>
        <v>Listicle</v>
      </c>
      <c r="G148" s="11" t="b">
        <f>IFERROR(__xludf.DUMMYFUNCTION("""COMPUTED_VALUE"""),FALSE)</f>
        <v>0</v>
      </c>
      <c r="H148" s="11" t="str">
        <f>IFERROR(__xludf.DUMMYFUNCTION("""COMPUTED_VALUE"""),"NinjaPromo, Keenfolks, Clutch, IBM, McKinsey")</f>
        <v>NinjaPromo, Keenfolks, Clutch, IBM, McKinsey</v>
      </c>
      <c r="I148" s="11">
        <f>IFERROR(__xludf.DUMMYFUNCTION("""COMPUTED_VALUE"""),12.0)</f>
        <v>12</v>
      </c>
      <c r="J148" s="11">
        <f>IFERROR(__xludf.DUMMYFUNCTION("""COMPUTED_VALUE"""),0.01)</f>
        <v>0.01</v>
      </c>
      <c r="K148" s="11">
        <f>IFERROR(__xludf.DUMMYFUNCTION("""COMPUTED_VALUE"""),0.0)</f>
        <v>0</v>
      </c>
    </row>
    <row r="149" ht="15.75" customHeight="1">
      <c r="A149" s="10" t="str">
        <f>IFERROR(__xludf.DUMMYFUNCTION("""COMPUTED_VALUE"""),"https://onelittleweb.com/top-agencies/top-google-ads-agencies/")</f>
        <v>https://onelittleweb.com/top-agencies/top-google-ads-agencies/</v>
      </c>
      <c r="B149" s="11" t="str">
        <f>IFERROR(__xludf.DUMMYFUNCTION("""COMPUTED_VALUE"""),"Top 50 Google Ads Agencies in 2026 – Ranked &amp;amp; Reviewed")</f>
        <v>Top 50 Google Ads Agencies in 2026 – Ranked &amp;amp; Reviewed</v>
      </c>
      <c r="C149" s="10" t="str">
        <f>IFERROR(__xludf.DUMMYFUNCTION("""COMPUTED_VALUE"""),"onelittleweb.com")</f>
        <v>onelittleweb.com</v>
      </c>
      <c r="D149" s="11" t="str">
        <f>IFERROR(__xludf.DUMMYFUNCTION("""COMPUTED_VALUE"""),"LISTICLE")</f>
        <v>LISTICLE</v>
      </c>
      <c r="E149" s="11" t="str">
        <f>IFERROR(__xludf.DUMMYFUNCTION("""COMPUTED_VALUE"""),"CORPORATE")</f>
        <v>CORPORATE</v>
      </c>
      <c r="F149" s="11" t="str">
        <f>IFERROR(__xludf.DUMMYFUNCTION("""COMPUTED_VALUE"""),"Listicle")</f>
        <v>Listicle</v>
      </c>
      <c r="G149" s="11" t="b">
        <f>IFERROR(__xludf.DUMMYFUNCTION("""COMPUTED_VALUE"""),FALSE)</f>
        <v>0</v>
      </c>
      <c r="H149" s="11" t="str">
        <f>IFERROR(__xludf.DUMMYFUNCTION("""COMPUTED_VALUE"""),"KlientBoost, SmartSites, Disruptive Advertising, Power Digital, Intero Digital, Clutch, Funnel Boost Media, Elit-Web, Searchbloom, NinjaPromo, HawkSEM, Ignite Visibility, Silverback Strategies, Huge")</f>
        <v>KlientBoost, SmartSites, Disruptive Advertising, Power Digital, Intero Digital, Clutch, Funnel Boost Media, Elit-Web, Searchbloom, NinjaPromo, HawkSEM, Ignite Visibility, Silverback Strategies, Huge</v>
      </c>
      <c r="I149" s="11">
        <f>IFERROR(__xludf.DUMMYFUNCTION("""COMPUTED_VALUE"""),12.0)</f>
        <v>12</v>
      </c>
      <c r="J149" s="11">
        <f>IFERROR(__xludf.DUMMYFUNCTION("""COMPUTED_VALUE"""),0.01)</f>
        <v>0.01</v>
      </c>
      <c r="K149" s="11">
        <f>IFERROR(__xludf.DUMMYFUNCTION("""COMPUTED_VALUE"""),1.08)</f>
        <v>1.08</v>
      </c>
    </row>
    <row r="150" ht="15.75" customHeight="1">
      <c r="A150" s="10" t="str">
        <f>IFERROR(__xludf.DUMMYFUNCTION("""COMPUTED_VALUE"""),"https://www.perceptive-analytics.com/top-10-best-ai-consulting-firms-for-mid-market-companies-in-the-us-2026-guide/")</f>
        <v>https://www.perceptive-analytics.com/top-10-best-ai-consulting-firms-for-mid-market-companies-in-the-us-2026-guide/</v>
      </c>
      <c r="B150" s="11" t="str">
        <f>IFERROR(__xludf.DUMMYFUNCTION("""COMPUTED_VALUE"""),"Top 10 Best AI Consulting Firms for Mid-Market Companies in the US (2026 Guide) - Perceptive Analytics")</f>
        <v>Top 10 Best AI Consulting Firms for Mid-Market Companies in the US (2026 Guide) - Perceptive Analytics</v>
      </c>
      <c r="C150" s="10" t="str">
        <f>IFERROR(__xludf.DUMMYFUNCTION("""COMPUTED_VALUE"""),"perceptive-analytics.com")</f>
        <v>perceptive-analytics.com</v>
      </c>
      <c r="D150" s="11" t="str">
        <f>IFERROR(__xludf.DUMMYFUNCTION("""COMPUTED_VALUE"""),"LISTICLE")</f>
        <v>LISTICLE</v>
      </c>
      <c r="E150" s="11" t="str">
        <f>IFERROR(__xludf.DUMMYFUNCTION("""COMPUTED_VALUE"""),"OTHER")</f>
        <v>OTHER</v>
      </c>
      <c r="F150" s="11" t="str">
        <f>IFERROR(__xludf.DUMMYFUNCTION("""COMPUTED_VALUE"""),"Listicle")</f>
        <v>Listicle</v>
      </c>
      <c r="G150" s="11" t="b">
        <f>IFERROR(__xludf.DUMMYFUNCTION("""COMPUTED_VALUE"""),FALSE)</f>
        <v>0</v>
      </c>
      <c r="H150" s="11" t="str">
        <f>IFERROR(__xludf.DUMMYFUNCTION("""COMPUTED_VALUE"""),"Slalom, IBM, BCG, PwC")</f>
        <v>Slalom, IBM, BCG, PwC</v>
      </c>
      <c r="I150" s="11">
        <f>IFERROR(__xludf.DUMMYFUNCTION("""COMPUTED_VALUE"""),12.0)</f>
        <v>12</v>
      </c>
      <c r="J150" s="11">
        <f>IFERROR(__xludf.DUMMYFUNCTION("""COMPUTED_VALUE"""),0.01)</f>
        <v>0.01</v>
      </c>
      <c r="K150" s="11">
        <f>IFERROR(__xludf.DUMMYFUNCTION("""COMPUTED_VALUE"""),1.17)</f>
        <v>1.17</v>
      </c>
    </row>
    <row r="151" ht="15.75" customHeight="1">
      <c r="A151" s="10" t="str">
        <f>IFERROR(__xludf.DUMMYFUNCTION("""COMPUTED_VALUE"""),"https://www.quoleady.com/ai-marketing-agencies/")</f>
        <v>https://www.quoleady.com/ai-marketing-agencies/</v>
      </c>
      <c r="B151" s="11" t="str">
        <f>IFERROR(__xludf.DUMMYFUNCTION("""COMPUTED_VALUE"""),"Top 11 AI Marketing Agencies in 2025")</f>
        <v>Top 11 AI Marketing Agencies in 2025</v>
      </c>
      <c r="C151" s="10" t="str">
        <f>IFERROR(__xludf.DUMMYFUNCTION("""COMPUTED_VALUE"""),"quoleady.com")</f>
        <v>quoleady.com</v>
      </c>
      <c r="D151" s="11" t="str">
        <f>IFERROR(__xludf.DUMMYFUNCTION("""COMPUTED_VALUE"""),"LISTICLE")</f>
        <v>LISTICLE</v>
      </c>
      <c r="E151" s="11" t="str">
        <f>IFERROR(__xludf.DUMMYFUNCTION("""COMPUTED_VALUE"""),"CORPORATE")</f>
        <v>CORPORATE</v>
      </c>
      <c r="F151" s="11" t="str">
        <f>IFERROR(__xludf.DUMMYFUNCTION("""COMPUTED_VALUE"""),"Listicle")</f>
        <v>Listicle</v>
      </c>
      <c r="G151" s="11" t="b">
        <f>IFERROR(__xludf.DUMMYFUNCTION("""COMPUTED_VALUE"""),FALSE)</f>
        <v>0</v>
      </c>
      <c r="H151" s="11" t="str">
        <f>IFERROR(__xludf.DUMMYFUNCTION("""COMPUTED_VALUE"""),"Avenue Z, Huge")</f>
        <v>Avenue Z, Huge</v>
      </c>
      <c r="I151" s="11">
        <f>IFERROR(__xludf.DUMMYFUNCTION("""COMPUTED_VALUE"""),12.0)</f>
        <v>12</v>
      </c>
      <c r="J151" s="11">
        <f>IFERROR(__xludf.DUMMYFUNCTION("""COMPUTED_VALUE"""),0.01)</f>
        <v>0.01</v>
      </c>
      <c r="K151" s="11">
        <f>IFERROR(__xludf.DUMMYFUNCTION("""COMPUTED_VALUE"""),0.83)</f>
        <v>0.83</v>
      </c>
    </row>
    <row r="152" ht="15.75" customHeight="1">
      <c r="A152" s="10" t="str">
        <f>IFERROR(__xludf.DUMMYFUNCTION("""COMPUTED_VALUE"""),"https://rightleftagency.com/blog/best-paid-search-marketing-agencies-in-usa/")</f>
        <v>https://rightleftagency.com/blog/best-paid-search-marketing-agencies-in-usa/</v>
      </c>
      <c r="B152" s="11" t="str">
        <f>IFERROR(__xludf.DUMMYFUNCTION("""COMPUTED_VALUE"""),"Best 15 Paid Search Marketing Agencies in USA 2026")</f>
        <v>Best 15 Paid Search Marketing Agencies in USA 2026</v>
      </c>
      <c r="C152" s="10" t="str">
        <f>IFERROR(__xludf.DUMMYFUNCTION("""COMPUTED_VALUE"""),"rightleftagency.com")</f>
        <v>rightleftagency.com</v>
      </c>
      <c r="D152" s="11" t="str">
        <f>IFERROR(__xludf.DUMMYFUNCTION("""COMPUTED_VALUE"""),"LISTICLE")</f>
        <v>LISTICLE</v>
      </c>
      <c r="E152" s="11" t="str">
        <f>IFERROR(__xludf.DUMMYFUNCTION("""COMPUTED_VALUE"""),"CORPORATE")</f>
        <v>CORPORATE</v>
      </c>
      <c r="F152" s="11" t="str">
        <f>IFERROR(__xludf.DUMMYFUNCTION("""COMPUTED_VALUE"""),"Listicle")</f>
        <v>Listicle</v>
      </c>
      <c r="G152" s="11" t="b">
        <f>IFERROR(__xludf.DUMMYFUNCTION("""COMPUTED_VALUE"""),FALSE)</f>
        <v>0</v>
      </c>
      <c r="H152" s="11" t="str">
        <f>IFERROR(__xludf.DUMMYFUNCTION("""COMPUTED_VALUE"""),"Disruptive Advertising, WebFX, IBM, Tinuiti, KlientBoost, Single Grain, Ignite Visibility, Thrive Internet Marketing Agency, NP Digital, Wpromote, Power Digital")</f>
        <v>Disruptive Advertising, WebFX, IBM, Tinuiti, KlientBoost, Single Grain, Ignite Visibility, Thrive Internet Marketing Agency, NP Digital, Wpromote, Power Digital</v>
      </c>
      <c r="I152" s="11">
        <f>IFERROR(__xludf.DUMMYFUNCTION("""COMPUTED_VALUE"""),12.0)</f>
        <v>12</v>
      </c>
      <c r="J152" s="11">
        <f>IFERROR(__xludf.DUMMYFUNCTION("""COMPUTED_VALUE"""),0.01)</f>
        <v>0.01</v>
      </c>
      <c r="K152" s="11">
        <f>IFERROR(__xludf.DUMMYFUNCTION("""COMPUTED_VALUE"""),1.58)</f>
        <v>1.58</v>
      </c>
    </row>
    <row r="153" ht="15.75" customHeight="1">
      <c r="A153" s="10" t="str">
        <f>IFERROR(__xludf.DUMMYFUNCTION("""COMPUTED_VALUE"""),"https://www.silverbackstrategies.com/lists/best-google-ads-agencies-in-the-us-ranked-reviewed/")</f>
        <v>https://www.silverbackstrategies.com/lists/best-google-ads-agencies-in-the-us-ranked-reviewed/</v>
      </c>
      <c r="B153" s="11" t="str">
        <f>IFERROR(__xludf.DUMMYFUNCTION("""COMPUTED_VALUE"""),"Best Google Ads Agencies in the U.S. in 2026 (Ranked &amp;amp; Reviewed) | Silverback Strategies")</f>
        <v>Best Google Ads Agencies in the U.S. in 2026 (Ranked &amp;amp; Reviewed) | Silverback Strategies</v>
      </c>
      <c r="C153" s="10" t="str">
        <f>IFERROR(__xludf.DUMMYFUNCTION("""COMPUTED_VALUE"""),"silverbackstrategies.com")</f>
        <v>silverbackstrategies.com</v>
      </c>
      <c r="D153" s="11" t="str">
        <f>IFERROR(__xludf.DUMMYFUNCTION("""COMPUTED_VALUE"""),"LISTICLE")</f>
        <v>LISTICLE</v>
      </c>
      <c r="E153" s="11" t="str">
        <f>IFERROR(__xludf.DUMMYFUNCTION("""COMPUTED_VALUE"""),"COMPETITOR")</f>
        <v>COMPETITOR</v>
      </c>
      <c r="F153" s="11" t="str">
        <f>IFERROR(__xludf.DUMMYFUNCTION("""COMPUTED_VALUE"""),"Listicle")</f>
        <v>Listicle</v>
      </c>
      <c r="G153" s="11" t="b">
        <f>IFERROR(__xludf.DUMMYFUNCTION("""COMPUTED_VALUE"""),FALSE)</f>
        <v>0</v>
      </c>
      <c r="H153" s="11" t="str">
        <f>IFERROR(__xludf.DUMMYFUNCTION("""COMPUTED_VALUE"""),"Silverback Strategies, Measured, Clutch, Intero Digital, Elit-Web")</f>
        <v>Silverback Strategies, Measured, Clutch, Intero Digital, Elit-Web</v>
      </c>
      <c r="I153" s="11">
        <f>IFERROR(__xludf.DUMMYFUNCTION("""COMPUTED_VALUE"""),12.0)</f>
        <v>12</v>
      </c>
      <c r="J153" s="11">
        <f>IFERROR(__xludf.DUMMYFUNCTION("""COMPUTED_VALUE"""),0.01)</f>
        <v>0.01</v>
      </c>
      <c r="K153" s="11">
        <f>IFERROR(__xludf.DUMMYFUNCTION("""COMPUTED_VALUE"""),1.5)</f>
        <v>1.5</v>
      </c>
    </row>
    <row r="154" ht="15.75" customHeight="1">
      <c r="A154" s="10" t="str">
        <f>IFERROR(__xludf.DUMMYFUNCTION("""COMPUTED_VALUE"""),"https://www.techstepsolutions.com/digital-marketing-agencies-usa-2026/")</f>
        <v>https://www.techstepsolutions.com/digital-marketing-agencies-usa-2026/</v>
      </c>
      <c r="B154" s="11" t="str">
        <f>IFERROR(__xludf.DUMMYFUNCTION("""COMPUTED_VALUE"""),"Top 20 Digital Marketing Agencies in USA 2026 for Growth")</f>
        <v>Top 20 Digital Marketing Agencies in USA 2026 for Growth</v>
      </c>
      <c r="C154" s="10" t="str">
        <f>IFERROR(__xludf.DUMMYFUNCTION("""COMPUTED_VALUE"""),"techstepsolutions.com")</f>
        <v>techstepsolutions.com</v>
      </c>
      <c r="D154" s="11" t="str">
        <f>IFERROR(__xludf.DUMMYFUNCTION("""COMPUTED_VALUE"""),"LISTICLE")</f>
        <v>LISTICLE</v>
      </c>
      <c r="E154" s="11" t="str">
        <f>IFERROR(__xludf.DUMMYFUNCTION("""COMPUTED_VALUE"""),"CORPORATE")</f>
        <v>CORPORATE</v>
      </c>
      <c r="F154" s="11" t="str">
        <f>IFERROR(__xludf.DUMMYFUNCTION("""COMPUTED_VALUE"""),"Listicle")</f>
        <v>Listicle</v>
      </c>
      <c r="G154" s="11" t="b">
        <f>IFERROR(__xludf.DUMMYFUNCTION("""COMPUTED_VALUE"""),FALSE)</f>
        <v>0</v>
      </c>
      <c r="H154" s="11" t="str">
        <f>IFERROR(__xludf.DUMMYFUNCTION("""COMPUTED_VALUE"""),"Disruptive Advertising, Power Digital, Directive, NP Digital, KlientBoost, Victorious, VaynerMedia, Ogilvy, Tinuiti, Major Tom, Refine Labs, Intero Digital, Single Grain")</f>
        <v>Disruptive Advertising, Power Digital, Directive, NP Digital, KlientBoost, Victorious, VaynerMedia, Ogilvy, Tinuiti, Major Tom, Refine Labs, Intero Digital, Single Grain</v>
      </c>
      <c r="I154" s="11">
        <f>IFERROR(__xludf.DUMMYFUNCTION("""COMPUTED_VALUE"""),12.0)</f>
        <v>12</v>
      </c>
      <c r="J154" s="11">
        <f>IFERROR(__xludf.DUMMYFUNCTION("""COMPUTED_VALUE"""),0.01)</f>
        <v>0.01</v>
      </c>
      <c r="K154" s="11">
        <f>IFERROR(__xludf.DUMMYFUNCTION("""COMPUTED_VALUE"""),0.42)</f>
        <v>0.42</v>
      </c>
    </row>
    <row r="155" ht="15.75" customHeight="1">
      <c r="A155" s="10" t="str">
        <f>IFERROR(__xludf.DUMMYFUNCTION("""COMPUTED_VALUE"""),"https://www.wearetenet.com/blog/best-ai-seo-agencies")</f>
        <v>https://www.wearetenet.com/blog/best-ai-seo-agencies</v>
      </c>
      <c r="B155" s="11" t="str">
        <f>IFERROR(__xludf.DUMMYFUNCTION("""COMPUTED_VALUE"""),"10 Best AI SEO Agencies to Win in AI Overviews and LLMs")</f>
        <v>10 Best AI SEO Agencies to Win in AI Overviews and LLMs</v>
      </c>
      <c r="C155" s="10" t="str">
        <f>IFERROR(__xludf.DUMMYFUNCTION("""COMPUTED_VALUE"""),"wearetenet.com")</f>
        <v>wearetenet.com</v>
      </c>
      <c r="D155" s="11" t="str">
        <f>IFERROR(__xludf.DUMMYFUNCTION("""COMPUTED_VALUE"""),"LISTICLE")</f>
        <v>LISTICLE</v>
      </c>
      <c r="E155" s="11" t="str">
        <f>IFERROR(__xludf.DUMMYFUNCTION("""COMPUTED_VALUE"""),"CORPORATE")</f>
        <v>CORPORATE</v>
      </c>
      <c r="F155" s="11" t="str">
        <f>IFERROR(__xludf.DUMMYFUNCTION("""COMPUTED_VALUE"""),"Listicle")</f>
        <v>Listicle</v>
      </c>
      <c r="G155" s="11" t="b">
        <f>IFERROR(__xludf.DUMMYFUNCTION("""COMPUTED_VALUE"""),FALSE)</f>
        <v>0</v>
      </c>
      <c r="H155" s="11" t="str">
        <f>IFERROR(__xludf.DUMMYFUNCTION("""COMPUTED_VALUE"""),"Thrive Internet Marketing Agency, Avenue Z")</f>
        <v>Thrive Internet Marketing Agency, Avenue Z</v>
      </c>
      <c r="I155" s="11">
        <f>IFERROR(__xludf.DUMMYFUNCTION("""COMPUTED_VALUE"""),12.0)</f>
        <v>12</v>
      </c>
      <c r="J155" s="11">
        <f>IFERROR(__xludf.DUMMYFUNCTION("""COMPUTED_VALUE"""),0.01)</f>
        <v>0.01</v>
      </c>
      <c r="K155" s="11">
        <f>IFERROR(__xludf.DUMMYFUNCTION("""COMPUTED_VALUE"""),1.0)</f>
        <v>1</v>
      </c>
    </row>
    <row r="156" ht="15.75" customHeight="1">
      <c r="A156" s="10" t="str">
        <f>IFERROR(__xludf.DUMMYFUNCTION("""COMPUTED_VALUE"""),"https://www.webtonic.io/blog/best-performance-marketing-agencies-2026#:~:text=Great%20For%3A%20Mid%2Dmarket%20to%20enterprise%2Dlevel%20businesses%20requiring,and%20advanced%20analytics%20to%20drive%20measurable%20results.")</f>
        <v>https://www.webtonic.io/blog/best-performance-marketing-agencies-2026#:~:text=Great%20For%3A%20Mid%2Dmarket%20to%20enterprise%2Dlevel%20businesses%20requiring,and%20advanced%20analytics%20to%20drive%20measurable%20results.</v>
      </c>
      <c r="B156" s="11" t="str">
        <f>IFERROR(__xludf.DUMMYFUNCTION("""COMPUTED_VALUE"""),"28 Best Performance Marketing Agencies for 2026")</f>
        <v>28 Best Performance Marketing Agencies for 2026</v>
      </c>
      <c r="C156" s="10" t="str">
        <f>IFERROR(__xludf.DUMMYFUNCTION("""COMPUTED_VALUE"""),"webtonic.io")</f>
        <v>webtonic.io</v>
      </c>
      <c r="D156" s="11" t="str">
        <f>IFERROR(__xludf.DUMMYFUNCTION("""COMPUTED_VALUE"""),"LISTICLE")</f>
        <v>LISTICLE</v>
      </c>
      <c r="E156" s="11" t="str">
        <f>IFERROR(__xludf.DUMMYFUNCTION("""COMPUTED_VALUE"""),"COMPETITOR")</f>
        <v>COMPETITOR</v>
      </c>
      <c r="F156" s="11" t="str">
        <f>IFERROR(__xludf.DUMMYFUNCTION("""COMPUTED_VALUE"""),"Listicle")</f>
        <v>Listicle</v>
      </c>
      <c r="G156" s="11" t="b">
        <f>IFERROR(__xludf.DUMMYFUNCTION("""COMPUTED_VALUE"""),FALSE)</f>
        <v>0</v>
      </c>
      <c r="H156" s="11" t="str">
        <f>IFERROR(__xludf.DUMMYFUNCTION("""COMPUTED_VALUE"""),"Web Tonic, Tinuiti, Wpromote, TransUnion, Metric Theory, Brainlabs, Jellyfish, Croud, Amsive, MuteSix, KlientBoost, Disruptive Advertising, NoGood, Power Digital, Directive, Hawke Media, Ignite Visibility, Single Grain, AdVenture Media")</f>
        <v>Web Tonic, Tinuiti, Wpromote, TransUnion, Metric Theory, Brainlabs, Jellyfish, Croud, Amsive, MuteSix, KlientBoost, Disruptive Advertising, NoGood, Power Digital, Directive, Hawke Media, Ignite Visibility, Single Grain, AdVenture Media</v>
      </c>
      <c r="I156" s="11">
        <f>IFERROR(__xludf.DUMMYFUNCTION("""COMPUTED_VALUE"""),12.0)</f>
        <v>12</v>
      </c>
      <c r="J156" s="11">
        <f>IFERROR(__xludf.DUMMYFUNCTION("""COMPUTED_VALUE"""),0.01)</f>
        <v>0.01</v>
      </c>
      <c r="K156" s="11">
        <f>IFERROR(__xludf.DUMMYFUNCTION("""COMPUTED_VALUE"""),1.83)</f>
        <v>1.83</v>
      </c>
    </row>
    <row r="157" ht="15.75" customHeight="1">
      <c r="A157" s="10" t="str">
        <f>IFERROR(__xludf.DUMMYFUNCTION("""COMPUTED_VALUE"""),"https://wildnetmarketing.agency/blog/best-ai-marketing-agencies-in-usa/")</f>
        <v>https://wildnetmarketing.agency/blog/best-ai-marketing-agencies-in-usa/</v>
      </c>
      <c r="B157" s="11" t="str">
        <f>IFERROR(__xludf.DUMMYFUNCTION("""COMPUTED_VALUE"""),"Best AI Marketing Agencies in USA 2026")</f>
        <v>Best AI Marketing Agencies in USA 2026</v>
      </c>
      <c r="C157" s="11" t="str">
        <f>IFERROR(__xludf.DUMMYFUNCTION("""COMPUTED_VALUE"""),"wildnetmarketing.agency")</f>
        <v>wildnetmarketing.agency</v>
      </c>
      <c r="D157" s="11" t="str">
        <f>IFERROR(__xludf.DUMMYFUNCTION("""COMPUTED_VALUE"""),"LISTICLE")</f>
        <v>LISTICLE</v>
      </c>
      <c r="E157" s="11" t="str">
        <f>IFERROR(__xludf.DUMMYFUNCTION("""COMPUTED_VALUE"""),"CORPORATE")</f>
        <v>CORPORATE</v>
      </c>
      <c r="F157" s="11" t="str">
        <f>IFERROR(__xludf.DUMMYFUNCTION("""COMPUTED_VALUE"""),"Listicle")</f>
        <v>Listicle</v>
      </c>
      <c r="G157" s="11" t="b">
        <f>IFERROR(__xludf.DUMMYFUNCTION("""COMPUTED_VALUE"""),FALSE)</f>
        <v>0</v>
      </c>
      <c r="H157" s="11" t="str">
        <f>IFERROR(__xludf.DUMMYFUNCTION("""COMPUTED_VALUE"""),"Ogilvy, Merkle, VML, Digitas, Accenture Song, Deloitte Digital, Publicis Groupe, Epsilon")</f>
        <v>Ogilvy, Merkle, VML, Digitas, Accenture Song, Deloitte Digital, Publicis Groupe, Epsilon</v>
      </c>
      <c r="I157" s="11">
        <f>IFERROR(__xludf.DUMMYFUNCTION("""COMPUTED_VALUE"""),12.0)</f>
        <v>12</v>
      </c>
      <c r="J157" s="11">
        <f>IFERROR(__xludf.DUMMYFUNCTION("""COMPUTED_VALUE"""),0.01)</f>
        <v>0.01</v>
      </c>
      <c r="K157" s="11">
        <f>IFERROR(__xludf.DUMMYFUNCTION("""COMPUTED_VALUE"""),0.0)</f>
        <v>0</v>
      </c>
    </row>
    <row r="158" ht="15.75" customHeight="1">
      <c r="A158" s="10" t="str">
        <f>IFERROR(__xludf.DUMMYFUNCTION("""COMPUTED_VALUE"""),"https://amworldgroup.com/best/digital-marketing-agency-usa")</f>
        <v>https://amworldgroup.com/best/digital-marketing-agency-usa</v>
      </c>
      <c r="B158" s="11" t="str">
        <f>IFERROR(__xludf.DUMMYFUNCTION("""COMPUTED_VALUE"""),"Best Digital Marketing Agencies in USA (2026) | AMW®")</f>
        <v>Best Digital Marketing Agencies in USA (2026) | AMW®</v>
      </c>
      <c r="C158" s="10" t="str">
        <f>IFERROR(__xludf.DUMMYFUNCTION("""COMPUTED_VALUE"""),"amworldgroup.com")</f>
        <v>amworldgroup.com</v>
      </c>
      <c r="D158" s="11" t="str">
        <f>IFERROR(__xludf.DUMMYFUNCTION("""COMPUTED_VALUE"""),"LISTICLE")</f>
        <v>LISTICLE</v>
      </c>
      <c r="E158" s="11" t="str">
        <f>IFERROR(__xludf.DUMMYFUNCTION("""COMPUTED_VALUE"""),"CORPORATE")</f>
        <v>CORPORATE</v>
      </c>
      <c r="F158" s="11" t="str">
        <f>IFERROR(__xludf.DUMMYFUNCTION("""COMPUTED_VALUE"""),"Listicle")</f>
        <v>Listicle</v>
      </c>
      <c r="G158" s="11" t="b">
        <f>IFERROR(__xludf.DUMMYFUNCTION("""COMPUTED_VALUE"""),FALSE)</f>
        <v>0</v>
      </c>
      <c r="H158" s="11" t="str">
        <f>IFERROR(__xludf.DUMMYFUNCTION("""COMPUTED_VALUE"""),"Thrive Internet Marketing Agency, Ignite Visibility, Siege Media, R/GA, Directive")</f>
        <v>Thrive Internet Marketing Agency, Ignite Visibility, Siege Media, R/GA, Directive</v>
      </c>
      <c r="I158" s="11">
        <f>IFERROR(__xludf.DUMMYFUNCTION("""COMPUTED_VALUE"""),11.0)</f>
        <v>11</v>
      </c>
      <c r="J158" s="11">
        <f>IFERROR(__xludf.DUMMYFUNCTION("""COMPUTED_VALUE"""),0.01)</f>
        <v>0.01</v>
      </c>
      <c r="K158" s="11">
        <f>IFERROR(__xludf.DUMMYFUNCTION("""COMPUTED_VALUE"""),0.0)</f>
        <v>0</v>
      </c>
    </row>
    <row r="159" ht="15.75" customHeight="1">
      <c r="A159" s="10" t="str">
        <f>IFERROR(__xludf.DUMMYFUNCTION("""COMPUTED_VALUE"""),"https://www.askattest.com/blog/articles/market-research-companies-in-the-us")</f>
        <v>https://www.askattest.com/blog/articles/market-research-companies-in-the-us</v>
      </c>
      <c r="B159" s="11" t="str">
        <f>IFERROR(__xludf.DUMMYFUNCTION("""COMPUTED_VALUE"""),"Top 17 Market Research Companies in the US (2026)")</f>
        <v>Top 17 Market Research Companies in the US (2026)</v>
      </c>
      <c r="C159" s="10" t="str">
        <f>IFERROR(__xludf.DUMMYFUNCTION("""COMPUTED_VALUE"""),"askattest.com")</f>
        <v>askattest.com</v>
      </c>
      <c r="D159" s="11" t="str">
        <f>IFERROR(__xludf.DUMMYFUNCTION("""COMPUTED_VALUE"""),"LISTICLE")</f>
        <v>LISTICLE</v>
      </c>
      <c r="E159" s="11" t="str">
        <f>IFERROR(__xludf.DUMMYFUNCTION("""COMPUTED_VALUE"""),"CORPORATE")</f>
        <v>CORPORATE</v>
      </c>
      <c r="F159" s="11" t="str">
        <f>IFERROR(__xludf.DUMMYFUNCTION("""COMPUTED_VALUE"""),"Listicle")</f>
        <v>Listicle</v>
      </c>
      <c r="G159" s="11" t="b">
        <f>IFERROR(__xludf.DUMMYFUNCTION("""COMPUTED_VALUE"""),FALSE)</f>
        <v>0</v>
      </c>
      <c r="H159" s="11" t="str">
        <f>IFERROR(__xludf.DUMMYFUNCTION("""COMPUTED_VALUE"""),"Nielsen, Merkle")</f>
        <v>Nielsen, Merkle</v>
      </c>
      <c r="I159" s="11">
        <f>IFERROR(__xludf.DUMMYFUNCTION("""COMPUTED_VALUE"""),11.0)</f>
        <v>11</v>
      </c>
      <c r="J159" s="11">
        <f>IFERROR(__xludf.DUMMYFUNCTION("""COMPUTED_VALUE"""),0.01)</f>
        <v>0.01</v>
      </c>
      <c r="K159" s="11">
        <f>IFERROR(__xludf.DUMMYFUNCTION("""COMPUTED_VALUE"""),0.18)</f>
        <v>0.18</v>
      </c>
    </row>
    <row r="160" ht="15.75" customHeight="1">
      <c r="A160" s="10" t="str">
        <f>IFERROR(__xludf.DUMMYFUNCTION("""COMPUTED_VALUE"""),"https://blueprintdemand.com/top-10-display-advertising-agency-partners-for-2026/")</f>
        <v>https://blueprintdemand.com/top-10-display-advertising-agency-partners-for-2026/</v>
      </c>
      <c r="B160" s="11" t="str">
        <f>IFERROR(__xludf.DUMMYFUNCTION("""COMPUTED_VALUE"""),"10 Best B2B Display Advertising Agency Partners (2026) – Blueprint Demand: Demand Generation Experts")</f>
        <v>10 Best B2B Display Advertising Agency Partners (2026) – Blueprint Demand: Demand Generation Experts</v>
      </c>
      <c r="C160" s="10" t="str">
        <f>IFERROR(__xludf.DUMMYFUNCTION("""COMPUTED_VALUE"""),"blueprintdemand.com")</f>
        <v>blueprintdemand.com</v>
      </c>
      <c r="D160" s="11" t="str">
        <f>IFERROR(__xludf.DUMMYFUNCTION("""COMPUTED_VALUE"""),"LISTICLE")</f>
        <v>LISTICLE</v>
      </c>
      <c r="E160" s="11" t="str">
        <f>IFERROR(__xludf.DUMMYFUNCTION("""COMPUTED_VALUE"""),"CORPORATE")</f>
        <v>CORPORATE</v>
      </c>
      <c r="F160" s="11" t="str">
        <f>IFERROR(__xludf.DUMMYFUNCTION("""COMPUTED_VALUE"""),"Listicle")</f>
        <v>Listicle</v>
      </c>
      <c r="G160" s="11" t="b">
        <f>IFERROR(__xludf.DUMMYFUNCTION("""COMPUTED_VALUE"""),FALSE)</f>
        <v>0</v>
      </c>
      <c r="H160" s="11" t="str">
        <f>IFERROR(__xludf.DUMMYFUNCTION("""COMPUTED_VALUE"""),"Measured, Momentum, MuteSix, Single Grain")</f>
        <v>Measured, Momentum, MuteSix, Single Grain</v>
      </c>
      <c r="I160" s="11">
        <f>IFERROR(__xludf.DUMMYFUNCTION("""COMPUTED_VALUE"""),11.0)</f>
        <v>11</v>
      </c>
      <c r="J160" s="11">
        <f>IFERROR(__xludf.DUMMYFUNCTION("""COMPUTED_VALUE"""),0.01)</f>
        <v>0.01</v>
      </c>
      <c r="K160" s="11">
        <f>IFERROR(__xludf.DUMMYFUNCTION("""COMPUTED_VALUE"""),0.0)</f>
        <v>0</v>
      </c>
    </row>
    <row r="161" ht="15.75" customHeight="1">
      <c r="A161" s="10" t="str">
        <f>IFERROR(__xludf.DUMMYFUNCTION("""COMPUTED_VALUE"""),"https://coolnerdsmarketing.com/top-creative-agencies-us/")</f>
        <v>https://coolnerdsmarketing.com/top-creative-agencies-us/</v>
      </c>
      <c r="B161" s="11" t="str">
        <f>IFERROR(__xludf.DUMMYFUNCTION("""COMPUTED_VALUE"""),"Top 15 Creative Agencies in the U.S. (2026)")</f>
        <v>Top 15 Creative Agencies in the U.S. (2026)</v>
      </c>
      <c r="C161" s="10" t="str">
        <f>IFERROR(__xludf.DUMMYFUNCTION("""COMPUTED_VALUE"""),"coolnerdsmarketing.com")</f>
        <v>coolnerdsmarketing.com</v>
      </c>
      <c r="D161" s="11" t="str">
        <f>IFERROR(__xludf.DUMMYFUNCTION("""COMPUTED_VALUE"""),"LISTICLE")</f>
        <v>LISTICLE</v>
      </c>
      <c r="E161" s="11" t="str">
        <f>IFERROR(__xludf.DUMMYFUNCTION("""COMPUTED_VALUE"""),"CORPORATE")</f>
        <v>CORPORATE</v>
      </c>
      <c r="F161" s="11" t="str">
        <f>IFERROR(__xludf.DUMMYFUNCTION("""COMPUTED_VALUE"""),"Listicle")</f>
        <v>Listicle</v>
      </c>
      <c r="G161" s="11" t="b">
        <f>IFERROR(__xludf.DUMMYFUNCTION("""COMPUTED_VALUE"""),FALSE)</f>
        <v>0</v>
      </c>
      <c r="H161" s="11" t="str">
        <f>IFERROR(__xludf.DUMMYFUNCTION("""COMPUTED_VALUE"""),"Dentsu, Momentum")</f>
        <v>Dentsu, Momentum</v>
      </c>
      <c r="I161" s="11">
        <f>IFERROR(__xludf.DUMMYFUNCTION("""COMPUTED_VALUE"""),11.0)</f>
        <v>11</v>
      </c>
      <c r="J161" s="11">
        <f>IFERROR(__xludf.DUMMYFUNCTION("""COMPUTED_VALUE"""),0.01)</f>
        <v>0.01</v>
      </c>
      <c r="K161" s="11">
        <f>IFERROR(__xludf.DUMMYFUNCTION("""COMPUTED_VALUE"""),0.0)</f>
        <v>0</v>
      </c>
    </row>
    <row r="162" ht="15.75" customHeight="1">
      <c r="A162" s="10" t="str">
        <f>IFERROR(__xludf.DUMMYFUNCTION("""COMPUTED_VALUE"""),"https://copilot-experts.com/top-ai-consulting-firm/")</f>
        <v>https://copilot-experts.com/top-ai-consulting-firm/</v>
      </c>
      <c r="B162" s="11" t="str">
        <f>IFERROR(__xludf.DUMMYFUNCTION("""COMPUTED_VALUE"""),"Top 10 AI Consulting Firms in 2026 - Copilot Experts")</f>
        <v>Top 10 AI Consulting Firms in 2026 - Copilot Experts</v>
      </c>
      <c r="C162" s="10" t="str">
        <f>IFERROR(__xludf.DUMMYFUNCTION("""COMPUTED_VALUE"""),"copilot-experts.com")</f>
        <v>copilot-experts.com</v>
      </c>
      <c r="D162" s="11" t="str">
        <f>IFERROR(__xludf.DUMMYFUNCTION("""COMPUTED_VALUE"""),"LISTICLE")</f>
        <v>LISTICLE</v>
      </c>
      <c r="E162" s="11" t="str">
        <f>IFERROR(__xludf.DUMMYFUNCTION("""COMPUTED_VALUE"""),"CORPORATE")</f>
        <v>CORPORATE</v>
      </c>
      <c r="F162" s="11" t="str">
        <f>IFERROR(__xludf.DUMMYFUNCTION("""COMPUTED_VALUE"""),"Listicle")</f>
        <v>Listicle</v>
      </c>
      <c r="G162" s="11" t="b">
        <f>IFERROR(__xludf.DUMMYFUNCTION("""COMPUTED_VALUE"""),FALSE)</f>
        <v>0</v>
      </c>
      <c r="H162" s="11" t="str">
        <f>IFERROR(__xludf.DUMMYFUNCTION("""COMPUTED_VALUE"""),"BCG, McKinsey, QuantumBlack, IBM, PwC, Measured")</f>
        <v>BCG, McKinsey, QuantumBlack, IBM, PwC, Measured</v>
      </c>
      <c r="I162" s="11">
        <f>IFERROR(__xludf.DUMMYFUNCTION("""COMPUTED_VALUE"""),11.0)</f>
        <v>11</v>
      </c>
      <c r="J162" s="11">
        <f>IFERROR(__xludf.DUMMYFUNCTION("""COMPUTED_VALUE"""),0.01)</f>
        <v>0.01</v>
      </c>
      <c r="K162" s="11">
        <f>IFERROR(__xludf.DUMMYFUNCTION("""COMPUTED_VALUE"""),1.09)</f>
        <v>1.09</v>
      </c>
    </row>
    <row r="163" ht="15.75" customHeight="1">
      <c r="A163" s="10" t="str">
        <f>IFERROR(__xludf.DUMMYFUNCTION("""COMPUTED_VALUE"""),"https://www.csp.agency/blog/top-8-geo-agencies-for-2026-ranked-by-data/")</f>
        <v>https://www.csp.agency/blog/top-8-geo-agencies-for-2026-ranked-by-data/</v>
      </c>
      <c r="B163" s="11" t="str">
        <f>IFERROR(__xludf.DUMMYFUNCTION("""COMPUTED_VALUE"""),"Top 8 GEO Agencies for 2026 Ranked by Data | CSP")</f>
        <v>Top 8 GEO Agencies for 2026 Ranked by Data | CSP</v>
      </c>
      <c r="C163" s="11" t="str">
        <f>IFERROR(__xludf.DUMMYFUNCTION("""COMPUTED_VALUE"""),"csp.agency")</f>
        <v>csp.agency</v>
      </c>
      <c r="D163" s="11" t="str">
        <f>IFERROR(__xludf.DUMMYFUNCTION("""COMPUTED_VALUE"""),"LISTICLE")</f>
        <v>LISTICLE</v>
      </c>
      <c r="E163" s="11" t="str">
        <f>IFERROR(__xludf.DUMMYFUNCTION("""COMPUTED_VALUE"""),"CORPORATE")</f>
        <v>CORPORATE</v>
      </c>
      <c r="F163" s="11" t="str">
        <f>IFERROR(__xludf.DUMMYFUNCTION("""COMPUTED_VALUE"""),"Listicle")</f>
        <v>Listicle</v>
      </c>
      <c r="G163" s="11" t="b">
        <f>IFERROR(__xludf.DUMMYFUNCTION("""COMPUTED_VALUE"""),FALSE)</f>
        <v>0</v>
      </c>
      <c r="H163" s="11" t="str">
        <f>IFERROR(__xludf.DUMMYFUNCTION("""COMPUTED_VALUE"""),"Intero Digital, Momentum")</f>
        <v>Intero Digital, Momentum</v>
      </c>
      <c r="I163" s="11">
        <f>IFERROR(__xludf.DUMMYFUNCTION("""COMPUTED_VALUE"""),11.0)</f>
        <v>11</v>
      </c>
      <c r="J163" s="11">
        <f>IFERROR(__xludf.DUMMYFUNCTION("""COMPUTED_VALUE"""),0.01)</f>
        <v>0.01</v>
      </c>
      <c r="K163" s="11">
        <f>IFERROR(__xludf.DUMMYFUNCTION("""COMPUTED_VALUE"""),0.0)</f>
        <v>0</v>
      </c>
    </row>
    <row r="164" ht="15.75" customHeight="1">
      <c r="A164" s="10" t="str">
        <f>IFERROR(__xludf.DUMMYFUNCTION("""COMPUTED_VALUE"""),"https://www.designrush.com/agency/digital-marketing/analytics/us?page=23")</f>
        <v>https://www.designrush.com/agency/digital-marketing/analytics/us?page=23</v>
      </c>
      <c r="B164" s="11" t="str">
        <f>IFERROR(__xludf.DUMMYFUNCTION("""COMPUTED_VALUE"""),"Top United States Marketing Analytics Companies - Page 23")</f>
        <v>Top United States Marketing Analytics Companies - Page 23</v>
      </c>
      <c r="C164" s="10" t="str">
        <f>IFERROR(__xludf.DUMMYFUNCTION("""COMPUTED_VALUE"""),"designrush.com")</f>
        <v>designrush.com</v>
      </c>
      <c r="D164" s="11" t="str">
        <f>IFERROR(__xludf.DUMMYFUNCTION("""COMPUTED_VALUE"""),"LISTICLE")</f>
        <v>LISTICLE</v>
      </c>
      <c r="E164" s="11" t="str">
        <f>IFERROR(__xludf.DUMMYFUNCTION("""COMPUTED_VALUE"""),"CORPORATE")</f>
        <v>CORPORATE</v>
      </c>
      <c r="F164" s="11" t="str">
        <f>IFERROR(__xludf.DUMMYFUNCTION("""COMPUTED_VALUE"""),"Listicle")</f>
        <v>Listicle</v>
      </c>
      <c r="G164" s="11" t="b">
        <f>IFERROR(__xludf.DUMMYFUNCTION("""COMPUTED_VALUE"""),FALSE)</f>
        <v>0</v>
      </c>
      <c r="H164" s="11" t="str">
        <f>IFERROR(__xludf.DUMMYFUNCTION("""COMPUTED_VALUE"""),"IBM, Measured")</f>
        <v>IBM, Measured</v>
      </c>
      <c r="I164" s="11">
        <f>IFERROR(__xludf.DUMMYFUNCTION("""COMPUTED_VALUE"""),11.0)</f>
        <v>11</v>
      </c>
      <c r="J164" s="11">
        <f>IFERROR(__xludf.DUMMYFUNCTION("""COMPUTED_VALUE"""),0.01)</f>
        <v>0.01</v>
      </c>
      <c r="K164" s="11">
        <f>IFERROR(__xludf.DUMMYFUNCTION("""COMPUTED_VALUE"""),0.09)</f>
        <v>0.09</v>
      </c>
    </row>
    <row r="165" ht="15.75" customHeight="1">
      <c r="A165" s="10" t="str">
        <f>IFERROR(__xludf.DUMMYFUNCTION("""COMPUTED_VALUE"""),"https://entermind.com/media/blog/top-ai-consulting-firms-us")</f>
        <v>https://entermind.com/media/blog/top-ai-consulting-firms-us</v>
      </c>
      <c r="B165" s="11" t="str">
        <f>IFERROR(__xludf.DUMMYFUNCTION("""COMPUTED_VALUE"""),"Top 8 AI Consulting Firms in the US | Expert Rankings (2026)")</f>
        <v>Top 8 AI Consulting Firms in the US | Expert Rankings (2026)</v>
      </c>
      <c r="C165" s="10" t="str">
        <f>IFERROR(__xludf.DUMMYFUNCTION("""COMPUTED_VALUE"""),"entermind.com")</f>
        <v>entermind.com</v>
      </c>
      <c r="D165" s="11" t="str">
        <f>IFERROR(__xludf.DUMMYFUNCTION("""COMPUTED_VALUE"""),"LISTICLE")</f>
        <v>LISTICLE</v>
      </c>
      <c r="E165" s="11" t="str">
        <f>IFERROR(__xludf.DUMMYFUNCTION("""COMPUTED_VALUE"""),"CORPORATE")</f>
        <v>CORPORATE</v>
      </c>
      <c r="F165" s="11" t="str">
        <f>IFERROR(__xludf.DUMMYFUNCTION("""COMPUTED_VALUE"""),"Listicle")</f>
        <v>Listicle</v>
      </c>
      <c r="G165" s="11" t="b">
        <f>IFERROR(__xludf.DUMMYFUNCTION("""COMPUTED_VALUE"""),FALSE)</f>
        <v>0</v>
      </c>
      <c r="H165" s="11" t="str">
        <f>IFERROR(__xludf.DUMMYFUNCTION("""COMPUTED_VALUE"""),"IBM")</f>
        <v>IBM</v>
      </c>
      <c r="I165" s="11">
        <f>IFERROR(__xludf.DUMMYFUNCTION("""COMPUTED_VALUE"""),11.0)</f>
        <v>11</v>
      </c>
      <c r="J165" s="11">
        <f>IFERROR(__xludf.DUMMYFUNCTION("""COMPUTED_VALUE"""),0.01)</f>
        <v>0.01</v>
      </c>
      <c r="K165" s="11">
        <f>IFERROR(__xludf.DUMMYFUNCTION("""COMPUTED_VALUE"""),0.09)</f>
        <v>0.09</v>
      </c>
    </row>
    <row r="166" ht="15.75" customHeight="1">
      <c r="A166" s="10" t="str">
        <f>IFERROR(__xludf.DUMMYFUNCTION("""COMPUTED_VALUE"""),"https://www.hashmeta.ai/en/generative-ai/best-ai-marketing-agencies")</f>
        <v>https://www.hashmeta.ai/en/generative-ai/best-ai-marketing-agencies</v>
      </c>
      <c r="B166" s="11" t="str">
        <f>IFERROR(__xludf.DUMMYFUNCTION("""COMPUTED_VALUE"""),"Best AI Marketing Agencies: Top 25 Agencies Ranked &amp;amp; Reviewed 2025")</f>
        <v>Best AI Marketing Agencies: Top 25 Agencies Ranked &amp;amp; Reviewed 2025</v>
      </c>
      <c r="C166" s="10" t="str">
        <f>IFERROR(__xludf.DUMMYFUNCTION("""COMPUTED_VALUE"""),"hashmeta.ai")</f>
        <v>hashmeta.ai</v>
      </c>
      <c r="D166" s="11" t="str">
        <f>IFERROR(__xludf.DUMMYFUNCTION("""COMPUTED_VALUE"""),"LISTICLE")</f>
        <v>LISTICLE</v>
      </c>
      <c r="E166" s="11" t="str">
        <f>IFERROR(__xludf.DUMMYFUNCTION("""COMPUTED_VALUE"""),"CORPORATE")</f>
        <v>CORPORATE</v>
      </c>
      <c r="F166" s="11" t="str">
        <f>IFERROR(__xludf.DUMMYFUNCTION("""COMPUTED_VALUE"""),"Listicle")</f>
        <v>Listicle</v>
      </c>
      <c r="G166" s="11" t="b">
        <f>IFERROR(__xludf.DUMMYFUNCTION("""COMPUTED_VALUE"""),FALSE)</f>
        <v>0</v>
      </c>
      <c r="H166" s="11" t="str">
        <f>IFERROR(__xludf.DUMMYFUNCTION("""COMPUTED_VALUE"""),"SmartSites, Disruptive Advertising, Clutch, WebFX, Victorious, Tinuiti, Directive, KlientBoost")</f>
        <v>SmartSites, Disruptive Advertising, Clutch, WebFX, Victorious, Tinuiti, Directive, KlientBoost</v>
      </c>
      <c r="I166" s="11">
        <f>IFERROR(__xludf.DUMMYFUNCTION("""COMPUTED_VALUE"""),11.0)</f>
        <v>11</v>
      </c>
      <c r="J166" s="11">
        <f>IFERROR(__xludf.DUMMYFUNCTION("""COMPUTED_VALUE"""),0.01)</f>
        <v>0.01</v>
      </c>
      <c r="K166" s="11">
        <f>IFERROR(__xludf.DUMMYFUNCTION("""COMPUTED_VALUE"""),2.0)</f>
        <v>2</v>
      </c>
    </row>
    <row r="167" ht="15.75" customHeight="1">
      <c r="A167" s="10" t="str">
        <f>IFERROR(__xludf.DUMMYFUNCTION("""COMPUTED_VALUE"""),"https://influencermarketinghub.com/digital-marketing-agency-usa/")</f>
        <v>https://influencermarketinghub.com/digital-marketing-agency-usa/</v>
      </c>
      <c r="B167" s="11" t="str">
        <f>IFERROR(__xludf.DUMMYFUNCTION("""COMPUTED_VALUE"""),"Top Digital Marketing Agencies in the United States 2026")</f>
        <v>Top Digital Marketing Agencies in the United States 2026</v>
      </c>
      <c r="C167" s="10" t="str">
        <f>IFERROR(__xludf.DUMMYFUNCTION("""COMPUTED_VALUE"""),"influencermarketinghub.com")</f>
        <v>influencermarketinghub.com</v>
      </c>
      <c r="D167" s="11" t="str">
        <f>IFERROR(__xludf.DUMMYFUNCTION("""COMPUTED_VALUE"""),"LISTICLE")</f>
        <v>LISTICLE</v>
      </c>
      <c r="E167" s="11" t="str">
        <f>IFERROR(__xludf.DUMMYFUNCTION("""COMPUTED_VALUE"""),"REFERENCE")</f>
        <v>REFERENCE</v>
      </c>
      <c r="F167" s="11" t="str">
        <f>IFERROR(__xludf.DUMMYFUNCTION("""COMPUTED_VALUE"""),"Listicle")</f>
        <v>Listicle</v>
      </c>
      <c r="G167" s="11" t="b">
        <f>IFERROR(__xludf.DUMMYFUNCTION("""COMPUTED_VALUE"""),FALSE)</f>
        <v>0</v>
      </c>
      <c r="H167" s="11" t="str">
        <f>IFERROR(__xludf.DUMMYFUNCTION("""COMPUTED_VALUE"""),"Viral Nation, SmartSites, McKinsey, Measured, NinjaPromo, Power Digital, Clutch, Ignite Visibility, WebFX, Storm Brain, Major Tom, Funnel Boost Media, Thrive Internet Marketing Agency, Directive, Sociallyin, Disruptive Advertising, LYFE Marketing")</f>
        <v>Viral Nation, SmartSites, McKinsey, Measured, NinjaPromo, Power Digital, Clutch, Ignite Visibility, WebFX, Storm Brain, Major Tom, Funnel Boost Media, Thrive Internet Marketing Agency, Directive, Sociallyin, Disruptive Advertising, LYFE Marketing</v>
      </c>
      <c r="I167" s="11">
        <f>IFERROR(__xludf.DUMMYFUNCTION("""COMPUTED_VALUE"""),11.0)</f>
        <v>11</v>
      </c>
      <c r="J167" s="11">
        <f>IFERROR(__xludf.DUMMYFUNCTION("""COMPUTED_VALUE"""),0.01)</f>
        <v>0.01</v>
      </c>
      <c r="K167" s="11">
        <f>IFERROR(__xludf.DUMMYFUNCTION("""COMPUTED_VALUE"""),0.09)</f>
        <v>0.09</v>
      </c>
    </row>
    <row r="168" ht="15.75" customHeight="1">
      <c r="A168" s="10" t="str">
        <f>IFERROR(__xludf.DUMMYFUNCTION("""COMPUTED_VALUE"""),"https://www.lyfemarketing.com/blog/top-creative-agencies-us/")</f>
        <v>https://www.lyfemarketing.com/blog/top-creative-agencies-us/</v>
      </c>
      <c r="B168" s="11" t="str">
        <f>IFERROR(__xludf.DUMMYFUNCTION("""COMPUTED_VALUE"""),"Top 20 Creative Agencies In The U.S. 2026")</f>
        <v>Top 20 Creative Agencies In The U.S. 2026</v>
      </c>
      <c r="C168" s="10" t="str">
        <f>IFERROR(__xludf.DUMMYFUNCTION("""COMPUTED_VALUE"""),"lyfemarketing.com")</f>
        <v>lyfemarketing.com</v>
      </c>
      <c r="D168" s="11" t="str">
        <f>IFERROR(__xludf.DUMMYFUNCTION("""COMPUTED_VALUE"""),"LISTICLE")</f>
        <v>LISTICLE</v>
      </c>
      <c r="E168" s="11" t="str">
        <f>IFERROR(__xludf.DUMMYFUNCTION("""COMPUTED_VALUE"""),"CORPORATE")</f>
        <v>CORPORATE</v>
      </c>
      <c r="F168" s="11" t="str">
        <f>IFERROR(__xludf.DUMMYFUNCTION("""COMPUTED_VALUE"""),"Listicle")</f>
        <v>Listicle</v>
      </c>
      <c r="G168" s="11" t="b">
        <f>IFERROR(__xludf.DUMMYFUNCTION("""COMPUTED_VALUE"""),FALSE)</f>
        <v>0</v>
      </c>
      <c r="H168" s="11" t="str">
        <f>IFERROR(__xludf.DUMMYFUNCTION("""COMPUTED_VALUE"""),"LYFE Marketing, Wieden+Kennedy, Ogilvy, Dentsu")</f>
        <v>LYFE Marketing, Wieden+Kennedy, Ogilvy, Dentsu</v>
      </c>
      <c r="I168" s="11">
        <f>IFERROR(__xludf.DUMMYFUNCTION("""COMPUTED_VALUE"""),11.0)</f>
        <v>11</v>
      </c>
      <c r="J168" s="11">
        <f>IFERROR(__xludf.DUMMYFUNCTION("""COMPUTED_VALUE"""),0.01)</f>
        <v>0.01</v>
      </c>
      <c r="K168" s="11">
        <f>IFERROR(__xludf.DUMMYFUNCTION("""COMPUTED_VALUE"""),0.55)</f>
        <v>0.55</v>
      </c>
    </row>
    <row r="169" ht="15.75" customHeight="1">
      <c r="A169" s="10" t="str">
        <f>IFERROR(__xludf.DUMMYFUNCTION("""COMPUTED_VALUE"""),"https://percepture.com/geo-insights/best-generative-ai-seo-agencies/")</f>
        <v>https://percepture.com/geo-insights/best-generative-ai-seo-agencies/</v>
      </c>
      <c r="B169" s="11" t="str">
        <f>IFERROR(__xludf.DUMMYFUNCTION("""COMPUTED_VALUE"""),"Best Generative AI SEO Agencies in 2026 | Percepture")</f>
        <v>Best Generative AI SEO Agencies in 2026 | Percepture</v>
      </c>
      <c r="C169" s="10" t="str">
        <f>IFERROR(__xludf.DUMMYFUNCTION("""COMPUTED_VALUE"""),"percepture.com")</f>
        <v>percepture.com</v>
      </c>
      <c r="D169" s="11" t="str">
        <f>IFERROR(__xludf.DUMMYFUNCTION("""COMPUTED_VALUE"""),"LISTICLE")</f>
        <v>LISTICLE</v>
      </c>
      <c r="E169" s="11" t="str">
        <f>IFERROR(__xludf.DUMMYFUNCTION("""COMPUTED_VALUE"""),"COMPETITOR")</f>
        <v>COMPETITOR</v>
      </c>
      <c r="F169" s="11" t="str">
        <f>IFERROR(__xludf.DUMMYFUNCTION("""COMPUTED_VALUE"""),"Listicle")</f>
        <v>Listicle</v>
      </c>
      <c r="G169" s="11" t="b">
        <f>IFERROR(__xludf.DUMMYFUNCTION("""COMPUTED_VALUE"""),FALSE)</f>
        <v>0</v>
      </c>
      <c r="H169" s="11" t="str">
        <f>IFERROR(__xludf.DUMMYFUNCTION("""COMPUTED_VALUE"""),"Percepture, iPullRank, Siege Media, First Page Sage, Intero Digital, WebFX, Go Fish Digital, Searchbloom")</f>
        <v>Percepture, iPullRank, Siege Media, First Page Sage, Intero Digital, WebFX, Go Fish Digital, Searchbloom</v>
      </c>
      <c r="I169" s="11">
        <f>IFERROR(__xludf.DUMMYFUNCTION("""COMPUTED_VALUE"""),11.0)</f>
        <v>11</v>
      </c>
      <c r="J169" s="11">
        <f>IFERROR(__xludf.DUMMYFUNCTION("""COMPUTED_VALUE"""),0.01)</f>
        <v>0.01</v>
      </c>
      <c r="K169" s="11">
        <f>IFERROR(__xludf.DUMMYFUNCTION("""COMPUTED_VALUE"""),0.0)</f>
        <v>0</v>
      </c>
    </row>
    <row r="170" ht="15.75" customHeight="1">
      <c r="A170" s="10" t="str">
        <f>IFERROR(__xludf.DUMMYFUNCTION("""COMPUTED_VALUE"""),"https://seoprofy.com/blog/generative-engine-optimization-agencies/")</f>
        <v>https://seoprofy.com/blog/generative-engine-optimization-agencies/</v>
      </c>
      <c r="B170" s="11" t="str">
        <f>IFERROR(__xludf.DUMMYFUNCTION("""COMPUTED_VALUE"""),"TOP 13 Generative Engine Optimization (GEO) Agencies in 2026")</f>
        <v>TOP 13 Generative Engine Optimization (GEO) Agencies in 2026</v>
      </c>
      <c r="C170" s="10" t="str">
        <f>IFERROR(__xludf.DUMMYFUNCTION("""COMPUTED_VALUE"""),"seoprofy.com")</f>
        <v>seoprofy.com</v>
      </c>
      <c r="D170" s="11" t="str">
        <f>IFERROR(__xludf.DUMMYFUNCTION("""COMPUTED_VALUE"""),"LISTICLE")</f>
        <v>LISTICLE</v>
      </c>
      <c r="E170" s="11" t="str">
        <f>IFERROR(__xludf.DUMMYFUNCTION("""COMPUTED_VALUE"""),"CORPORATE")</f>
        <v>CORPORATE</v>
      </c>
      <c r="F170" s="11" t="str">
        <f>IFERROR(__xludf.DUMMYFUNCTION("""COMPUTED_VALUE"""),"Listicle")</f>
        <v>Listicle</v>
      </c>
      <c r="G170" s="11" t="b">
        <f>IFERROR(__xludf.DUMMYFUNCTION("""COMPUTED_VALUE"""),FALSE)</f>
        <v>0</v>
      </c>
      <c r="H170" s="11" t="str">
        <f>IFERROR(__xludf.DUMMYFUNCTION("""COMPUTED_VALUE"""),"Clutch, Omniscient Digital, Siege Media, RevenueZen, Go Fish Digital, NoGood, First Page Sage, Intero Digital, WebFX, iPullRank, Victorious, The SEO Works, Measured")</f>
        <v>Clutch, Omniscient Digital, Siege Media, RevenueZen, Go Fish Digital, NoGood, First Page Sage, Intero Digital, WebFX, iPullRank, Victorious, The SEO Works, Measured</v>
      </c>
      <c r="I170" s="11">
        <f>IFERROR(__xludf.DUMMYFUNCTION("""COMPUTED_VALUE"""),11.0)</f>
        <v>11</v>
      </c>
      <c r="J170" s="11">
        <f>IFERROR(__xludf.DUMMYFUNCTION("""COMPUTED_VALUE"""),0.01)</f>
        <v>0.01</v>
      </c>
      <c r="K170" s="11">
        <f>IFERROR(__xludf.DUMMYFUNCTION("""COMPUTED_VALUE"""),2.0)</f>
        <v>2</v>
      </c>
    </row>
    <row r="171" ht="15.75" customHeight="1">
      <c r="A171" s="10" t="str">
        <f>IFERROR(__xludf.DUMMYFUNCTION("""COMPUTED_VALUE"""),"https://www.uforocks.com/blog/top-google-ads-agencies-in-the-u-s/")</f>
        <v>https://www.uforocks.com/blog/top-google-ads-agencies-in-the-u-s/</v>
      </c>
      <c r="B171" s="11" t="str">
        <f>IFERROR(__xludf.DUMMYFUNCTION("""COMPUTED_VALUE"""),"Top Google Ads Agencies in the U.S. - UFO Digital Marketing Agency")</f>
        <v>Top Google Ads Agencies in the U.S. - UFO Digital Marketing Agency</v>
      </c>
      <c r="C171" s="10" t="str">
        <f>IFERROR(__xludf.DUMMYFUNCTION("""COMPUTED_VALUE"""),"uforocks.com")</f>
        <v>uforocks.com</v>
      </c>
      <c r="D171" s="11" t="str">
        <f>IFERROR(__xludf.DUMMYFUNCTION("""COMPUTED_VALUE"""),"LISTICLE")</f>
        <v>LISTICLE</v>
      </c>
      <c r="E171" s="11" t="str">
        <f>IFERROR(__xludf.DUMMYFUNCTION("""COMPUTED_VALUE"""),"CORPORATE")</f>
        <v>CORPORATE</v>
      </c>
      <c r="F171" s="11" t="str">
        <f>IFERROR(__xludf.DUMMYFUNCTION("""COMPUTED_VALUE"""),"Listicle")</f>
        <v>Listicle</v>
      </c>
      <c r="G171" s="11" t="b">
        <f>IFERROR(__xludf.DUMMYFUNCTION("""COMPUTED_VALUE"""),FALSE)</f>
        <v>0</v>
      </c>
      <c r="H171" s="11" t="str">
        <f>IFERROR(__xludf.DUMMYFUNCTION("""COMPUTED_VALUE"""),"AdVenture Media, Directive, Disruptive Advertising, Ignite Visibility, KlientBoost, MuteSix, Dentsu, NP Digital, Seer Interactive, Silverback Strategies, SmartSites, Thrive Internet Marketing Agency, Tinuiti, WebFX, Wpromote")</f>
        <v>AdVenture Media, Directive, Disruptive Advertising, Ignite Visibility, KlientBoost, MuteSix, Dentsu, NP Digital, Seer Interactive, Silverback Strategies, SmartSites, Thrive Internet Marketing Agency, Tinuiti, WebFX, Wpromote</v>
      </c>
      <c r="I171" s="11">
        <f>IFERROR(__xludf.DUMMYFUNCTION("""COMPUTED_VALUE"""),11.0)</f>
        <v>11</v>
      </c>
      <c r="J171" s="11">
        <f>IFERROR(__xludf.DUMMYFUNCTION("""COMPUTED_VALUE"""),0.01)</f>
        <v>0.01</v>
      </c>
      <c r="K171" s="11">
        <f>IFERROR(__xludf.DUMMYFUNCTION("""COMPUTED_VALUE"""),1.0)</f>
        <v>1</v>
      </c>
    </row>
    <row r="172" ht="15.75" customHeight="1">
      <c r="A172" s="10" t="str">
        <f>IFERROR(__xludf.DUMMYFUNCTION("""COMPUTED_VALUE"""),"https://www.upliftgtm.com/blog/best-aeo-agencies")</f>
        <v>https://www.upliftgtm.com/blog/best-aeo-agencies</v>
      </c>
      <c r="B172" s="11" t="str">
        <f>IFERROR(__xludf.DUMMYFUNCTION("""COMPUTED_VALUE"""),"Best AEO Agencies 2026: Top 12 Answer Engine Optimization Firms")</f>
        <v>Best AEO Agencies 2026: Top 12 Answer Engine Optimization Firms</v>
      </c>
      <c r="C172" s="10" t="str">
        <f>IFERROR(__xludf.DUMMYFUNCTION("""COMPUTED_VALUE"""),"upliftgtm.com")</f>
        <v>upliftgtm.com</v>
      </c>
      <c r="D172" s="11" t="str">
        <f>IFERROR(__xludf.DUMMYFUNCTION("""COMPUTED_VALUE"""),"LISTICLE")</f>
        <v>LISTICLE</v>
      </c>
      <c r="E172" s="11" t="str">
        <f>IFERROR(__xludf.DUMMYFUNCTION("""COMPUTED_VALUE"""),"CORPORATE")</f>
        <v>CORPORATE</v>
      </c>
      <c r="F172" s="11" t="str">
        <f>IFERROR(__xludf.DUMMYFUNCTION("""COMPUTED_VALUE"""),"Listicle")</f>
        <v>Listicle</v>
      </c>
      <c r="G172" s="11" t="b">
        <f>IFERROR(__xludf.DUMMYFUNCTION("""COMPUTED_VALUE"""),FALSE)</f>
        <v>0</v>
      </c>
      <c r="H172" s="11" t="str">
        <f>IFERROR(__xludf.DUMMYFUNCTION("""COMPUTED_VALUE"""),"Animalz, Omniscient Digital, Single Grain, NoGood, Ignite Visibility, Victorious, Siege Media, Measured")</f>
        <v>Animalz, Omniscient Digital, Single Grain, NoGood, Ignite Visibility, Victorious, Siege Media, Measured</v>
      </c>
      <c r="I172" s="11">
        <f>IFERROR(__xludf.DUMMYFUNCTION("""COMPUTED_VALUE"""),11.0)</f>
        <v>11</v>
      </c>
      <c r="J172" s="11">
        <f>IFERROR(__xludf.DUMMYFUNCTION("""COMPUTED_VALUE"""),0.01)</f>
        <v>0.01</v>
      </c>
      <c r="K172" s="11">
        <f>IFERROR(__xludf.DUMMYFUNCTION("""COMPUTED_VALUE"""),0.91)</f>
        <v>0.91</v>
      </c>
    </row>
    <row r="173" ht="15.75" customHeight="1">
      <c r="A173" s="10" t="str">
        <f>IFERROR(__xludf.DUMMYFUNCTION("""COMPUTED_VALUE"""),"https://wildnetmarketing.agency/blog/best-web-analytics-agencies-in-usa/")</f>
        <v>https://wildnetmarketing.agency/blog/best-web-analytics-agencies-in-usa/</v>
      </c>
      <c r="B173" s="11" t="str">
        <f>IFERROR(__xludf.DUMMYFUNCTION("""COMPUTED_VALUE"""),"Best Web Analytics &amp;amp; Attribution Agencies in USA 2026")</f>
        <v>Best Web Analytics &amp;amp; Attribution Agencies in USA 2026</v>
      </c>
      <c r="C173" s="11" t="str">
        <f>IFERROR(__xludf.DUMMYFUNCTION("""COMPUTED_VALUE"""),"wildnetmarketing.agency")</f>
        <v>wildnetmarketing.agency</v>
      </c>
      <c r="D173" s="11" t="str">
        <f>IFERROR(__xludf.DUMMYFUNCTION("""COMPUTED_VALUE"""),"LISTICLE")</f>
        <v>LISTICLE</v>
      </c>
      <c r="E173" s="11" t="str">
        <f>IFERROR(__xludf.DUMMYFUNCTION("""COMPUTED_VALUE"""),"CORPORATE")</f>
        <v>CORPORATE</v>
      </c>
      <c r="F173" s="11" t="str">
        <f>IFERROR(__xludf.DUMMYFUNCTION("""COMPUTED_VALUE"""),"Listicle")</f>
        <v>Listicle</v>
      </c>
      <c r="G173" s="11" t="b">
        <f>IFERROR(__xludf.DUMMYFUNCTION("""COMPUTED_VALUE"""),FALSE)</f>
        <v>0</v>
      </c>
      <c r="H173" s="11" t="str">
        <f>IFERROR(__xludf.DUMMYFUNCTION("""COMPUTED_VALUE"""),"Merkle, Ogilvy, VML, Digitas, Accenture Song, Deloitte Digital, Publicis Groupe, Epsilon, Anomaly")</f>
        <v>Merkle, Ogilvy, VML, Digitas, Accenture Song, Deloitte Digital, Publicis Groupe, Epsilon, Anomaly</v>
      </c>
      <c r="I173" s="11">
        <f>IFERROR(__xludf.DUMMYFUNCTION("""COMPUTED_VALUE"""),11.0)</f>
        <v>11</v>
      </c>
      <c r="J173" s="11">
        <f>IFERROR(__xludf.DUMMYFUNCTION("""COMPUTED_VALUE"""),0.01)</f>
        <v>0.01</v>
      </c>
      <c r="K173" s="11">
        <f>IFERROR(__xludf.DUMMYFUNCTION("""COMPUTED_VALUE"""),0.09)</f>
        <v>0.09</v>
      </c>
    </row>
    <row r="174" ht="15.75" customHeight="1">
      <c r="A174" s="10" t="str">
        <f>IFERROR(__xludf.DUMMYFUNCTION("""COMPUTED_VALUE"""),"https://zyppy.com/companies/c/marketing-attribution/united-states/")</f>
        <v>https://zyppy.com/companies/c/marketing-attribution/united-states/</v>
      </c>
      <c r="B174" s="11" t="str">
        <f>IFERROR(__xludf.DUMMYFUNCTION("""COMPUTED_VALUE"""),"Top Marketing Attribution Companies in the United States - July 2026")</f>
        <v>Top Marketing Attribution Companies in the United States - July 2026</v>
      </c>
      <c r="C174" s="10" t="str">
        <f>IFERROR(__xludf.DUMMYFUNCTION("""COMPUTED_VALUE"""),"zyppy.com")</f>
        <v>zyppy.com</v>
      </c>
      <c r="D174" s="11" t="str">
        <f>IFERROR(__xludf.DUMMYFUNCTION("""COMPUTED_VALUE"""),"LISTICLE")</f>
        <v>LISTICLE</v>
      </c>
      <c r="E174" s="11" t="str">
        <f>IFERROR(__xludf.DUMMYFUNCTION("""COMPUTED_VALUE"""),"CORPORATE")</f>
        <v>CORPORATE</v>
      </c>
      <c r="F174" s="11" t="str">
        <f>IFERROR(__xludf.DUMMYFUNCTION("""COMPUTED_VALUE"""),"Listicle")</f>
        <v>Listicle</v>
      </c>
      <c r="G174" s="11" t="b">
        <f>IFERROR(__xludf.DUMMYFUNCTION("""COMPUTED_VALUE"""),FALSE)</f>
        <v>0</v>
      </c>
      <c r="H174" s="11"/>
      <c r="I174" s="11">
        <f>IFERROR(__xludf.DUMMYFUNCTION("""COMPUTED_VALUE"""),11.0)</f>
        <v>11</v>
      </c>
      <c r="J174" s="11">
        <f>IFERROR(__xludf.DUMMYFUNCTION("""COMPUTED_VALUE"""),0.01)</f>
        <v>0.01</v>
      </c>
      <c r="K174" s="11">
        <f>IFERROR(__xludf.DUMMYFUNCTION("""COMPUTED_VALUE"""),0.0)</f>
        <v>0</v>
      </c>
    </row>
    <row r="175" ht="15.75" customHeight="1">
      <c r="A175" s="10" t="str">
        <f>IFERROR(__xludf.DUMMYFUNCTION("""COMPUTED_VALUE"""),"https://beomniscient.com/blog/aeo-agency/")</f>
        <v>https://beomniscient.com/blog/aeo-agency/</v>
      </c>
      <c r="B175" s="11" t="str">
        <f>IFERROR(__xludf.DUMMYFUNCTION("""COMPUTED_VALUE"""),"Best AEO Agency for B2B SaaS: 5 That Prove Their Worth - Omniscient Digital")</f>
        <v>Best AEO Agency for B2B SaaS: 5 That Prove Their Worth - Omniscient Digital</v>
      </c>
      <c r="C175" s="10" t="str">
        <f>IFERROR(__xludf.DUMMYFUNCTION("""COMPUTED_VALUE"""),"beomniscient.com")</f>
        <v>beomniscient.com</v>
      </c>
      <c r="D175" s="11" t="str">
        <f>IFERROR(__xludf.DUMMYFUNCTION("""COMPUTED_VALUE"""),"LISTICLE")</f>
        <v>LISTICLE</v>
      </c>
      <c r="E175" s="11" t="str">
        <f>IFERROR(__xludf.DUMMYFUNCTION("""COMPUTED_VALUE"""),"COMPETITOR")</f>
        <v>COMPETITOR</v>
      </c>
      <c r="F175" s="11" t="str">
        <f>IFERROR(__xludf.DUMMYFUNCTION("""COMPUTED_VALUE"""),"Listicle")</f>
        <v>Listicle</v>
      </c>
      <c r="G175" s="11" t="b">
        <f>IFERROR(__xludf.DUMMYFUNCTION("""COMPUTED_VALUE"""),FALSE)</f>
        <v>0</v>
      </c>
      <c r="H175" s="11" t="str">
        <f>IFERROR(__xludf.DUMMYFUNCTION("""COMPUTED_VALUE"""),"Omniscient Digital, Optimist, Discovered Labs, Measured")</f>
        <v>Omniscient Digital, Optimist, Discovered Labs, Measured</v>
      </c>
      <c r="I175" s="11">
        <f>IFERROR(__xludf.DUMMYFUNCTION("""COMPUTED_VALUE"""),10.0)</f>
        <v>10</v>
      </c>
      <c r="J175" s="11">
        <f>IFERROR(__xludf.DUMMYFUNCTION("""COMPUTED_VALUE"""),0.01)</f>
        <v>0.01</v>
      </c>
      <c r="K175" s="11">
        <f>IFERROR(__xludf.DUMMYFUNCTION("""COMPUTED_VALUE"""),1.4)</f>
        <v>1.4</v>
      </c>
    </row>
    <row r="176" ht="15.75" customHeight="1">
      <c r="A176" s="10" t="str">
        <f>IFERROR(__xludf.DUMMYFUNCTION("""COMPUTED_VALUE"""),"https://beomniscient.com/blog/geo-agencies/")</f>
        <v>https://beomniscient.com/blog/geo-agencies/</v>
      </c>
      <c r="B176" s="11" t="str">
        <f>IFERROR(__xludf.DUMMYFUNCTION("""COMPUTED_VALUE"""),"The 6 Best GEO Agencies for B2B SaaS Brands in 2026 - Omniscient Digital")</f>
        <v>The 6 Best GEO Agencies for B2B SaaS Brands in 2026 - Omniscient Digital</v>
      </c>
      <c r="C176" s="10" t="str">
        <f>IFERROR(__xludf.DUMMYFUNCTION("""COMPUTED_VALUE"""),"beomniscient.com")</f>
        <v>beomniscient.com</v>
      </c>
      <c r="D176" s="11" t="str">
        <f>IFERROR(__xludf.DUMMYFUNCTION("""COMPUTED_VALUE"""),"LISTICLE")</f>
        <v>LISTICLE</v>
      </c>
      <c r="E176" s="11" t="str">
        <f>IFERROR(__xludf.DUMMYFUNCTION("""COMPUTED_VALUE"""),"COMPETITOR")</f>
        <v>COMPETITOR</v>
      </c>
      <c r="F176" s="11" t="str">
        <f>IFERROR(__xludf.DUMMYFUNCTION("""COMPUTED_VALUE"""),"Listicle")</f>
        <v>Listicle</v>
      </c>
      <c r="G176" s="11" t="b">
        <f>IFERROR(__xludf.DUMMYFUNCTION("""COMPUTED_VALUE"""),FALSE)</f>
        <v>0</v>
      </c>
      <c r="H176" s="11" t="str">
        <f>IFERROR(__xludf.DUMMYFUNCTION("""COMPUTED_VALUE"""),"Omniscient Digital, Discovered Labs, NoGood, iPullRank")</f>
        <v>Omniscient Digital, Discovered Labs, NoGood, iPullRank</v>
      </c>
      <c r="I176" s="11">
        <f>IFERROR(__xludf.DUMMYFUNCTION("""COMPUTED_VALUE"""),10.0)</f>
        <v>10</v>
      </c>
      <c r="J176" s="11">
        <f>IFERROR(__xludf.DUMMYFUNCTION("""COMPUTED_VALUE"""),0.01)</f>
        <v>0.01</v>
      </c>
      <c r="K176" s="11">
        <f>IFERROR(__xludf.DUMMYFUNCTION("""COMPUTED_VALUE"""),2.3)</f>
        <v>2.3</v>
      </c>
    </row>
    <row r="177" ht="15.75" customHeight="1">
      <c r="A177" s="10" t="str">
        <f>IFERROR(__xludf.DUMMYFUNCTION("""COMPUTED_VALUE"""),"https://compare.growthmarshal.io/best-geo-agencies-2026/")</f>
        <v>https://compare.growthmarshal.io/best-geo-agencies-2026/</v>
      </c>
      <c r="B177" s="11" t="str">
        <f>IFERROR(__xludf.DUMMYFUNCTION("""COMPUTED_VALUE"""),"Best GEO Agencies 2026: Top 8 Ranked and Reviewed")</f>
        <v>Best GEO Agencies 2026: Top 8 Ranked and Reviewed</v>
      </c>
      <c r="C177" s="10" t="str">
        <f>IFERROR(__xludf.DUMMYFUNCTION("""COMPUTED_VALUE"""),"growthmarshal.io")</f>
        <v>growthmarshal.io</v>
      </c>
      <c r="D177" s="11" t="str">
        <f>IFERROR(__xludf.DUMMYFUNCTION("""COMPUTED_VALUE"""),"LISTICLE")</f>
        <v>LISTICLE</v>
      </c>
      <c r="E177" s="11" t="str">
        <f>IFERROR(__xludf.DUMMYFUNCTION("""COMPUTED_VALUE"""),"CORPORATE")</f>
        <v>CORPORATE</v>
      </c>
      <c r="F177" s="11" t="str">
        <f>IFERROR(__xludf.DUMMYFUNCTION("""COMPUTED_VALUE"""),"Listicle")</f>
        <v>Listicle</v>
      </c>
      <c r="G177" s="11" t="b">
        <f>IFERROR(__xludf.DUMMYFUNCTION("""COMPUTED_VALUE"""),FALSE)</f>
        <v>0</v>
      </c>
      <c r="H177" s="11" t="str">
        <f>IFERROR(__xludf.DUMMYFUNCTION("""COMPUTED_VALUE"""),"First Page Sage, Directive, Go Fish Digital, Silverback Strategies")</f>
        <v>First Page Sage, Directive, Go Fish Digital, Silverback Strategies</v>
      </c>
      <c r="I177" s="11">
        <f>IFERROR(__xludf.DUMMYFUNCTION("""COMPUTED_VALUE"""),10.0)</f>
        <v>10</v>
      </c>
      <c r="J177" s="11">
        <f>IFERROR(__xludf.DUMMYFUNCTION("""COMPUTED_VALUE"""),0.01)</f>
        <v>0.01</v>
      </c>
      <c r="K177" s="11">
        <f>IFERROR(__xludf.DUMMYFUNCTION("""COMPUTED_VALUE"""),0.0)</f>
        <v>0</v>
      </c>
    </row>
    <row r="178" ht="15.75" customHeight="1">
      <c r="A178" s="10" t="str">
        <f>IFERROR(__xludf.DUMMYFUNCTION("""COMPUTED_VALUE"""),"https://deviatelabs.com/resources/7-best-ai-marketing-agencies-to-revolutionize-your-growth-in-2025/")</f>
        <v>https://deviatelabs.com/resources/7-best-ai-marketing-agencies-to-revolutionize-your-growth-in-2025/</v>
      </c>
      <c r="B178" s="11" t="str">
        <f>IFERROR(__xludf.DUMMYFUNCTION("""COMPUTED_VALUE"""),"7 Best AI Marketing Agencies to Revolutionize Your Growth in 2026 \| Deviate Labs")</f>
        <v>7 Best AI Marketing Agencies to Revolutionize Your Growth in 2026 \| Deviate Labs</v>
      </c>
      <c r="C178" s="10" t="str">
        <f>IFERROR(__xludf.DUMMYFUNCTION("""COMPUTED_VALUE"""),"deviatelabs.com")</f>
        <v>deviatelabs.com</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IFERROR(__xludf.DUMMYFUNCTION("""COMPUTED_VALUE"""),"Single Grain, SmartSites, Major Tom, NoGood")</f>
        <v>Single Grain, SmartSites, Major Tom, NoGood</v>
      </c>
      <c r="I178" s="11">
        <f>IFERROR(__xludf.DUMMYFUNCTION("""COMPUTED_VALUE"""),10.0)</f>
        <v>10</v>
      </c>
      <c r="J178" s="11">
        <f>IFERROR(__xludf.DUMMYFUNCTION("""COMPUTED_VALUE"""),0.01)</f>
        <v>0.01</v>
      </c>
      <c r="K178" s="11">
        <f>IFERROR(__xludf.DUMMYFUNCTION("""COMPUTED_VALUE"""),0.2)</f>
        <v>0.2</v>
      </c>
    </row>
    <row r="179" ht="15.75" customHeight="1">
      <c r="A179" s="10" t="str">
        <f>IFERROR(__xludf.DUMMYFUNCTION("""COMPUTED_VALUE"""),"https://digitalmarketingsupermarket.com/blog/best-ai-marketing-agencies/")</f>
        <v>https://digitalmarketingsupermarket.com/blog/best-ai-marketing-agencies/</v>
      </c>
      <c r="B179"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179" s="10" t="str">
        <f>IFERROR(__xludf.DUMMYFUNCTION("""COMPUTED_VALUE"""),"digitalmarketingsupermarket.com")</f>
        <v>digitalmarketingsupermarket.com</v>
      </c>
      <c r="D179" s="11" t="str">
        <f>IFERROR(__xludf.DUMMYFUNCTION("""COMPUTED_VALUE"""),"LISTICLE")</f>
        <v>LISTICLE</v>
      </c>
      <c r="E179" s="11" t="str">
        <f>IFERROR(__xludf.DUMMYFUNCTION("""COMPUTED_VALUE"""),"REFERENCE")</f>
        <v>REFERENCE</v>
      </c>
      <c r="F179" s="11" t="str">
        <f>IFERROR(__xludf.DUMMYFUNCTION("""COMPUTED_VALUE"""),"Listicle")</f>
        <v>Listicle</v>
      </c>
      <c r="G179" s="11" t="b">
        <f>IFERROR(__xludf.DUMMYFUNCTION("""COMPUTED_VALUE"""),FALSE)</f>
        <v>0</v>
      </c>
      <c r="H179" s="11" t="str">
        <f>IFERROR(__xludf.DUMMYFUNCTION("""COMPUTED_VALUE"""),"SmartSites, Superside, Single Grain, DEPT, Major Tom, NinjaPromo, Clutch, NoGood, Keenfolks")</f>
        <v>SmartSites, Superside, Single Grain, DEPT, Major Tom, NinjaPromo, Clutch, NoGood, Keenfolks</v>
      </c>
      <c r="I179" s="11">
        <f>IFERROR(__xludf.DUMMYFUNCTION("""COMPUTED_VALUE"""),10.0)</f>
        <v>10</v>
      </c>
      <c r="J179" s="11">
        <f>IFERROR(__xludf.DUMMYFUNCTION("""COMPUTED_VALUE"""),0.01)</f>
        <v>0.01</v>
      </c>
      <c r="K179" s="11">
        <f>IFERROR(__xludf.DUMMYFUNCTION("""COMPUTED_VALUE"""),0.2)</f>
        <v>0.2</v>
      </c>
    </row>
    <row r="180" ht="15.75" customHeight="1">
      <c r="A180" s="10" t="str">
        <f>IFERROR(__xludf.DUMMYFUNCTION("""COMPUTED_VALUE"""),"https://directiveconsulting.com/blog/best-geo-agencies/")</f>
        <v>https://directiveconsulting.com/blog/best-geo-agencies/</v>
      </c>
      <c r="B180" s="11" t="str">
        <f>IFERROR(__xludf.DUMMYFUNCTION("""COMPUTED_VALUE"""),"25 Best GEO Agencies For B2B - Directive")</f>
        <v>25 Best GEO Agencies For B2B - Directive</v>
      </c>
      <c r="C180" s="10" t="str">
        <f>IFERROR(__xludf.DUMMYFUNCTION("""COMPUTED_VALUE"""),"directiveconsulting.com")</f>
        <v>directiveconsulting.com</v>
      </c>
      <c r="D180" s="11" t="str">
        <f>IFERROR(__xludf.DUMMYFUNCTION("""COMPUTED_VALUE"""),"LISTICLE")</f>
        <v>LISTICLE</v>
      </c>
      <c r="E180" s="11" t="str">
        <f>IFERROR(__xludf.DUMMYFUNCTION("""COMPUTED_VALUE"""),"COMPETITOR")</f>
        <v>COMPETITOR</v>
      </c>
      <c r="F180" s="11" t="str">
        <f>IFERROR(__xludf.DUMMYFUNCTION("""COMPUTED_VALUE"""),"Listicle")</f>
        <v>Listicle</v>
      </c>
      <c r="G180" s="11" t="b">
        <f>IFERROR(__xludf.DUMMYFUNCTION("""COMPUTED_VALUE"""),FALSE)</f>
        <v>0</v>
      </c>
      <c r="H180"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180" s="11">
        <f>IFERROR(__xludf.DUMMYFUNCTION("""COMPUTED_VALUE"""),10.0)</f>
        <v>10</v>
      </c>
      <c r="J180" s="11">
        <f>IFERROR(__xludf.DUMMYFUNCTION("""COMPUTED_VALUE"""),0.01)</f>
        <v>0.01</v>
      </c>
      <c r="K180" s="11">
        <f>IFERROR(__xludf.DUMMYFUNCTION("""COMPUTED_VALUE"""),0.1)</f>
        <v>0.1</v>
      </c>
    </row>
    <row r="181" ht="15.75" customHeight="1">
      <c r="A181" s="10" t="str">
        <f>IFERROR(__xludf.DUMMYFUNCTION("""COMPUTED_VALUE"""),"https://directiveconsulting.com/uk/blog/best-geo-agencies/")</f>
        <v>https://directiveconsulting.com/uk/blog/best-geo-agencies/</v>
      </c>
      <c r="B181" s="11" t="str">
        <f>IFERROR(__xludf.DUMMYFUNCTION("""COMPUTED_VALUE"""),"25 Best GEO Agencies For B2B - Directive")</f>
        <v>25 Best GEO Agencies For B2B - Directive</v>
      </c>
      <c r="C181" s="10" t="str">
        <f>IFERROR(__xludf.DUMMYFUNCTION("""COMPUTED_VALUE"""),"directiveconsulting.com")</f>
        <v>directiveconsulting.com</v>
      </c>
      <c r="D181" s="11" t="str">
        <f>IFERROR(__xludf.DUMMYFUNCTION("""COMPUTED_VALUE"""),"LISTICLE")</f>
        <v>LISTICLE</v>
      </c>
      <c r="E181" s="11" t="str">
        <f>IFERROR(__xludf.DUMMYFUNCTION("""COMPUTED_VALUE"""),"COMPETITOR")</f>
        <v>COMPETITOR</v>
      </c>
      <c r="F181" s="11" t="str">
        <f>IFERROR(__xludf.DUMMYFUNCTION("""COMPUTED_VALUE"""),"Listicle")</f>
        <v>Listicle</v>
      </c>
      <c r="G181" s="11" t="b">
        <f>IFERROR(__xludf.DUMMYFUNCTION("""COMPUTED_VALUE"""),FALSE)</f>
        <v>0</v>
      </c>
      <c r="H181" s="11" t="str">
        <f>IFERROR(__xludf.DUMMYFUNCTION("""COMPUTED_VALUE"""),"Directive, iPullRank, Omniscient Digital, Intero Digital, WebFX, First Page Sage, Single Grain, Siege Media, RevenueZen, Victorious, Animalz, IBM, Clutch")</f>
        <v>Directive, iPullRank, Omniscient Digital, Intero Digital, WebFX, First Page Sage, Single Grain, Siege Media, RevenueZen, Victorious, Animalz, IBM, Clutch</v>
      </c>
      <c r="I181" s="11">
        <f>IFERROR(__xludf.DUMMYFUNCTION("""COMPUTED_VALUE"""),10.0)</f>
        <v>10</v>
      </c>
      <c r="J181" s="11">
        <f>IFERROR(__xludf.DUMMYFUNCTION("""COMPUTED_VALUE"""),0.01)</f>
        <v>0.01</v>
      </c>
      <c r="K181" s="11">
        <f>IFERROR(__xludf.DUMMYFUNCTION("""COMPUTED_VALUE"""),0.0)</f>
        <v>0</v>
      </c>
    </row>
    <row r="182" ht="15.75" customHeight="1">
      <c r="A182" s="10" t="str">
        <f>IFERROR(__xludf.DUMMYFUNCTION("""COMPUTED_VALUE"""),"https://firstpagesage.com/seo-blog/the-top-answer-engine-optimization-aeo-companies/")</f>
        <v>https://firstpagesage.com/seo-blog/the-top-answer-engine-optimization-aeo-companies/</v>
      </c>
      <c r="B182" s="11" t="str">
        <f>IFERROR(__xludf.DUMMYFUNCTION("""COMPUTED_VALUE"""),"The Top Answer Engine Optimization (AEO) Companies of 2026 – First Page Sage")</f>
        <v>The Top Answer Engine Optimization (AEO) Companies of 2026 – First Page Sage</v>
      </c>
      <c r="C182" s="10" t="str">
        <f>IFERROR(__xludf.DUMMYFUNCTION("""COMPUTED_VALUE"""),"firstpagesage.com")</f>
        <v>firstpagesage.com</v>
      </c>
      <c r="D182" s="11" t="str">
        <f>IFERROR(__xludf.DUMMYFUNCTION("""COMPUTED_VALUE"""),"LISTICLE")</f>
        <v>LISTICLE</v>
      </c>
      <c r="E182" s="11" t="str">
        <f>IFERROR(__xludf.DUMMYFUNCTION("""COMPUTED_VALUE"""),"COMPETITOR")</f>
        <v>COMPETITOR</v>
      </c>
      <c r="F182" s="11" t="str">
        <f>IFERROR(__xludf.DUMMYFUNCTION("""COMPUTED_VALUE"""),"Listicle")</f>
        <v>Listicle</v>
      </c>
      <c r="G182" s="11" t="b">
        <f>IFERROR(__xludf.DUMMYFUNCTION("""COMPUTED_VALUE"""),FALSE)</f>
        <v>0</v>
      </c>
      <c r="H182" s="11" t="str">
        <f>IFERROR(__xludf.DUMMYFUNCTION("""COMPUTED_VALUE"""),"First Page Sage, iPullRank, Avenue Z, Omniscient Digital, Marcel Digital")</f>
        <v>First Page Sage, iPullRank, Avenue Z, Omniscient Digital, Marcel Digital</v>
      </c>
      <c r="I182" s="11">
        <f>IFERROR(__xludf.DUMMYFUNCTION("""COMPUTED_VALUE"""),10.0)</f>
        <v>10</v>
      </c>
      <c r="J182" s="11">
        <f>IFERROR(__xludf.DUMMYFUNCTION("""COMPUTED_VALUE"""),0.01)</f>
        <v>0.01</v>
      </c>
      <c r="K182" s="11">
        <f>IFERROR(__xludf.DUMMYFUNCTION("""COMPUTED_VALUE"""),1.4)</f>
        <v>1.4</v>
      </c>
    </row>
    <row r="183" ht="15.75" customHeight="1">
      <c r="A183" s="10" t="str">
        <f>IFERROR(__xludf.DUMMYFUNCTION("""COMPUTED_VALUE"""),"https://www.gestisoft.com/en/blog/top-ai-consulting-firms")</f>
        <v>https://www.gestisoft.com/en/blog/top-ai-consulting-firms</v>
      </c>
      <c r="B183" s="11" t="str">
        <f>IFERROR(__xludf.DUMMYFUNCTION("""COMPUTED_VALUE"""),"Top 10 AI consulting firms in the USA | Gestisoft")</f>
        <v>Top 10 AI consulting firms in the USA | Gestisoft</v>
      </c>
      <c r="C183" s="10" t="str">
        <f>IFERROR(__xludf.DUMMYFUNCTION("""COMPUTED_VALUE"""),"gestisoft.com")</f>
        <v>gestisoft.com</v>
      </c>
      <c r="D183" s="11" t="str">
        <f>IFERROR(__xludf.DUMMYFUNCTION("""COMPUTED_VALUE"""),"LISTICLE")</f>
        <v>LISTICLE</v>
      </c>
      <c r="E183" s="11" t="str">
        <f>IFERROR(__xludf.DUMMYFUNCTION("""COMPUTED_VALUE"""),"CORPORATE")</f>
        <v>CORPORATE</v>
      </c>
      <c r="F183" s="11" t="str">
        <f>IFERROR(__xludf.DUMMYFUNCTION("""COMPUTED_VALUE"""),"Listicle")</f>
        <v>Listicle</v>
      </c>
      <c r="G183" s="11" t="b">
        <f>IFERROR(__xludf.DUMMYFUNCTION("""COMPUTED_VALUE"""),FALSE)</f>
        <v>0</v>
      </c>
      <c r="H183" s="11" t="str">
        <f>IFERROR(__xludf.DUMMYFUNCTION("""COMPUTED_VALUE"""),"Fractal Analytics")</f>
        <v>Fractal Analytics</v>
      </c>
      <c r="I183" s="11">
        <f>IFERROR(__xludf.DUMMYFUNCTION("""COMPUTED_VALUE"""),10.0)</f>
        <v>10</v>
      </c>
      <c r="J183" s="11">
        <f>IFERROR(__xludf.DUMMYFUNCTION("""COMPUTED_VALUE"""),0.01)</f>
        <v>0.01</v>
      </c>
      <c r="K183" s="11">
        <f>IFERROR(__xludf.DUMMYFUNCTION("""COMPUTED_VALUE"""),0.1)</f>
        <v>0.1</v>
      </c>
    </row>
    <row r="184" ht="15.75" customHeight="1">
      <c r="A184" s="10" t="str">
        <f>IFERROR(__xludf.DUMMYFUNCTION("""COMPUTED_VALUE"""),"https://inbeat.agency/blog/top-creative-agencies")</f>
        <v>https://inbeat.agency/blog/top-creative-agencies</v>
      </c>
      <c r="B184" s="11" t="str">
        <f>IFERROR(__xludf.DUMMYFUNCTION("""COMPUTED_VALUE"""),"Top 16 Creative Agencies Setting the Standard in 2026 - inBeat Agency")</f>
        <v>Top 16 Creative Agencies Setting the Standard in 2026 - inBeat Agency</v>
      </c>
      <c r="C184" s="11" t="str">
        <f>IFERROR(__xludf.DUMMYFUNCTION("""COMPUTED_VALUE"""),"inbeat.agency")</f>
        <v>inbeat.agency</v>
      </c>
      <c r="D184" s="11" t="str">
        <f>IFERROR(__xludf.DUMMYFUNCTION("""COMPUTED_VALUE"""),"LISTICLE")</f>
        <v>LISTICLE</v>
      </c>
      <c r="E184" s="11" t="str">
        <f>IFERROR(__xludf.DUMMYFUNCTION("""COMPUTED_VALUE"""),"COMPETITOR")</f>
        <v>COMPETITOR</v>
      </c>
      <c r="F184" s="11" t="str">
        <f>IFERROR(__xludf.DUMMYFUNCTION("""COMPUTED_VALUE"""),"Listicle")</f>
        <v>Listicle</v>
      </c>
      <c r="G184" s="11" t="b">
        <f>IFERROR(__xludf.DUMMYFUNCTION("""COMPUTED_VALUE"""),FALSE)</f>
        <v>0</v>
      </c>
      <c r="H184" s="11" t="str">
        <f>IFERROR(__xludf.DUMMYFUNCTION("""COMPUTED_VALUE"""),"inBeat, Nielsen, WPP, Wieden+Kennedy, Anomaly, 72andSunny, DEPT, Momentum, Ogilvy")</f>
        <v>inBeat, Nielsen, WPP, Wieden+Kennedy, Anomaly, 72andSunny, DEPT, Momentum, Ogilvy</v>
      </c>
      <c r="I184" s="11">
        <f>IFERROR(__xludf.DUMMYFUNCTION("""COMPUTED_VALUE"""),10.0)</f>
        <v>10</v>
      </c>
      <c r="J184" s="11">
        <f>IFERROR(__xludf.DUMMYFUNCTION("""COMPUTED_VALUE"""),0.01)</f>
        <v>0.01</v>
      </c>
      <c r="K184" s="11">
        <f>IFERROR(__xludf.DUMMYFUNCTION("""COMPUTED_VALUE"""),1.4)</f>
        <v>1.4</v>
      </c>
    </row>
    <row r="185" ht="15.75" customHeight="1">
      <c r="A185" s="10" t="str">
        <f>IFERROR(__xludf.DUMMYFUNCTION("""COMPUTED_VALUE"""),"https://www.loudface.co/blog/best-aeo-agencies-b2b-saas-2026")</f>
        <v>https://www.loudface.co/blog/best-aeo-agencies-b2b-saas-2026</v>
      </c>
      <c r="B185" s="11" t="str">
        <f>IFERROR(__xludf.DUMMYFUNCTION("""COMPUTED_VALUE"""),"Best AEO &amp;amp; GEO Agencies for B2B SaaS in 2026 | LoudFace")</f>
        <v>Best AEO &amp;amp; GEO Agencies for B2B SaaS in 2026 | LoudFace</v>
      </c>
      <c r="C185" s="10" t="str">
        <f>IFERROR(__xludf.DUMMYFUNCTION("""COMPUTED_VALUE"""),"loudface.co")</f>
        <v>loudface.co</v>
      </c>
      <c r="D185" s="11" t="str">
        <f>IFERROR(__xludf.DUMMYFUNCTION("""COMPUTED_VALUE"""),"LISTICLE")</f>
        <v>LISTICLE</v>
      </c>
      <c r="E185" s="11" t="str">
        <f>IFERROR(__xludf.DUMMYFUNCTION("""COMPUTED_VALUE"""),"CORPORATE")</f>
        <v>CORPORATE</v>
      </c>
      <c r="F185" s="11" t="str">
        <f>IFERROR(__xludf.DUMMYFUNCTION("""COMPUTED_VALUE"""),"Listicle")</f>
        <v>Listicle</v>
      </c>
      <c r="G185" s="11" t="b">
        <f>IFERROR(__xludf.DUMMYFUNCTION("""COMPUTED_VALUE"""),FALSE)</f>
        <v>0</v>
      </c>
      <c r="H185" s="11" t="str">
        <f>IFERROR(__xludf.DUMMYFUNCTION("""COMPUTED_VALUE"""),"Siege Media, Animalz, NoGood, First Page Sage")</f>
        <v>Siege Media, Animalz, NoGood, First Page Sage</v>
      </c>
      <c r="I185" s="11">
        <f>IFERROR(__xludf.DUMMYFUNCTION("""COMPUTED_VALUE"""),10.0)</f>
        <v>10</v>
      </c>
      <c r="J185" s="11">
        <f>IFERROR(__xludf.DUMMYFUNCTION("""COMPUTED_VALUE"""),0.01)</f>
        <v>0.01</v>
      </c>
      <c r="K185" s="11">
        <f>IFERROR(__xludf.DUMMYFUNCTION("""COMPUTED_VALUE"""),0.0)</f>
        <v>0</v>
      </c>
    </row>
    <row r="186" ht="15.75" customHeight="1">
      <c r="A186" s="10" t="str">
        <f>IFERROR(__xludf.DUMMYFUNCTION("""COMPUTED_VALUE"""),"https://omnieclipse.ai/blog/best-aeo-agencies-united-states-2026")</f>
        <v>https://omnieclipse.ai/blog/best-aeo-agencies-united-states-2026</v>
      </c>
      <c r="B186" s="11" t="str">
        <f>IFERROR(__xludf.DUMMYFUNCTION("""COMPUTED_VALUE"""),"Best AEO Agencies in the United States for 2026 | Omni Eclipse")</f>
        <v>Best AEO Agencies in the United States for 2026 | Omni Eclipse</v>
      </c>
      <c r="C186" s="10" t="str">
        <f>IFERROR(__xludf.DUMMYFUNCTION("""COMPUTED_VALUE"""),"omnieclipse.ai")</f>
        <v>omnieclipse.ai</v>
      </c>
      <c r="D186" s="11" t="str">
        <f>IFERROR(__xludf.DUMMYFUNCTION("""COMPUTED_VALUE"""),"LISTICLE")</f>
        <v>LISTICLE</v>
      </c>
      <c r="E186" s="11" t="str">
        <f>IFERROR(__xludf.DUMMYFUNCTION("""COMPUTED_VALUE"""),"CORPORATE")</f>
        <v>CORPORATE</v>
      </c>
      <c r="F186" s="11" t="str">
        <f>IFERROR(__xludf.DUMMYFUNCTION("""COMPUTED_VALUE"""),"Listicle")</f>
        <v>Listicle</v>
      </c>
      <c r="G186" s="11" t="b">
        <f>IFERROR(__xludf.DUMMYFUNCTION("""COMPUTED_VALUE"""),FALSE)</f>
        <v>0</v>
      </c>
      <c r="H186" s="11" t="str">
        <f>IFERROR(__xludf.DUMMYFUNCTION("""COMPUTED_VALUE"""),"McKinsey, First Page Sage, iPullRank, NoGood, Siege Media, RevenueZen, Discovered Labs, Graphite")</f>
        <v>McKinsey, First Page Sage, iPullRank, NoGood, Siege Media, RevenueZen, Discovered Labs, Graphite</v>
      </c>
      <c r="I186" s="11">
        <f>IFERROR(__xludf.DUMMYFUNCTION("""COMPUTED_VALUE"""),10.0)</f>
        <v>10</v>
      </c>
      <c r="J186" s="11">
        <f>IFERROR(__xludf.DUMMYFUNCTION("""COMPUTED_VALUE"""),0.01)</f>
        <v>0.01</v>
      </c>
      <c r="K186" s="11">
        <f>IFERROR(__xludf.DUMMYFUNCTION("""COMPUTED_VALUE"""),1.0)</f>
        <v>1</v>
      </c>
    </row>
    <row r="187" ht="15.75" customHeight="1">
      <c r="A187" s="10" t="str">
        <f>IFERROR(__xludf.DUMMYFUNCTION("""COMPUTED_VALUE"""),"https://www.onely.com/blog/best-ai-seo-agencies/")</f>
        <v>https://www.onely.com/blog/best-ai-seo-agencies/</v>
      </c>
      <c r="B187" s="11" t="str">
        <f>IFERROR(__xludf.DUMMYFUNCTION("""COMPUTED_VALUE"""),"Top 10 AI SEO Agencies in 2026: What They Actually Deliver and How to Evaluate Them - Onely")</f>
        <v>Top 10 AI SEO Agencies in 2026: What They Actually Deliver and How to Evaluate Them - Onely</v>
      </c>
      <c r="C187" s="10" t="str">
        <f>IFERROR(__xludf.DUMMYFUNCTION("""COMPUTED_VALUE"""),"onely.com")</f>
        <v>onely.com</v>
      </c>
      <c r="D187" s="11" t="str">
        <f>IFERROR(__xludf.DUMMYFUNCTION("""COMPUTED_VALUE"""),"LISTICLE")</f>
        <v>LISTICLE</v>
      </c>
      <c r="E187" s="11" t="str">
        <f>IFERROR(__xludf.DUMMYFUNCTION("""COMPUTED_VALUE"""),"CORPORATE")</f>
        <v>CORPORATE</v>
      </c>
      <c r="F187" s="11" t="str">
        <f>IFERROR(__xludf.DUMMYFUNCTION("""COMPUTED_VALUE"""),"Listicle")</f>
        <v>Listicle</v>
      </c>
      <c r="G187" s="11" t="b">
        <f>IFERROR(__xludf.DUMMYFUNCTION("""COMPUTED_VALUE"""),FALSE)</f>
        <v>0</v>
      </c>
      <c r="H187" s="11" t="str">
        <f>IFERROR(__xludf.DUMMYFUNCTION("""COMPUTED_VALUE"""),"iPullRank, Siege Media, Omniscient Digital, Single Grain, Directive, Thrive Internet Marketing Agency, Searchbloom")</f>
        <v>iPullRank, Siege Media, Omniscient Digital, Single Grain, Directive, Thrive Internet Marketing Agency, Searchbloom</v>
      </c>
      <c r="I187" s="11">
        <f>IFERROR(__xludf.DUMMYFUNCTION("""COMPUTED_VALUE"""),10.0)</f>
        <v>10</v>
      </c>
      <c r="J187" s="11">
        <f>IFERROR(__xludf.DUMMYFUNCTION("""COMPUTED_VALUE"""),0.01)</f>
        <v>0.01</v>
      </c>
      <c r="K187" s="11">
        <f>IFERROR(__xludf.DUMMYFUNCTION("""COMPUTED_VALUE"""),1.1)</f>
        <v>1.1</v>
      </c>
    </row>
    <row r="188" ht="15.75" customHeight="1">
      <c r="A188" s="10" t="str">
        <f>IFERROR(__xludf.DUMMYFUNCTION("""COMPUTED_VALUE"""),"https://www.onely.com/blog/best-geo-agencies/")</f>
        <v>https://www.onely.com/blog/best-geo-agencies/</v>
      </c>
      <c r="B188" s="11" t="str">
        <f>IFERROR(__xludf.DUMMYFUNCTION("""COMPUTED_VALUE"""),"Top 14 Best GEO Agencies in 2026: An Enterprise Buyer's Evaluation - Onely")</f>
        <v>Top 14 Best GEO Agencies in 2026: An Enterprise Buyer's Evaluation - Onely</v>
      </c>
      <c r="C188" s="10" t="str">
        <f>IFERROR(__xludf.DUMMYFUNCTION("""COMPUTED_VALUE"""),"onely.com")</f>
        <v>onely.com</v>
      </c>
      <c r="D188" s="11" t="str">
        <f>IFERROR(__xludf.DUMMYFUNCTION("""COMPUTED_VALUE"""),"LISTICLE")</f>
        <v>LISTICLE</v>
      </c>
      <c r="E188" s="11" t="str">
        <f>IFERROR(__xludf.DUMMYFUNCTION("""COMPUTED_VALUE"""),"CORPORATE")</f>
        <v>CORPORATE</v>
      </c>
      <c r="F188" s="11" t="str">
        <f>IFERROR(__xludf.DUMMYFUNCTION("""COMPUTED_VALUE"""),"Listicle")</f>
        <v>Listicle</v>
      </c>
      <c r="G188" s="11" t="b">
        <f>IFERROR(__xludf.DUMMYFUNCTION("""COMPUTED_VALUE"""),FALSE)</f>
        <v>0</v>
      </c>
      <c r="H188" s="11" t="str">
        <f>IFERROR(__xludf.DUMMYFUNCTION("""COMPUTED_VALUE"""),"Siege Media, Go Fish Digital, First Page Sage, Directive, Seer Interactive, Omniscient Digital, Single Grain, Victorious, WebFX, Ignite Visibility, Clutch, Measured")</f>
        <v>Siege Media, Go Fish Digital, First Page Sage, Directive, Seer Interactive, Omniscient Digital, Single Grain, Victorious, WebFX, Ignite Visibility, Clutch, Measured</v>
      </c>
      <c r="I188" s="11">
        <f>IFERROR(__xludf.DUMMYFUNCTION("""COMPUTED_VALUE"""),10.0)</f>
        <v>10</v>
      </c>
      <c r="J188" s="11">
        <f>IFERROR(__xludf.DUMMYFUNCTION("""COMPUTED_VALUE"""),0.01)</f>
        <v>0.01</v>
      </c>
      <c r="K188" s="11">
        <f>IFERROR(__xludf.DUMMYFUNCTION("""COMPUTED_VALUE"""),0.6)</f>
        <v>0.6</v>
      </c>
    </row>
    <row r="189" ht="15.75" customHeight="1">
      <c r="A189" s="10" t="str">
        <f>IFERROR(__xludf.DUMMYFUNCTION("""COMPUTED_VALUE"""),"https://piperocket.digital/list/best-aeo-agency/")</f>
        <v>https://piperocket.digital/list/best-aeo-agency/</v>
      </c>
      <c r="B189" s="11" t="str">
        <f>IFERROR(__xludf.DUMMYFUNCTION("""COMPUTED_VALUE"""),"12 Best AEO Agencies for AI Visibility Tracking &amp;amp; Reporting 2026")</f>
        <v>12 Best AEO Agencies for AI Visibility Tracking &amp;amp; Reporting 2026</v>
      </c>
      <c r="C189" s="11" t="str">
        <f>IFERROR(__xludf.DUMMYFUNCTION("""COMPUTED_VALUE"""),"piperocket.digital")</f>
        <v>piperocket.digital</v>
      </c>
      <c r="D189" s="11" t="str">
        <f>IFERROR(__xludf.DUMMYFUNCTION("""COMPUTED_VALUE"""),"LISTICLE")</f>
        <v>LISTICLE</v>
      </c>
      <c r="E189" s="11" t="str">
        <f>IFERROR(__xludf.DUMMYFUNCTION("""COMPUTED_VALUE"""),"CORPORATE")</f>
        <v>CORPORATE</v>
      </c>
      <c r="F189" s="11" t="str">
        <f>IFERROR(__xludf.DUMMYFUNCTION("""COMPUTED_VALUE"""),"Listicle")</f>
        <v>Listicle</v>
      </c>
      <c r="G189" s="11" t="b">
        <f>IFERROR(__xludf.DUMMYFUNCTION("""COMPUTED_VALUE"""),FALSE)</f>
        <v>0</v>
      </c>
      <c r="H189" s="11" t="str">
        <f>IFERROR(__xludf.DUMMYFUNCTION("""COMPUTED_VALUE"""),"Clutch, WebFX, First Page Sage, Single Grain, Omniscient Digital, RevenueZen, iPullRank, NoGood, Siege Media, KlientBoost, Animalz, Discovered Labs, Measured")</f>
        <v>Clutch, WebFX, First Page Sage, Single Grain, Omniscient Digital, RevenueZen, iPullRank, NoGood, Siege Media, KlientBoost, Animalz, Discovered Labs, Measured</v>
      </c>
      <c r="I189" s="11">
        <f>IFERROR(__xludf.DUMMYFUNCTION("""COMPUTED_VALUE"""),10.0)</f>
        <v>10</v>
      </c>
      <c r="J189" s="11">
        <f>IFERROR(__xludf.DUMMYFUNCTION("""COMPUTED_VALUE"""),0.01)</f>
        <v>0.01</v>
      </c>
      <c r="K189" s="11">
        <f>IFERROR(__xludf.DUMMYFUNCTION("""COMPUTED_VALUE"""),1.5)</f>
        <v>1.5</v>
      </c>
    </row>
    <row r="190" ht="15.75" customHeight="1">
      <c r="A190" s="10" t="str">
        <f>IFERROR(__xludf.DUMMYFUNCTION("""COMPUTED_VALUE"""),"https://www.rankarise.com/blog/best-aeo-agencies-in-usa-listing-and-reviews/")</f>
        <v>https://www.rankarise.com/blog/best-aeo-agencies-in-usa-listing-and-reviews/</v>
      </c>
      <c r="B190" s="11" t="str">
        <f>IFERROR(__xludf.DUMMYFUNCTION("""COMPUTED_VALUE"""),"Best AEO Agencies in USA | Detailed List - RankArise")</f>
        <v>Best AEO Agencies in USA | Detailed List - RankArise</v>
      </c>
      <c r="C190" s="10" t="str">
        <f>IFERROR(__xludf.DUMMYFUNCTION("""COMPUTED_VALUE"""),"rankarise.com")</f>
        <v>rankarise.com</v>
      </c>
      <c r="D190" s="11" t="str">
        <f>IFERROR(__xludf.DUMMYFUNCTION("""COMPUTED_VALUE"""),"LISTICLE")</f>
        <v>LISTICLE</v>
      </c>
      <c r="E190" s="11" t="str">
        <f>IFERROR(__xludf.DUMMYFUNCTION("""COMPUTED_VALUE"""),"CORPORATE")</f>
        <v>CORPORATE</v>
      </c>
      <c r="F190" s="11" t="str">
        <f>IFERROR(__xludf.DUMMYFUNCTION("""COMPUTED_VALUE"""),"Listicle")</f>
        <v>Listicle</v>
      </c>
      <c r="G190" s="11" t="b">
        <f>IFERROR(__xludf.DUMMYFUNCTION("""COMPUTED_VALUE"""),FALSE)</f>
        <v>0</v>
      </c>
      <c r="H190" s="11" t="str">
        <f>IFERROR(__xludf.DUMMYFUNCTION("""COMPUTED_VALUE"""),"Thrive Internet Marketing Agency, Victorious, Ignite Visibility, WebFX")</f>
        <v>Thrive Internet Marketing Agency, Victorious, Ignite Visibility, WebFX</v>
      </c>
      <c r="I190" s="11">
        <f>IFERROR(__xludf.DUMMYFUNCTION("""COMPUTED_VALUE"""),10.0)</f>
        <v>10</v>
      </c>
      <c r="J190" s="11">
        <f>IFERROR(__xludf.DUMMYFUNCTION("""COMPUTED_VALUE"""),0.01)</f>
        <v>0.01</v>
      </c>
      <c r="K190" s="11">
        <f>IFERROR(__xludf.DUMMYFUNCTION("""COMPUTED_VALUE"""),0.3)</f>
        <v>0.3</v>
      </c>
    </row>
    <row r="191" ht="15.75" customHeight="1">
      <c r="A191" s="10" t="str">
        <f>IFERROR(__xludf.DUMMYFUNCTION("""COMPUTED_VALUE"""),"https://segmentstream.com/blog/articles/top-enterprise-marketing-analytics-and-attribution-platforms")</f>
        <v>https://segmentstream.com/blog/articles/top-enterprise-marketing-analytics-and-attribution-platforms</v>
      </c>
      <c r="B191" s="11" t="str">
        <f>IFERROR(__xludf.DUMMYFUNCTION("""COMPUTED_VALUE"""),"10 Best Enterprise Marketing Analytics &amp;amp; Attribution Platforms in 2026 — SegmentStream")</f>
        <v>10 Best Enterprise Marketing Analytics &amp;amp; Attribution Platforms in 2026 — SegmentStream</v>
      </c>
      <c r="C191" s="10" t="str">
        <f>IFERROR(__xludf.DUMMYFUNCTION("""COMPUTED_VALUE"""),"segmentstream.com")</f>
        <v>segmentstream.com</v>
      </c>
      <c r="D191" s="11" t="str">
        <f>IFERROR(__xludf.DUMMYFUNCTION("""COMPUTED_VALUE"""),"LISTICLE")</f>
        <v>LISTICLE</v>
      </c>
      <c r="E191" s="11" t="str">
        <f>IFERROR(__xludf.DUMMYFUNCTION("""COMPUTED_VALUE"""),"COMPETITOR")</f>
        <v>COMPETITOR</v>
      </c>
      <c r="F191" s="11" t="str">
        <f>IFERROR(__xludf.DUMMYFUNCTION("""COMPUTED_VALUE"""),"Listicle")</f>
        <v>Listicle</v>
      </c>
      <c r="G191" s="11" t="b">
        <f>IFERROR(__xludf.DUMMYFUNCTION("""COMPUTED_VALUE"""),FALSE)</f>
        <v>0</v>
      </c>
      <c r="H191" s="11" t="str">
        <f>IFERROR(__xludf.DUMMYFUNCTION("""COMPUTED_VALUE"""),"SegmentStream, Measured, Rockerbox, LifeSight")</f>
        <v>SegmentStream, Measured, Rockerbox, LifeSight</v>
      </c>
      <c r="I191" s="11">
        <f>IFERROR(__xludf.DUMMYFUNCTION("""COMPUTED_VALUE"""),10.0)</f>
        <v>10</v>
      </c>
      <c r="J191" s="11">
        <f>IFERROR(__xludf.DUMMYFUNCTION("""COMPUTED_VALUE"""),0.01)</f>
        <v>0.01</v>
      </c>
      <c r="K191" s="11">
        <f>IFERROR(__xludf.DUMMYFUNCTION("""COMPUTED_VALUE"""),0.6)</f>
        <v>0.6</v>
      </c>
    </row>
    <row r="192" ht="15.75" customHeight="1">
      <c r="A192" s="10" t="str">
        <f>IFERROR(__xludf.DUMMYFUNCTION("""COMPUTED_VALUE"""),"https://www.singlegrain.com/artificial-intelligence/top-14-ai-marketing-agencies-in-2025/")</f>
        <v>https://www.singlegrain.com/artificial-intelligence/top-14-ai-marketing-agencies-in-2025/</v>
      </c>
      <c r="B192" s="11" t="str">
        <f>IFERROR(__xludf.DUMMYFUNCTION("""COMPUTED_VALUE"""),"Top 14 AI Marketing Agencies in 2025: Expert Analysis &amp;amp; Rankings")</f>
        <v>Top 14 AI Marketing Agencies in 2025: Expert Analysis &amp;amp; Rankings</v>
      </c>
      <c r="C192" s="10" t="str">
        <f>IFERROR(__xludf.DUMMYFUNCTION("""COMPUTED_VALUE"""),"singlegrain.com")</f>
        <v>singlegrain.com</v>
      </c>
      <c r="D192" s="11" t="str">
        <f>IFERROR(__xludf.DUMMYFUNCTION("""COMPUTED_VALUE"""),"LISTICLE")</f>
        <v>LISTICLE</v>
      </c>
      <c r="E192" s="11" t="str">
        <f>IFERROR(__xludf.DUMMYFUNCTION("""COMPUTED_VALUE"""),"COMPETITOR")</f>
        <v>COMPETITOR</v>
      </c>
      <c r="F192" s="11" t="str">
        <f>IFERROR(__xludf.DUMMYFUNCTION("""COMPUTED_VALUE"""),"Listicle")</f>
        <v>Listicle</v>
      </c>
      <c r="G192" s="11" t="b">
        <f>IFERROR(__xludf.DUMMYFUNCTION("""COMPUTED_VALUE"""),FALSE)</f>
        <v>0</v>
      </c>
      <c r="H192" s="11" t="str">
        <f>IFERROR(__xludf.DUMMYFUNCTION("""COMPUTED_VALUE"""),"Single Grain, VML, Superside, Major Tom, Ignite Visibility")</f>
        <v>Single Grain, VML, Superside, Major Tom, Ignite Visibility</v>
      </c>
      <c r="I192" s="11">
        <f>IFERROR(__xludf.DUMMYFUNCTION("""COMPUTED_VALUE"""),10.0)</f>
        <v>10</v>
      </c>
      <c r="J192" s="11">
        <f>IFERROR(__xludf.DUMMYFUNCTION("""COMPUTED_VALUE"""),0.01)</f>
        <v>0.01</v>
      </c>
      <c r="K192" s="11">
        <f>IFERROR(__xludf.DUMMYFUNCTION("""COMPUTED_VALUE"""),2.0)</f>
        <v>2</v>
      </c>
    </row>
    <row r="193" ht="15.75" customHeight="1">
      <c r="A193" s="10" t="str">
        <f>IFERROR(__xludf.DUMMYFUNCTION("""COMPUTED_VALUE"""),"https://75way.com/blog/10-top-ai-consulting-companies-usa")</f>
        <v>https://75way.com/blog/10-top-ai-consulting-companies-usa</v>
      </c>
      <c r="B193" s="11" t="str">
        <f>IFERROR(__xludf.DUMMYFUNCTION("""COMPUTED_VALUE"""),"Top 10 AI Consulting Companies in USA | 2026 Expert Guide")</f>
        <v>Top 10 AI Consulting Companies in USA | 2026 Expert Guide</v>
      </c>
      <c r="C193" s="10" t="str">
        <f>IFERROR(__xludf.DUMMYFUNCTION("""COMPUTED_VALUE"""),"75way.com")</f>
        <v>75way.com</v>
      </c>
      <c r="D193" s="11" t="str">
        <f>IFERROR(__xludf.DUMMYFUNCTION("""COMPUTED_VALUE"""),"LISTICLE")</f>
        <v>LISTICLE</v>
      </c>
      <c r="E193" s="11" t="str">
        <f>IFERROR(__xludf.DUMMYFUNCTION("""COMPUTED_VALUE"""),"CORPORATE")</f>
        <v>CORPORATE</v>
      </c>
      <c r="F193" s="11" t="str">
        <f>IFERROR(__xludf.DUMMYFUNCTION("""COMPUTED_VALUE"""),"Listicle")</f>
        <v>Listicle</v>
      </c>
      <c r="G193" s="11" t="b">
        <f>IFERROR(__xludf.DUMMYFUNCTION("""COMPUTED_VALUE"""),FALSE)</f>
        <v>0</v>
      </c>
      <c r="H193" s="11"/>
      <c r="I193" s="11">
        <f>IFERROR(__xludf.DUMMYFUNCTION("""COMPUTED_VALUE"""),9.0)</f>
        <v>9</v>
      </c>
      <c r="J193" s="11">
        <f>IFERROR(__xludf.DUMMYFUNCTION("""COMPUTED_VALUE"""),0.01)</f>
        <v>0.01</v>
      </c>
      <c r="K193" s="11">
        <f>IFERROR(__xludf.DUMMYFUNCTION("""COMPUTED_VALUE"""),0.0)</f>
        <v>0</v>
      </c>
    </row>
    <row r="194" ht="15.75" customHeight="1">
      <c r="A194" s="10" t="str">
        <f>IFERROR(__xludf.DUMMYFUNCTION("""COMPUTED_VALUE"""),"https://www.accordtechsolutions.com/blog/top-7-ai-marketing-agency-in-the-usa")</f>
        <v>https://www.accordtechsolutions.com/blog/top-7-ai-marketing-agency-in-the-usa</v>
      </c>
      <c r="B194" s="11" t="str">
        <f>IFERROR(__xludf.DUMMYFUNCTION("""COMPUTED_VALUE"""),"Top 7 AI Digital Marketing Agencies in the USA 2026")</f>
        <v>Top 7 AI Digital Marketing Agencies in the USA 2026</v>
      </c>
      <c r="C194" s="10" t="str">
        <f>IFERROR(__xludf.DUMMYFUNCTION("""COMPUTED_VALUE"""),"accordtechsolutions.com")</f>
        <v>accordtechsolutions.com</v>
      </c>
      <c r="D194" s="11" t="str">
        <f>IFERROR(__xludf.DUMMYFUNCTION("""COMPUTED_VALUE"""),"LISTICLE")</f>
        <v>LISTICLE</v>
      </c>
      <c r="E194" s="11" t="str">
        <f>IFERROR(__xludf.DUMMYFUNCTION("""COMPUTED_VALUE"""),"CORPORATE")</f>
        <v>CORPORATE</v>
      </c>
      <c r="F194" s="11" t="str">
        <f>IFERROR(__xludf.DUMMYFUNCTION("""COMPUTED_VALUE"""),"Listicle")</f>
        <v>Listicle</v>
      </c>
      <c r="G194" s="11" t="b">
        <f>IFERROR(__xludf.DUMMYFUNCTION("""COMPUTED_VALUE"""),FALSE)</f>
        <v>0</v>
      </c>
      <c r="H194" s="11" t="str">
        <f>IFERROR(__xludf.DUMMYFUNCTION("""COMPUTED_VALUE"""),"Huge, NoGood, Viral Nation, SmartSites")</f>
        <v>Huge, NoGood, Viral Nation, SmartSites</v>
      </c>
      <c r="I194" s="11">
        <f>IFERROR(__xludf.DUMMYFUNCTION("""COMPUTED_VALUE"""),9.0)</f>
        <v>9</v>
      </c>
      <c r="J194" s="11">
        <f>IFERROR(__xludf.DUMMYFUNCTION("""COMPUTED_VALUE"""),0.01)</f>
        <v>0.01</v>
      </c>
      <c r="K194" s="11">
        <f>IFERROR(__xludf.DUMMYFUNCTION("""COMPUTED_VALUE"""),0.89)</f>
        <v>0.89</v>
      </c>
    </row>
    <row r="195" ht="15.75" customHeight="1">
      <c r="A195" s="10" t="str">
        <f>IFERROR(__xludf.DUMMYFUNCTION("""COMPUTED_VALUE"""),"https://brandmentions.com/wiki/Top_advertising_agencies_in_USA#:~:text=Renowned%20for%20its%20mantra%2C%20%E2%80%9CThe%20Work.%20The,results.%20%2D%2072andSunny%20%E2%80%93%20Los%20Angeles%2C%20CA.")</f>
        <v>https://brandmentions.com/wiki/Top_advertising_agencies_in_USA#:~:text=Renowned%20for%20its%20mantra%2C%20%E2%80%9CThe%20Work.%20The,results.%20%2D%2072andSunny%20%E2%80%93%20Los%20Angeles%2C%20CA.</v>
      </c>
      <c r="B195" s="11" t="str">
        <f>IFERROR(__xludf.DUMMYFUNCTION("""COMPUTED_VALUE"""),"Top advertising agencies in USA - BrandMentions Wiki")</f>
        <v>Top advertising agencies in USA - BrandMentions Wiki</v>
      </c>
      <c r="C195" s="10" t="str">
        <f>IFERROR(__xludf.DUMMYFUNCTION("""COMPUTED_VALUE"""),"brandmentions.com")</f>
        <v>brandmentions.com</v>
      </c>
      <c r="D195" s="11" t="str">
        <f>IFERROR(__xludf.DUMMYFUNCTION("""COMPUTED_VALUE"""),"LISTICLE")</f>
        <v>LISTICLE</v>
      </c>
      <c r="E195" s="11" t="str">
        <f>IFERROR(__xludf.DUMMYFUNCTION("""COMPUTED_VALUE"""),"CORPORATE")</f>
        <v>CORPORATE</v>
      </c>
      <c r="F195" s="11" t="str">
        <f>IFERROR(__xludf.DUMMYFUNCTION("""COMPUTED_VALUE"""),"Listicle")</f>
        <v>Listicle</v>
      </c>
      <c r="G195" s="11" t="b">
        <f>IFERROR(__xludf.DUMMYFUNCTION("""COMPUTED_VALUE"""),FALSE)</f>
        <v>0</v>
      </c>
      <c r="H195" s="11" t="str">
        <f>IFERROR(__xludf.DUMMYFUNCTION("""COMPUTED_VALUE"""),"Wieden+Kennedy, Droga5, Accenture Song, Ogilvy, BBDO, 72andSunny, R/GA, TBWA\Chiat\Day, Dentsu, LYFE Marketing")</f>
        <v>Wieden+Kennedy, Droga5, Accenture Song, Ogilvy, BBDO, 72andSunny, R/GA, TBWA\Chiat\Day, Dentsu, LYFE Marketing</v>
      </c>
      <c r="I195" s="11">
        <f>IFERROR(__xludf.DUMMYFUNCTION("""COMPUTED_VALUE"""),9.0)</f>
        <v>9</v>
      </c>
      <c r="J195" s="11">
        <f>IFERROR(__xludf.DUMMYFUNCTION("""COMPUTED_VALUE"""),0.01)</f>
        <v>0.01</v>
      </c>
      <c r="K195" s="11">
        <f>IFERROR(__xludf.DUMMYFUNCTION("""COMPUTED_VALUE"""),2.33)</f>
        <v>2.33</v>
      </c>
    </row>
    <row r="196" ht="15.75" customHeight="1">
      <c r="A196" s="10" t="str">
        <f>IFERROR(__xludf.DUMMYFUNCTION("""COMPUTED_VALUE"""),"https://coolnerdsmarketing.com/top-digital-marketing-agencies-us/")</f>
        <v>https://coolnerdsmarketing.com/top-digital-marketing-agencies-us/</v>
      </c>
      <c r="B196" s="11" t="str">
        <f>IFERROR(__xludf.DUMMYFUNCTION("""COMPUTED_VALUE"""),"Top 17 Digital Marketing Agencies in the U.S. (January 2026)")</f>
        <v>Top 17 Digital Marketing Agencies in the U.S. (January 2026)</v>
      </c>
      <c r="C196" s="10" t="str">
        <f>IFERROR(__xludf.DUMMYFUNCTION("""COMPUTED_VALUE"""),"coolnerdsmarketing.com")</f>
        <v>coolnerdsmarketing.com</v>
      </c>
      <c r="D196" s="11" t="str">
        <f>IFERROR(__xludf.DUMMYFUNCTION("""COMPUTED_VALUE"""),"LISTICLE")</f>
        <v>LISTICLE</v>
      </c>
      <c r="E196" s="11" t="str">
        <f>IFERROR(__xludf.DUMMYFUNCTION("""COMPUTED_VALUE"""),"CORPORATE")</f>
        <v>CORPORATE</v>
      </c>
      <c r="F196" s="11" t="str">
        <f>IFERROR(__xludf.DUMMYFUNCTION("""COMPUTED_VALUE"""),"Listicle")</f>
        <v>Listicle</v>
      </c>
      <c r="G196" s="11" t="b">
        <f>IFERROR(__xludf.DUMMYFUNCTION("""COMPUTED_VALUE"""),FALSE)</f>
        <v>0</v>
      </c>
      <c r="H196" s="11" t="str">
        <f>IFERROR(__xludf.DUMMYFUNCTION("""COMPUTED_VALUE"""),"Refine Labs, Intero Digital, Single Grain, Power Digital, KlientBoost, VaynerMedia, inBeat, Publicis Groupe")</f>
        <v>Refine Labs, Intero Digital, Single Grain, Power Digital, KlientBoost, VaynerMedia, inBeat, Publicis Groupe</v>
      </c>
      <c r="I196" s="11">
        <f>IFERROR(__xludf.DUMMYFUNCTION("""COMPUTED_VALUE"""),9.0)</f>
        <v>9</v>
      </c>
      <c r="J196" s="11">
        <f>IFERROR(__xludf.DUMMYFUNCTION("""COMPUTED_VALUE"""),0.01)</f>
        <v>0.01</v>
      </c>
      <c r="K196" s="11">
        <f>IFERROR(__xludf.DUMMYFUNCTION("""COMPUTED_VALUE"""),1.33)</f>
        <v>1.33</v>
      </c>
    </row>
    <row r="197" ht="15.75" customHeight="1">
      <c r="A197" s="10" t="str">
        <f>IFERROR(__xludf.DUMMYFUNCTION("""COMPUTED_VALUE"""),"https://derivatex.agency/blog/best-aeo-agencies-usa/")</f>
        <v>https://derivatex.agency/blog/best-aeo-agencies-usa/</v>
      </c>
      <c r="B197" s="11" t="str">
        <f>IFERROR(__xludf.DUMMYFUNCTION("""COMPUTED_VALUE"""),"6 Best AEO Agencies in the USA for B2B SaaS (2026)")</f>
        <v>6 Best AEO Agencies in the USA for B2B SaaS (2026)</v>
      </c>
      <c r="C197" s="11" t="str">
        <f>IFERROR(__xludf.DUMMYFUNCTION("""COMPUTED_VALUE"""),"derivatex.agency")</f>
        <v>derivatex.agency</v>
      </c>
      <c r="D197" s="11" t="str">
        <f>IFERROR(__xludf.DUMMYFUNCTION("""COMPUTED_VALUE"""),"LISTICLE")</f>
        <v>LISTICLE</v>
      </c>
      <c r="E197" s="11" t="str">
        <f>IFERROR(__xludf.DUMMYFUNCTION("""COMPUTED_VALUE"""),"CORPORATE")</f>
        <v>CORPORATE</v>
      </c>
      <c r="F197" s="11" t="str">
        <f>IFERROR(__xludf.DUMMYFUNCTION("""COMPUTED_VALUE"""),"Listicle")</f>
        <v>Listicle</v>
      </c>
      <c r="G197" s="11" t="b">
        <f>IFERROR(__xludf.DUMMYFUNCTION("""COMPUTED_VALUE"""),FALSE)</f>
        <v>0</v>
      </c>
      <c r="H197" s="11" t="str">
        <f>IFERROR(__xludf.DUMMYFUNCTION("""COMPUTED_VALUE"""),"Siege Media, Directive, RevenueZen, iPullRank, Clutch, Omniscient Digital")</f>
        <v>Siege Media, Directive, RevenueZen, iPullRank, Clutch, Omniscient Digital</v>
      </c>
      <c r="I197" s="11">
        <f>IFERROR(__xludf.DUMMYFUNCTION("""COMPUTED_VALUE"""),9.0)</f>
        <v>9</v>
      </c>
      <c r="J197" s="11">
        <f>IFERROR(__xludf.DUMMYFUNCTION("""COMPUTED_VALUE"""),0.01)</f>
        <v>0.01</v>
      </c>
      <c r="K197" s="11">
        <f>IFERROR(__xludf.DUMMYFUNCTION("""COMPUTED_VALUE"""),0.11)</f>
        <v>0.11</v>
      </c>
    </row>
    <row r="198" ht="15.75" customHeight="1">
      <c r="A198" s="10" t="str">
        <f>IFERROR(__xludf.DUMMYFUNCTION("""COMPUTED_VALUE"""),"https://firstpagesage.com/seo-blog/the-top-generative-engine-optimization-geo-agencies/")</f>
        <v>https://firstpagesage.com/seo-blog/the-top-generative-engine-optimization-geo-agencies/</v>
      </c>
      <c r="B198" s="11" t="str">
        <f>IFERROR(__xludf.DUMMYFUNCTION("""COMPUTED_VALUE"""),"The Top Generative Engine Optimization (GEO) Agencies of 2026 – First Page Sage")</f>
        <v>The Top Generative Engine Optimization (GEO) Agencies of 2026 – First Page Sage</v>
      </c>
      <c r="C198" s="10" t="str">
        <f>IFERROR(__xludf.DUMMYFUNCTION("""COMPUTED_VALUE"""),"firstpagesage.com")</f>
        <v>firstpagesage.com</v>
      </c>
      <c r="D198" s="11" t="str">
        <f>IFERROR(__xludf.DUMMYFUNCTION("""COMPUTED_VALUE"""),"LISTICLE")</f>
        <v>LISTICLE</v>
      </c>
      <c r="E198" s="11" t="str">
        <f>IFERROR(__xludf.DUMMYFUNCTION("""COMPUTED_VALUE"""),"COMPETITOR")</f>
        <v>COMPETITOR</v>
      </c>
      <c r="F198" s="11" t="str">
        <f>IFERROR(__xludf.DUMMYFUNCTION("""COMPUTED_VALUE"""),"Listicle")</f>
        <v>Listicle</v>
      </c>
      <c r="G198" s="11" t="b">
        <f>IFERROR(__xludf.DUMMYFUNCTION("""COMPUTED_VALUE"""),FALSE)</f>
        <v>0</v>
      </c>
      <c r="H198" s="11" t="str">
        <f>IFERROR(__xludf.DUMMYFUNCTION("""COMPUTED_VALUE"""),"First Page Sage")</f>
        <v>First Page Sage</v>
      </c>
      <c r="I198" s="11">
        <f>IFERROR(__xludf.DUMMYFUNCTION("""COMPUTED_VALUE"""),9.0)</f>
        <v>9</v>
      </c>
      <c r="J198" s="11">
        <f>IFERROR(__xludf.DUMMYFUNCTION("""COMPUTED_VALUE"""),0.01)</f>
        <v>0.01</v>
      </c>
      <c r="K198" s="11">
        <f>IFERROR(__xludf.DUMMYFUNCTION("""COMPUTED_VALUE"""),0.89)</f>
        <v>0.89</v>
      </c>
    </row>
    <row r="199" ht="15.75" customHeight="1">
      <c r="A199" s="10" t="str">
        <f>IFERROR(__xludf.DUMMYFUNCTION("""COMPUTED_VALUE"""),"https://firstpagesage.com/seo-blog/top-digital-marketing-agencies/")</f>
        <v>https://firstpagesage.com/seo-blog/top-digital-marketing-agencies/</v>
      </c>
      <c r="B199" s="11" t="str">
        <f>IFERROR(__xludf.DUMMYFUNCTION("""COMPUTED_VALUE"""),"The Top Digital Marketing Agencies of 2026 – First Page Sage")</f>
        <v>The Top Digital Marketing Agencies of 2026 – First Page Sage</v>
      </c>
      <c r="C199" s="10" t="str">
        <f>IFERROR(__xludf.DUMMYFUNCTION("""COMPUTED_VALUE"""),"firstpagesage.com")</f>
        <v>firstpagesage.com</v>
      </c>
      <c r="D199" s="11" t="str">
        <f>IFERROR(__xludf.DUMMYFUNCTION("""COMPUTED_VALUE"""),"LISTICLE")</f>
        <v>LISTICLE</v>
      </c>
      <c r="E199" s="11" t="str">
        <f>IFERROR(__xludf.DUMMYFUNCTION("""COMPUTED_VALUE"""),"COMPETITOR")</f>
        <v>COMPETITOR</v>
      </c>
      <c r="F199" s="11" t="str">
        <f>IFERROR(__xludf.DUMMYFUNCTION("""COMPUTED_VALUE"""),"Listicle")</f>
        <v>Listicle</v>
      </c>
      <c r="G199" s="11" t="b">
        <f>IFERROR(__xludf.DUMMYFUNCTION("""COMPUTED_VALUE"""),FALSE)</f>
        <v>0</v>
      </c>
      <c r="H199" s="11" t="str">
        <f>IFERROR(__xludf.DUMMYFUNCTION("""COMPUTED_VALUE"""),"First Page Sage, Viral Nation, Epsilon, Sociallyin, Metric Theory, Clay")</f>
        <v>First Page Sage, Viral Nation, Epsilon, Sociallyin, Metric Theory, Clay</v>
      </c>
      <c r="I199" s="11">
        <f>IFERROR(__xludf.DUMMYFUNCTION("""COMPUTED_VALUE"""),9.0)</f>
        <v>9</v>
      </c>
      <c r="J199" s="11">
        <f>IFERROR(__xludf.DUMMYFUNCTION("""COMPUTED_VALUE"""),0.01)</f>
        <v>0.01</v>
      </c>
      <c r="K199" s="11">
        <f>IFERROR(__xludf.DUMMYFUNCTION("""COMPUTED_VALUE"""),1.33)</f>
        <v>1.33</v>
      </c>
    </row>
    <row r="200" ht="15.75" customHeight="1">
      <c r="A200" s="10" t="str">
        <f>IFERROR(__xludf.DUMMYFUNCTION("""COMPUTED_VALUE"""),"https://inbeat.agency/blog/top-digital-marketing-agencies-in-the-us")</f>
        <v>https://inbeat.agency/blog/top-digital-marketing-agencies-in-the-us</v>
      </c>
      <c r="B200" s="11" t="str">
        <f>IFERROR(__xludf.DUMMYFUNCTION("""COMPUTED_VALUE"""),"The Digital Marketing Agencies We'd Consider First in the US - inBeat Agency")</f>
        <v>The Digital Marketing Agencies We'd Consider First in the US - inBeat Agency</v>
      </c>
      <c r="C200" s="11" t="str">
        <f>IFERROR(__xludf.DUMMYFUNCTION("""COMPUTED_VALUE"""),"inbeat.agency")</f>
        <v>inbeat.agency</v>
      </c>
      <c r="D200" s="11" t="str">
        <f>IFERROR(__xludf.DUMMYFUNCTION("""COMPUTED_VALUE"""),"LISTICLE")</f>
        <v>LISTICLE</v>
      </c>
      <c r="E200" s="11" t="str">
        <f>IFERROR(__xludf.DUMMYFUNCTION("""COMPUTED_VALUE"""),"COMPETITOR")</f>
        <v>COMPETITOR</v>
      </c>
      <c r="F200" s="11" t="str">
        <f>IFERROR(__xludf.DUMMYFUNCTION("""COMPUTED_VALUE"""),"Listicle")</f>
        <v>Listicle</v>
      </c>
      <c r="G200" s="11" t="b">
        <f>IFERROR(__xludf.DUMMYFUNCTION("""COMPUTED_VALUE"""),FALSE)</f>
        <v>0</v>
      </c>
      <c r="H200" s="11" t="str">
        <f>IFERROR(__xludf.DUMMYFUNCTION("""COMPUTED_VALUE"""),"inBeat, Nielsen, WebFX, Disruptive Advertising, NoGood, Victorious, Thrive Internet Marketing Agency, Directive, Tinuiti, Clutch, Wpromote, Power Digital, SmartSites, KlientBoost, HawkSEM, Siege Media, Seer Interactive, Intero Digital, Measured, Graphite")</f>
        <v>inBeat, Nielsen, WebFX, Disruptive Advertising, NoGood, Victorious, Thrive Internet Marketing Agency, Directive, Tinuiti, Clutch, Wpromote, Power Digital, SmartSites, KlientBoost, HawkSEM, Siege Media, Seer Interactive, Intero Digital, Measured, Graphite</v>
      </c>
      <c r="I200" s="11">
        <f>IFERROR(__xludf.DUMMYFUNCTION("""COMPUTED_VALUE"""),9.0)</f>
        <v>9</v>
      </c>
      <c r="J200" s="11">
        <f>IFERROR(__xludf.DUMMYFUNCTION("""COMPUTED_VALUE"""),0.01)</f>
        <v>0.01</v>
      </c>
      <c r="K200" s="11">
        <f>IFERROR(__xludf.DUMMYFUNCTION("""COMPUTED_VALUE"""),0.11)</f>
        <v>0.11</v>
      </c>
    </row>
    <row r="201" ht="15.75" customHeight="1">
      <c r="A201" s="10" t="str">
        <f>IFERROR(__xludf.DUMMYFUNCTION("""COMPUTED_VALUE"""),"https://leadsrx.com/resource/35-marketing-attribution-software-companies/")</f>
        <v>https://leadsrx.com/resource/35-marketing-attribution-software-companies/</v>
      </c>
      <c r="B201" s="11" t="str">
        <f>IFERROR(__xludf.DUMMYFUNCTION("""COMPUTED_VALUE"""),"35 Best Marketing Attribution Software For You to Consider")</f>
        <v>35 Best Marketing Attribution Software For You to Consider</v>
      </c>
      <c r="C201" s="10" t="str">
        <f>IFERROR(__xludf.DUMMYFUNCTION("""COMPUTED_VALUE"""),"leadsrx.com")</f>
        <v>leadsrx.com</v>
      </c>
      <c r="D201" s="11" t="str">
        <f>IFERROR(__xludf.DUMMYFUNCTION("""COMPUTED_VALUE"""),"LISTICLE")</f>
        <v>LISTICLE</v>
      </c>
      <c r="E201" s="11" t="str">
        <f>IFERROR(__xludf.DUMMYFUNCTION("""COMPUTED_VALUE"""),"UGC")</f>
        <v>UGC</v>
      </c>
      <c r="F201" s="11" t="str">
        <f>IFERROR(__xludf.DUMMYFUNCTION("""COMPUTED_VALUE"""),"Listicle")</f>
        <v>Listicle</v>
      </c>
      <c r="G201" s="11" t="b">
        <f>IFERROR(__xludf.DUMMYFUNCTION("""COMPUTED_VALUE"""),FALSE)</f>
        <v>0</v>
      </c>
      <c r="H201" s="11" t="str">
        <f>IFERROR(__xludf.DUMMYFUNCTION("""COMPUTED_VALUE"""),"Neustar, Nielsen, Rockerbox, Ruler Analytics, Measured, Huge")</f>
        <v>Neustar, Nielsen, Rockerbox, Ruler Analytics, Measured, Huge</v>
      </c>
      <c r="I201" s="11">
        <f>IFERROR(__xludf.DUMMYFUNCTION("""COMPUTED_VALUE"""),9.0)</f>
        <v>9</v>
      </c>
      <c r="J201" s="11">
        <f>IFERROR(__xludf.DUMMYFUNCTION("""COMPUTED_VALUE"""),0.01)</f>
        <v>0.01</v>
      </c>
      <c r="K201" s="11">
        <f>IFERROR(__xludf.DUMMYFUNCTION("""COMPUTED_VALUE"""),0.11)</f>
        <v>0.11</v>
      </c>
    </row>
    <row r="202" ht="15.75" customHeight="1">
      <c r="A202" s="10" t="str">
        <f>IFERROR(__xludf.DUMMYFUNCTION("""COMPUTED_VALUE"""),"https://lengreo.com/ai-search-marketing-agencies/")</f>
        <v>https://lengreo.com/ai-search-marketing-agencies/</v>
      </c>
      <c r="B202" s="11" t="str">
        <f>IFERROR(__xludf.DUMMYFUNCTION("""COMPUTED_VALUE"""),"13 Best AI Search Marketing Companies for Smarter Growth (2026)")</f>
        <v>13 Best AI Search Marketing Companies for Smarter Growth (2026)</v>
      </c>
      <c r="C202" s="10" t="str">
        <f>IFERROR(__xludf.DUMMYFUNCTION("""COMPUTED_VALUE"""),"lengreo.com")</f>
        <v>lengreo.com</v>
      </c>
      <c r="D202" s="11" t="str">
        <f>IFERROR(__xludf.DUMMYFUNCTION("""COMPUTED_VALUE"""),"LISTICLE")</f>
        <v>LISTICLE</v>
      </c>
      <c r="E202" s="11" t="str">
        <f>IFERROR(__xludf.DUMMYFUNCTION("""COMPUTED_VALUE"""),"CORPORATE")</f>
        <v>CORPORATE</v>
      </c>
      <c r="F202" s="11" t="str">
        <f>IFERROR(__xludf.DUMMYFUNCTION("""COMPUTED_VALUE"""),"Listicle")</f>
        <v>Listicle</v>
      </c>
      <c r="G202" s="11" t="b">
        <f>IFERROR(__xludf.DUMMYFUNCTION("""COMPUTED_VALUE"""),FALSE)</f>
        <v>0</v>
      </c>
      <c r="H202" s="11" t="str">
        <f>IFERROR(__xludf.DUMMYFUNCTION("""COMPUTED_VALUE"""),"WebFX, Keenfolks, Clutch")</f>
        <v>WebFX, Keenfolks, Clutch</v>
      </c>
      <c r="I202" s="11">
        <f>IFERROR(__xludf.DUMMYFUNCTION("""COMPUTED_VALUE"""),9.0)</f>
        <v>9</v>
      </c>
      <c r="J202" s="11">
        <f>IFERROR(__xludf.DUMMYFUNCTION("""COMPUTED_VALUE"""),0.01)</f>
        <v>0.01</v>
      </c>
      <c r="K202" s="11">
        <f>IFERROR(__xludf.DUMMYFUNCTION("""COMPUTED_VALUE"""),0.11)</f>
        <v>0.11</v>
      </c>
    </row>
    <row r="203" ht="15.75" customHeight="1">
      <c r="A203" s="10" t="str">
        <f>IFERROR(__xludf.DUMMYFUNCTION("""COMPUTED_VALUE"""),"https://www.moburst.com/blog/best-web-marketing-agencies-usa/")</f>
        <v>https://www.moburst.com/blog/best-web-marketing-agencies-usa/</v>
      </c>
      <c r="B203" s="11" t="str">
        <f>IFERROR(__xludf.DUMMYFUNCTION("""COMPUTED_VALUE"""),"Best Web Marketing Agencies in the USA Right Now | Moburst")</f>
        <v>Best Web Marketing Agencies in the USA Right Now | Moburst</v>
      </c>
      <c r="C203" s="10" t="str">
        <f>IFERROR(__xludf.DUMMYFUNCTION("""COMPUTED_VALUE"""),"moburst.com")</f>
        <v>moburst.com</v>
      </c>
      <c r="D203" s="11" t="str">
        <f>IFERROR(__xludf.DUMMYFUNCTION("""COMPUTED_VALUE"""),"LISTICLE")</f>
        <v>LISTICLE</v>
      </c>
      <c r="E203" s="11" t="str">
        <f>IFERROR(__xludf.DUMMYFUNCTION("""COMPUTED_VALUE"""),"CORPORATE")</f>
        <v>CORPORATE</v>
      </c>
      <c r="F203" s="11" t="str">
        <f>IFERROR(__xludf.DUMMYFUNCTION("""COMPUTED_VALUE"""),"Listicle")</f>
        <v>Listicle</v>
      </c>
      <c r="G203" s="11" t="b">
        <f>IFERROR(__xludf.DUMMYFUNCTION("""COMPUTED_VALUE"""),FALSE)</f>
        <v>0</v>
      </c>
      <c r="H203" s="11" t="str">
        <f>IFERROR(__xludf.DUMMYFUNCTION("""COMPUTED_VALUE"""),"Ignite Visibility, Disruptive Advertising, Power Digital, WebFX, NoGood, KlientBoost, Momentum")</f>
        <v>Ignite Visibility, Disruptive Advertising, Power Digital, WebFX, NoGood, KlientBoost, Momentum</v>
      </c>
      <c r="I203" s="11">
        <f>IFERROR(__xludf.DUMMYFUNCTION("""COMPUTED_VALUE"""),9.0)</f>
        <v>9</v>
      </c>
      <c r="J203" s="11">
        <f>IFERROR(__xludf.DUMMYFUNCTION("""COMPUTED_VALUE"""),0.01)</f>
        <v>0.01</v>
      </c>
      <c r="K203" s="11">
        <f>IFERROR(__xludf.DUMMYFUNCTION("""COMPUTED_VALUE"""),1.22)</f>
        <v>1.22</v>
      </c>
    </row>
    <row r="204" ht="15.75" customHeight="1">
      <c r="A204" s="10" t="str">
        <f>IFERROR(__xludf.DUMMYFUNCTION("""COMPUTED_VALUE"""),"https://smacient.com/top-geo-agencies-in-the-usa/")</f>
        <v>https://smacient.com/top-geo-agencies-in-the-usa/</v>
      </c>
      <c r="B204" s="11" t="str">
        <f>IFERROR(__xludf.DUMMYFUNCTION("""COMPUTED_VALUE"""),"Top GEO Agencies in the USA - Smacient")</f>
        <v>Top GEO Agencies in the USA - Smacient</v>
      </c>
      <c r="C204" s="10" t="str">
        <f>IFERROR(__xludf.DUMMYFUNCTION("""COMPUTED_VALUE"""),"smacient.com")</f>
        <v>smacient.com</v>
      </c>
      <c r="D204" s="11" t="str">
        <f>IFERROR(__xludf.DUMMYFUNCTION("""COMPUTED_VALUE"""),"LISTICLE")</f>
        <v>LISTICLE</v>
      </c>
      <c r="E204" s="11" t="str">
        <f>IFERROR(__xludf.DUMMYFUNCTION("""COMPUTED_VALUE"""),"CORPORATE")</f>
        <v>CORPORATE</v>
      </c>
      <c r="F204" s="11" t="str">
        <f>IFERROR(__xludf.DUMMYFUNCTION("""COMPUTED_VALUE"""),"Listicle")</f>
        <v>Listicle</v>
      </c>
      <c r="G204" s="11" t="b">
        <f>IFERROR(__xludf.DUMMYFUNCTION("""COMPUTED_VALUE"""),FALSE)</f>
        <v>0</v>
      </c>
      <c r="H204" s="11" t="str">
        <f>IFERROR(__xludf.DUMMYFUNCTION("""COMPUTED_VALUE"""),"First Page Sage, Intero Digital, Directive, Stratabeat")</f>
        <v>First Page Sage, Intero Digital, Directive, Stratabeat</v>
      </c>
      <c r="I204" s="11">
        <f>IFERROR(__xludf.DUMMYFUNCTION("""COMPUTED_VALUE"""),9.0)</f>
        <v>9</v>
      </c>
      <c r="J204" s="11">
        <f>IFERROR(__xludf.DUMMYFUNCTION("""COMPUTED_VALUE"""),0.01)</f>
        <v>0.01</v>
      </c>
      <c r="K204" s="11">
        <f>IFERROR(__xludf.DUMMYFUNCTION("""COMPUTED_VALUE"""),0.11)</f>
        <v>0.11</v>
      </c>
    </row>
    <row r="205" ht="15.75" customHeight="1">
      <c r="A205" s="10" t="str">
        <f>IFERROR(__xludf.DUMMYFUNCTION("""COMPUTED_VALUE"""),"https://sourceloop.ai/blog/best-marketing-measurement-tools/")</f>
        <v>https://sourceloop.ai/blog/best-marketing-measurement-tools/</v>
      </c>
      <c r="B205" s="11" t="str">
        <f>IFERROR(__xludf.DUMMYFUNCTION("""COMPUTED_VALUE"""),"10 Best Marketing Measurement Tools: Compared in 2026 | SourceLoop")</f>
        <v>10 Best Marketing Measurement Tools: Compared in 2026 | SourceLoop</v>
      </c>
      <c r="C205" s="10" t="str">
        <f>IFERROR(__xludf.DUMMYFUNCTION("""COMPUTED_VALUE"""),"sourceloop.ai")</f>
        <v>sourceloop.ai</v>
      </c>
      <c r="D205" s="11" t="str">
        <f>IFERROR(__xludf.DUMMYFUNCTION("""COMPUTED_VALUE"""),"LISTICLE")</f>
        <v>LISTICLE</v>
      </c>
      <c r="E205" s="11" t="str">
        <f>IFERROR(__xludf.DUMMYFUNCTION("""COMPUTED_VALUE"""),"CORPORATE")</f>
        <v>CORPORATE</v>
      </c>
      <c r="F205" s="11" t="str">
        <f>IFERROR(__xludf.DUMMYFUNCTION("""COMPUTED_VALUE"""),"Listicle")</f>
        <v>Listicle</v>
      </c>
      <c r="G205" s="11" t="b">
        <f>IFERROR(__xludf.DUMMYFUNCTION("""COMPUTED_VALUE"""),FALSE)</f>
        <v>0</v>
      </c>
      <c r="H205" s="11" t="str">
        <f>IFERROR(__xludf.DUMMYFUNCTION("""COMPUTED_VALUE"""),"Northbeam, Triple Whale, Measured, Recast, INCRMNTAL, Rockerbox, Sellforte, Analytic Partners, Cometly, Nielsen, TransUnion")</f>
        <v>Northbeam, Triple Whale, Measured, Recast, INCRMNTAL, Rockerbox, Sellforte, Analytic Partners, Cometly, Nielsen, TransUnion</v>
      </c>
      <c r="I205" s="11">
        <f>IFERROR(__xludf.DUMMYFUNCTION("""COMPUTED_VALUE"""),9.0)</f>
        <v>9</v>
      </c>
      <c r="J205" s="11">
        <f>IFERROR(__xludf.DUMMYFUNCTION("""COMPUTED_VALUE"""),0.01)</f>
        <v>0.01</v>
      </c>
      <c r="K205" s="11">
        <f>IFERROR(__xludf.DUMMYFUNCTION("""COMPUTED_VALUE"""),0.33)</f>
        <v>0.33</v>
      </c>
    </row>
    <row r="206" ht="15.75" customHeight="1">
      <c r="A206" s="10" t="str">
        <f>IFERROR(__xludf.DUMMYFUNCTION("""COMPUTED_VALUE"""),"https://thedigitalelevator.com/blog/best-ai-seo-agencies/")</f>
        <v>https://thedigitalelevator.com/blog/best-ai-seo-agencies/</v>
      </c>
      <c r="B206" s="11" t="str">
        <f>IFERROR(__xludf.DUMMYFUNCTION("""COMPUTED_VALUE"""),"The 10 Best AI SEO Agencies in 2026 | Digital Elevator")</f>
        <v>The 10 Best AI SEO Agencies in 2026 | Digital Elevator</v>
      </c>
      <c r="C206" s="10" t="str">
        <f>IFERROR(__xludf.DUMMYFUNCTION("""COMPUTED_VALUE"""),"thedigitalelevator.com")</f>
        <v>thedigitalelevator.com</v>
      </c>
      <c r="D206" s="11" t="str">
        <f>IFERROR(__xludf.DUMMYFUNCTION("""COMPUTED_VALUE"""),"LISTICLE")</f>
        <v>LISTICLE</v>
      </c>
      <c r="E206" s="11" t="str">
        <f>IFERROR(__xludf.DUMMYFUNCTION("""COMPUTED_VALUE"""),"CORPORATE")</f>
        <v>CORPORATE</v>
      </c>
      <c r="F206" s="11" t="str">
        <f>IFERROR(__xludf.DUMMYFUNCTION("""COMPUTED_VALUE"""),"Listicle")</f>
        <v>Listicle</v>
      </c>
      <c r="G206" s="11" t="b">
        <f>IFERROR(__xludf.DUMMYFUNCTION("""COMPUTED_VALUE"""),FALSE)</f>
        <v>0</v>
      </c>
      <c r="H206" s="11" t="str">
        <f>IFERROR(__xludf.DUMMYFUNCTION("""COMPUTED_VALUE"""),"Graphite, Siege Media, Intero Digital, iPullRank, Go Fish Digital")</f>
        <v>Graphite, Siege Media, Intero Digital, iPullRank, Go Fish Digital</v>
      </c>
      <c r="I206" s="11">
        <f>IFERROR(__xludf.DUMMYFUNCTION("""COMPUTED_VALUE"""),9.0)</f>
        <v>9</v>
      </c>
      <c r="J206" s="11">
        <f>IFERROR(__xludf.DUMMYFUNCTION("""COMPUTED_VALUE"""),0.01)</f>
        <v>0.01</v>
      </c>
      <c r="K206" s="11">
        <f>IFERROR(__xludf.DUMMYFUNCTION("""COMPUTED_VALUE"""),1.0)</f>
        <v>1</v>
      </c>
    </row>
    <row r="207" ht="15.75" customHeight="1">
      <c r="A207" s="10" t="str">
        <f>IFERROR(__xludf.DUMMYFUNCTION("""COMPUTED_VALUE"""),"https://wildnetmarketing.agency/blog/best-performance-marketing-agencies-in-usa/")</f>
        <v>https://wildnetmarketing.agency/blog/best-performance-marketing-agencies-in-usa/</v>
      </c>
      <c r="B207" s="11" t="str">
        <f>IFERROR(__xludf.DUMMYFUNCTION("""COMPUTED_VALUE"""),"Best Performance Marketing Agencies in USA 2026")</f>
        <v>Best Performance Marketing Agencies in USA 2026</v>
      </c>
      <c r="C207" s="11" t="str">
        <f>IFERROR(__xludf.DUMMYFUNCTION("""COMPUTED_VALUE"""),"wildnetmarketing.agency")</f>
        <v>wildnetmarketing.agency</v>
      </c>
      <c r="D207" s="11" t="str">
        <f>IFERROR(__xludf.DUMMYFUNCTION("""COMPUTED_VALUE"""),"LISTICLE")</f>
        <v>LISTICLE</v>
      </c>
      <c r="E207" s="11" t="str">
        <f>IFERROR(__xludf.DUMMYFUNCTION("""COMPUTED_VALUE"""),"CORPORATE")</f>
        <v>CORPORATE</v>
      </c>
      <c r="F207" s="11" t="str">
        <f>IFERROR(__xludf.DUMMYFUNCTION("""COMPUTED_VALUE"""),"Listicle")</f>
        <v>Listicle</v>
      </c>
      <c r="G207" s="11" t="b">
        <f>IFERROR(__xludf.DUMMYFUNCTION("""COMPUTED_VALUE"""),FALSE)</f>
        <v>0</v>
      </c>
      <c r="H207" s="11" t="str">
        <f>IFERROR(__xludf.DUMMYFUNCTION("""COMPUTED_VALUE"""),"Merkle, Ogilvy, VML, Digitas, iProspect, Accenture Song, Deloitte Digital, Publicis Groupe, Dentsu")</f>
        <v>Merkle, Ogilvy, VML, Digitas, iProspect, Accenture Song, Deloitte Digital, Publicis Groupe, Dentsu</v>
      </c>
      <c r="I207" s="11">
        <f>IFERROR(__xludf.DUMMYFUNCTION("""COMPUTED_VALUE"""),9.0)</f>
        <v>9</v>
      </c>
      <c r="J207" s="11">
        <f>IFERROR(__xludf.DUMMYFUNCTION("""COMPUTED_VALUE"""),0.01)</f>
        <v>0.01</v>
      </c>
      <c r="K207" s="11">
        <f>IFERROR(__xludf.DUMMYFUNCTION("""COMPUTED_VALUE"""),0.0)</f>
        <v>0</v>
      </c>
    </row>
    <row r="208" ht="15.75" customHeight="1">
      <c r="A208" s="10" t="str">
        <f>IFERROR(__xludf.DUMMYFUNCTION("""COMPUTED_VALUE"""),"https://amworldgroup.com/best/digital-marketing-agency-worldwide")</f>
        <v>https://amworldgroup.com/best/digital-marketing-agency-worldwide</v>
      </c>
      <c r="B208" s="11" t="str">
        <f>IFERROR(__xludf.DUMMYFUNCTION("""COMPUTED_VALUE"""),"Best Digital Marketing Agencies Worldwide (2026) | AMW®")</f>
        <v>Best Digital Marketing Agencies Worldwide (2026) | AMW®</v>
      </c>
      <c r="C208" s="10" t="str">
        <f>IFERROR(__xludf.DUMMYFUNCTION("""COMPUTED_VALUE"""),"amworldgroup.com")</f>
        <v>amworldgroup.com</v>
      </c>
      <c r="D208" s="11" t="str">
        <f>IFERROR(__xludf.DUMMYFUNCTION("""COMPUTED_VALUE"""),"LISTICLE")</f>
        <v>LISTICLE</v>
      </c>
      <c r="E208" s="11" t="str">
        <f>IFERROR(__xludf.DUMMYFUNCTION("""COMPUTED_VALUE"""),"CORPORATE")</f>
        <v>CORPORATE</v>
      </c>
      <c r="F208" s="11" t="str">
        <f>IFERROR(__xludf.DUMMYFUNCTION("""COMPUTED_VALUE"""),"Listicle")</f>
        <v>Listicle</v>
      </c>
      <c r="G208" s="11" t="b">
        <f>IFERROR(__xludf.DUMMYFUNCTION("""COMPUTED_VALUE"""),FALSE)</f>
        <v>0</v>
      </c>
      <c r="H208" s="11"/>
      <c r="I208" s="11">
        <f>IFERROR(__xludf.DUMMYFUNCTION("""COMPUTED_VALUE"""),8.0)</f>
        <v>8</v>
      </c>
      <c r="J208" s="11">
        <f>IFERROR(__xludf.DUMMYFUNCTION("""COMPUTED_VALUE"""),0.01)</f>
        <v>0.01</v>
      </c>
      <c r="K208" s="11">
        <f>IFERROR(__xludf.DUMMYFUNCTION("""COMPUTED_VALUE"""),0.0)</f>
        <v>0</v>
      </c>
    </row>
    <row r="209" ht="15.75" customHeight="1">
      <c r="A209" s="10" t="str">
        <f>IFERROR(__xludf.DUMMYFUNCTION("""COMPUTED_VALUE"""),"https://avidtrak.com/resource/best-market-attribution-software")</f>
        <v>https://avidtrak.com/resource/best-market-attribution-software</v>
      </c>
      <c r="B209" s="11" t="str">
        <f>IFERROR(__xludf.DUMMYFUNCTION("""COMPUTED_VALUE"""),"9 Best Marketing Attribution Software for Agencies")</f>
        <v>9 Best Marketing Attribution Software for Agencies</v>
      </c>
      <c r="C209" s="10" t="str">
        <f>IFERROR(__xludf.DUMMYFUNCTION("""COMPUTED_VALUE"""),"avidtrak.com")</f>
        <v>avidtrak.com</v>
      </c>
      <c r="D209" s="11" t="str">
        <f>IFERROR(__xludf.DUMMYFUNCTION("""COMPUTED_VALUE"""),"LISTICLE")</f>
        <v>LISTICLE</v>
      </c>
      <c r="E209" s="11" t="str">
        <f>IFERROR(__xludf.DUMMYFUNCTION("""COMPUTED_VALUE"""),"CORPORATE")</f>
        <v>CORPORATE</v>
      </c>
      <c r="F209" s="11" t="str">
        <f>IFERROR(__xludf.DUMMYFUNCTION("""COMPUTED_VALUE"""),"Listicle")</f>
        <v>Listicle</v>
      </c>
      <c r="G209" s="11" t="b">
        <f>IFERROR(__xludf.DUMMYFUNCTION("""COMPUTED_VALUE"""),FALSE)</f>
        <v>0</v>
      </c>
      <c r="H209" s="11" t="str">
        <f>IFERROR(__xludf.DUMMYFUNCTION("""COMPUTED_VALUE"""),"Ruler Analytics, Nielsen")</f>
        <v>Ruler Analytics, Nielsen</v>
      </c>
      <c r="I209" s="11">
        <f>IFERROR(__xludf.DUMMYFUNCTION("""COMPUTED_VALUE"""),8.0)</f>
        <v>8</v>
      </c>
      <c r="J209" s="11">
        <f>IFERROR(__xludf.DUMMYFUNCTION("""COMPUTED_VALUE"""),0.01)</f>
        <v>0.01</v>
      </c>
      <c r="K209" s="11">
        <f>IFERROR(__xludf.DUMMYFUNCTION("""COMPUTED_VALUE"""),0.0)</f>
        <v>0</v>
      </c>
    </row>
    <row r="210" ht="15.75" customHeight="1">
      <c r="A210" s="10" t="str">
        <f>IFERROR(__xludf.DUMMYFUNCTION("""COMPUTED_VALUE"""),"https://brillmedia.co/resources/best-display-advertising-agencies/")</f>
        <v>https://brillmedia.co/resources/best-display-advertising-agencies/</v>
      </c>
      <c r="B210" s="11" t="str">
        <f>IFERROR(__xludf.DUMMYFUNCTION("""COMPUTED_VALUE"""),"Best Display Advertising Agencies | Brill Media")</f>
        <v>Best Display Advertising Agencies | Brill Media</v>
      </c>
      <c r="C210" s="10" t="str">
        <f>IFERROR(__xludf.DUMMYFUNCTION("""COMPUTED_VALUE"""),"brillmedia.co")</f>
        <v>brillmedia.co</v>
      </c>
      <c r="D210" s="11" t="str">
        <f>IFERROR(__xludf.DUMMYFUNCTION("""COMPUTED_VALUE"""),"LISTICLE")</f>
        <v>LISTICLE</v>
      </c>
      <c r="E210" s="11" t="str">
        <f>IFERROR(__xludf.DUMMYFUNCTION("""COMPUTED_VALUE"""),"CORPORATE")</f>
        <v>CORPORATE</v>
      </c>
      <c r="F210" s="11" t="str">
        <f>IFERROR(__xludf.DUMMYFUNCTION("""COMPUTED_VALUE"""),"Listicle")</f>
        <v>Listicle</v>
      </c>
      <c r="G210" s="11" t="b">
        <f>IFERROR(__xludf.DUMMYFUNCTION("""COMPUTED_VALUE"""),FALSE)</f>
        <v>0</v>
      </c>
      <c r="H210" s="11" t="str">
        <f>IFERROR(__xludf.DUMMYFUNCTION("""COMPUTED_VALUE"""),"WebFX")</f>
        <v>WebFX</v>
      </c>
      <c r="I210" s="11">
        <f>IFERROR(__xludf.DUMMYFUNCTION("""COMPUTED_VALUE"""),8.0)</f>
        <v>8</v>
      </c>
      <c r="J210" s="11">
        <f>IFERROR(__xludf.DUMMYFUNCTION("""COMPUTED_VALUE"""),0.01)</f>
        <v>0.01</v>
      </c>
      <c r="K210" s="11">
        <f>IFERROR(__xludf.DUMMYFUNCTION("""COMPUTED_VALUE"""),1.13)</f>
        <v>1.13</v>
      </c>
    </row>
    <row r="211" ht="15.75" customHeight="1">
      <c r="A211" s="10" t="str">
        <f>IFERROR(__xludf.DUMMYFUNCTION("""COMPUTED_VALUE"""),"https://www.cometly.com/post/incrementality-testing-software")</f>
        <v>https://www.cometly.com/post/incrementality-testing-software</v>
      </c>
      <c r="B211" s="11" t="str">
        <f>IFERROR(__xludf.DUMMYFUNCTION("""COMPUTED_VALUE"""),"Best Incrementality Testing Software Tools Guide 2026")</f>
        <v>Best Incrementality Testing Software Tools Guide 2026</v>
      </c>
      <c r="C211" s="10" t="str">
        <f>IFERROR(__xludf.DUMMYFUNCTION("""COMPUTED_VALUE"""),"cometly.com")</f>
        <v>cometly.com</v>
      </c>
      <c r="D211" s="11" t="str">
        <f>IFERROR(__xludf.DUMMYFUNCTION("""COMPUTED_VALUE"""),"LISTICLE")</f>
        <v>LISTICLE</v>
      </c>
      <c r="E211" s="11" t="str">
        <f>IFERROR(__xludf.DUMMYFUNCTION("""COMPUTED_VALUE"""),"COMPETITOR")</f>
        <v>COMPETITOR</v>
      </c>
      <c r="F211" s="11" t="str">
        <f>IFERROR(__xludf.DUMMYFUNCTION("""COMPUTED_VALUE"""),"Listicle")</f>
        <v>Listicle</v>
      </c>
      <c r="G211" s="11" t="b">
        <f>IFERROR(__xludf.DUMMYFUNCTION("""COMPUTED_VALUE"""),FALSE)</f>
        <v>0</v>
      </c>
      <c r="H211" s="11" t="str">
        <f>IFERROR(__xludf.DUMMYFUNCTION("""COMPUTED_VALUE"""),"Cometly, Measured, Rockerbox, Northbeam, Haus, Recast")</f>
        <v>Cometly, Measured, Rockerbox, Northbeam, Haus, Recast</v>
      </c>
      <c r="I211" s="11">
        <f>IFERROR(__xludf.DUMMYFUNCTION("""COMPUTED_VALUE"""),8.0)</f>
        <v>8</v>
      </c>
      <c r="J211" s="11">
        <f>IFERROR(__xludf.DUMMYFUNCTION("""COMPUTED_VALUE"""),0.01)</f>
        <v>0.01</v>
      </c>
      <c r="K211" s="11">
        <f>IFERROR(__xludf.DUMMYFUNCTION("""COMPUTED_VALUE"""),0.75)</f>
        <v>0.75</v>
      </c>
    </row>
    <row r="212" ht="15.75" customHeight="1">
      <c r="A212" s="10" t="str">
        <f>IFERROR(__xludf.DUMMYFUNCTION("""COMPUTED_VALUE"""),"https://www.fieldtrip.agency/post/best-ai-marketing-agencies#:~:text=The%20agency%20offers%20proprietary%20Integrative%20AI%C2%AE%20methodology,local%20implementation%20in%20more%20than%2040%20markets.")</f>
        <v>https://www.fieldtrip.agency/post/best-ai-marketing-agencies#:~:text=The%20agency%20offers%20proprietary%20Integrative%20AI%C2%AE%20methodology,local%20implementation%20in%20more%20than%2040%20markets.</v>
      </c>
      <c r="B212" s="11" t="str">
        <f>IFERROR(__xludf.DUMMYFUNCTION("""COMPUTED_VALUE"""),"Best AI Marketing Agencies Building the Next Era of Advertising")</f>
        <v>Best AI Marketing Agencies Building the Next Era of Advertising</v>
      </c>
      <c r="C212" s="11" t="str">
        <f>IFERROR(__xludf.DUMMYFUNCTION("""COMPUTED_VALUE"""),"fieldtrip.agency")</f>
        <v>fieldtrip.agency</v>
      </c>
      <c r="D212" s="11" t="str">
        <f>IFERROR(__xludf.DUMMYFUNCTION("""COMPUTED_VALUE"""),"LISTICLE")</f>
        <v>LISTICLE</v>
      </c>
      <c r="E212" s="11" t="str">
        <f>IFERROR(__xludf.DUMMYFUNCTION("""COMPUTED_VALUE"""),"CORPORATE")</f>
        <v>CORPORATE</v>
      </c>
      <c r="F212" s="11" t="str">
        <f>IFERROR(__xludf.DUMMYFUNCTION("""COMPUTED_VALUE"""),"Listicle")</f>
        <v>Listicle</v>
      </c>
      <c r="G212" s="11" t="b">
        <f>IFERROR(__xludf.DUMMYFUNCTION("""COMPUTED_VALUE"""),FALSE)</f>
        <v>0</v>
      </c>
      <c r="H212" s="11" t="str">
        <f>IFERROR(__xludf.DUMMYFUNCTION("""COMPUTED_VALUE"""),"Jellyfish, Keenfolks, Monks, Superside, Single Grain, Wpromote, TransUnion, Brainlabs, Measured, Power Digital, McKinsey, QuantumBlack, inBeat")</f>
        <v>Jellyfish, Keenfolks, Monks, Superside, Single Grain, Wpromote, TransUnion, Brainlabs, Measured, Power Digital, McKinsey, QuantumBlack, inBeat</v>
      </c>
      <c r="I212" s="11">
        <f>IFERROR(__xludf.DUMMYFUNCTION("""COMPUTED_VALUE"""),8.0)</f>
        <v>8</v>
      </c>
      <c r="J212" s="11">
        <f>IFERROR(__xludf.DUMMYFUNCTION("""COMPUTED_VALUE"""),0.01)</f>
        <v>0.01</v>
      </c>
      <c r="K212" s="11">
        <f>IFERROR(__xludf.DUMMYFUNCTION("""COMPUTED_VALUE"""),2.0)</f>
        <v>2</v>
      </c>
    </row>
    <row r="213" ht="15.75" customHeight="1">
      <c r="A213" s="10" t="str">
        <f>IFERROR(__xludf.DUMMYFUNCTION("""COMPUTED_VALUE"""),"https://grizzle.io/blog/best-generative-engine-optimization-agencies-for-b2b")</f>
        <v>https://grizzle.io/blog/best-generative-engine-optimization-agencies-for-b2b</v>
      </c>
      <c r="B213" s="11" t="str">
        <f>IFERROR(__xludf.DUMMYFUNCTION("""COMPUTED_VALUE"""),"6 best generative engine optimization (GEO) agencies for B2B to grow AI visibility in 2026")</f>
        <v>6 best generative engine optimization (GEO) agencies for B2B to grow AI visibility in 2026</v>
      </c>
      <c r="C213" s="10" t="str">
        <f>IFERROR(__xludf.DUMMYFUNCTION("""COMPUTED_VALUE"""),"grizzle.io")</f>
        <v>grizzle.io</v>
      </c>
      <c r="D213" s="11" t="str">
        <f>IFERROR(__xludf.DUMMYFUNCTION("""COMPUTED_VALUE"""),"LISTICLE")</f>
        <v>LISTICLE</v>
      </c>
      <c r="E213" s="11" t="str">
        <f>IFERROR(__xludf.DUMMYFUNCTION("""COMPUTED_VALUE"""),"OTHER")</f>
        <v>OTHER</v>
      </c>
      <c r="F213" s="11" t="str">
        <f>IFERROR(__xludf.DUMMYFUNCTION("""COMPUTED_VALUE"""),"Listicle")</f>
        <v>Listicle</v>
      </c>
      <c r="G213" s="11" t="b">
        <f>IFERROR(__xludf.DUMMYFUNCTION("""COMPUTED_VALUE"""),FALSE)</f>
        <v>0</v>
      </c>
      <c r="H213" s="11" t="str">
        <f>IFERROR(__xludf.DUMMYFUNCTION("""COMPUTED_VALUE"""),"Siege Media, Omniscient Digital, IBM, Measured, Brainlabs, Tinuiti")</f>
        <v>Siege Media, Omniscient Digital, IBM, Measured, Brainlabs, Tinuiti</v>
      </c>
      <c r="I213" s="11">
        <f>IFERROR(__xludf.DUMMYFUNCTION("""COMPUTED_VALUE"""),8.0)</f>
        <v>8</v>
      </c>
      <c r="J213" s="11">
        <f>IFERROR(__xludf.DUMMYFUNCTION("""COMPUTED_VALUE"""),0.01)</f>
        <v>0.01</v>
      </c>
      <c r="K213" s="11">
        <f>IFERROR(__xludf.DUMMYFUNCTION("""COMPUTED_VALUE"""),2.38)</f>
        <v>2.38</v>
      </c>
    </row>
    <row r="214" ht="15.75" customHeight="1">
      <c r="A214" s="10" t="str">
        <f>IFERROR(__xludf.DUMMYFUNCTION("""COMPUTED_VALUE"""),"https://www.gtm8020.com/blog/marketing-analytics-agencies-b2b")</f>
        <v>https://www.gtm8020.com/blog/marketing-analytics-agencies-b2b</v>
      </c>
      <c r="B214" s="11" t="str">
        <f>IFERROR(__xludf.DUMMYFUNCTION("""COMPUTED_VALUE"""),"The 7 Best Marketing Analytics Agencies for B2B in 2026 — GTM 8020")</f>
        <v>The 7 Best Marketing Analytics Agencies for B2B in 2026 — GTM 8020</v>
      </c>
      <c r="C214" s="10" t="str">
        <f>IFERROR(__xludf.DUMMYFUNCTION("""COMPUTED_VALUE"""),"gtm8020.com")</f>
        <v>gtm8020.com</v>
      </c>
      <c r="D214" s="11" t="str">
        <f>IFERROR(__xludf.DUMMYFUNCTION("""COMPUTED_VALUE"""),"LISTICLE")</f>
        <v>LISTICLE</v>
      </c>
      <c r="E214" s="11" t="str">
        <f>IFERROR(__xludf.DUMMYFUNCTION("""COMPUTED_VALUE"""),"OTHER")</f>
        <v>OTHER</v>
      </c>
      <c r="F214" s="11" t="str">
        <f>IFERROR(__xludf.DUMMYFUNCTION("""COMPUTED_VALUE"""),"Listicle")</f>
        <v>Listicle</v>
      </c>
      <c r="G214" s="11" t="b">
        <f>IFERROR(__xludf.DUMMYFUNCTION("""COMPUTED_VALUE"""),FALSE)</f>
        <v>0</v>
      </c>
      <c r="H214" s="11" t="str">
        <f>IFERROR(__xludf.DUMMYFUNCTION("""COMPUTED_VALUE"""),"Directive, Clutch, Omniscient Digital, NP Digital")</f>
        <v>Directive, Clutch, Omniscient Digital, NP Digital</v>
      </c>
      <c r="I214" s="11">
        <f>IFERROR(__xludf.DUMMYFUNCTION("""COMPUTED_VALUE"""),8.0)</f>
        <v>8</v>
      </c>
      <c r="J214" s="11">
        <f>IFERROR(__xludf.DUMMYFUNCTION("""COMPUTED_VALUE"""),0.01)</f>
        <v>0.01</v>
      </c>
      <c r="K214" s="11">
        <f>IFERROR(__xludf.DUMMYFUNCTION("""COMPUTED_VALUE"""),0.25)</f>
        <v>0.25</v>
      </c>
    </row>
    <row r="215" ht="15.75" customHeight="1">
      <c r="A215" s="10" t="str">
        <f>IFERROR(__xludf.DUMMYFUNCTION("""COMPUTED_VALUE"""),"https://www.measured.com/faq/top-10-best-media-mix-modeling-companies-software-for-2025/")</f>
        <v>https://www.measured.com/faq/top-10-best-media-mix-modeling-companies-software-for-2025/</v>
      </c>
      <c r="B215" s="11" t="str">
        <f>IFERROR(__xludf.DUMMYFUNCTION("""COMPUTED_VALUE"""),"Top 10 Best Media Mix Modeling Companies &amp; Software for 2026")</f>
        <v>Top 10 Best Media Mix Modeling Companies &amp; Software for 2026</v>
      </c>
      <c r="C215" s="10" t="str">
        <f>IFERROR(__xludf.DUMMYFUNCTION("""COMPUTED_VALUE"""),"measured.com")</f>
        <v>measured.com</v>
      </c>
      <c r="D215" s="11" t="str">
        <f>IFERROR(__xludf.DUMMYFUNCTION("""COMPUTED_VALUE"""),"LISTICLE")</f>
        <v>LISTICLE</v>
      </c>
      <c r="E215" s="11" t="str">
        <f>IFERROR(__xludf.DUMMYFUNCTION("""COMPUTED_VALUE"""),"COMPETITOR")</f>
        <v>COMPETITOR</v>
      </c>
      <c r="F215" s="11" t="str">
        <f>IFERROR(__xludf.DUMMYFUNCTION("""COMPUTED_VALUE"""),"Listicle")</f>
        <v>Listicle</v>
      </c>
      <c r="G215" s="11" t="b">
        <f>IFERROR(__xludf.DUMMYFUNCTION("""COMPUTED_VALUE"""),FALSE)</f>
        <v>0</v>
      </c>
      <c r="H215" s="11" t="str">
        <f>IFERROR(__xludf.DUMMYFUNCTION("""COMPUTED_VALUE"""),"Measured, Nielsen, Circana, Analytic Partners, Kantar, Neustar, TransUnion, Gain Theory, WPP, Recast")</f>
        <v>Measured, Nielsen, Circana, Analytic Partners, Kantar, Neustar, TransUnion, Gain Theory, WPP, Recast</v>
      </c>
      <c r="I215" s="11">
        <f>IFERROR(__xludf.DUMMYFUNCTION("""COMPUTED_VALUE"""),8.0)</f>
        <v>8</v>
      </c>
      <c r="J215" s="11">
        <f>IFERROR(__xludf.DUMMYFUNCTION("""COMPUTED_VALUE"""),0.01)</f>
        <v>0.01</v>
      </c>
      <c r="K215" s="11">
        <f>IFERROR(__xludf.DUMMYFUNCTION("""COMPUTED_VALUE"""),0.0)</f>
        <v>0</v>
      </c>
    </row>
    <row r="216" ht="15.75" customHeight="1">
      <c r="A216" s="10" t="str">
        <f>IFERROR(__xludf.DUMMYFUNCTION("""COMPUTED_VALUE"""),"https://museaward.com/top-agencies.php")</f>
        <v>https://museaward.com/top-agencies.php</v>
      </c>
      <c r="B216" s="11" t="str">
        <f>IFERROR(__xludf.DUMMYFUNCTION("""COMPUTED_VALUE"""),"MUSE Agency of the Year | MUSE Awards")</f>
        <v>MUSE Agency of the Year | MUSE Awards</v>
      </c>
      <c r="C216" s="10" t="str">
        <f>IFERROR(__xludf.DUMMYFUNCTION("""COMPUTED_VALUE"""),"museaward.com")</f>
        <v>museaward.com</v>
      </c>
      <c r="D216" s="11" t="str">
        <f>IFERROR(__xludf.DUMMYFUNCTION("""COMPUTED_VALUE"""),"LISTICLE")</f>
        <v>LISTICLE</v>
      </c>
      <c r="E216" s="11" t="str">
        <f>IFERROR(__xludf.DUMMYFUNCTION("""COMPUTED_VALUE"""),"CORPORATE")</f>
        <v>CORPORATE</v>
      </c>
      <c r="F216" s="11" t="str">
        <f>IFERROR(__xludf.DUMMYFUNCTION("""COMPUTED_VALUE"""),"Listicle")</f>
        <v>Listicle</v>
      </c>
      <c r="G216" s="11" t="b">
        <f>IFERROR(__xludf.DUMMYFUNCTION("""COMPUTED_VALUE"""),FALSE)</f>
        <v>0</v>
      </c>
      <c r="H216" s="11" t="str">
        <f>IFERROR(__xludf.DUMMYFUNCTION("""COMPUTED_VALUE"""),"Haus")</f>
        <v>Haus</v>
      </c>
      <c r="I216" s="11">
        <f>IFERROR(__xludf.DUMMYFUNCTION("""COMPUTED_VALUE"""),8.0)</f>
        <v>8</v>
      </c>
      <c r="J216" s="11">
        <f>IFERROR(__xludf.DUMMYFUNCTION("""COMPUTED_VALUE"""),0.01)</f>
        <v>0.01</v>
      </c>
      <c r="K216" s="11">
        <f>IFERROR(__xludf.DUMMYFUNCTION("""COMPUTED_VALUE"""),0.25)</f>
        <v>0.25</v>
      </c>
    </row>
    <row r="217" ht="15.75" customHeight="1">
      <c r="A217" s="10" t="str">
        <f>IFERROR(__xludf.DUMMYFUNCTION("""COMPUTED_VALUE"""),"https://neurons-lab.com/articles/top-ai-consulting-firms/")</f>
        <v>https://neurons-lab.com/articles/top-ai-consulting-firms/</v>
      </c>
      <c r="B217" s="11" t="str">
        <f>IFERROR(__xludf.DUMMYFUNCTION("""COMPUTED_VALUE"""),"Top AI Consulting Firms in 2026 for FSIs")</f>
        <v>Top AI Consulting Firms in 2026 for FSIs</v>
      </c>
      <c r="C217" s="10" t="str">
        <f>IFERROR(__xludf.DUMMYFUNCTION("""COMPUTED_VALUE"""),"neurons-lab.com")</f>
        <v>neurons-lab.com</v>
      </c>
      <c r="D217" s="11" t="str">
        <f>IFERROR(__xludf.DUMMYFUNCTION("""COMPUTED_VALUE"""),"LISTICLE")</f>
        <v>LISTICLE</v>
      </c>
      <c r="E217" s="11" t="str">
        <f>IFERROR(__xludf.DUMMYFUNCTION("""COMPUTED_VALUE"""),"CORPORATE")</f>
        <v>CORPORATE</v>
      </c>
      <c r="F217" s="11" t="str">
        <f>IFERROR(__xludf.DUMMYFUNCTION("""COMPUTED_VALUE"""),"Listicle")</f>
        <v>Listicle</v>
      </c>
      <c r="G217" s="11" t="b">
        <f>IFERROR(__xludf.DUMMYFUNCTION("""COMPUTED_VALUE"""),FALSE)</f>
        <v>0</v>
      </c>
      <c r="H217" s="11" t="str">
        <f>IFERROR(__xludf.DUMMYFUNCTION("""COMPUTED_VALUE"""),"BCG, Momentum")</f>
        <v>BCG, Momentum</v>
      </c>
      <c r="I217" s="11">
        <f>IFERROR(__xludf.DUMMYFUNCTION("""COMPUTED_VALUE"""),8.0)</f>
        <v>8</v>
      </c>
      <c r="J217" s="11">
        <f>IFERROR(__xludf.DUMMYFUNCTION("""COMPUTED_VALUE"""),0.01)</f>
        <v>0.01</v>
      </c>
      <c r="K217" s="11">
        <f>IFERROR(__xludf.DUMMYFUNCTION("""COMPUTED_VALUE"""),0.38)</f>
        <v>0.38</v>
      </c>
    </row>
    <row r="218" ht="15.75" customHeight="1">
      <c r="A218" s="10" t="str">
        <f>IFERROR(__xludf.DUMMYFUNCTION("""COMPUTED_VALUE"""),"https://outreachz.com/blog/best-ai-marketing-agencies-2026/")</f>
        <v>https://outreachz.com/blog/best-ai-marketing-agencies-2026/</v>
      </c>
      <c r="B218" s="11" t="str">
        <f>IFERROR(__xludf.DUMMYFUNCTION("""COMPUTED_VALUE"""),"Best AI Marketing Agencies (2026): 10 Top Picks for Brands That Want Smarter Growth")</f>
        <v>Best AI Marketing Agencies (2026): 10 Top Picks for Brands That Want Smarter Growth</v>
      </c>
      <c r="C218" s="10" t="str">
        <f>IFERROR(__xludf.DUMMYFUNCTION("""COMPUTED_VALUE"""),"outreachz.com")</f>
        <v>outreachz.com</v>
      </c>
      <c r="D218" s="11" t="str">
        <f>IFERROR(__xludf.DUMMYFUNCTION("""COMPUTED_VALUE"""),"LISTICLE")</f>
        <v>LISTICLE</v>
      </c>
      <c r="E218" s="11" t="str">
        <f>IFERROR(__xludf.DUMMYFUNCTION("""COMPUTED_VALUE"""),"CORPORATE")</f>
        <v>CORPORATE</v>
      </c>
      <c r="F218" s="11" t="str">
        <f>IFERROR(__xludf.DUMMYFUNCTION("""COMPUTED_VALUE"""),"Listicle")</f>
        <v>Listicle</v>
      </c>
      <c r="G218" s="11" t="b">
        <f>IFERROR(__xludf.DUMMYFUNCTION("""COMPUTED_VALUE"""),FALSE)</f>
        <v>0</v>
      </c>
      <c r="H218" s="11" t="str">
        <f>IFERROR(__xludf.DUMMYFUNCTION("""COMPUTED_VALUE"""),"NoGood, Single Grain, NinjaPromo, NP Digital, Keenfolks, Hawke Media, Huge")</f>
        <v>NoGood, Single Grain, NinjaPromo, NP Digital, Keenfolks, Hawke Media, Huge</v>
      </c>
      <c r="I218" s="11">
        <f>IFERROR(__xludf.DUMMYFUNCTION("""COMPUTED_VALUE"""),8.0)</f>
        <v>8</v>
      </c>
      <c r="J218" s="11">
        <f>IFERROR(__xludf.DUMMYFUNCTION("""COMPUTED_VALUE"""),0.01)</f>
        <v>0.01</v>
      </c>
      <c r="K218" s="11">
        <f>IFERROR(__xludf.DUMMYFUNCTION("""COMPUTED_VALUE"""),0.75)</f>
        <v>0.75</v>
      </c>
    </row>
    <row r="219" ht="15.75" customHeight="1">
      <c r="A219" s="10" t="str">
        <f>IFERROR(__xludf.DUMMYFUNCTION("""COMPUTED_VALUE"""),"https://pikaseo.com/articles/best-ai-seo-agencies")</f>
        <v>https://pikaseo.com/articles/best-ai-seo-agencies</v>
      </c>
      <c r="B219" s="11" t="str">
        <f>IFERROR(__xludf.DUMMYFUNCTION("""COMPUTED_VALUE"""),"10 Best AI SEO Agencies (GEO &amp;amp; AEO) in 2026 | PikaSEO")</f>
        <v>10 Best AI SEO Agencies (GEO &amp;amp; AEO) in 2026 | PikaSEO</v>
      </c>
      <c r="C219" s="10" t="str">
        <f>IFERROR(__xludf.DUMMYFUNCTION("""COMPUTED_VALUE"""),"pikaseo.com")</f>
        <v>pikaseo.com</v>
      </c>
      <c r="D219" s="11" t="str">
        <f>IFERROR(__xludf.DUMMYFUNCTION("""COMPUTED_VALUE"""),"LISTICLE")</f>
        <v>LISTICLE</v>
      </c>
      <c r="E219" s="11" t="str">
        <f>IFERROR(__xludf.DUMMYFUNCTION("""COMPUTED_VALUE"""),"CORPORATE")</f>
        <v>CORPORATE</v>
      </c>
      <c r="F219" s="11" t="str">
        <f>IFERROR(__xludf.DUMMYFUNCTION("""COMPUTED_VALUE"""),"Listicle")</f>
        <v>Listicle</v>
      </c>
      <c r="G219" s="11" t="b">
        <f>IFERROR(__xludf.DUMMYFUNCTION("""COMPUTED_VALUE"""),FALSE)</f>
        <v>0</v>
      </c>
      <c r="H219" s="11" t="str">
        <f>IFERROR(__xludf.DUMMYFUNCTION("""COMPUTED_VALUE"""),"iPullRank, Single Grain, NoGood, Omniscient Digital, Directive, Siege Media, WebFX, Go Fish Digital, First Page Sage, Measured")</f>
        <v>iPullRank, Single Grain, NoGood, Omniscient Digital, Directive, Siege Media, WebFX, Go Fish Digital, First Page Sage, Measured</v>
      </c>
      <c r="I219" s="11">
        <f>IFERROR(__xludf.DUMMYFUNCTION("""COMPUTED_VALUE"""),8.0)</f>
        <v>8</v>
      </c>
      <c r="J219" s="11">
        <f>IFERROR(__xludf.DUMMYFUNCTION("""COMPUTED_VALUE"""),0.01)</f>
        <v>0.01</v>
      </c>
      <c r="K219" s="11">
        <f>IFERROR(__xludf.DUMMYFUNCTION("""COMPUTED_VALUE"""),2.0)</f>
        <v>2</v>
      </c>
    </row>
    <row r="220" ht="15.75" customHeight="1">
      <c r="A220" s="10" t="str">
        <f>IFERROR(__xludf.DUMMYFUNCTION("""COMPUTED_VALUE"""),"https://piperocket.digital/list/best-geo-agencies/")</f>
        <v>https://piperocket.digital/list/best-geo-agencies/</v>
      </c>
      <c r="B220" s="11" t="str">
        <f>IFERROR(__xludf.DUMMYFUNCTION("""COMPUTED_VALUE"""),"12 Best GEO (Generative Engine Optimization) Agencies 2026")</f>
        <v>12 Best GEO (Generative Engine Optimization) Agencies 2026</v>
      </c>
      <c r="C220" s="11" t="str">
        <f>IFERROR(__xludf.DUMMYFUNCTION("""COMPUTED_VALUE"""),"piperocket.digital")</f>
        <v>piperocket.digital</v>
      </c>
      <c r="D220" s="11" t="str">
        <f>IFERROR(__xludf.DUMMYFUNCTION("""COMPUTED_VALUE"""),"LISTICLE")</f>
        <v>LISTICLE</v>
      </c>
      <c r="E220" s="11" t="str">
        <f>IFERROR(__xludf.DUMMYFUNCTION("""COMPUTED_VALUE"""),"CORPORATE")</f>
        <v>CORPORATE</v>
      </c>
      <c r="F220" s="11" t="str">
        <f>IFERROR(__xludf.DUMMYFUNCTION("""COMPUTED_VALUE"""),"Listicle")</f>
        <v>Listicle</v>
      </c>
      <c r="G220" s="11" t="b">
        <f>IFERROR(__xludf.DUMMYFUNCTION("""COMPUTED_VALUE"""),FALSE)</f>
        <v>0</v>
      </c>
      <c r="H220" s="11" t="str">
        <f>IFERROR(__xludf.DUMMYFUNCTION("""COMPUTED_VALUE"""),"Clutch, iPullRank, First Page Sage, Omniscient Digital, RevenueZen, Single Grain, Animalz, WebFX, NoGood, Siege Media, KlientBoost, Power Digital")</f>
        <v>Clutch, iPullRank, First Page Sage, Omniscient Digital, RevenueZen, Single Grain, Animalz, WebFX, NoGood, Siege Media, KlientBoost, Power Digital</v>
      </c>
      <c r="I220" s="11">
        <f>IFERROR(__xludf.DUMMYFUNCTION("""COMPUTED_VALUE"""),8.0)</f>
        <v>8</v>
      </c>
      <c r="J220" s="11">
        <f>IFERROR(__xludf.DUMMYFUNCTION("""COMPUTED_VALUE"""),0.01)</f>
        <v>0.01</v>
      </c>
      <c r="K220" s="11">
        <f>IFERROR(__xludf.DUMMYFUNCTION("""COMPUTED_VALUE"""),1.75)</f>
        <v>1.75</v>
      </c>
    </row>
    <row r="221" ht="15.75" customHeight="1">
      <c r="A221" s="10" t="str">
        <f>IFERROR(__xludf.DUMMYFUNCTION("""COMPUTED_VALUE"""),"https://www.plerdy.com/blog/digital-marketing-agencies-in-the-united-states/")</f>
        <v>https://www.plerdy.com/blog/digital-marketing-agencies-in-the-united-states/</v>
      </c>
      <c r="B221" s="11" t="str">
        <f>IFERROR(__xludf.DUMMYFUNCTION("""COMPUTED_VALUE"""),"Best Digital Marketing Agencies in the United States 2025 – Plerdy")</f>
        <v>Best Digital Marketing Agencies in the United States 2025 – Plerdy</v>
      </c>
      <c r="C221" s="10" t="str">
        <f>IFERROR(__xludf.DUMMYFUNCTION("""COMPUTED_VALUE"""),"plerdy.com")</f>
        <v>plerdy.com</v>
      </c>
      <c r="D221" s="11" t="str">
        <f>IFERROR(__xludf.DUMMYFUNCTION("""COMPUTED_VALUE"""),"LISTICLE")</f>
        <v>LISTICLE</v>
      </c>
      <c r="E221" s="11" t="str">
        <f>IFERROR(__xludf.DUMMYFUNCTION("""COMPUTED_VALUE"""),"CORPORATE")</f>
        <v>CORPORATE</v>
      </c>
      <c r="F221" s="11" t="str">
        <f>IFERROR(__xludf.DUMMYFUNCTION("""COMPUTED_VALUE"""),"Listicle")</f>
        <v>Listicle</v>
      </c>
      <c r="G221" s="11" t="b">
        <f>IFERROR(__xludf.DUMMYFUNCTION("""COMPUTED_VALUE"""),FALSE)</f>
        <v>0</v>
      </c>
      <c r="H221" s="11" t="str">
        <f>IFERROR(__xludf.DUMMYFUNCTION("""COMPUTED_VALUE"""),"SmartSites, Ignite Visibility, KlientBoost, Disruptive Advertising, WebFX, Intero Digital, Storm Brain, Thrive Internet Marketing Agency")</f>
        <v>SmartSites, Ignite Visibility, KlientBoost, Disruptive Advertising, WebFX, Intero Digital, Storm Brain, Thrive Internet Marketing Agency</v>
      </c>
      <c r="I221" s="11">
        <f>IFERROR(__xludf.DUMMYFUNCTION("""COMPUTED_VALUE"""),8.0)</f>
        <v>8</v>
      </c>
      <c r="J221" s="11">
        <f>IFERROR(__xludf.DUMMYFUNCTION("""COMPUTED_VALUE"""),0.01)</f>
        <v>0.01</v>
      </c>
      <c r="K221" s="11">
        <f>IFERROR(__xludf.DUMMYFUNCTION("""COMPUTED_VALUE"""),0.0)</f>
        <v>0</v>
      </c>
    </row>
    <row r="222" ht="15.75" customHeight="1">
      <c r="A222" s="10" t="str">
        <f>IFERROR(__xludf.DUMMYFUNCTION("""COMPUTED_VALUE"""),"https://respona.com/blog/answer-engine-optimization-agencies/#:~:text=NoGood%20is%20a%20growth%20marketing%20agency%20where,not%20as%20a%20bolt%2Don%20to%20traditional%20SEO.")</f>
        <v>https://respona.com/blog/answer-engine-optimization-agencies/#:~:text=NoGood%20is%20a%20growth%20marketing%20agency%20where,not%20as%20a%20bolt%2Don%20to%20traditional%20SEO.</v>
      </c>
      <c r="B222" s="11" t="str">
        <f>IFERROR(__xludf.DUMMYFUNCTION("""COMPUTED_VALUE"""),"23 Best Answer Engine Optimization (AEO) Agencies in 2026")</f>
        <v>23 Best Answer Engine Optimization (AEO) Agencies in 2026</v>
      </c>
      <c r="C222" s="10" t="str">
        <f>IFERROR(__xludf.DUMMYFUNCTION("""COMPUTED_VALUE"""),"respona.com")</f>
        <v>respona.com</v>
      </c>
      <c r="D222" s="11" t="str">
        <f>IFERROR(__xludf.DUMMYFUNCTION("""COMPUTED_VALUE"""),"LISTICLE")</f>
        <v>LISTICLE</v>
      </c>
      <c r="E222" s="11" t="str">
        <f>IFERROR(__xludf.DUMMYFUNCTION("""COMPUTED_VALUE"""),"CORPORATE")</f>
        <v>CORPORATE</v>
      </c>
      <c r="F222" s="11" t="str">
        <f>IFERROR(__xludf.DUMMYFUNCTION("""COMPUTED_VALUE"""),"Listicle")</f>
        <v>Listicle</v>
      </c>
      <c r="G222" s="11" t="b">
        <f>IFERROR(__xludf.DUMMYFUNCTION("""COMPUTED_VALUE"""),FALSE)</f>
        <v>0</v>
      </c>
      <c r="H222" s="11" t="str">
        <f>IFERROR(__xludf.DUMMYFUNCTION("""COMPUTED_VALUE"""),"NoGood, Marcel Digital, Clutch")</f>
        <v>NoGood, Marcel Digital, Clutch</v>
      </c>
      <c r="I222" s="11">
        <f>IFERROR(__xludf.DUMMYFUNCTION("""COMPUTED_VALUE"""),8.0)</f>
        <v>8</v>
      </c>
      <c r="J222" s="11">
        <f>IFERROR(__xludf.DUMMYFUNCTION("""COMPUTED_VALUE"""),0.01)</f>
        <v>0.01</v>
      </c>
      <c r="K222" s="11">
        <f>IFERROR(__xludf.DUMMYFUNCTION("""COMPUTED_VALUE"""),1.13)</f>
        <v>1.13</v>
      </c>
    </row>
    <row r="223" ht="15.75" customHeight="1">
      <c r="A223" s="10" t="str">
        <f>IFERROR(__xludf.DUMMYFUNCTION("""COMPUTED_VALUE"""),"https://www.singlegrain.com/aeo/top-14-aeo-agencies-in-2025/")</f>
        <v>https://www.singlegrain.com/aeo/top-14-aeo-agencies-in-2025/</v>
      </c>
      <c r="B223" s="11" t="str">
        <f>IFERROR(__xludf.DUMMYFUNCTION("""COMPUTED_VALUE"""),"Top 14 AEO Agencies in 2025")</f>
        <v>Top 14 AEO Agencies in 2025</v>
      </c>
      <c r="C223" s="10" t="str">
        <f>IFERROR(__xludf.DUMMYFUNCTION("""COMPUTED_VALUE"""),"singlegrain.com")</f>
        <v>singlegrain.com</v>
      </c>
      <c r="D223" s="11" t="str">
        <f>IFERROR(__xludf.DUMMYFUNCTION("""COMPUTED_VALUE"""),"LISTICLE")</f>
        <v>LISTICLE</v>
      </c>
      <c r="E223" s="11" t="str">
        <f>IFERROR(__xludf.DUMMYFUNCTION("""COMPUTED_VALUE"""),"COMPETITOR")</f>
        <v>COMPETITOR</v>
      </c>
      <c r="F223" s="11" t="str">
        <f>IFERROR(__xludf.DUMMYFUNCTION("""COMPUTED_VALUE"""),"Listicle")</f>
        <v>Listicle</v>
      </c>
      <c r="G223" s="11" t="b">
        <f>IFERROR(__xludf.DUMMYFUNCTION("""COMPUTED_VALUE"""),FALSE)</f>
        <v>0</v>
      </c>
      <c r="H223" s="11" t="str">
        <f>IFERROR(__xludf.DUMMYFUNCTION("""COMPUTED_VALUE"""),"Single Grain, NoGood, RevenueZen, iPullRank, WebFX, First Page Sage, SmartSites, Siege Media")</f>
        <v>Single Grain, NoGood, RevenueZen, iPullRank, WebFX, First Page Sage, SmartSites, Siege Media</v>
      </c>
      <c r="I223" s="11">
        <f>IFERROR(__xludf.DUMMYFUNCTION("""COMPUTED_VALUE"""),8.0)</f>
        <v>8</v>
      </c>
      <c r="J223" s="11">
        <f>IFERROR(__xludf.DUMMYFUNCTION("""COMPUTED_VALUE"""),0.01)</f>
        <v>0.01</v>
      </c>
      <c r="K223" s="11">
        <f>IFERROR(__xludf.DUMMYFUNCTION("""COMPUTED_VALUE"""),0.13)</f>
        <v>0.13</v>
      </c>
    </row>
    <row r="224" ht="15.75" customHeight="1">
      <c r="A224" s="10" t="str">
        <f>IFERROR(__xludf.DUMMYFUNCTION("""COMPUTED_VALUE"""),"https://www.starfishco.com/branding/10-must%E2%80%91know-branding-agencies-in-2026-for-creative-campaigns/#:~:text=Anomaly%20is%20known%20for%20integrated%2C%20culture%E2%80%91forward%20campaigns,lines%20between%20advertising%2C%20experiences%2C%20and%20e"&amp;"arned%20media.")</f>
        <v>https://www.starfishco.com/branding/10-must%E2%80%91know-branding-agencies-in-2026-for-creative-campaigns/#:~:text=Anomaly%20is%20known%20for%20integrated%2C%20culture%E2%80%91forward%20campaigns,lines%20between%20advertising%2C%20experiences%2C%20and%20earned%20media.</v>
      </c>
      <c r="B224" s="11" t="str">
        <f>IFERROR(__xludf.DUMMYFUNCTION("""COMPUTED_VALUE"""),"10 Must‑Know Branding Agencies in 2026 for Creative Campaigns - Starfish")</f>
        <v>10 Must‑Know Branding Agencies in 2026 for Creative Campaigns - Starfish</v>
      </c>
      <c r="C224" s="10" t="str">
        <f>IFERROR(__xludf.DUMMYFUNCTION("""COMPUTED_VALUE"""),"starfishco.com")</f>
        <v>starfishco.com</v>
      </c>
      <c r="D224" s="11" t="str">
        <f>IFERROR(__xludf.DUMMYFUNCTION("""COMPUTED_VALUE"""),"LISTICLE")</f>
        <v>LISTICLE</v>
      </c>
      <c r="E224" s="11" t="str">
        <f>IFERROR(__xludf.DUMMYFUNCTION("""COMPUTED_VALUE"""),"CORPORATE")</f>
        <v>CORPORATE</v>
      </c>
      <c r="F224" s="11" t="str">
        <f>IFERROR(__xludf.DUMMYFUNCTION("""COMPUTED_VALUE"""),"Listicle")</f>
        <v>Listicle</v>
      </c>
      <c r="G224" s="11" t="b">
        <f>IFERROR(__xludf.DUMMYFUNCTION("""COMPUTED_VALUE"""),FALSE)</f>
        <v>0</v>
      </c>
      <c r="H224" s="11" t="str">
        <f>IFERROR(__xludf.DUMMYFUNCTION("""COMPUTED_VALUE"""),"Clutch, Pentagram, Wolff Olins, Momentum, Superside, Anomaly, McKinsey")</f>
        <v>Clutch, Pentagram, Wolff Olins, Momentum, Superside, Anomaly, McKinsey</v>
      </c>
      <c r="I224" s="11">
        <f>IFERROR(__xludf.DUMMYFUNCTION("""COMPUTED_VALUE"""),8.0)</f>
        <v>8</v>
      </c>
      <c r="J224" s="11">
        <f>IFERROR(__xludf.DUMMYFUNCTION("""COMPUTED_VALUE"""),0.01)</f>
        <v>0.01</v>
      </c>
      <c r="K224" s="11">
        <f>IFERROR(__xludf.DUMMYFUNCTION("""COMPUTED_VALUE"""),1.38)</f>
        <v>1.38</v>
      </c>
    </row>
    <row r="225" ht="15.75" customHeight="1">
      <c r="A225" s="10" t="str">
        <f>IFERROR(__xludf.DUMMYFUNCTION("""COMPUTED_VALUE"""),"https://www.superside.com/blog/ad-creative-agencies")</f>
        <v>https://www.superside.com/blog/ad-creative-agencies</v>
      </c>
      <c r="B225" s="11" t="str">
        <f>IFERROR(__xludf.DUMMYFUNCTION("""COMPUTED_VALUE"""),"12 Top Ad Creative Agencies for Enterprises &amp;amp; Brands (2026)")</f>
        <v>12 Top Ad Creative Agencies for Enterprises &amp;amp; Brands (2026)</v>
      </c>
      <c r="C225" s="10" t="str">
        <f>IFERROR(__xludf.DUMMYFUNCTION("""COMPUTED_VALUE"""),"superside.com")</f>
        <v>superside.com</v>
      </c>
      <c r="D225" s="11" t="str">
        <f>IFERROR(__xludf.DUMMYFUNCTION("""COMPUTED_VALUE"""),"LISTICLE")</f>
        <v>LISTICLE</v>
      </c>
      <c r="E225" s="11" t="str">
        <f>IFERROR(__xludf.DUMMYFUNCTION("""COMPUTED_VALUE"""),"COMPETITOR")</f>
        <v>COMPETITOR</v>
      </c>
      <c r="F225" s="11" t="str">
        <f>IFERROR(__xludf.DUMMYFUNCTION("""COMPUTED_VALUE"""),"Listicle")</f>
        <v>Listicle</v>
      </c>
      <c r="G225" s="11" t="b">
        <f>IFERROR(__xludf.DUMMYFUNCTION("""COMPUTED_VALUE"""),FALSE)</f>
        <v>0</v>
      </c>
      <c r="H225" s="11" t="str">
        <f>IFERROR(__xludf.DUMMYFUNCTION("""COMPUTED_VALUE"""),"Superside, Anomaly, Droga5, Wieden+Kennedy, 72andSunny, Ogilvy, Accenture Song, BBDO")</f>
        <v>Superside, Anomaly, Droga5, Wieden+Kennedy, 72andSunny, Ogilvy, Accenture Song, BBDO</v>
      </c>
      <c r="I225" s="11">
        <f>IFERROR(__xludf.DUMMYFUNCTION("""COMPUTED_VALUE"""),8.0)</f>
        <v>8</v>
      </c>
      <c r="J225" s="11">
        <f>IFERROR(__xludf.DUMMYFUNCTION("""COMPUTED_VALUE"""),0.01)</f>
        <v>0.01</v>
      </c>
      <c r="K225" s="11">
        <f>IFERROR(__xludf.DUMMYFUNCTION("""COMPUTED_VALUE"""),1.0)</f>
        <v>1</v>
      </c>
    </row>
    <row r="226" ht="15.75" customHeight="1">
      <c r="A226" s="10" t="str">
        <f>IFERROR(__xludf.DUMMYFUNCTION("""COMPUTED_VALUE"""),"https://www.superside.com/blog/ai-design-agencies")</f>
        <v>https://www.superside.com/blog/ai-design-agencies</v>
      </c>
      <c r="B226" s="11" t="str">
        <f>IFERROR(__xludf.DUMMYFUNCTION("""COMPUTED_VALUE"""),"Top 11 AI Design Agencies &amp;amp; Studios for Creative Innovation in 2026")</f>
        <v>Top 11 AI Design Agencies &amp;amp; Studios for Creative Innovation in 2026</v>
      </c>
      <c r="C226" s="10" t="str">
        <f>IFERROR(__xludf.DUMMYFUNCTION("""COMPUTED_VALUE"""),"superside.com")</f>
        <v>superside.com</v>
      </c>
      <c r="D226" s="11" t="str">
        <f>IFERROR(__xludf.DUMMYFUNCTION("""COMPUTED_VALUE"""),"LISTICLE")</f>
        <v>LISTICLE</v>
      </c>
      <c r="E226" s="11" t="str">
        <f>IFERROR(__xludf.DUMMYFUNCTION("""COMPUTED_VALUE"""),"COMPETITOR")</f>
        <v>COMPETITOR</v>
      </c>
      <c r="F226" s="11" t="str">
        <f>IFERROR(__xludf.DUMMYFUNCTION("""COMPUTED_VALUE"""),"Listicle")</f>
        <v>Listicle</v>
      </c>
      <c r="G226" s="11" t="b">
        <f>IFERROR(__xludf.DUMMYFUNCTION("""COMPUTED_VALUE"""),FALSE)</f>
        <v>0</v>
      </c>
      <c r="H226" s="11" t="str">
        <f>IFERROR(__xludf.DUMMYFUNCTION("""COMPUTED_VALUE"""),"Superside, McKinsey, Clutch, Pentagram, Major Tom, Huge")</f>
        <v>Superside, McKinsey, Clutch, Pentagram, Major Tom, Huge</v>
      </c>
      <c r="I226" s="11">
        <f>IFERROR(__xludf.DUMMYFUNCTION("""COMPUTED_VALUE"""),8.0)</f>
        <v>8</v>
      </c>
      <c r="J226" s="11">
        <f>IFERROR(__xludf.DUMMYFUNCTION("""COMPUTED_VALUE"""),0.01)</f>
        <v>0.01</v>
      </c>
      <c r="K226" s="11">
        <f>IFERROR(__xludf.DUMMYFUNCTION("""COMPUTED_VALUE"""),1.25)</f>
        <v>1.25</v>
      </c>
    </row>
    <row r="227" ht="15.75" customHeight="1">
      <c r="A227" s="10" t="str">
        <f>IFERROR(__xludf.DUMMYFUNCTION("""COMPUTED_VALUE"""),"https://agencyanalytics.com/blog/best-marketing-analytics-tools")</f>
        <v>https://agencyanalytics.com/blog/best-marketing-analytics-tools</v>
      </c>
      <c r="B227" s="11" t="str">
        <f>IFERROR(__xludf.DUMMYFUNCTION("""COMPUTED_VALUE"""),"Best Marketing Analytics Tools for Agencies in 2026 - AgencyAnalytics")</f>
        <v>Best Marketing Analytics Tools for Agencies in 2026 - AgencyAnalytics</v>
      </c>
      <c r="C227" s="10" t="str">
        <f>IFERROR(__xludf.DUMMYFUNCTION("""COMPUTED_VALUE"""),"agencyanalytics.com")</f>
        <v>agencyanalytics.com</v>
      </c>
      <c r="D227" s="11" t="str">
        <f>IFERROR(__xludf.DUMMYFUNCTION("""COMPUTED_VALUE"""),"LISTICLE")</f>
        <v>LISTICLE</v>
      </c>
      <c r="E227" s="11" t="str">
        <f>IFERROR(__xludf.DUMMYFUNCTION("""COMPUTED_VALUE"""),"CORPORATE")</f>
        <v>CORPORATE</v>
      </c>
      <c r="F227" s="11" t="str">
        <f>IFERROR(__xludf.DUMMYFUNCTION("""COMPUTED_VALUE"""),"Listicle")</f>
        <v>Listicle</v>
      </c>
      <c r="G227" s="11" t="b">
        <f>IFERROR(__xludf.DUMMYFUNCTION("""COMPUTED_VALUE"""),FALSE)</f>
        <v>0</v>
      </c>
      <c r="H227" s="11" t="str">
        <f>IFERROR(__xludf.DUMMYFUNCTION("""COMPUTED_VALUE"""),"Anomaly")</f>
        <v>Anomaly</v>
      </c>
      <c r="I227" s="11">
        <f>IFERROR(__xludf.DUMMYFUNCTION("""COMPUTED_VALUE"""),7.0)</f>
        <v>7</v>
      </c>
      <c r="J227" s="11">
        <f>IFERROR(__xludf.DUMMYFUNCTION("""COMPUTED_VALUE"""),0.01)</f>
        <v>0.01</v>
      </c>
      <c r="K227" s="11">
        <f>IFERROR(__xludf.DUMMYFUNCTION("""COMPUTED_VALUE"""),0.0)</f>
        <v>0</v>
      </c>
    </row>
    <row r="228" ht="15.75" customHeight="1">
      <c r="A228" s="10" t="str">
        <f>IFERROR(__xludf.DUMMYFUNCTION("""COMPUTED_VALUE"""),"https://www.charleagency.com/articles/top-social-media-marketing-agencies/")</f>
        <v>https://www.charleagency.com/articles/top-social-media-marketing-agencies/</v>
      </c>
      <c r="B228" s="11" t="str">
        <f>IFERROR(__xludf.DUMMYFUNCTION("""COMPUTED_VALUE"""),"Top 12 Social Media Agencies USA (2026) | Charle")</f>
        <v>Top 12 Social Media Agencies USA (2026) | Charle</v>
      </c>
      <c r="C228" s="10" t="str">
        <f>IFERROR(__xludf.DUMMYFUNCTION("""COMPUTED_VALUE"""),"charleagency.com")</f>
        <v>charleagency.com</v>
      </c>
      <c r="D228" s="11" t="str">
        <f>IFERROR(__xludf.DUMMYFUNCTION("""COMPUTED_VALUE"""),"LISTICLE")</f>
        <v>LISTICLE</v>
      </c>
      <c r="E228" s="11" t="str">
        <f>IFERROR(__xludf.DUMMYFUNCTION("""COMPUTED_VALUE"""),"CORPORATE")</f>
        <v>CORPORATE</v>
      </c>
      <c r="F228" s="11" t="str">
        <f>IFERROR(__xludf.DUMMYFUNCTION("""COMPUTED_VALUE"""),"Listicle")</f>
        <v>Listicle</v>
      </c>
      <c r="G228" s="11" t="b">
        <f>IFERROR(__xludf.DUMMYFUNCTION("""COMPUTED_VALUE"""),FALSE)</f>
        <v>0</v>
      </c>
      <c r="H228" s="11" t="str">
        <f>IFERROR(__xludf.DUMMYFUNCTION("""COMPUTED_VALUE"""),"The Social Shepherd, Disruptive Advertising, Sociallyin, LYFE Marketing, NoGood, inBeat, Silverback Strategies, Clutch, Momentum")</f>
        <v>The Social Shepherd, Disruptive Advertising, Sociallyin, LYFE Marketing, NoGood, inBeat, Silverback Strategies, Clutch, Momentum</v>
      </c>
      <c r="I228" s="11">
        <f>IFERROR(__xludf.DUMMYFUNCTION("""COMPUTED_VALUE"""),7.0)</f>
        <v>7</v>
      </c>
      <c r="J228" s="11">
        <f>IFERROR(__xludf.DUMMYFUNCTION("""COMPUTED_VALUE"""),0.01)</f>
        <v>0.01</v>
      </c>
      <c r="K228" s="11">
        <f>IFERROR(__xludf.DUMMYFUNCTION("""COMPUTED_VALUE"""),2.14)</f>
        <v>2.14</v>
      </c>
    </row>
    <row r="229" ht="15.75" customHeight="1">
      <c r="A229" s="10" t="str">
        <f>IFERROR(__xludf.DUMMYFUNCTION("""COMPUTED_VALUE"""),"https://gaper.io/best-aeo-agencies")</f>
        <v>https://gaper.io/best-aeo-agencies</v>
      </c>
      <c r="B229" s="11" t="str">
        <f>IFERROR(__xludf.DUMMYFUNCTION("""COMPUTED_VALUE"""),"Best AEO Agencies in 2026: Answer Engine Optimization Shortlist · Gaper")</f>
        <v>Best AEO Agencies in 2026: Answer Engine Optimization Shortlist · Gaper</v>
      </c>
      <c r="C229" s="10" t="str">
        <f>IFERROR(__xludf.DUMMYFUNCTION("""COMPUTED_VALUE"""),"gaper.io")</f>
        <v>gaper.io</v>
      </c>
      <c r="D229" s="11" t="str">
        <f>IFERROR(__xludf.DUMMYFUNCTION("""COMPUTED_VALUE"""),"LISTICLE")</f>
        <v>LISTICLE</v>
      </c>
      <c r="E229" s="11" t="str">
        <f>IFERROR(__xludf.DUMMYFUNCTION("""COMPUTED_VALUE"""),"CORPORATE")</f>
        <v>CORPORATE</v>
      </c>
      <c r="F229" s="11" t="str">
        <f>IFERROR(__xludf.DUMMYFUNCTION("""COMPUTED_VALUE"""),"Listicle")</f>
        <v>Listicle</v>
      </c>
      <c r="G229" s="11" t="b">
        <f>IFERROR(__xludf.DUMMYFUNCTION("""COMPUTED_VALUE"""),FALSE)</f>
        <v>0</v>
      </c>
      <c r="H229" s="11" t="str">
        <f>IFERROR(__xludf.DUMMYFUNCTION("""COMPUTED_VALUE"""),"Clutch, Directive, NoGood")</f>
        <v>Clutch, Directive, NoGood</v>
      </c>
      <c r="I229" s="11">
        <f>IFERROR(__xludf.DUMMYFUNCTION("""COMPUTED_VALUE"""),7.0)</f>
        <v>7</v>
      </c>
      <c r="J229" s="11">
        <f>IFERROR(__xludf.DUMMYFUNCTION("""COMPUTED_VALUE"""),0.01)</f>
        <v>0.01</v>
      </c>
      <c r="K229" s="11">
        <f>IFERROR(__xludf.DUMMYFUNCTION("""COMPUTED_VALUE"""),0.0)</f>
        <v>0</v>
      </c>
    </row>
    <row r="230" ht="15.75" customHeight="1">
      <c r="A230" s="10" t="str">
        <f>IFERROR(__xludf.DUMMYFUNCTION("""COMPUTED_VALUE"""),"https://gemfind.com/blogs/digital-marketing/google-marketing-partner")</f>
        <v>https://gemfind.com/blogs/digital-marketing/google-marketing-partner</v>
      </c>
      <c r="B230" s="11" t="str">
        <f>IFERROR(__xludf.DUMMYFUNCTION("""COMPUTED_VALUE"""),"Top 3 Essential Google Marketing Partner Tips – GemFind Digital Solutions")</f>
        <v>Top 3 Essential Google Marketing Partner Tips – GemFind Digital Solutions</v>
      </c>
      <c r="C230" s="10" t="str">
        <f>IFERROR(__xludf.DUMMYFUNCTION("""COMPUTED_VALUE"""),"gemfind.com")</f>
        <v>gemfind.com</v>
      </c>
      <c r="D230" s="11" t="str">
        <f>IFERROR(__xludf.DUMMYFUNCTION("""COMPUTED_VALUE"""),"LISTICLE")</f>
        <v>LISTICLE</v>
      </c>
      <c r="E230" s="11" t="str">
        <f>IFERROR(__xludf.DUMMYFUNCTION("""COMPUTED_VALUE"""),"CORPORATE")</f>
        <v>CORPORATE</v>
      </c>
      <c r="F230" s="11" t="str">
        <f>IFERROR(__xludf.DUMMYFUNCTION("""COMPUTED_VALUE"""),"Listicle")</f>
        <v>Listicle</v>
      </c>
      <c r="G230" s="11" t="b">
        <f>IFERROR(__xludf.DUMMYFUNCTION("""COMPUTED_VALUE"""),FALSE)</f>
        <v>0</v>
      </c>
      <c r="H230" s="11" t="str">
        <f>IFERROR(__xludf.DUMMYFUNCTION("""COMPUTED_VALUE"""),"Monks, DEPT")</f>
        <v>Monks, DEPT</v>
      </c>
      <c r="I230" s="11">
        <f>IFERROR(__xludf.DUMMYFUNCTION("""COMPUTED_VALUE"""),7.0)</f>
        <v>7</v>
      </c>
      <c r="J230" s="11">
        <f>IFERROR(__xludf.DUMMYFUNCTION("""COMPUTED_VALUE"""),0.01)</f>
        <v>0.01</v>
      </c>
      <c r="K230" s="11">
        <f>IFERROR(__xludf.DUMMYFUNCTION("""COMPUTED_VALUE"""),0.43)</f>
        <v>0.43</v>
      </c>
    </row>
    <row r="231" ht="15.75" customHeight="1">
      <c r="A231" s="10" t="str">
        <f>IFERROR(__xludf.DUMMYFUNCTION("""COMPUTED_VALUE"""),"https://inbeat.agency/blog/top-social-media-agencies-in-the-us")</f>
        <v>https://inbeat.agency/blog/top-social-media-agencies-in-the-us</v>
      </c>
      <c r="B231" s="11" t="str">
        <f>IFERROR(__xludf.DUMMYFUNCTION("""COMPUTED_VALUE"""),"21 US Social Media Agencies We Vetted (Based on Real Data) - inBeat Agency")</f>
        <v>21 US Social Media Agencies We Vetted (Based on Real Data) - inBeat Agency</v>
      </c>
      <c r="C231" s="11" t="str">
        <f>IFERROR(__xludf.DUMMYFUNCTION("""COMPUTED_VALUE"""),"inbeat.agency")</f>
        <v>inbeat.agency</v>
      </c>
      <c r="D231" s="11" t="str">
        <f>IFERROR(__xludf.DUMMYFUNCTION("""COMPUTED_VALUE"""),"LISTICLE")</f>
        <v>LISTICLE</v>
      </c>
      <c r="E231" s="11" t="str">
        <f>IFERROR(__xludf.DUMMYFUNCTION("""COMPUTED_VALUE"""),"COMPETITOR")</f>
        <v>COMPETITOR</v>
      </c>
      <c r="F231" s="11" t="str">
        <f>IFERROR(__xludf.DUMMYFUNCTION("""COMPUTED_VALUE"""),"Listicle")</f>
        <v>Listicle</v>
      </c>
      <c r="G231" s="11" t="b">
        <f>IFERROR(__xludf.DUMMYFUNCTION("""COMPUTED_VALUE"""),FALSE)</f>
        <v>0</v>
      </c>
      <c r="H231" s="11" t="str">
        <f>IFERROR(__xludf.DUMMYFUNCTION("""COMPUTED_VALUE"""),"inBeat, Nielsen, Clutch, Sociallyin, LYFE Marketing, VaynerMedia, NoGood, Tinuiti, Wpromote, MuteSix, NinjaPromo, Huge, Momentum")</f>
        <v>inBeat, Nielsen, Clutch, Sociallyin, LYFE Marketing, VaynerMedia, NoGood, Tinuiti, Wpromote, MuteSix, NinjaPromo, Huge, Momentum</v>
      </c>
      <c r="I231" s="11">
        <f>IFERROR(__xludf.DUMMYFUNCTION("""COMPUTED_VALUE"""),7.0)</f>
        <v>7</v>
      </c>
      <c r="J231" s="11">
        <f>IFERROR(__xludf.DUMMYFUNCTION("""COMPUTED_VALUE"""),0.01)</f>
        <v>0.01</v>
      </c>
      <c r="K231" s="11">
        <f>IFERROR(__xludf.DUMMYFUNCTION("""COMPUTED_VALUE"""),0.14)</f>
        <v>0.14</v>
      </c>
    </row>
    <row r="232" ht="15.75" customHeight="1">
      <c r="A232" s="10" t="str">
        <f>IFERROR(__xludf.DUMMYFUNCTION("""COMPUTED_VALUE"""),"https://minuttia.com/best-geo-agencies/")</f>
        <v>https://minuttia.com/best-geo-agencies/</v>
      </c>
      <c r="B232" s="11" t="str">
        <f>IFERROR(__xludf.DUMMYFUNCTION("""COMPUTED_VALUE"""),"10 Best Generative Engine Optimization (GEO) Agencies 2026")</f>
        <v>10 Best Generative Engine Optimization (GEO) Agencies 2026</v>
      </c>
      <c r="C232" s="10" t="str">
        <f>IFERROR(__xludf.DUMMYFUNCTION("""COMPUTED_VALUE"""),"minuttia.com")</f>
        <v>minuttia.com</v>
      </c>
      <c r="D232" s="11" t="str">
        <f>IFERROR(__xludf.DUMMYFUNCTION("""COMPUTED_VALUE"""),"LISTICLE")</f>
        <v>LISTICLE</v>
      </c>
      <c r="E232" s="11" t="str">
        <f>IFERROR(__xludf.DUMMYFUNCTION("""COMPUTED_VALUE"""),"CORPORATE")</f>
        <v>CORPORATE</v>
      </c>
      <c r="F232" s="11" t="str">
        <f>IFERROR(__xludf.DUMMYFUNCTION("""COMPUTED_VALUE"""),"Listicle")</f>
        <v>Listicle</v>
      </c>
      <c r="G232" s="11" t="b">
        <f>IFERROR(__xludf.DUMMYFUNCTION("""COMPUTED_VALUE"""),FALSE)</f>
        <v>0</v>
      </c>
      <c r="H232" s="11" t="str">
        <f>IFERROR(__xludf.DUMMYFUNCTION("""COMPUTED_VALUE"""),"Intero Digital, Clutch, Huge, Measured")</f>
        <v>Intero Digital, Clutch, Huge, Measured</v>
      </c>
      <c r="I232" s="11">
        <f>IFERROR(__xludf.DUMMYFUNCTION("""COMPUTED_VALUE"""),7.0)</f>
        <v>7</v>
      </c>
      <c r="J232" s="11">
        <f>IFERROR(__xludf.DUMMYFUNCTION("""COMPUTED_VALUE"""),0.01)</f>
        <v>0.01</v>
      </c>
      <c r="K232" s="11">
        <f>IFERROR(__xludf.DUMMYFUNCTION("""COMPUTED_VALUE"""),0.29)</f>
        <v>0.29</v>
      </c>
    </row>
    <row r="233" ht="15.75" customHeight="1">
      <c r="A233" s="10" t="str">
        <f>IFERROR(__xludf.DUMMYFUNCTION("""COMPUTED_VALUE"""),"https://www.munro.agency/top-geo-agencies/")</f>
        <v>https://www.munro.agency/top-geo-agencies/</v>
      </c>
      <c r="B233" s="11" t="str">
        <f>IFERROR(__xludf.DUMMYFUNCTION("""COMPUTED_VALUE"""),"Top 13 GEO Agencies")</f>
        <v>Top 13 GEO Agencies</v>
      </c>
      <c r="C233" s="11" t="str">
        <f>IFERROR(__xludf.DUMMYFUNCTION("""COMPUTED_VALUE"""),"munro.agency")</f>
        <v>munro.agency</v>
      </c>
      <c r="D233" s="11" t="str">
        <f>IFERROR(__xludf.DUMMYFUNCTION("""COMPUTED_VALUE"""),"LISTICLE")</f>
        <v>LISTICLE</v>
      </c>
      <c r="E233" s="11" t="str">
        <f>IFERROR(__xludf.DUMMYFUNCTION("""COMPUTED_VALUE"""),"CORPORATE")</f>
        <v>CORPORATE</v>
      </c>
      <c r="F233" s="11" t="str">
        <f>IFERROR(__xludf.DUMMYFUNCTION("""COMPUTED_VALUE"""),"Listicle")</f>
        <v>Listicle</v>
      </c>
      <c r="G233" s="11" t="b">
        <f>IFERROR(__xludf.DUMMYFUNCTION("""COMPUTED_VALUE"""),FALSE)</f>
        <v>0</v>
      </c>
      <c r="H233" s="11" t="str">
        <f>IFERROR(__xludf.DUMMYFUNCTION("""COMPUTED_VALUE"""),"Siege Media, First Page Sage, Omniscient Digital, Go Fish Digital")</f>
        <v>Siege Media, First Page Sage, Omniscient Digital, Go Fish Digital</v>
      </c>
      <c r="I233" s="11">
        <f>IFERROR(__xludf.DUMMYFUNCTION("""COMPUTED_VALUE"""),7.0)</f>
        <v>7</v>
      </c>
      <c r="J233" s="11">
        <f>IFERROR(__xludf.DUMMYFUNCTION("""COMPUTED_VALUE"""),0.01)</f>
        <v>0.01</v>
      </c>
      <c r="K233" s="11">
        <f>IFERROR(__xludf.DUMMYFUNCTION("""COMPUTED_VALUE"""),0.0)</f>
        <v>0</v>
      </c>
    </row>
    <row r="234" ht="15.75" customHeight="1">
      <c r="A234" s="10" t="str">
        <f>IFERROR(__xludf.DUMMYFUNCTION("""COMPUTED_VALUE"""),"https://www.munro.agency/top-performance-marketing-agencies/")</f>
        <v>https://www.munro.agency/top-performance-marketing-agencies/</v>
      </c>
      <c r="B234" s="11" t="str">
        <f>IFERROR(__xludf.DUMMYFUNCTION("""COMPUTED_VALUE"""),"Top 15 Performance Marketing Agencies for 2026")</f>
        <v>Top 15 Performance Marketing Agencies for 2026</v>
      </c>
      <c r="C234" s="11" t="str">
        <f>IFERROR(__xludf.DUMMYFUNCTION("""COMPUTED_VALUE"""),"munro.agency")</f>
        <v>munro.agency</v>
      </c>
      <c r="D234" s="11" t="str">
        <f>IFERROR(__xludf.DUMMYFUNCTION("""COMPUTED_VALUE"""),"LISTICLE")</f>
        <v>LISTICLE</v>
      </c>
      <c r="E234" s="11" t="str">
        <f>IFERROR(__xludf.DUMMYFUNCTION("""COMPUTED_VALUE"""),"CORPORATE")</f>
        <v>CORPORATE</v>
      </c>
      <c r="F234" s="11" t="str">
        <f>IFERROR(__xludf.DUMMYFUNCTION("""COMPUTED_VALUE"""),"Listicle")</f>
        <v>Listicle</v>
      </c>
      <c r="G234" s="11" t="b">
        <f>IFERROR(__xludf.DUMMYFUNCTION("""COMPUTED_VALUE"""),FALSE)</f>
        <v>0</v>
      </c>
      <c r="H234" s="11" t="str">
        <f>IFERROR(__xludf.DUMMYFUNCTION("""COMPUTED_VALUE"""),"WebFX, Directive, Intero Digital, Viral Nation, Amsive")</f>
        <v>WebFX, Directive, Intero Digital, Viral Nation, Amsive</v>
      </c>
      <c r="I234" s="11">
        <f>IFERROR(__xludf.DUMMYFUNCTION("""COMPUTED_VALUE"""),7.0)</f>
        <v>7</v>
      </c>
      <c r="J234" s="11">
        <f>IFERROR(__xludf.DUMMYFUNCTION("""COMPUTED_VALUE"""),0.01)</f>
        <v>0.01</v>
      </c>
      <c r="K234" s="11">
        <f>IFERROR(__xludf.DUMMYFUNCTION("""COMPUTED_VALUE"""),1.0)</f>
        <v>1</v>
      </c>
    </row>
    <row r="235" ht="15.75" customHeight="1">
      <c r="A235" s="10" t="str">
        <f>IFERROR(__xludf.DUMMYFUNCTION("""COMPUTED_VALUE"""),"https://www.newform.com/guides/best-paid-social-performance-creative-agencies-2026")</f>
        <v>https://www.newform.com/guides/best-paid-social-performance-creative-agencies-2026</v>
      </c>
      <c r="B235" s="11" t="str">
        <f>IFERROR(__xludf.DUMMYFUNCTION("""COMPUTED_VALUE"""),"Best Paid Social Performance Creative Agencies in 2026 (Ranked) | NewForm")</f>
        <v>Best Paid Social Performance Creative Agencies in 2026 (Ranked) | NewForm</v>
      </c>
      <c r="C235" s="10" t="str">
        <f>IFERROR(__xludf.DUMMYFUNCTION("""COMPUTED_VALUE"""),"newform.com")</f>
        <v>newform.com</v>
      </c>
      <c r="D235" s="11" t="str">
        <f>IFERROR(__xludf.DUMMYFUNCTION("""COMPUTED_VALUE"""),"LISTICLE")</f>
        <v>LISTICLE</v>
      </c>
      <c r="E235" s="11" t="str">
        <f>IFERROR(__xludf.DUMMYFUNCTION("""COMPUTED_VALUE"""),"CORPORATE")</f>
        <v>CORPORATE</v>
      </c>
      <c r="F235" s="11" t="str">
        <f>IFERROR(__xludf.DUMMYFUNCTION("""COMPUTED_VALUE"""),"Listicle")</f>
        <v>Listicle</v>
      </c>
      <c r="G235" s="11" t="b">
        <f>IFERROR(__xludf.DUMMYFUNCTION("""COMPUTED_VALUE"""),FALSE)</f>
        <v>0</v>
      </c>
      <c r="H235" s="11" t="str">
        <f>IFERROR(__xludf.DUMMYFUNCTION("""COMPUTED_VALUE"""),"Darkroom, inBeat, MuteSix, Superside, NoGood, Directive, Measured, Dentsu")</f>
        <v>Darkroom, inBeat, MuteSix, Superside, NoGood, Directive, Measured, Dentsu</v>
      </c>
      <c r="I235" s="11">
        <f>IFERROR(__xludf.DUMMYFUNCTION("""COMPUTED_VALUE"""),7.0)</f>
        <v>7</v>
      </c>
      <c r="J235" s="11">
        <f>IFERROR(__xludf.DUMMYFUNCTION("""COMPUTED_VALUE"""),0.01)</f>
        <v>0.01</v>
      </c>
      <c r="K235" s="11">
        <f>IFERROR(__xludf.DUMMYFUNCTION("""COMPUTED_VALUE"""),1.29)</f>
        <v>1.29</v>
      </c>
    </row>
    <row r="236" ht="15.75" customHeight="1">
      <c r="A236" s="10" t="str">
        <f>IFERROR(__xludf.DUMMYFUNCTION("""COMPUTED_VALUE"""),"https://ninjapromo.io/top-display-advertising-agencies")</f>
        <v>https://ninjapromo.io/top-display-advertising-agencies</v>
      </c>
      <c r="B236" s="11" t="str">
        <f>IFERROR(__xludf.DUMMYFUNCTION("""COMPUTED_VALUE"""),"Top 8 Display Advertising Agencies That Get You Seen in 2026")</f>
        <v>Top 8 Display Advertising Agencies That Get You Seen in 2026</v>
      </c>
      <c r="C236" s="10" t="str">
        <f>IFERROR(__xludf.DUMMYFUNCTION("""COMPUTED_VALUE"""),"ninjapromo.io")</f>
        <v>ninjapromo.io</v>
      </c>
      <c r="D236" s="11" t="str">
        <f>IFERROR(__xludf.DUMMYFUNCTION("""COMPUTED_VALUE"""),"LISTICLE")</f>
        <v>LISTICLE</v>
      </c>
      <c r="E236" s="11" t="str">
        <f>IFERROR(__xludf.DUMMYFUNCTION("""COMPUTED_VALUE"""),"COMPETITOR")</f>
        <v>COMPETITOR</v>
      </c>
      <c r="F236" s="11" t="str">
        <f>IFERROR(__xludf.DUMMYFUNCTION("""COMPUTED_VALUE"""),"Listicle")</f>
        <v>Listicle</v>
      </c>
      <c r="G236" s="11" t="b">
        <f>IFERROR(__xludf.DUMMYFUNCTION("""COMPUTED_VALUE"""),FALSE)</f>
        <v>0</v>
      </c>
      <c r="H236" s="11" t="str">
        <f>IFERROR(__xludf.DUMMYFUNCTION("""COMPUTED_VALUE"""),"NinjaPromo, Measured, Momentum, Clutch")</f>
        <v>NinjaPromo, Measured, Momentum, Clutch</v>
      </c>
      <c r="I236" s="11">
        <f>IFERROR(__xludf.DUMMYFUNCTION("""COMPUTED_VALUE"""),7.0)</f>
        <v>7</v>
      </c>
      <c r="J236" s="11">
        <f>IFERROR(__xludf.DUMMYFUNCTION("""COMPUTED_VALUE"""),0.01)</f>
        <v>0.01</v>
      </c>
      <c r="K236" s="11">
        <f>IFERROR(__xludf.DUMMYFUNCTION("""COMPUTED_VALUE"""),1.43)</f>
        <v>1.43</v>
      </c>
    </row>
    <row r="237" ht="15.75" customHeight="1">
      <c r="A237" s="10" t="str">
        <f>IFERROR(__xludf.DUMMYFUNCTION("""COMPUTED_VALUE"""),"https://rampiq.agency/blog/best-ai-search-b2b-marketing-agencies/")</f>
        <v>https://rampiq.agency/blog/best-ai-search-b2b-marketing-agencies/</v>
      </c>
      <c r="B237" s="11" t="str">
        <f>IFERROR(__xludf.DUMMYFUNCTION("""COMPUTED_VALUE"""),"7 Best AI Search Agencies For B2B Marketing")</f>
        <v>7 Best AI Search Agencies For B2B Marketing</v>
      </c>
      <c r="C237" s="11" t="str">
        <f>IFERROR(__xludf.DUMMYFUNCTION("""COMPUTED_VALUE"""),"rampiq.agency")</f>
        <v>rampiq.agency</v>
      </c>
      <c r="D237" s="11" t="str">
        <f>IFERROR(__xludf.DUMMYFUNCTION("""COMPUTED_VALUE"""),"LISTICLE")</f>
        <v>LISTICLE</v>
      </c>
      <c r="E237" s="11" t="str">
        <f>IFERROR(__xludf.DUMMYFUNCTION("""COMPUTED_VALUE"""),"CORPORATE")</f>
        <v>CORPORATE</v>
      </c>
      <c r="F237" s="11" t="str">
        <f>IFERROR(__xludf.DUMMYFUNCTION("""COMPUTED_VALUE"""),"Listicle")</f>
        <v>Listicle</v>
      </c>
      <c r="G237" s="11" t="b">
        <f>IFERROR(__xludf.DUMMYFUNCTION("""COMPUTED_VALUE"""),FALSE)</f>
        <v>0</v>
      </c>
      <c r="H237" s="11" t="str">
        <f>IFERROR(__xludf.DUMMYFUNCTION("""COMPUTED_VALUE"""),"WebFX, Omniscient Digital, First Page Sage, Directive, Siege Media, Single Grain")</f>
        <v>WebFX, Omniscient Digital, First Page Sage, Directive, Siege Media, Single Grain</v>
      </c>
      <c r="I237" s="11">
        <f>IFERROR(__xludf.DUMMYFUNCTION("""COMPUTED_VALUE"""),7.0)</f>
        <v>7</v>
      </c>
      <c r="J237" s="11">
        <f>IFERROR(__xludf.DUMMYFUNCTION("""COMPUTED_VALUE"""),0.01)</f>
        <v>0.01</v>
      </c>
      <c r="K237" s="11">
        <f>IFERROR(__xludf.DUMMYFUNCTION("""COMPUTED_VALUE"""),0.71)</f>
        <v>0.71</v>
      </c>
    </row>
    <row r="238" ht="15.75" customHeight="1">
      <c r="A238" s="10" t="str">
        <f>IFERROR(__xludf.DUMMYFUNCTION("""COMPUTED_VALUE"""),"https://themanifest.com/programmatic/agencies")</f>
        <v>https://themanifest.com/programmatic/agencies</v>
      </c>
      <c r="B238" s="11" t="str">
        <f>IFERROR(__xludf.DUMMYFUNCTION("""COMPUTED_VALUE"""),"The Best Programmatic Advertising Companies - Jul 2026 | The Manifest")</f>
        <v>The Best Programmatic Advertising Companies - Jul 2026 | The Manifest</v>
      </c>
      <c r="C238" s="10" t="str">
        <f>IFERROR(__xludf.DUMMYFUNCTION("""COMPUTED_VALUE"""),"themanifest.com")</f>
        <v>themanifest.com</v>
      </c>
      <c r="D238" s="11" t="str">
        <f>IFERROR(__xludf.DUMMYFUNCTION("""COMPUTED_VALUE"""),"LISTICLE")</f>
        <v>LISTICLE</v>
      </c>
      <c r="E238" s="11" t="str">
        <f>IFERROR(__xludf.DUMMYFUNCTION("""COMPUTED_VALUE"""),"REFERENCE")</f>
        <v>REFERENCE</v>
      </c>
      <c r="F238" s="11" t="str">
        <f>IFERROR(__xludf.DUMMYFUNCTION("""COMPUTED_VALUE"""),"Listicle")</f>
        <v>Listicle</v>
      </c>
      <c r="G238" s="11" t="b">
        <f>IFERROR(__xludf.DUMMYFUNCTION("""COMPUTED_VALUE"""),FALSE)</f>
        <v>0</v>
      </c>
      <c r="H238" s="11" t="str">
        <f>IFERROR(__xludf.DUMMYFUNCTION("""COMPUTED_VALUE"""),"Clutch, SmartSites, Funnel Boost Media, LYFE Marketing, Major Tom, NinjaPromo, AdVenture Media, Power Digital, The SEO Works, Accelerated Digital Media")</f>
        <v>Clutch, SmartSites, Funnel Boost Media, LYFE Marketing, Major Tom, NinjaPromo, AdVenture Media, Power Digital, The SEO Works, Accelerated Digital Media</v>
      </c>
      <c r="I238" s="11">
        <f>IFERROR(__xludf.DUMMYFUNCTION("""COMPUTED_VALUE"""),7.0)</f>
        <v>7</v>
      </c>
      <c r="J238" s="11">
        <f>IFERROR(__xludf.DUMMYFUNCTION("""COMPUTED_VALUE"""),0.01)</f>
        <v>0.01</v>
      </c>
      <c r="K238" s="11">
        <f>IFERROR(__xludf.DUMMYFUNCTION("""COMPUTED_VALUE"""),0.57)</f>
        <v>0.57</v>
      </c>
    </row>
    <row r="239" ht="15.75" customHeight="1">
      <c r="A239" s="10" t="str">
        <f>IFERROR(__xludf.DUMMYFUNCTION("""COMPUTED_VALUE"""),"https://zipdo.co/service/marketing-analytics/")</f>
        <v>https://zipdo.co/service/marketing-analytics/</v>
      </c>
      <c r="B239" s="11" t="str">
        <f>IFERROR(__xludf.DUMMYFUNCTION("""COMPUTED_VALUE"""),"Best Marketing Analytics Services | 2026 Rankings")</f>
        <v>Best Marketing Analytics Services | 2026 Rankings</v>
      </c>
      <c r="C239" s="10" t="str">
        <f>IFERROR(__xludf.DUMMYFUNCTION("""COMPUTED_VALUE"""),"zipdo.co")</f>
        <v>zipdo.co</v>
      </c>
      <c r="D239" s="11" t="str">
        <f>IFERROR(__xludf.DUMMYFUNCTION("""COMPUTED_VALUE"""),"LISTICLE")</f>
        <v>LISTICLE</v>
      </c>
      <c r="E239" s="11" t="str">
        <f>IFERROR(__xludf.DUMMYFUNCTION("""COMPUTED_VALUE"""),"REFERENCE")</f>
        <v>REFERENCE</v>
      </c>
      <c r="F239" s="11" t="str">
        <f>IFERROR(__xludf.DUMMYFUNCTION("""COMPUTED_VALUE"""),"Listicle")</f>
        <v>Listicle</v>
      </c>
      <c r="G239" s="11" t="b">
        <f>IFERROR(__xludf.DUMMYFUNCTION("""COMPUTED_VALUE"""),FALSE)</f>
        <v>0</v>
      </c>
      <c r="H239" s="11" t="str">
        <f>IFERROR(__xludf.DUMMYFUNCTION("""COMPUTED_VALUE"""),"Merkle, Dentsu, Publicis Groupe, WPP, Measured, Clutch")</f>
        <v>Merkle, Dentsu, Publicis Groupe, WPP, Measured, Clutch</v>
      </c>
      <c r="I239" s="11">
        <f>IFERROR(__xludf.DUMMYFUNCTION("""COMPUTED_VALUE"""),7.0)</f>
        <v>7</v>
      </c>
      <c r="J239" s="11">
        <f>IFERROR(__xludf.DUMMYFUNCTION("""COMPUTED_VALUE"""),0.01)</f>
        <v>0.01</v>
      </c>
      <c r="K239" s="11">
        <f>IFERROR(__xludf.DUMMYFUNCTION("""COMPUTED_VALUE"""),0.29)</f>
        <v>0.29</v>
      </c>
    </row>
    <row r="240" ht="15.75" customHeight="1">
      <c r="A240" s="10" t="str">
        <f>IFERROR(__xludf.DUMMYFUNCTION("""COMPUTED_VALUE"""),"https://www.20northmarketing.com/blog/top-ai-seo-experts")</f>
        <v>https://www.20northmarketing.com/blog/top-ai-seo-experts</v>
      </c>
      <c r="B240" s="11" t="str">
        <f>IFERROR(__xludf.DUMMYFUNCTION("""COMPUTED_VALUE"""),"The Top AI SEO Experts in the US | Best AI SEO Agencies | 20North")</f>
        <v>The Top AI SEO Experts in the US | Best AI SEO Agencies | 20North</v>
      </c>
      <c r="C240" s="10" t="str">
        <f>IFERROR(__xludf.DUMMYFUNCTION("""COMPUTED_VALUE"""),"20northmarketing.com")</f>
        <v>20northmarketing.com</v>
      </c>
      <c r="D240" s="11" t="str">
        <f>IFERROR(__xludf.DUMMYFUNCTION("""COMPUTED_VALUE"""),"LISTICLE")</f>
        <v>LISTICLE</v>
      </c>
      <c r="E240" s="11" t="str">
        <f>IFERROR(__xludf.DUMMYFUNCTION("""COMPUTED_VALUE"""),"CORPORATE")</f>
        <v>CORPORATE</v>
      </c>
      <c r="F240" s="11" t="str">
        <f>IFERROR(__xludf.DUMMYFUNCTION("""COMPUTED_VALUE"""),"Listicle")</f>
        <v>Listicle</v>
      </c>
      <c r="G240" s="11" t="b">
        <f>IFERROR(__xludf.DUMMYFUNCTION("""COMPUTED_VALUE"""),FALSE)</f>
        <v>0</v>
      </c>
      <c r="H240" s="11" t="str">
        <f>IFERROR(__xludf.DUMMYFUNCTION("""COMPUTED_VALUE"""),"iPullRank, Omniscient Digital, First Page Sage, Siege Media")</f>
        <v>iPullRank, Omniscient Digital, First Page Sage, Siege Media</v>
      </c>
      <c r="I240" s="11">
        <f>IFERROR(__xludf.DUMMYFUNCTION("""COMPUTED_VALUE"""),6.0)</f>
        <v>6</v>
      </c>
      <c r="J240" s="11">
        <f>IFERROR(__xludf.DUMMYFUNCTION("""COMPUTED_VALUE"""),0.01)</f>
        <v>0.01</v>
      </c>
      <c r="K240" s="11">
        <f>IFERROR(__xludf.DUMMYFUNCTION("""COMPUTED_VALUE"""),3.17)</f>
        <v>3.17</v>
      </c>
    </row>
    <row r="241" ht="15.75" customHeight="1">
      <c r="A241" s="10" t="str">
        <f>IFERROR(__xludf.DUMMYFUNCTION("""COMPUTED_VALUE"""),"https://aeo-collective.com/blog/top-10-aeo-geo-aio-marketing-agencies-in-april-2026/")</f>
        <v>https://aeo-collective.com/blog/top-10-aeo-geo-aio-marketing-agencies-in-april-2026/</v>
      </c>
      <c r="B241" s="11" t="str">
        <f>IFERROR(__xludf.DUMMYFUNCTION("""COMPUTED_VALUE"""),"Top AEO Agencies for Boosting AI Search Visibility in 2026")</f>
        <v>Top AEO Agencies for Boosting AI Search Visibility in 2026</v>
      </c>
      <c r="C241" s="10" t="str">
        <f>IFERROR(__xludf.DUMMYFUNCTION("""COMPUTED_VALUE"""),"aeo-collective.com")</f>
        <v>aeo-collective.com</v>
      </c>
      <c r="D241" s="11" t="str">
        <f>IFERROR(__xludf.DUMMYFUNCTION("""COMPUTED_VALUE"""),"LISTICLE")</f>
        <v>LISTICLE</v>
      </c>
      <c r="E241" s="11" t="str">
        <f>IFERROR(__xludf.DUMMYFUNCTION("""COMPUTED_VALUE"""),"CORPORATE")</f>
        <v>CORPORATE</v>
      </c>
      <c r="F241" s="11" t="str">
        <f>IFERROR(__xludf.DUMMYFUNCTION("""COMPUTED_VALUE"""),"Listicle")</f>
        <v>Listicle</v>
      </c>
      <c r="G241" s="11" t="b">
        <f>IFERROR(__xludf.DUMMYFUNCTION("""COMPUTED_VALUE"""),FALSE)</f>
        <v>0</v>
      </c>
      <c r="H241" s="11" t="str">
        <f>IFERROR(__xludf.DUMMYFUNCTION("""COMPUTED_VALUE"""),"Discovered Labs, First Page Sage, Single Grain")</f>
        <v>Discovered Labs, First Page Sage, Single Grain</v>
      </c>
      <c r="I241" s="11">
        <f>IFERROR(__xludf.DUMMYFUNCTION("""COMPUTED_VALUE"""),6.0)</f>
        <v>6</v>
      </c>
      <c r="J241" s="11">
        <f>IFERROR(__xludf.DUMMYFUNCTION("""COMPUTED_VALUE"""),0.01)</f>
        <v>0.01</v>
      </c>
      <c r="K241" s="11">
        <f>IFERROR(__xludf.DUMMYFUNCTION("""COMPUTED_VALUE"""),0.0)</f>
        <v>0</v>
      </c>
    </row>
    <row r="242" ht="15.75" customHeight="1">
      <c r="A242" s="10" t="str">
        <f>IFERROR(__xludf.DUMMYFUNCTION("""COMPUTED_VALUE"""),"https://www.aikenhouse.com/post/best-ai-consulting-firms-that-go-beyond-strategy-decks")</f>
        <v>https://www.aikenhouse.com/post/best-ai-consulting-firms-that-go-beyond-strategy-decks</v>
      </c>
      <c r="B242" s="11" t="str">
        <f>IFERROR(__xludf.DUMMYFUNCTION("""COMPUTED_VALUE"""),"Best AI Consulting Firms That Go Beyond Strategy Decks | Aiken House Blog")</f>
        <v>Best AI Consulting Firms That Go Beyond Strategy Decks | Aiken House Blog</v>
      </c>
      <c r="C242" s="10" t="str">
        <f>IFERROR(__xludf.DUMMYFUNCTION("""COMPUTED_VALUE"""),"aikenhouse.com")</f>
        <v>aikenhouse.com</v>
      </c>
      <c r="D242" s="11" t="str">
        <f>IFERROR(__xludf.DUMMYFUNCTION("""COMPUTED_VALUE"""),"LISTICLE")</f>
        <v>LISTICLE</v>
      </c>
      <c r="E242" s="11" t="str">
        <f>IFERROR(__xludf.DUMMYFUNCTION("""COMPUTED_VALUE"""),"CORPORATE")</f>
        <v>CORPORATE</v>
      </c>
      <c r="F242" s="11" t="str">
        <f>IFERROR(__xludf.DUMMYFUNCTION("""COMPUTED_VALUE"""),"Listicle")</f>
        <v>Listicle</v>
      </c>
      <c r="G242" s="11" t="b">
        <f>IFERROR(__xludf.DUMMYFUNCTION("""COMPUTED_VALUE"""),FALSE)</f>
        <v>0</v>
      </c>
      <c r="H242" s="11" t="str">
        <f>IFERROR(__xludf.DUMMYFUNCTION("""COMPUTED_VALUE"""),"McKinsey, BCG, Superside, IBM")</f>
        <v>McKinsey, BCG, Superside, IBM</v>
      </c>
      <c r="I242" s="11">
        <f>IFERROR(__xludf.DUMMYFUNCTION("""COMPUTED_VALUE"""),6.0)</f>
        <v>6</v>
      </c>
      <c r="J242" s="11">
        <f>IFERROR(__xludf.DUMMYFUNCTION("""COMPUTED_VALUE"""),0.01)</f>
        <v>0.01</v>
      </c>
      <c r="K242" s="11">
        <f>IFERROR(__xludf.DUMMYFUNCTION("""COMPUTED_VALUE"""),1.17)</f>
        <v>1.17</v>
      </c>
    </row>
    <row r="243" ht="15.75" customHeight="1">
      <c r="A243" s="10" t="str">
        <f>IFERROR(__xludf.DUMMYFUNCTION("""COMPUTED_VALUE"""),"https://www.barchart.com/story/news/1302801/11-best-ai-search-marketing-agencies-ranked-for-2026")</f>
        <v>https://www.barchart.com/story/news/1302801/11-best-ai-search-marketing-agencies-ranked-for-2026</v>
      </c>
      <c r="B243" s="11" t="str">
        <f>IFERROR(__xludf.DUMMYFUNCTION("""COMPUTED_VALUE"""),"11 Best AI Search Marketing Agencies Ranked for 2026")</f>
        <v>11 Best AI Search Marketing Agencies Ranked for 2026</v>
      </c>
      <c r="C243" s="10" t="str">
        <f>IFERROR(__xludf.DUMMYFUNCTION("""COMPUTED_VALUE"""),"barchart.com")</f>
        <v>barchart.com</v>
      </c>
      <c r="D243" s="11" t="str">
        <f>IFERROR(__xludf.DUMMYFUNCTION("""COMPUTED_VALUE"""),"LISTICLE")</f>
        <v>LISTICLE</v>
      </c>
      <c r="E243" s="11" t="str">
        <f>IFERROR(__xludf.DUMMYFUNCTION("""COMPUTED_VALUE"""),"REFERENCE")</f>
        <v>REFERENCE</v>
      </c>
      <c r="F243" s="11" t="str">
        <f>IFERROR(__xludf.DUMMYFUNCTION("""COMPUTED_VALUE"""),"Listicle")</f>
        <v>Listicle</v>
      </c>
      <c r="G243" s="11" t="b">
        <f>IFERROR(__xludf.DUMMYFUNCTION("""COMPUTED_VALUE"""),FALSE)</f>
        <v>0</v>
      </c>
      <c r="H243" s="11" t="str">
        <f>IFERROR(__xludf.DUMMYFUNCTION("""COMPUTED_VALUE"""),"Momentum, Omniscient Digital, Siege Media, RevenueZen, Go Fish Digital, NoGood, First Page Sage, Intero Digital, WebFX, iPullRank")</f>
        <v>Momentum, Omniscient Digital, Siege Media, RevenueZen, Go Fish Digital, NoGood, First Page Sage, Intero Digital, WebFX, iPullRank</v>
      </c>
      <c r="I243" s="11">
        <f>IFERROR(__xludf.DUMMYFUNCTION("""COMPUTED_VALUE"""),6.0)</f>
        <v>6</v>
      </c>
      <c r="J243" s="11">
        <f>IFERROR(__xludf.DUMMYFUNCTION("""COMPUTED_VALUE"""),0.01)</f>
        <v>0.01</v>
      </c>
      <c r="K243" s="11">
        <f>IFERROR(__xludf.DUMMYFUNCTION("""COMPUTED_VALUE"""),2.5)</f>
        <v>2.5</v>
      </c>
    </row>
    <row r="244" ht="15.75" customHeight="1">
      <c r="A244" s="10" t="str">
        <f>IFERROR(__xludf.DUMMYFUNCTION("""COMPUTED_VALUE"""),"https://coolnerdsmarketing.com/best-ad-agencies-2025/")</f>
        <v>https://coolnerdsmarketing.com/best-ad-agencies-2025/</v>
      </c>
      <c r="B244" s="11" t="str">
        <f>IFERROR(__xludf.DUMMYFUNCTION("""COMPUTED_VALUE"""),"Top 17 Best Ad Agencies in the U.S. (January 2026 List)")</f>
        <v>Top 17 Best Ad Agencies in the U.S. (January 2026 List)</v>
      </c>
      <c r="C244" s="10" t="str">
        <f>IFERROR(__xludf.DUMMYFUNCTION("""COMPUTED_VALUE"""),"coolnerdsmarketing.com")</f>
        <v>coolnerdsmarketing.com</v>
      </c>
      <c r="D244" s="11" t="str">
        <f>IFERROR(__xludf.DUMMYFUNCTION("""COMPUTED_VALUE"""),"LISTICLE")</f>
        <v>LISTICLE</v>
      </c>
      <c r="E244" s="11" t="str">
        <f>IFERROR(__xludf.DUMMYFUNCTION("""COMPUTED_VALUE"""),"CORPORATE")</f>
        <v>CORPORATE</v>
      </c>
      <c r="F244" s="11" t="str">
        <f>IFERROR(__xludf.DUMMYFUNCTION("""COMPUTED_VALUE"""),"Listicle")</f>
        <v>Listicle</v>
      </c>
      <c r="G244" s="11" t="b">
        <f>IFERROR(__xludf.DUMMYFUNCTION("""COMPUTED_VALUE"""),FALSE)</f>
        <v>0</v>
      </c>
      <c r="H244" s="11" t="str">
        <f>IFERROR(__xludf.DUMMYFUNCTION("""COMPUTED_VALUE"""),"Momentum, Wieden+Kennedy, Droga5, Anomaly, TBWA\Chiat\Day, BBDO, Accenture Song")</f>
        <v>Momentum, Wieden+Kennedy, Droga5, Anomaly, TBWA\Chiat\Day, BBDO, Accenture Song</v>
      </c>
      <c r="I244" s="11">
        <f>IFERROR(__xludf.DUMMYFUNCTION("""COMPUTED_VALUE"""),6.0)</f>
        <v>6</v>
      </c>
      <c r="J244" s="11">
        <f>IFERROR(__xludf.DUMMYFUNCTION("""COMPUTED_VALUE"""),0.01)</f>
        <v>0.01</v>
      </c>
      <c r="K244" s="11">
        <f>IFERROR(__xludf.DUMMYFUNCTION("""COMPUTED_VALUE"""),1.33)</f>
        <v>1.33</v>
      </c>
    </row>
    <row r="245" ht="15.75" customHeight="1">
      <c r="A245" s="10" t="str">
        <f>IFERROR(__xludf.DUMMYFUNCTION("""COMPUTED_VALUE"""),"https://www.embarque.io/post/we-found-20-ai-seo-agencies-helping-businesses-rank-in-llm-results")</f>
        <v>https://www.embarque.io/post/we-found-20-ai-seo-agencies-helping-businesses-rank-in-llm-results</v>
      </c>
      <c r="B245" s="11" t="str">
        <f>IFERROR(__xludf.DUMMYFUNCTION("""COMPUTED_VALUE"""),"We Found 30 of the Best AI SEO Agencies for Ranking in AI Results in 2026 \| Embarque")</f>
        <v>We Found 30 of the Best AI SEO Agencies for Ranking in AI Results in 2026 \| Embarque</v>
      </c>
      <c r="C245" s="10" t="str">
        <f>IFERROR(__xludf.DUMMYFUNCTION("""COMPUTED_VALUE"""),"embarque.io")</f>
        <v>embarque.io</v>
      </c>
      <c r="D245" s="11" t="str">
        <f>IFERROR(__xludf.DUMMYFUNCTION("""COMPUTED_VALUE"""),"LISTICLE")</f>
        <v>LISTICLE</v>
      </c>
      <c r="E245" s="11" t="str">
        <f>IFERROR(__xludf.DUMMYFUNCTION("""COMPUTED_VALUE"""),"CORPORATE")</f>
        <v>CORPORATE</v>
      </c>
      <c r="F245" s="11" t="str">
        <f>IFERROR(__xludf.DUMMYFUNCTION("""COMPUTED_VALUE"""),"Listicle")</f>
        <v>Listicle</v>
      </c>
      <c r="G245" s="11" t="b">
        <f>IFERROR(__xludf.DUMMYFUNCTION("""COMPUTED_VALUE"""),FALSE)</f>
        <v>0</v>
      </c>
      <c r="H245" s="11" t="str">
        <f>IFERROR(__xludf.DUMMYFUNCTION("""COMPUTED_VALUE"""),"NoGood, Marcel Digital, WebFX, iPullRank, Siege Media, Single Grain, Graphite, First Page Sage, Omniscient Digital, Animalz, Measured, Clutch, Huge, IBM")</f>
        <v>NoGood, Marcel Digital, WebFX, iPullRank, Siege Media, Single Grain, Graphite, First Page Sage, Omniscient Digital, Animalz, Measured, Clutch, Huge, IBM</v>
      </c>
      <c r="I245" s="11">
        <f>IFERROR(__xludf.DUMMYFUNCTION("""COMPUTED_VALUE"""),6.0)</f>
        <v>6</v>
      </c>
      <c r="J245" s="11">
        <f>IFERROR(__xludf.DUMMYFUNCTION("""COMPUTED_VALUE"""),0.01)</f>
        <v>0.01</v>
      </c>
      <c r="K245" s="11">
        <f>IFERROR(__xludf.DUMMYFUNCTION("""COMPUTED_VALUE"""),0.5)</f>
        <v>0.5</v>
      </c>
    </row>
    <row r="246" ht="15.75" customHeight="1">
      <c r="A246" s="10" t="str">
        <f>IFERROR(__xludf.DUMMYFUNCTION("""COMPUTED_VALUE"""),"https://eseospace.com/blog/top-aeo-agencies-2026/")</f>
        <v>https://eseospace.com/blog/top-aeo-agencies-2026/</v>
      </c>
      <c r="B246" s="11" t="str">
        <f>IFERROR(__xludf.DUMMYFUNCTION("""COMPUTED_VALUE"""),"Top AEO Agencies in 2026: The Best Answer Engine Optimization Experts - eSEOspace")</f>
        <v>Top AEO Agencies in 2026: The Best Answer Engine Optimization Experts - eSEOspace</v>
      </c>
      <c r="C246" s="10" t="str">
        <f>IFERROR(__xludf.DUMMYFUNCTION("""COMPUTED_VALUE"""),"eseospace.com")</f>
        <v>eseospace.com</v>
      </c>
      <c r="D246" s="11" t="str">
        <f>IFERROR(__xludf.DUMMYFUNCTION("""COMPUTED_VALUE"""),"LISTICLE")</f>
        <v>LISTICLE</v>
      </c>
      <c r="E246" s="11" t="str">
        <f>IFERROR(__xludf.DUMMYFUNCTION("""COMPUTED_VALUE"""),"CORPORATE")</f>
        <v>CORPORATE</v>
      </c>
      <c r="F246" s="11" t="str">
        <f>IFERROR(__xludf.DUMMYFUNCTION("""COMPUTED_VALUE"""),"Listicle")</f>
        <v>Listicle</v>
      </c>
      <c r="G246" s="11" t="b">
        <f>IFERROR(__xludf.DUMMYFUNCTION("""COMPUTED_VALUE"""),FALSE)</f>
        <v>0</v>
      </c>
      <c r="H246" s="11" t="str">
        <f>IFERROR(__xludf.DUMMYFUNCTION("""COMPUTED_VALUE"""),"NoGood, Avenue Z, First Page Sage, Clutch")</f>
        <v>NoGood, Avenue Z, First Page Sage, Clutch</v>
      </c>
      <c r="I246" s="11">
        <f>IFERROR(__xludf.DUMMYFUNCTION("""COMPUTED_VALUE"""),6.0)</f>
        <v>6</v>
      </c>
      <c r="J246" s="11">
        <f>IFERROR(__xludf.DUMMYFUNCTION("""COMPUTED_VALUE"""),0.01)</f>
        <v>0.01</v>
      </c>
      <c r="K246" s="11">
        <f>IFERROR(__xludf.DUMMYFUNCTION("""COMPUTED_VALUE"""),0.0)</f>
        <v>0</v>
      </c>
    </row>
    <row r="247" ht="15.75" customHeight="1">
      <c r="A247" s="10" t="str">
        <f>IFERROR(__xludf.DUMMYFUNCTION("""COMPUTED_VALUE"""),"https://www.forbes.com/lists/ai50/")</f>
        <v>https://www.forbes.com/lists/ai50/</v>
      </c>
      <c r="B247" s="11" t="str">
        <f>IFERROR(__xludf.DUMMYFUNCTION("""COMPUTED_VALUE"""),"Forbes 2026 AI 50 List | Top Artificial Intelligence Companies")</f>
        <v>Forbes 2026 AI 50 List | Top Artificial Intelligence Companies</v>
      </c>
      <c r="C247" s="10" t="str">
        <f>IFERROR(__xludf.DUMMYFUNCTION("""COMPUTED_VALUE"""),"forbes.com")</f>
        <v>forbes.com</v>
      </c>
      <c r="D247" s="11" t="str">
        <f>IFERROR(__xludf.DUMMYFUNCTION("""COMPUTED_VALUE"""),"LISTICLE")</f>
        <v>LISTICLE</v>
      </c>
      <c r="E247" s="11" t="str">
        <f>IFERROR(__xludf.DUMMYFUNCTION("""COMPUTED_VALUE"""),"EDITORIAL")</f>
        <v>EDITORIAL</v>
      </c>
      <c r="F247" s="11" t="str">
        <f>IFERROR(__xludf.DUMMYFUNCTION("""COMPUTED_VALUE"""),"Listicle")</f>
        <v>Listicle</v>
      </c>
      <c r="G247" s="11" t="b">
        <f>IFERROR(__xludf.DUMMYFUNCTION("""COMPUTED_VALUE"""),FALSE)</f>
        <v>0</v>
      </c>
      <c r="H247" s="11"/>
      <c r="I247" s="11">
        <f>IFERROR(__xludf.DUMMYFUNCTION("""COMPUTED_VALUE"""),6.0)</f>
        <v>6</v>
      </c>
      <c r="J247" s="11">
        <f>IFERROR(__xludf.DUMMYFUNCTION("""COMPUTED_VALUE"""),0.01)</f>
        <v>0.01</v>
      </c>
      <c r="K247" s="11">
        <f>IFERROR(__xludf.DUMMYFUNCTION("""COMPUTED_VALUE"""),0.0)</f>
        <v>0</v>
      </c>
    </row>
    <row r="248" ht="15.75" customHeight="1">
      <c r="A248" s="10" t="str">
        <f>IFERROR(__xludf.DUMMYFUNCTION("""COMPUTED_VALUE"""),"https://www.growandconvert.com/seo/best-ai-seo-agencies/")</f>
        <v>https://www.growandconvert.com/seo/best-ai-seo-agencies/</v>
      </c>
      <c r="B248" s="11" t="str">
        <f>IFERROR(__xludf.DUMMYFUNCTION("""COMPUTED_VALUE"""),"11 Best AI SEO Agencies in 2026 (&amp;amp; How to Evaluate Them) | Grow and Convert")</f>
        <v>11 Best AI SEO Agencies in 2026 (&amp;amp; How to Evaluate Them) | Grow and Convert</v>
      </c>
      <c r="C248" s="10" t="str">
        <f>IFERROR(__xludf.DUMMYFUNCTION("""COMPUTED_VALUE"""),"growandconvert.com")</f>
        <v>growandconvert.com</v>
      </c>
      <c r="D248" s="11" t="str">
        <f>IFERROR(__xludf.DUMMYFUNCTION("""COMPUTED_VALUE"""),"LISTICLE")</f>
        <v>LISTICLE</v>
      </c>
      <c r="E248" s="11" t="str">
        <f>IFERROR(__xludf.DUMMYFUNCTION("""COMPUTED_VALUE"""),"CORPORATE")</f>
        <v>CORPORATE</v>
      </c>
      <c r="F248" s="11" t="str">
        <f>IFERROR(__xludf.DUMMYFUNCTION("""COMPUTED_VALUE"""),"Listicle")</f>
        <v>Listicle</v>
      </c>
      <c r="G248" s="11" t="b">
        <f>IFERROR(__xludf.DUMMYFUNCTION("""COMPUTED_VALUE"""),FALSE)</f>
        <v>0</v>
      </c>
      <c r="H248" s="11" t="str">
        <f>IFERROR(__xludf.DUMMYFUNCTION("""COMPUTED_VALUE"""),"Siege Media, iPullRank, Omniscient Digital, Avenue Z, First Page Sage")</f>
        <v>Siege Media, iPullRank, Omniscient Digital, Avenue Z, First Page Sage</v>
      </c>
      <c r="I248" s="11">
        <f>IFERROR(__xludf.DUMMYFUNCTION("""COMPUTED_VALUE"""),6.0)</f>
        <v>6</v>
      </c>
      <c r="J248" s="11">
        <f>IFERROR(__xludf.DUMMYFUNCTION("""COMPUTED_VALUE"""),0.01)</f>
        <v>0.01</v>
      </c>
      <c r="K248" s="11">
        <f>IFERROR(__xludf.DUMMYFUNCTION("""COMPUTED_VALUE"""),1.83)</f>
        <v>1.83</v>
      </c>
    </row>
    <row r="249" ht="15.75" customHeight="1">
      <c r="A249" s="10" t="str">
        <f>IFERROR(__xludf.DUMMYFUNCTION("""COMPUTED_VALUE"""),"https://www.icreativez.com/categories/online-marketing/10-best-display-advertising-services-companies-consultants-2026.html#:~:text=View%2Dthrough%20conversions%20account%20for%2030%2D50%25%20of%20display,increased%20ROAS%20340%25%20using%20dynamic%20crea"&amp;"tive%20optimization.")</f>
        <v>https://www.icreativez.com/categories/online-marketing/10-best-display-advertising-services-companies-consultants-2026.html#:~:text=View%2Dthrough%20conversions%20account%20for%2030%2D50%25%20of%20display,increased%20ROAS%20340%25%20using%20dynamic%20creative%20optimization.</v>
      </c>
      <c r="B249" s="11" t="str">
        <f>IFERROR(__xludf.DUMMYFUNCTION("""COMPUTED_VALUE"""),"10 Best Display Advertising Services Companies &amp; Consultants 2026 | iCreativez")</f>
        <v>10 Best Display Advertising Services Companies &amp; Consultants 2026 | iCreativez</v>
      </c>
      <c r="C249" s="10" t="str">
        <f>IFERROR(__xludf.DUMMYFUNCTION("""COMPUTED_VALUE"""),"icreativez.com")</f>
        <v>icreativez.com</v>
      </c>
      <c r="D249" s="11" t="str">
        <f>IFERROR(__xludf.DUMMYFUNCTION("""COMPUTED_VALUE"""),"LISTICLE")</f>
        <v>LISTICLE</v>
      </c>
      <c r="E249" s="11" t="str">
        <f>IFERROR(__xludf.DUMMYFUNCTION("""COMPUTED_VALUE"""),"OTHER")</f>
        <v>OTHER</v>
      </c>
      <c r="F249" s="11" t="str">
        <f>IFERROR(__xludf.DUMMYFUNCTION("""COMPUTED_VALUE"""),"Listicle")</f>
        <v>Listicle</v>
      </c>
      <c r="G249" s="11" t="b">
        <f>IFERROR(__xludf.DUMMYFUNCTION("""COMPUTED_VALUE"""),FALSE)</f>
        <v>0</v>
      </c>
      <c r="H249" s="11" t="str">
        <f>IFERROR(__xludf.DUMMYFUNCTION("""COMPUTED_VALUE"""),"Measured, Triple Whale, Northbeam, Rockerbox")</f>
        <v>Measured, Triple Whale, Northbeam, Rockerbox</v>
      </c>
      <c r="I249" s="11">
        <f>IFERROR(__xludf.DUMMYFUNCTION("""COMPUTED_VALUE"""),6.0)</f>
        <v>6</v>
      </c>
      <c r="J249" s="11">
        <f>IFERROR(__xludf.DUMMYFUNCTION("""COMPUTED_VALUE"""),0.01)</f>
        <v>0.01</v>
      </c>
      <c r="K249" s="11">
        <f>IFERROR(__xludf.DUMMYFUNCTION("""COMPUTED_VALUE"""),2.33)</f>
        <v>2.33</v>
      </c>
    </row>
    <row r="250" ht="15.75" customHeight="1">
      <c r="A250" s="10" t="str">
        <f>IFERROR(__xludf.DUMMYFUNCTION("""COMPUTED_VALUE"""),"https://www.lyfemarketing.com/blog/top-digital-marketing-agencies-us/")</f>
        <v>https://www.lyfemarketing.com/blog/top-digital-marketing-agencies-us/</v>
      </c>
      <c r="B250" s="11" t="str">
        <f>IFERROR(__xludf.DUMMYFUNCTION("""COMPUTED_VALUE"""),"Top 35 Digital Marketing Agencies In US 2025")</f>
        <v>Top 35 Digital Marketing Agencies In US 2025</v>
      </c>
      <c r="C250" s="10" t="str">
        <f>IFERROR(__xludf.DUMMYFUNCTION("""COMPUTED_VALUE"""),"lyfemarketing.com")</f>
        <v>lyfemarketing.com</v>
      </c>
      <c r="D250" s="11" t="str">
        <f>IFERROR(__xludf.DUMMYFUNCTION("""COMPUTED_VALUE"""),"LISTICLE")</f>
        <v>LISTICLE</v>
      </c>
      <c r="E250" s="11" t="str">
        <f>IFERROR(__xludf.DUMMYFUNCTION("""COMPUTED_VALUE"""),"CORPORATE")</f>
        <v>CORPORATE</v>
      </c>
      <c r="F250" s="11" t="str">
        <f>IFERROR(__xludf.DUMMYFUNCTION("""COMPUTED_VALUE"""),"Listicle")</f>
        <v>Listicle</v>
      </c>
      <c r="G250" s="11" t="b">
        <f>IFERROR(__xludf.DUMMYFUNCTION("""COMPUTED_VALUE"""),FALSE)</f>
        <v>0</v>
      </c>
      <c r="H250" s="11" t="str">
        <f>IFERROR(__xludf.DUMMYFUNCTION("""COMPUTED_VALUE"""),"LYFE Marketing, Major Tom, Power Digital, KlientBoost, Deloitte Digital, VaynerMedia, Publicis Groupe, Refine Labs")</f>
        <v>LYFE Marketing, Major Tom, Power Digital, KlientBoost, Deloitte Digital, VaynerMedia, Publicis Groupe, Refine Labs</v>
      </c>
      <c r="I250" s="11">
        <f>IFERROR(__xludf.DUMMYFUNCTION("""COMPUTED_VALUE"""),6.0)</f>
        <v>6</v>
      </c>
      <c r="J250" s="11">
        <f>IFERROR(__xludf.DUMMYFUNCTION("""COMPUTED_VALUE"""),0.01)</f>
        <v>0.01</v>
      </c>
      <c r="K250" s="11">
        <f>IFERROR(__xludf.DUMMYFUNCTION("""COMPUTED_VALUE"""),0.17)</f>
        <v>0.17</v>
      </c>
    </row>
    <row r="251" ht="15.75" customHeight="1">
      <c r="A251" s="10" t="str">
        <f>IFERROR(__xludf.DUMMYFUNCTION("""COMPUTED_VALUE"""),"https://marketerhire.com/blog/performance-marketing-agency")</f>
        <v>https://marketerhire.com/blog/performance-marketing-agency</v>
      </c>
      <c r="B251" s="11" t="str">
        <f>IFERROR(__xludf.DUMMYFUNCTION("""COMPUTED_VALUE"""),"10 Best Performance Marketing Agencies to Drive ROI in 2025")</f>
        <v>10 Best Performance Marketing Agencies to Drive ROI in 2025</v>
      </c>
      <c r="C251" s="10" t="str">
        <f>IFERROR(__xludf.DUMMYFUNCTION("""COMPUTED_VALUE"""),"marketerhire.com")</f>
        <v>marketerhire.com</v>
      </c>
      <c r="D251" s="11" t="str">
        <f>IFERROR(__xludf.DUMMYFUNCTION("""COMPUTED_VALUE"""),"LISTICLE")</f>
        <v>LISTICLE</v>
      </c>
      <c r="E251" s="11" t="str">
        <f>IFERROR(__xludf.DUMMYFUNCTION("""COMPUTED_VALUE"""),"CORPORATE")</f>
        <v>CORPORATE</v>
      </c>
      <c r="F251" s="11" t="str">
        <f>IFERROR(__xludf.DUMMYFUNCTION("""COMPUTED_VALUE"""),"Listicle")</f>
        <v>Listicle</v>
      </c>
      <c r="G251" s="11" t="b">
        <f>IFERROR(__xludf.DUMMYFUNCTION("""COMPUTED_VALUE"""),FALSE)</f>
        <v>0</v>
      </c>
      <c r="H251" s="11" t="str">
        <f>IFERROR(__xludf.DUMMYFUNCTION("""COMPUTED_VALUE"""),"Tinuiti, Directive, Kobe Digital, Disruptive Advertising, KlientBoost, MuteSix, HawkSEM")</f>
        <v>Tinuiti, Directive, Kobe Digital, Disruptive Advertising, KlientBoost, MuteSix, HawkSEM</v>
      </c>
      <c r="I251" s="11">
        <f>IFERROR(__xludf.DUMMYFUNCTION("""COMPUTED_VALUE"""),6.0)</f>
        <v>6</v>
      </c>
      <c r="J251" s="11">
        <f>IFERROR(__xludf.DUMMYFUNCTION("""COMPUTED_VALUE"""),0.01)</f>
        <v>0.01</v>
      </c>
      <c r="K251" s="11">
        <f>IFERROR(__xludf.DUMMYFUNCTION("""COMPUTED_VALUE"""),0.83)</f>
        <v>0.83</v>
      </c>
    </row>
    <row r="252" ht="15.75" customHeight="1">
      <c r="A252" s="10" t="str">
        <f>IFERROR(__xludf.DUMMYFUNCTION("""COMPUTED_VALUE"""),"https://metaflow.life/blog/best-aeo-agencies-2026")</f>
        <v>https://metaflow.life/blog/best-aeo-agencies-2026</v>
      </c>
      <c r="B252" s="11"/>
      <c r="C252" s="11" t="str">
        <f>IFERROR(__xludf.DUMMYFUNCTION("""COMPUTED_VALUE"""),"metaflow.life")</f>
        <v>metaflow.life</v>
      </c>
      <c r="D252" s="11" t="str">
        <f>IFERROR(__xludf.DUMMYFUNCTION("""COMPUTED_VALUE"""),"LISTICLE")</f>
        <v>LISTICLE</v>
      </c>
      <c r="E252" s="11" t="str">
        <f>IFERROR(__xludf.DUMMYFUNCTION("""COMPUTED_VALUE"""),"OTHER")</f>
        <v>OTHER</v>
      </c>
      <c r="F252" s="11" t="str">
        <f>IFERROR(__xludf.DUMMYFUNCTION("""COMPUTED_VALUE"""),"Listicle")</f>
        <v>Listicle</v>
      </c>
      <c r="G252" s="11" t="b">
        <f>IFERROR(__xludf.DUMMYFUNCTION("""COMPUTED_VALUE"""),FALSE)</f>
        <v>0</v>
      </c>
      <c r="H252" s="11" t="str">
        <f>IFERROR(__xludf.DUMMYFUNCTION("""COMPUTED_VALUE"""),"First Page Sage, Animalz, Victorious, Amsive, iPullRank, Ignite Visibility")</f>
        <v>First Page Sage, Animalz, Victorious, Amsive, iPullRank, Ignite Visibility</v>
      </c>
      <c r="I252" s="11">
        <f>IFERROR(__xludf.DUMMYFUNCTION("""COMPUTED_VALUE"""),6.0)</f>
        <v>6</v>
      </c>
      <c r="J252" s="11">
        <f>IFERROR(__xludf.DUMMYFUNCTION("""COMPUTED_VALUE"""),0.01)</f>
        <v>0.01</v>
      </c>
      <c r="K252" s="11">
        <f>IFERROR(__xludf.DUMMYFUNCTION("""COMPUTED_VALUE"""),0.0)</f>
        <v>0</v>
      </c>
    </row>
    <row r="253" ht="15.75" customHeight="1">
      <c r="A253" s="10" t="str">
        <f>IFERROR(__xludf.DUMMYFUNCTION("""COMPUTED_VALUE"""),"https://moosend.com/blog/best-aeo-agencies/")</f>
        <v>https://moosend.com/blog/best-aeo-agencies/</v>
      </c>
      <c r="B253" s="11" t="str">
        <f>IFERROR(__xludf.DUMMYFUNCTION("""COMPUTED_VALUE"""),"11 Best Answer Engine Optimization (AEO) Agencies In 2026")</f>
        <v>11 Best Answer Engine Optimization (AEO) Agencies In 2026</v>
      </c>
      <c r="C253" s="10" t="str">
        <f>IFERROR(__xludf.DUMMYFUNCTION("""COMPUTED_VALUE"""),"moosend.com")</f>
        <v>moosend.com</v>
      </c>
      <c r="D253" s="11" t="str">
        <f>IFERROR(__xludf.DUMMYFUNCTION("""COMPUTED_VALUE"""),"LISTICLE")</f>
        <v>LISTICLE</v>
      </c>
      <c r="E253" s="11" t="str">
        <f>IFERROR(__xludf.DUMMYFUNCTION("""COMPUTED_VALUE"""),"CORPORATE")</f>
        <v>CORPORATE</v>
      </c>
      <c r="F253" s="11" t="str">
        <f>IFERROR(__xludf.DUMMYFUNCTION("""COMPUTED_VALUE"""),"Listicle")</f>
        <v>Listicle</v>
      </c>
      <c r="G253" s="11" t="b">
        <f>IFERROR(__xludf.DUMMYFUNCTION("""COMPUTED_VALUE"""),FALSE)</f>
        <v>0</v>
      </c>
      <c r="H253" s="11" t="str">
        <f>IFERROR(__xludf.DUMMYFUNCTION("""COMPUTED_VALUE"""),"First Page Sage, Siege Media, iPullRank, Avenue Z, Graphite, WebFX, RevenueZen, Clutch, Measured")</f>
        <v>First Page Sage, Siege Media, iPullRank, Avenue Z, Graphite, WebFX, RevenueZen, Clutch, Measured</v>
      </c>
      <c r="I253" s="11">
        <f>IFERROR(__xludf.DUMMYFUNCTION("""COMPUTED_VALUE"""),6.0)</f>
        <v>6</v>
      </c>
      <c r="J253" s="11">
        <f>IFERROR(__xludf.DUMMYFUNCTION("""COMPUTED_VALUE"""),0.01)</f>
        <v>0.01</v>
      </c>
      <c r="K253" s="11">
        <f>IFERROR(__xludf.DUMMYFUNCTION("""COMPUTED_VALUE"""),0.0)</f>
        <v>0</v>
      </c>
    </row>
    <row r="254" ht="15.75" customHeight="1">
      <c r="A254" s="10" t="str">
        <f>IFERROR(__xludf.DUMMYFUNCTION("""COMPUTED_VALUE"""),"https://www.position.digital/blog/top-geo-agencies/")</f>
        <v>https://www.position.digital/blog/top-geo-agencies/</v>
      </c>
      <c r="B254" s="11" t="str">
        <f>IFERROR(__xludf.DUMMYFUNCTION("""COMPUTED_VALUE"""),"Top 13 Generative Engine Optimization (GEO) Agencies in 2026")</f>
        <v>Top 13 Generative Engine Optimization (GEO) Agencies in 2026</v>
      </c>
      <c r="C254" s="11" t="str">
        <f>IFERROR(__xludf.DUMMYFUNCTION("""COMPUTED_VALUE"""),"position.digital")</f>
        <v>position.digital</v>
      </c>
      <c r="D254" s="11" t="str">
        <f>IFERROR(__xludf.DUMMYFUNCTION("""COMPUTED_VALUE"""),"LISTICLE")</f>
        <v>LISTICLE</v>
      </c>
      <c r="E254" s="11" t="str">
        <f>IFERROR(__xludf.DUMMYFUNCTION("""COMPUTED_VALUE"""),"CORPORATE")</f>
        <v>CORPORATE</v>
      </c>
      <c r="F254" s="11" t="str">
        <f>IFERROR(__xludf.DUMMYFUNCTION("""COMPUTED_VALUE"""),"Listicle")</f>
        <v>Listicle</v>
      </c>
      <c r="G254" s="11" t="b">
        <f>IFERROR(__xludf.DUMMYFUNCTION("""COMPUTED_VALUE"""),FALSE)</f>
        <v>0</v>
      </c>
      <c r="H254" s="11" t="str">
        <f>IFERROR(__xludf.DUMMYFUNCTION("""COMPUTED_VALUE"""),"Huge, Ignite Visibility, Avenue Z")</f>
        <v>Huge, Ignite Visibility, Avenue Z</v>
      </c>
      <c r="I254" s="11">
        <f>IFERROR(__xludf.DUMMYFUNCTION("""COMPUTED_VALUE"""),6.0)</f>
        <v>6</v>
      </c>
      <c r="J254" s="11">
        <f>IFERROR(__xludf.DUMMYFUNCTION("""COMPUTED_VALUE"""),0.01)</f>
        <v>0.01</v>
      </c>
      <c r="K254" s="11">
        <f>IFERROR(__xludf.DUMMYFUNCTION("""COMPUTED_VALUE"""),0.0)</f>
        <v>0</v>
      </c>
    </row>
    <row r="255" ht="15.75" customHeight="1">
      <c r="A255" s="10" t="str">
        <f>IFERROR(__xludf.DUMMYFUNCTION("""COMPUTED_VALUE"""),"https://procloser.ai/blog/best-ai-search-optimization-agencies/")</f>
        <v>https://procloser.ai/blog/best-ai-search-optimization-agencies/</v>
      </c>
      <c r="B255" s="11" t="str">
        <f>IFERROR(__xludf.DUMMYFUNCTION("""COMPUTED_VALUE"""),"Best AI Search Optimization Agencies in 2026 | ProCloser.ai")</f>
        <v>Best AI Search Optimization Agencies in 2026 | ProCloser.ai</v>
      </c>
      <c r="C255" s="10" t="str">
        <f>IFERROR(__xludf.DUMMYFUNCTION("""COMPUTED_VALUE"""),"procloser.ai")</f>
        <v>procloser.ai</v>
      </c>
      <c r="D255" s="11" t="str">
        <f>IFERROR(__xludf.DUMMYFUNCTION("""COMPUTED_VALUE"""),"LISTICLE")</f>
        <v>LISTICLE</v>
      </c>
      <c r="E255" s="11" t="str">
        <f>IFERROR(__xludf.DUMMYFUNCTION("""COMPUTED_VALUE"""),"CORPORATE")</f>
        <v>CORPORATE</v>
      </c>
      <c r="F255" s="11" t="str">
        <f>IFERROR(__xludf.DUMMYFUNCTION("""COMPUTED_VALUE"""),"Listicle")</f>
        <v>Listicle</v>
      </c>
      <c r="G255" s="11" t="b">
        <f>IFERROR(__xludf.DUMMYFUNCTION("""COMPUTED_VALUE"""),FALSE)</f>
        <v>0</v>
      </c>
      <c r="H255" s="11" t="str">
        <f>IFERROR(__xludf.DUMMYFUNCTION("""COMPUTED_VALUE"""),"Clutch, NP Digital, Directive, Victorious, iPullRank, Siege Media, Single Grain, First Page Sage")</f>
        <v>Clutch, NP Digital, Directive, Victorious, iPullRank, Siege Media, Single Grain, First Page Sage</v>
      </c>
      <c r="I255" s="11">
        <f>IFERROR(__xludf.DUMMYFUNCTION("""COMPUTED_VALUE"""),6.0)</f>
        <v>6</v>
      </c>
      <c r="J255" s="11">
        <f>IFERROR(__xludf.DUMMYFUNCTION("""COMPUTED_VALUE"""),0.01)</f>
        <v>0.01</v>
      </c>
      <c r="K255" s="11">
        <f>IFERROR(__xludf.DUMMYFUNCTION("""COMPUTED_VALUE"""),0.33)</f>
        <v>0.33</v>
      </c>
    </row>
    <row r="256" ht="15.75" customHeight="1">
      <c r="A256" s="10" t="str">
        <f>IFERROR(__xludf.DUMMYFUNCTION("""COMPUTED_VALUE"""),"https://www.searchbloom.com/strategy/best-ppc-agencies-usa/")</f>
        <v>https://www.searchbloom.com/strategy/best-ppc-agencies-usa/</v>
      </c>
      <c r="B256" s="11" t="str">
        <f>IFERROR(__xludf.DUMMYFUNCTION("""COMPUTED_VALUE"""),"Best PPC Agencies 2026: 20 Top Companies in USA Ranked by Data")</f>
        <v>Best PPC Agencies 2026: 20 Top Companies in USA Ranked by Data</v>
      </c>
      <c r="C256" s="10" t="str">
        <f>IFERROR(__xludf.DUMMYFUNCTION("""COMPUTED_VALUE"""),"searchbloom.com")</f>
        <v>searchbloom.com</v>
      </c>
      <c r="D256" s="11" t="str">
        <f>IFERROR(__xludf.DUMMYFUNCTION("""COMPUTED_VALUE"""),"LISTICLE")</f>
        <v>LISTICLE</v>
      </c>
      <c r="E256" s="11" t="str">
        <f>IFERROR(__xludf.DUMMYFUNCTION("""COMPUTED_VALUE"""),"COMPETITOR")</f>
        <v>COMPETITOR</v>
      </c>
      <c r="F256" s="11" t="str">
        <f>IFERROR(__xludf.DUMMYFUNCTION("""COMPUTED_VALUE"""),"Listicle")</f>
        <v>Listicle</v>
      </c>
      <c r="G256" s="11" t="b">
        <f>IFERROR(__xludf.DUMMYFUNCTION("""COMPUTED_VALUE"""),FALSE)</f>
        <v>0</v>
      </c>
      <c r="H256" s="11" t="str">
        <f>IFERROR(__xludf.DUMMYFUNCTION("""COMPUTED_VALUE"""),"Searchbloom, Clutch, HawkSEM, Disruptive Advertising, KlientBoost, Directive, Power Digital, AdVenture Media, Metric Theory, Monks, Measured")</f>
        <v>Searchbloom, Clutch, HawkSEM, Disruptive Advertising, KlientBoost, Directive, Power Digital, AdVenture Media, Metric Theory, Monks, Measured</v>
      </c>
      <c r="I256" s="11">
        <f>IFERROR(__xludf.DUMMYFUNCTION("""COMPUTED_VALUE"""),6.0)</f>
        <v>6</v>
      </c>
      <c r="J256" s="11">
        <f>IFERROR(__xludf.DUMMYFUNCTION("""COMPUTED_VALUE"""),0.01)</f>
        <v>0.01</v>
      </c>
      <c r="K256" s="11">
        <f>IFERROR(__xludf.DUMMYFUNCTION("""COMPUTED_VALUE"""),0.0)</f>
        <v>0</v>
      </c>
    </row>
    <row r="257" ht="15.75" customHeight="1">
      <c r="A257" s="10" t="str">
        <f>IFERROR(__xludf.DUMMYFUNCTION("""COMPUTED_VALUE"""),"https://www.silverbackstrategies.com/lists/best-geo-agencies-generative-engine-optimization-in-2026-ranked-reviewed/")</f>
        <v>https://www.silverbackstrategies.com/lists/best-geo-agencies-generative-engine-optimization-in-2026-ranked-reviewed/</v>
      </c>
      <c r="B257" s="11" t="str">
        <f>IFERROR(__xludf.DUMMYFUNCTION("""COMPUTED_VALUE"""),"Best GEO Agencies (Generative Engine Optimization) in 2026 (Ranked &amp;amp; Reviewed) | Silverback Strategies")</f>
        <v>Best GEO Agencies (Generative Engine Optimization) in 2026 (Ranked &amp;amp; Reviewed) | Silverback Strategies</v>
      </c>
      <c r="C257" s="10" t="str">
        <f>IFERROR(__xludf.DUMMYFUNCTION("""COMPUTED_VALUE"""),"silverbackstrategies.com")</f>
        <v>silverbackstrategies.com</v>
      </c>
      <c r="D257" s="11" t="str">
        <f>IFERROR(__xludf.DUMMYFUNCTION("""COMPUTED_VALUE"""),"LISTICLE")</f>
        <v>LISTICLE</v>
      </c>
      <c r="E257" s="11" t="str">
        <f>IFERROR(__xludf.DUMMYFUNCTION("""COMPUTED_VALUE"""),"COMPETITOR")</f>
        <v>COMPETITOR</v>
      </c>
      <c r="F257" s="11" t="str">
        <f>IFERROR(__xludf.DUMMYFUNCTION("""COMPUTED_VALUE"""),"Listicle")</f>
        <v>Listicle</v>
      </c>
      <c r="G257" s="11" t="b">
        <f>IFERROR(__xludf.DUMMYFUNCTION("""COMPUTED_VALUE"""),FALSE)</f>
        <v>0</v>
      </c>
      <c r="H257" s="11" t="str">
        <f>IFERROR(__xludf.DUMMYFUNCTION("""COMPUTED_VALUE"""),"Silverback Strategies, Clutch, Siege Media, Omniscient Digital, Victorious, Go Fish Digital, Graphite, Measured")</f>
        <v>Silverback Strategies, Clutch, Siege Media, Omniscient Digital, Victorious, Go Fish Digital, Graphite, Measured</v>
      </c>
      <c r="I257" s="11">
        <f>IFERROR(__xludf.DUMMYFUNCTION("""COMPUTED_VALUE"""),6.0)</f>
        <v>6</v>
      </c>
      <c r="J257" s="11">
        <f>IFERROR(__xludf.DUMMYFUNCTION("""COMPUTED_VALUE"""),0.01)</f>
        <v>0.01</v>
      </c>
      <c r="K257" s="11">
        <f>IFERROR(__xludf.DUMMYFUNCTION("""COMPUTED_VALUE"""),0.83)</f>
        <v>0.83</v>
      </c>
    </row>
    <row r="258" ht="15.75" customHeight="1">
      <c r="A258" s="10" t="str">
        <f>IFERROR(__xludf.DUMMYFUNCTION("""COMPUTED_VALUE"""),"https://www.tripledart.com/ai-seo/best-generative-engine-optimization-agencies")</f>
        <v>https://www.tripledart.com/ai-seo/best-generative-engine-optimization-agencies</v>
      </c>
      <c r="B258" s="11" t="str">
        <f>IFERROR(__xludf.DUMMYFUNCTION("""COMPUTED_VALUE"""),"17 Best GEO Agencies in 2026")</f>
        <v>17 Best GEO Agencies in 2026</v>
      </c>
      <c r="C258" s="10" t="str">
        <f>IFERROR(__xludf.DUMMYFUNCTION("""COMPUTED_VALUE"""),"tripledart.com")</f>
        <v>tripledart.com</v>
      </c>
      <c r="D258" s="11" t="str">
        <f>IFERROR(__xludf.DUMMYFUNCTION("""COMPUTED_VALUE"""),"LISTICLE")</f>
        <v>LISTICLE</v>
      </c>
      <c r="E258" s="11" t="str">
        <f>IFERROR(__xludf.DUMMYFUNCTION("""COMPUTED_VALUE"""),"OTHER")</f>
        <v>OTHER</v>
      </c>
      <c r="F258" s="11" t="str">
        <f>IFERROR(__xludf.DUMMYFUNCTION("""COMPUTED_VALUE"""),"Listicle")</f>
        <v>Listicle</v>
      </c>
      <c r="G258" s="11" t="b">
        <f>IFERROR(__xludf.DUMMYFUNCTION("""COMPUTED_VALUE"""),FALSE)</f>
        <v>0</v>
      </c>
      <c r="H258" s="11" t="str">
        <f>IFERROR(__xludf.DUMMYFUNCTION("""COMPUTED_VALUE"""),"iPullRank, First Page Sage, WebFX, Clutch, Ignite Visibility, NoGood, Avenue Z, Siege Media, Victorious, TransUnion")</f>
        <v>iPullRank, First Page Sage, WebFX, Clutch, Ignite Visibility, NoGood, Avenue Z, Siege Media, Victorious, TransUnion</v>
      </c>
      <c r="I258" s="11">
        <f>IFERROR(__xludf.DUMMYFUNCTION("""COMPUTED_VALUE"""),6.0)</f>
        <v>6</v>
      </c>
      <c r="J258" s="11">
        <f>IFERROR(__xludf.DUMMYFUNCTION("""COMPUTED_VALUE"""),0.01)</f>
        <v>0.01</v>
      </c>
      <c r="K258" s="11">
        <f>IFERROR(__xludf.DUMMYFUNCTION("""COMPUTED_VALUE"""),0.17)</f>
        <v>0.17</v>
      </c>
    </row>
    <row r="259" ht="15.75" customHeight="1">
      <c r="A259" s="10" t="str">
        <f>IFERROR(__xludf.DUMMYFUNCTION("""COMPUTED_VALUE"""),"https://www.uforocks.com/blog/top-marketing-agencies-in-the-united-states/")</f>
        <v>https://www.uforocks.com/blog/top-marketing-agencies-in-the-united-states/</v>
      </c>
      <c r="B259" s="11" t="str">
        <f>IFERROR(__xludf.DUMMYFUNCTION("""COMPUTED_VALUE"""),"Top Marketing Agencies in the United States - UFO Digital Marketing Agency")</f>
        <v>Top Marketing Agencies in the United States - UFO Digital Marketing Agency</v>
      </c>
      <c r="C259" s="10" t="str">
        <f>IFERROR(__xludf.DUMMYFUNCTION("""COMPUTED_VALUE"""),"uforocks.com")</f>
        <v>uforocks.com</v>
      </c>
      <c r="D259" s="11" t="str">
        <f>IFERROR(__xludf.DUMMYFUNCTION("""COMPUTED_VALUE"""),"LISTICLE")</f>
        <v>LISTICLE</v>
      </c>
      <c r="E259" s="11" t="str">
        <f>IFERROR(__xludf.DUMMYFUNCTION("""COMPUTED_VALUE"""),"CORPORATE")</f>
        <v>CORPORATE</v>
      </c>
      <c r="F259" s="11" t="str">
        <f>IFERROR(__xludf.DUMMYFUNCTION("""COMPUTED_VALUE"""),"Listicle")</f>
        <v>Listicle</v>
      </c>
      <c r="G259" s="11" t="b">
        <f>IFERROR(__xludf.DUMMYFUNCTION("""COMPUTED_VALUE"""),FALSE)</f>
        <v>0</v>
      </c>
      <c r="H259" s="11" t="str">
        <f>IFERROR(__xludf.DUMMYFUNCTION("""COMPUTED_VALUE"""),"Wpromote, Power Digital, Tinuiti, Siege Media, LYFE Marketing, WebFX, HawkSEM, Disruptive Advertising, KlientBoost, Victorious, Seer Interactive, Silverback Strategies")</f>
        <v>Wpromote, Power Digital, Tinuiti, Siege Media, LYFE Marketing, WebFX, HawkSEM, Disruptive Advertising, KlientBoost, Victorious, Seer Interactive, Silverback Strategies</v>
      </c>
      <c r="I259" s="11">
        <f>IFERROR(__xludf.DUMMYFUNCTION("""COMPUTED_VALUE"""),6.0)</f>
        <v>6</v>
      </c>
      <c r="J259" s="11">
        <f>IFERROR(__xludf.DUMMYFUNCTION("""COMPUTED_VALUE"""),0.01)</f>
        <v>0.01</v>
      </c>
      <c r="K259" s="11">
        <f>IFERROR(__xludf.DUMMYFUNCTION("""COMPUTED_VALUE"""),1.33)</f>
        <v>1.33</v>
      </c>
    </row>
    <row r="260" ht="15.75" customHeight="1">
      <c r="A260" s="10" t="str">
        <f>IFERROR(__xludf.DUMMYFUNCTION("""COMPUTED_VALUE"""),"https://www.uforocks.com/blog/top-ppc-agencies-in-the-united-states/")</f>
        <v>https://www.uforocks.com/blog/top-ppc-agencies-in-the-united-states/</v>
      </c>
      <c r="B260" s="11" t="str">
        <f>IFERROR(__xludf.DUMMYFUNCTION("""COMPUTED_VALUE"""),"Top PPC Agencies in the United States - UFO Digital Marketing Agency")</f>
        <v>Top PPC Agencies in the United States - UFO Digital Marketing Agency</v>
      </c>
      <c r="C260" s="10" t="str">
        <f>IFERROR(__xludf.DUMMYFUNCTION("""COMPUTED_VALUE"""),"uforocks.com")</f>
        <v>uforocks.com</v>
      </c>
      <c r="D260" s="11" t="str">
        <f>IFERROR(__xludf.DUMMYFUNCTION("""COMPUTED_VALUE"""),"LISTICLE")</f>
        <v>LISTICLE</v>
      </c>
      <c r="E260" s="11" t="str">
        <f>IFERROR(__xludf.DUMMYFUNCTION("""COMPUTED_VALUE"""),"CORPORATE")</f>
        <v>CORPORATE</v>
      </c>
      <c r="F260" s="11" t="str">
        <f>IFERROR(__xludf.DUMMYFUNCTION("""COMPUTED_VALUE"""),"Listicle")</f>
        <v>Listicle</v>
      </c>
      <c r="G260" s="11" t="b">
        <f>IFERROR(__xludf.DUMMYFUNCTION("""COMPUTED_VALUE"""),FALSE)</f>
        <v>0</v>
      </c>
      <c r="H260" s="11" t="str">
        <f>IFERROR(__xludf.DUMMYFUNCTION("""COMPUTED_VALUE"""),"AdVenture Media, Directive, Disruptive Advertising, Ignite Visibility, KlientBoost, MuteSix, Dentsu, NP Digital, Seer Interactive, Silverback Strategies, SmartSites, Tinuiti, WebFX, Wpromote, HawkSEM")</f>
        <v>AdVenture Media, Directive, Disruptive Advertising, Ignite Visibility, KlientBoost, MuteSix, Dentsu, NP Digital, Seer Interactive, Silverback Strategies, SmartSites, Tinuiti, WebFX, Wpromote, HawkSEM</v>
      </c>
      <c r="I260" s="11">
        <f>IFERROR(__xludf.DUMMYFUNCTION("""COMPUTED_VALUE"""),6.0)</f>
        <v>6</v>
      </c>
      <c r="J260" s="11">
        <f>IFERROR(__xludf.DUMMYFUNCTION("""COMPUTED_VALUE"""),0.01)</f>
        <v>0.01</v>
      </c>
      <c r="K260" s="11">
        <f>IFERROR(__xludf.DUMMYFUNCTION("""COMPUTED_VALUE"""),0.0)</f>
        <v>0</v>
      </c>
    </row>
    <row r="261" ht="15.75" customHeight="1">
      <c r="A261" s="10" t="str">
        <f>IFERROR(__xludf.DUMMYFUNCTION("""COMPUTED_VALUE"""),"https://www.upliftgtm.com/blog/best-geo-agencies")</f>
        <v>https://www.upliftgtm.com/blog/best-geo-agencies</v>
      </c>
      <c r="B261" s="11" t="str">
        <f>IFERROR(__xludf.DUMMYFUNCTION("""COMPUTED_VALUE"""),"Best GEO Agencies 2026: Top 12 Generative Engine Optimization Firms")</f>
        <v>Best GEO Agencies 2026: Top 12 Generative Engine Optimization Firms</v>
      </c>
      <c r="C261" s="10" t="str">
        <f>IFERROR(__xludf.DUMMYFUNCTION("""COMPUTED_VALUE"""),"upliftgtm.com")</f>
        <v>upliftgtm.com</v>
      </c>
      <c r="D261" s="11" t="str">
        <f>IFERROR(__xludf.DUMMYFUNCTION("""COMPUTED_VALUE"""),"LISTICLE")</f>
        <v>LISTICLE</v>
      </c>
      <c r="E261" s="11" t="str">
        <f>IFERROR(__xludf.DUMMYFUNCTION("""COMPUTED_VALUE"""),"CORPORATE")</f>
        <v>CORPORATE</v>
      </c>
      <c r="F261" s="11" t="str">
        <f>IFERROR(__xludf.DUMMYFUNCTION("""COMPUTED_VALUE"""),"Listicle")</f>
        <v>Listicle</v>
      </c>
      <c r="G261" s="11" t="b">
        <f>IFERROR(__xludf.DUMMYFUNCTION("""COMPUTED_VALUE"""),FALSE)</f>
        <v>0</v>
      </c>
      <c r="H261" s="11" t="str">
        <f>IFERROR(__xludf.DUMMYFUNCTION("""COMPUTED_VALUE"""),"Animalz, Omniscient Digital, Single Grain, Ignite Visibility, Victorious, NoGood, Siege Media")</f>
        <v>Animalz, Omniscient Digital, Single Grain, Ignite Visibility, Victorious, NoGood, Siege Media</v>
      </c>
      <c r="I261" s="11">
        <f>IFERROR(__xludf.DUMMYFUNCTION("""COMPUTED_VALUE"""),6.0)</f>
        <v>6</v>
      </c>
      <c r="J261" s="11">
        <f>IFERROR(__xludf.DUMMYFUNCTION("""COMPUTED_VALUE"""),0.01)</f>
        <v>0.01</v>
      </c>
      <c r="K261" s="11">
        <f>IFERROR(__xludf.DUMMYFUNCTION("""COMPUTED_VALUE"""),0.17)</f>
        <v>0.17</v>
      </c>
    </row>
    <row r="262" ht="15.75" customHeight="1">
      <c r="A262" s="10" t="str">
        <f>IFERROR(__xludf.DUMMYFUNCTION("""COMPUTED_VALUE"""),"https://www.webtonic.io/blog/best-digital-marketing-agencies-usa")</f>
        <v>https://www.webtonic.io/blog/best-digital-marketing-agencies-usa</v>
      </c>
      <c r="B262" s="11" t="str">
        <f>IFERROR(__xludf.DUMMYFUNCTION("""COMPUTED_VALUE"""),"41 Top Digital Marketing Agencies in the US for 2026")</f>
        <v>41 Top Digital Marketing Agencies in the US for 2026</v>
      </c>
      <c r="C262" s="10" t="str">
        <f>IFERROR(__xludf.DUMMYFUNCTION("""COMPUTED_VALUE"""),"webtonic.io")</f>
        <v>webtonic.io</v>
      </c>
      <c r="D262" s="11" t="str">
        <f>IFERROR(__xludf.DUMMYFUNCTION("""COMPUTED_VALUE"""),"LISTICLE")</f>
        <v>LISTICLE</v>
      </c>
      <c r="E262" s="11" t="str">
        <f>IFERROR(__xludf.DUMMYFUNCTION("""COMPUTED_VALUE"""),"COMPETITOR")</f>
        <v>COMPETITOR</v>
      </c>
      <c r="F262" s="11" t="str">
        <f>IFERROR(__xludf.DUMMYFUNCTION("""COMPUTED_VALUE"""),"Listicle")</f>
        <v>Listicle</v>
      </c>
      <c r="G262" s="11" t="b">
        <f>IFERROR(__xludf.DUMMYFUNCTION("""COMPUTED_VALUE"""),FALSE)</f>
        <v>0</v>
      </c>
      <c r="H262" s="11" t="str">
        <f>IFERROR(__xludf.DUMMYFUNCTION("""COMPUTED_VALUE"""),"Web Tonic, WebFX, Disruptive Advertising, Ignite Visibility, SmartSites, Thrive Internet Marketing Agency, Power Digital, NP Digital, Tinuiti, KlientBoost, Victorious, Single Grain, VaynerMedia, LYFE Marketing, Directive, Ogilvy, IBM, Intero Digital, Funn"&amp;"el Boost Media, Major Tom, R/GA, NoGood, BBDO, Sociallyin, Refine Labs")</f>
        <v>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v>
      </c>
      <c r="I262" s="11">
        <f>IFERROR(__xludf.DUMMYFUNCTION("""COMPUTED_VALUE"""),6.0)</f>
        <v>6</v>
      </c>
      <c r="J262" s="11">
        <f>IFERROR(__xludf.DUMMYFUNCTION("""COMPUTED_VALUE"""),0.01)</f>
        <v>0.01</v>
      </c>
      <c r="K262" s="11">
        <f>IFERROR(__xludf.DUMMYFUNCTION("""COMPUTED_VALUE"""),0.67)</f>
        <v>0.67</v>
      </c>
    </row>
    <row r="263" ht="15.75" customHeight="1">
      <c r="A263" s="10" t="str">
        <f>IFERROR(__xludf.DUMMYFUNCTION("""COMPUTED_VALUE"""),"https://www.webtonic.io/blog/top-creative-agencies")</f>
        <v>https://www.webtonic.io/blog/top-creative-agencies</v>
      </c>
      <c r="B263" s="11" t="str">
        <f>IFERROR(__xludf.DUMMYFUNCTION("""COMPUTED_VALUE"""),"The 52 Top Creative Agencies as of 2026")</f>
        <v>The 52 Top Creative Agencies as of 2026</v>
      </c>
      <c r="C263" s="10" t="str">
        <f>IFERROR(__xludf.DUMMYFUNCTION("""COMPUTED_VALUE"""),"webtonic.io")</f>
        <v>webtonic.io</v>
      </c>
      <c r="D263" s="11" t="str">
        <f>IFERROR(__xludf.DUMMYFUNCTION("""COMPUTED_VALUE"""),"LISTICLE")</f>
        <v>LISTICLE</v>
      </c>
      <c r="E263" s="11" t="str">
        <f>IFERROR(__xludf.DUMMYFUNCTION("""COMPUTED_VALUE"""),"COMPETITOR")</f>
        <v>COMPETITOR</v>
      </c>
      <c r="F263" s="11" t="str">
        <f>IFERROR(__xludf.DUMMYFUNCTION("""COMPUTED_VALUE"""),"Listicle")</f>
        <v>Listicle</v>
      </c>
      <c r="G263" s="11" t="b">
        <f>IFERROR(__xludf.DUMMYFUNCTION("""COMPUTED_VALUE"""),FALSE)</f>
        <v>0</v>
      </c>
      <c r="H263" s="11" t="str">
        <f>IFERROR(__xludf.DUMMYFUNCTION("""COMPUTED_VALUE"""),"Web Tonic, Wieden+Kennedy, Droga5, Accenture Song, BBDO, Ogilvy, WPP, IBM, 72andSunny, R/GA, TBWA\Chiat\Day, Anomaly, Huge")</f>
        <v>Web Tonic, Wieden+Kennedy, Droga5, Accenture Song, BBDO, Ogilvy, WPP, IBM, 72andSunny, R/GA, TBWA\Chiat\Day, Anomaly, Huge</v>
      </c>
      <c r="I263" s="11">
        <f>IFERROR(__xludf.DUMMYFUNCTION("""COMPUTED_VALUE"""),6.0)</f>
        <v>6</v>
      </c>
      <c r="J263" s="11">
        <f>IFERROR(__xludf.DUMMYFUNCTION("""COMPUTED_VALUE"""),0.01)</f>
        <v>0.01</v>
      </c>
      <c r="K263" s="11">
        <f>IFERROR(__xludf.DUMMYFUNCTION("""COMPUTED_VALUE"""),0.0)</f>
        <v>0</v>
      </c>
    </row>
    <row r="264" ht="15.75" customHeight="1">
      <c r="A264" s="10" t="str">
        <f>IFERROR(__xludf.DUMMYFUNCTION("""COMPUTED_VALUE"""),"https://worldmetrics.org/service/media-mix-modeling/")</f>
        <v>https://worldmetrics.org/service/media-mix-modeling/</v>
      </c>
      <c r="B264" s="11" t="str">
        <f>IFERROR(__xludf.DUMMYFUNCTION("""COMPUTED_VALUE"""),"Best Media Mix Modeling Services | 2026 Rankings")</f>
        <v>Best Media Mix Modeling Services | 2026 Rankings</v>
      </c>
      <c r="C264" s="10" t="str">
        <f>IFERROR(__xludf.DUMMYFUNCTION("""COMPUTED_VALUE"""),"worldmetrics.org")</f>
        <v>worldmetrics.org</v>
      </c>
      <c r="D264" s="11" t="str">
        <f>IFERROR(__xludf.DUMMYFUNCTION("""COMPUTED_VALUE"""),"LISTICLE")</f>
        <v>LISTICLE</v>
      </c>
      <c r="E264" s="11" t="str">
        <f>IFERROR(__xludf.DUMMYFUNCTION("""COMPUTED_VALUE"""),"REFERENCE")</f>
        <v>REFERENCE</v>
      </c>
      <c r="F264" s="11" t="str">
        <f>IFERROR(__xludf.DUMMYFUNCTION("""COMPUTED_VALUE"""),"Listicle")</f>
        <v>Listicle</v>
      </c>
      <c r="G264" s="11" t="b">
        <f>IFERROR(__xludf.DUMMYFUNCTION("""COMPUTED_VALUE"""),FALSE)</f>
        <v>0</v>
      </c>
      <c r="H264" s="11" t="str">
        <f>IFERROR(__xludf.DUMMYFUNCTION("""COMPUTED_VALUE"""),"Kantar, Nielsen, Croud, Publicis Groupe, WPP, Measured, Momentum, Clutch")</f>
        <v>Kantar, Nielsen, Croud, Publicis Groupe, WPP, Measured, Momentum, Clutch</v>
      </c>
      <c r="I264" s="11">
        <f>IFERROR(__xludf.DUMMYFUNCTION("""COMPUTED_VALUE"""),6.0)</f>
        <v>6</v>
      </c>
      <c r="J264" s="11">
        <f>IFERROR(__xludf.DUMMYFUNCTION("""COMPUTED_VALUE"""),0.01)</f>
        <v>0.01</v>
      </c>
      <c r="K264" s="11">
        <f>IFERROR(__xludf.DUMMYFUNCTION("""COMPUTED_VALUE"""),0.33)</f>
        <v>0.33</v>
      </c>
    </row>
    <row r="265" ht="15.75" customHeight="1">
      <c r="A265" s="10" t="str">
        <f>IFERROR(__xludf.DUMMYFUNCTION("""COMPUTED_VALUE"""),"https://www.20northmarketing.com/blog/top-ai-optimization-agencies#:~:text=Based%20in%20San%20Francisco%2C%20First,choose%20which%20sources%20to%20cite.")</f>
        <v>https://www.20northmarketing.com/blog/top-ai-optimization-agencies#:~:text=Based%20in%20San%20Francisco%2C%20First,choose%20which%20sources%20to%20cite.</v>
      </c>
      <c r="B265" s="11" t="str">
        <f>IFERROR(__xludf.DUMMYFUNCTION("""COMPUTED_VALUE"""),"Top AI Optimization Agencies | 20North Marketing | 20North")</f>
        <v>Top AI Optimization Agencies | 20North Marketing | 20North</v>
      </c>
      <c r="C265" s="10" t="str">
        <f>IFERROR(__xludf.DUMMYFUNCTION("""COMPUTED_VALUE"""),"20northmarketing.com")</f>
        <v>20northmarketing.com</v>
      </c>
      <c r="D265" s="11" t="str">
        <f>IFERROR(__xludf.DUMMYFUNCTION("""COMPUTED_VALUE"""),"LISTICLE")</f>
        <v>LISTICLE</v>
      </c>
      <c r="E265" s="11" t="str">
        <f>IFERROR(__xludf.DUMMYFUNCTION("""COMPUTED_VALUE"""),"CORPORATE")</f>
        <v>CORPORATE</v>
      </c>
      <c r="F265" s="11" t="str">
        <f>IFERROR(__xludf.DUMMYFUNCTION("""COMPUTED_VALUE"""),"Listicle")</f>
        <v>Listicle</v>
      </c>
      <c r="G265" s="11" t="b">
        <f>IFERROR(__xludf.DUMMYFUNCTION("""COMPUTED_VALUE"""),FALSE)</f>
        <v>0</v>
      </c>
      <c r="H265" s="11" t="str">
        <f>IFERROR(__xludf.DUMMYFUNCTION("""COMPUTED_VALUE"""),"iPullRank, Siege Media, Avenue Z, Intero Digital, First Page Sage")</f>
        <v>iPullRank, Siege Media, Avenue Z, Intero Digital, First Page Sage</v>
      </c>
      <c r="I265" s="11">
        <f>IFERROR(__xludf.DUMMYFUNCTION("""COMPUTED_VALUE"""),5.0)</f>
        <v>5</v>
      </c>
      <c r="J265" s="11">
        <f>IFERROR(__xludf.DUMMYFUNCTION("""COMPUTED_VALUE"""),0.0)</f>
        <v>0</v>
      </c>
      <c r="K265" s="11">
        <f>IFERROR(__xludf.DUMMYFUNCTION("""COMPUTED_VALUE"""),1.6)</f>
        <v>1.6</v>
      </c>
    </row>
    <row r="266" ht="15.75" customHeight="1">
      <c r="A266" s="10" t="str">
        <f>IFERROR(__xludf.DUMMYFUNCTION("""COMPUTED_VALUE"""),"https://agencyreview.dev/insights/top-social-media-marketing-agencies")</f>
        <v>https://agencyreview.dev/insights/top-social-media-marketing-agencies</v>
      </c>
      <c r="B266" s="11" t="str">
        <f>IFERROR(__xludf.DUMMYFUNCTION("""COMPUTED_VALUE"""),"Top Social Media Marketing Agencies by Specialty [2026] | AgencyReview")</f>
        <v>Top Social Media Marketing Agencies by Specialty [2026] | AgencyReview</v>
      </c>
      <c r="C266" s="11" t="str">
        <f>IFERROR(__xludf.DUMMYFUNCTION("""COMPUTED_VALUE"""),"agencyreview.dev")</f>
        <v>agencyreview.dev</v>
      </c>
      <c r="D266" s="11" t="str">
        <f>IFERROR(__xludf.DUMMYFUNCTION("""COMPUTED_VALUE"""),"LISTICLE")</f>
        <v>LISTICLE</v>
      </c>
      <c r="E266" s="11" t="str">
        <f>IFERROR(__xludf.DUMMYFUNCTION("""COMPUTED_VALUE"""),"REFERENCE")</f>
        <v>REFERENCE</v>
      </c>
      <c r="F266" s="11" t="str">
        <f>IFERROR(__xludf.DUMMYFUNCTION("""COMPUTED_VALUE"""),"Listicle")</f>
        <v>Listicle</v>
      </c>
      <c r="G266" s="11" t="b">
        <f>IFERROR(__xludf.DUMMYFUNCTION("""COMPUTED_VALUE"""),FALSE)</f>
        <v>0</v>
      </c>
      <c r="H266" s="11" t="str">
        <f>IFERROR(__xludf.DUMMYFUNCTION("""COMPUTED_VALUE"""),"Viral Nation, LYFE Marketing, Ignite Visibility, Disruptive Advertising, Tinuiti, Silverback Strategies, Power Digital, Directive, SmartSites")</f>
        <v>Viral Nation, LYFE Marketing, Ignite Visibility, Disruptive Advertising, Tinuiti, Silverback Strategies, Power Digital, Directive, SmartSites</v>
      </c>
      <c r="I266" s="11">
        <f>IFERROR(__xludf.DUMMYFUNCTION("""COMPUTED_VALUE"""),5.0)</f>
        <v>5</v>
      </c>
      <c r="J266" s="11">
        <f>IFERROR(__xludf.DUMMYFUNCTION("""COMPUTED_VALUE"""),0.0)</f>
        <v>0</v>
      </c>
      <c r="K266" s="11">
        <f>IFERROR(__xludf.DUMMYFUNCTION("""COMPUTED_VALUE"""),0.0)</f>
        <v>0</v>
      </c>
    </row>
    <row r="267" ht="15.75" customHeight="1">
      <c r="A267" s="10" t="str">
        <f>IFERROR(__xludf.DUMMYFUNCTION("""COMPUTED_VALUE"""),"https://alexbirkett.com/answer-engine-optimization-agencies/")</f>
        <v>https://alexbirkett.com/answer-engine-optimization-agencies/</v>
      </c>
      <c r="B267" s="11" t="str">
        <f>IFERROR(__xludf.DUMMYFUNCTION("""COMPUTED_VALUE"""),"The 7 Best Answer Engine Optimization (AEO) Agencies - Alex Birkett")</f>
        <v>The 7 Best Answer Engine Optimization (AEO) Agencies - Alex Birkett</v>
      </c>
      <c r="C267" s="10" t="str">
        <f>IFERROR(__xludf.DUMMYFUNCTION("""COMPUTED_VALUE"""),"alexbirkett.com")</f>
        <v>alexbirkett.com</v>
      </c>
      <c r="D267" s="11" t="str">
        <f>IFERROR(__xludf.DUMMYFUNCTION("""COMPUTED_VALUE"""),"LISTICLE")</f>
        <v>LISTICLE</v>
      </c>
      <c r="E267" s="11" t="str">
        <f>IFERROR(__xludf.DUMMYFUNCTION("""COMPUTED_VALUE"""),"CORPORATE")</f>
        <v>CORPORATE</v>
      </c>
      <c r="F267" s="11" t="str">
        <f>IFERROR(__xludf.DUMMYFUNCTION("""COMPUTED_VALUE"""),"Listicle")</f>
        <v>Listicle</v>
      </c>
      <c r="G267" s="11" t="b">
        <f>IFERROR(__xludf.DUMMYFUNCTION("""COMPUTED_VALUE"""),FALSE)</f>
        <v>0</v>
      </c>
      <c r="H267" s="11" t="str">
        <f>IFERROR(__xludf.DUMMYFUNCTION("""COMPUTED_VALUE"""),"Omniscient Digital, iPullRank, NoGood, Huge")</f>
        <v>Omniscient Digital, iPullRank, NoGood, Huge</v>
      </c>
      <c r="I267" s="11">
        <f>IFERROR(__xludf.DUMMYFUNCTION("""COMPUTED_VALUE"""),5.0)</f>
        <v>5</v>
      </c>
      <c r="J267" s="11">
        <f>IFERROR(__xludf.DUMMYFUNCTION("""COMPUTED_VALUE"""),0.0)</f>
        <v>0</v>
      </c>
      <c r="K267" s="11">
        <f>IFERROR(__xludf.DUMMYFUNCTION("""COMPUTED_VALUE"""),0.0)</f>
        <v>0</v>
      </c>
    </row>
    <row r="268" ht="15.75" customHeight="1">
      <c r="A268" s="10" t="str">
        <f>IFERROR(__xludf.DUMMYFUNCTION("""COMPUTED_VALUE"""),"https://awisee.com/blog/ai-marketing-agencies-us/")</f>
        <v>https://awisee.com/blog/ai-marketing-agencies-us/</v>
      </c>
      <c r="B268" s="11" t="str">
        <f>IFERROR(__xludf.DUMMYFUNCTION("""COMPUTED_VALUE"""),"Top 4 AI Marketing Agencies US (2026 Rankings &amp;amp; Expert Guide)&amp;nbsp;")</f>
        <v>Top 4 AI Marketing Agencies US (2026 Rankings &amp;amp; Expert Guide)&amp;nbsp;</v>
      </c>
      <c r="C268" s="10" t="str">
        <f>IFERROR(__xludf.DUMMYFUNCTION("""COMPUTED_VALUE"""),"awisee.com")</f>
        <v>awisee.com</v>
      </c>
      <c r="D268" s="11" t="str">
        <f>IFERROR(__xludf.DUMMYFUNCTION("""COMPUTED_VALUE"""),"LISTICLE")</f>
        <v>LISTICLE</v>
      </c>
      <c r="E268" s="11" t="str">
        <f>IFERROR(__xludf.DUMMYFUNCTION("""COMPUTED_VALUE"""),"OTHER")</f>
        <v>OTHER</v>
      </c>
      <c r="F268" s="11" t="str">
        <f>IFERROR(__xludf.DUMMYFUNCTION("""COMPUTED_VALUE"""),"Listicle")</f>
        <v>Listicle</v>
      </c>
      <c r="G268" s="11" t="b">
        <f>IFERROR(__xludf.DUMMYFUNCTION("""COMPUTED_VALUE"""),FALSE)</f>
        <v>0</v>
      </c>
      <c r="H268" s="11" t="str">
        <f>IFERROR(__xludf.DUMMYFUNCTION("""COMPUTED_VALUE"""),"Momentum")</f>
        <v>Momentum</v>
      </c>
      <c r="I268" s="11">
        <f>IFERROR(__xludf.DUMMYFUNCTION("""COMPUTED_VALUE"""),5.0)</f>
        <v>5</v>
      </c>
      <c r="J268" s="11">
        <f>IFERROR(__xludf.DUMMYFUNCTION("""COMPUTED_VALUE"""),0.0)</f>
        <v>0</v>
      </c>
      <c r="K268" s="11">
        <f>IFERROR(__xludf.DUMMYFUNCTION("""COMPUTED_VALUE"""),0.0)</f>
        <v>0</v>
      </c>
    </row>
    <row r="269" ht="15.75" customHeight="1">
      <c r="A269" s="10" t="str">
        <f>IFERROR(__xludf.DUMMYFUNCTION("""COMPUTED_VALUE"""),"https://brentonway.com/blog/top-performance-marketing-agencies")</f>
        <v>https://brentonway.com/blog/top-performance-marketing-agencies</v>
      </c>
      <c r="B269" s="11" t="str">
        <f>IFERROR(__xludf.DUMMYFUNCTION("""COMPUTED_VALUE"""),"Top 25 Performance Marketing Agencies in 2026 | Brenton Way")</f>
        <v>Top 25 Performance Marketing Agencies in 2026 | Brenton Way</v>
      </c>
      <c r="C269" s="10" t="str">
        <f>IFERROR(__xludf.DUMMYFUNCTION("""COMPUTED_VALUE"""),"brentonway.com")</f>
        <v>brentonway.com</v>
      </c>
      <c r="D269" s="11" t="str">
        <f>IFERROR(__xludf.DUMMYFUNCTION("""COMPUTED_VALUE"""),"LISTICLE")</f>
        <v>LISTICLE</v>
      </c>
      <c r="E269" s="11" t="str">
        <f>IFERROR(__xludf.DUMMYFUNCTION("""COMPUTED_VALUE"""),"CORPORATE")</f>
        <v>CORPORATE</v>
      </c>
      <c r="F269" s="11" t="str">
        <f>IFERROR(__xludf.DUMMYFUNCTION("""COMPUTED_VALUE"""),"Listicle")</f>
        <v>Listicle</v>
      </c>
      <c r="G269" s="11" t="b">
        <f>IFERROR(__xludf.DUMMYFUNCTION("""COMPUTED_VALUE"""),FALSE)</f>
        <v>0</v>
      </c>
      <c r="H269" s="11" t="str">
        <f>IFERROR(__xludf.DUMMYFUNCTION("""COMPUTED_VALUE"""),"Right Side Up, NoGood, inBeat, Disruptive Advertising, Directive, Power Digital, Thrive Internet Marketing Agency")</f>
        <v>Right Side Up, NoGood, inBeat, Disruptive Advertising, Directive, Power Digital, Thrive Internet Marketing Agency</v>
      </c>
      <c r="I269" s="11">
        <f>IFERROR(__xludf.DUMMYFUNCTION("""COMPUTED_VALUE"""),5.0)</f>
        <v>5</v>
      </c>
      <c r="J269" s="11">
        <f>IFERROR(__xludf.DUMMYFUNCTION("""COMPUTED_VALUE"""),0.0)</f>
        <v>0</v>
      </c>
      <c r="K269" s="11">
        <f>IFERROR(__xludf.DUMMYFUNCTION("""COMPUTED_VALUE"""),0.8)</f>
        <v>0.8</v>
      </c>
    </row>
    <row r="270" ht="15.75" customHeight="1">
      <c r="A270" s="10" t="str">
        <f>IFERROR(__xludf.DUMMYFUNCTION("""COMPUTED_VALUE"""),"https://clicksgeek.com/best-paid-advertising-platforms-for-businesses/")</f>
        <v>https://clicksgeek.com/best-paid-advertising-platforms-for-businesses/</v>
      </c>
      <c r="B270" s="11" t="str">
        <f>IFERROR(__xludf.DUMMYFUNCTION("""COMPUTED_VALUE"""),"Best Paid Advertising Platforms For Businesses 2026")</f>
        <v>Best Paid Advertising Platforms For Businesses 2026</v>
      </c>
      <c r="C270" s="10" t="str">
        <f>IFERROR(__xludf.DUMMYFUNCTION("""COMPUTED_VALUE"""),"clicksgeek.com")</f>
        <v>clicksgeek.com</v>
      </c>
      <c r="D270" s="11" t="str">
        <f>IFERROR(__xludf.DUMMYFUNCTION("""COMPUTED_VALUE"""),"LISTICLE")</f>
        <v>LISTICLE</v>
      </c>
      <c r="E270" s="11" t="str">
        <f>IFERROR(__xludf.DUMMYFUNCTION("""COMPUTED_VALUE"""),"CORPORATE")</f>
        <v>CORPORATE</v>
      </c>
      <c r="F270" s="11" t="str">
        <f>IFERROR(__xludf.DUMMYFUNCTION("""COMPUTED_VALUE"""),"Listicle")</f>
        <v>Listicle</v>
      </c>
      <c r="G270" s="11" t="b">
        <f>IFERROR(__xludf.DUMMYFUNCTION("""COMPUTED_VALUE"""),FALSE)</f>
        <v>0</v>
      </c>
      <c r="H270" s="11"/>
      <c r="I270" s="11">
        <f>IFERROR(__xludf.DUMMYFUNCTION("""COMPUTED_VALUE"""),5.0)</f>
        <v>5</v>
      </c>
      <c r="J270" s="11">
        <f>IFERROR(__xludf.DUMMYFUNCTION("""COMPUTED_VALUE"""),0.0)</f>
        <v>0</v>
      </c>
      <c r="K270" s="11">
        <f>IFERROR(__xludf.DUMMYFUNCTION("""COMPUTED_VALUE"""),0.8)</f>
        <v>0.8</v>
      </c>
    </row>
    <row r="271" ht="15.75" customHeight="1">
      <c r="A271" s="10" t="str">
        <f>IFERROR(__xludf.DUMMYFUNCTION("""COMPUTED_VALUE"""),"https://co.agencyspotter.com/50-largest-marketing-companies-in-the-world/")</f>
        <v>https://co.agencyspotter.com/50-largest-marketing-companies-in-the-world/</v>
      </c>
      <c r="B271" s="11" t="str">
        <f>IFERROR(__xludf.DUMMYFUNCTION("""COMPUTED_VALUE"""),"50 Largest Marketing Companies in the World - Leadership + Insights - Marketing Matters by Agency Spotter")</f>
        <v>50 Largest Marketing Companies in the World - Leadership + Insights - Marketing Matters by Agency Spotter</v>
      </c>
      <c r="C271" s="10" t="str">
        <f>IFERROR(__xludf.DUMMYFUNCTION("""COMPUTED_VALUE"""),"agencyspotter.com")</f>
        <v>agencyspotter.com</v>
      </c>
      <c r="D271" s="11" t="str">
        <f>IFERROR(__xludf.DUMMYFUNCTION("""COMPUTED_VALUE"""),"LISTICLE")</f>
        <v>LISTICLE</v>
      </c>
      <c r="E271" s="11" t="str">
        <f>IFERROR(__xludf.DUMMYFUNCTION("""COMPUTED_VALUE"""),"REFERENCE")</f>
        <v>REFERENCE</v>
      </c>
      <c r="F271" s="11" t="str">
        <f>IFERROR(__xludf.DUMMYFUNCTION("""COMPUTED_VALUE"""),"Listicle")</f>
        <v>Listicle</v>
      </c>
      <c r="G271" s="11" t="b">
        <f>IFERROR(__xludf.DUMMYFUNCTION("""COMPUTED_VALUE"""),FALSE)</f>
        <v>0</v>
      </c>
      <c r="H271" s="11" t="str">
        <f>IFERROR(__xludf.DUMMYFUNCTION("""COMPUTED_VALUE"""),"Huge, BBDO, WPP, Dentsu, GroupM, Omnicom Media Group, Merkle, Publicis Groupe, Digitas, Acxiom, IBM, Ogilvy, Epsilon, Deloitte Digital, PwC")</f>
        <v>Huge, BBDO, WPP, Dentsu, GroupM, Omnicom Media Group, Merkle, Publicis Groupe, Digitas, Acxiom, IBM, Ogilvy, Epsilon, Deloitte Digital, PwC</v>
      </c>
      <c r="I271" s="11">
        <f>IFERROR(__xludf.DUMMYFUNCTION("""COMPUTED_VALUE"""),5.0)</f>
        <v>5</v>
      </c>
      <c r="J271" s="11">
        <f>IFERROR(__xludf.DUMMYFUNCTION("""COMPUTED_VALUE"""),0.0)</f>
        <v>0</v>
      </c>
      <c r="K271" s="11">
        <f>IFERROR(__xludf.DUMMYFUNCTION("""COMPUTED_VALUE"""),1.2)</f>
        <v>1.2</v>
      </c>
    </row>
    <row r="272" ht="15.75" customHeight="1">
      <c r="A272" s="10" t="str">
        <f>IFERROR(__xludf.DUMMYFUNCTION("""COMPUTED_VALUE"""),"https://www.darkroomagency.com/observatory/10-best-growth-marketing-agencies-in-2026-(ranked-for-online-sales)#:~:text=Brainlabs%20can%20be%20a%20strong,that%20experimentation%20extends%20beyond%20media.")</f>
        <v>https://www.darkroomagency.com/observatory/10-best-growth-marketing-agencies-in-2026-(ranked-for-online-sales)#:~:text=Brainlabs%20can%20be%20a%20strong,that%20experimentation%20extends%20beyond%20media.</v>
      </c>
      <c r="B272" s="11" t="str">
        <f>IFERROR(__xludf.DUMMYFUNCTION("""COMPUTED_VALUE"""),"Growth Marketing Solutions: 10 Best Agencies (2026)")</f>
        <v>Growth Marketing Solutions: 10 Best Agencies (2026)</v>
      </c>
      <c r="C272" s="10" t="str">
        <f>IFERROR(__xludf.DUMMYFUNCTION("""COMPUTED_VALUE"""),"darkroomagency.com")</f>
        <v>darkroomagency.com</v>
      </c>
      <c r="D272" s="11" t="str">
        <f>IFERROR(__xludf.DUMMYFUNCTION("""COMPUTED_VALUE"""),"LISTICLE")</f>
        <v>LISTICLE</v>
      </c>
      <c r="E272" s="11" t="str">
        <f>IFERROR(__xludf.DUMMYFUNCTION("""COMPUTED_VALUE"""),"COMPETITOR")</f>
        <v>COMPETITOR</v>
      </c>
      <c r="F272" s="11" t="str">
        <f>IFERROR(__xludf.DUMMYFUNCTION("""COMPUTED_VALUE"""),"Listicle")</f>
        <v>Listicle</v>
      </c>
      <c r="G272" s="11" t="b">
        <f>IFERROR(__xludf.DUMMYFUNCTION("""COMPUTED_VALUE"""),FALSE)</f>
        <v>0</v>
      </c>
      <c r="H272" s="11" t="str">
        <f>IFERROR(__xludf.DUMMYFUNCTION("""COMPUTED_VALUE"""),"Darkroom, Tinuiti, Wpromote, Brainlabs, Common Thread Collective, Disruptive Advertising, Power Digital, NoGood, Right Side Up, KlientBoost, Droga5")</f>
        <v>Darkroom, Tinuiti, Wpromote, Brainlabs, Common Thread Collective, Disruptive Advertising, Power Digital, NoGood, Right Side Up, KlientBoost, Droga5</v>
      </c>
      <c r="I272" s="11">
        <f>IFERROR(__xludf.DUMMYFUNCTION("""COMPUTED_VALUE"""),5.0)</f>
        <v>5</v>
      </c>
      <c r="J272" s="11">
        <f>IFERROR(__xludf.DUMMYFUNCTION("""COMPUTED_VALUE"""),0.0)</f>
        <v>0</v>
      </c>
      <c r="K272" s="11">
        <f>IFERROR(__xludf.DUMMYFUNCTION("""COMPUTED_VALUE"""),0.8)</f>
        <v>0.8</v>
      </c>
    </row>
    <row r="273" ht="15.75" customHeight="1">
      <c r="A273" s="10" t="str">
        <f>IFERROR(__xludf.DUMMYFUNCTION("""COMPUTED_VALUE"""),"https://directiveconsulting.com/blog/best-google-ads-agencies/")</f>
        <v>https://directiveconsulting.com/blog/best-google-ads-agencies/</v>
      </c>
      <c r="B273" s="11" t="str">
        <f>IFERROR(__xludf.DUMMYFUNCTION("""COMPUTED_VALUE"""),"20 Best Google Ads Agencies For B2B - Directive")</f>
        <v>20 Best Google Ads Agencies For B2B - Directive</v>
      </c>
      <c r="C273" s="10" t="str">
        <f>IFERROR(__xludf.DUMMYFUNCTION("""COMPUTED_VALUE"""),"directiveconsulting.com")</f>
        <v>directiveconsulting.com</v>
      </c>
      <c r="D273" s="11" t="str">
        <f>IFERROR(__xludf.DUMMYFUNCTION("""COMPUTED_VALUE"""),"LISTICLE")</f>
        <v>LISTICLE</v>
      </c>
      <c r="E273" s="11" t="str">
        <f>IFERROR(__xludf.DUMMYFUNCTION("""COMPUTED_VALUE"""),"COMPETITOR")</f>
        <v>COMPETITOR</v>
      </c>
      <c r="F273" s="11" t="str">
        <f>IFERROR(__xludf.DUMMYFUNCTION("""COMPUTED_VALUE"""),"Listicle")</f>
        <v>Listicle</v>
      </c>
      <c r="G273" s="11" t="b">
        <f>IFERROR(__xludf.DUMMYFUNCTION("""COMPUTED_VALUE"""),FALSE)</f>
        <v>0</v>
      </c>
      <c r="H273" s="11" t="str">
        <f>IFERROR(__xludf.DUMMYFUNCTION("""COMPUTED_VALUE"""),"Directive, Disruptive Advertising, KlientBoost, Single Grain, Ignite Visibility, WebFX, HawkSEM, SmartSites, Monks, Thrive Internet Marketing Agency, Wpromote, Amsive, NoGood, TransUnion, Clutch")</f>
        <v>Directive, Disruptive Advertising, KlientBoost, Single Grain, Ignite Visibility, WebFX, HawkSEM, SmartSites, Monks, Thrive Internet Marketing Agency, Wpromote, Amsive, NoGood, TransUnion, Clutch</v>
      </c>
      <c r="I273" s="11">
        <f>IFERROR(__xludf.DUMMYFUNCTION("""COMPUTED_VALUE"""),5.0)</f>
        <v>5</v>
      </c>
      <c r="J273" s="11">
        <f>IFERROR(__xludf.DUMMYFUNCTION("""COMPUTED_VALUE"""),0.0)</f>
        <v>0</v>
      </c>
      <c r="K273" s="11">
        <f>IFERROR(__xludf.DUMMYFUNCTION("""COMPUTED_VALUE"""),1.2)</f>
        <v>1.2</v>
      </c>
    </row>
    <row r="274" ht="15.75" customHeight="1">
      <c r="A274" s="10" t="str">
        <f>IFERROR(__xludf.DUMMYFUNCTION("""COMPUTED_VALUE"""),"https://firstpagesage.com/seo-blog/the-top-industrial-geo-aeo-agencies/")</f>
        <v>https://firstpagesage.com/seo-blog/the-top-industrial-geo-aeo-agencies/</v>
      </c>
      <c r="B274" s="11" t="str">
        <f>IFERROR(__xludf.DUMMYFUNCTION("""COMPUTED_VALUE"""),"The Top Industrial GEO/AEO Agencies of 2026 – First Page Sage")</f>
        <v>The Top Industrial GEO/AEO Agencies of 2026 – First Page Sage</v>
      </c>
      <c r="C274" s="10" t="str">
        <f>IFERROR(__xludf.DUMMYFUNCTION("""COMPUTED_VALUE"""),"firstpagesage.com")</f>
        <v>firstpagesage.com</v>
      </c>
      <c r="D274" s="11" t="str">
        <f>IFERROR(__xludf.DUMMYFUNCTION("""COMPUTED_VALUE"""),"LISTICLE")</f>
        <v>LISTICLE</v>
      </c>
      <c r="E274" s="11" t="str">
        <f>IFERROR(__xludf.DUMMYFUNCTION("""COMPUTED_VALUE"""),"COMPETITOR")</f>
        <v>COMPETITOR</v>
      </c>
      <c r="F274" s="11" t="str">
        <f>IFERROR(__xludf.DUMMYFUNCTION("""COMPUTED_VALUE"""),"Listicle")</f>
        <v>Listicle</v>
      </c>
      <c r="G274" s="11" t="b">
        <f>IFERROR(__xludf.DUMMYFUNCTION("""COMPUTED_VALUE"""),FALSE)</f>
        <v>0</v>
      </c>
      <c r="H274" s="11" t="str">
        <f>IFERROR(__xludf.DUMMYFUNCTION("""COMPUTED_VALUE"""),"First Page Sage, Measured")</f>
        <v>First Page Sage, Measured</v>
      </c>
      <c r="I274" s="11">
        <f>IFERROR(__xludf.DUMMYFUNCTION("""COMPUTED_VALUE"""),5.0)</f>
        <v>5</v>
      </c>
      <c r="J274" s="11">
        <f>IFERROR(__xludf.DUMMYFUNCTION("""COMPUTED_VALUE"""),0.0)</f>
        <v>0</v>
      </c>
      <c r="K274" s="11">
        <f>IFERROR(__xludf.DUMMYFUNCTION("""COMPUTED_VALUE"""),0.0)</f>
        <v>0</v>
      </c>
    </row>
    <row r="275" ht="15.75" customHeight="1">
      <c r="A275" s="10" t="str">
        <f>IFERROR(__xludf.DUMMYFUNCTION("""COMPUTED_VALUE"""),"https://www.growth-hackers.net/best-paid-media-agencies/")</f>
        <v>https://www.growth-hackers.net/best-paid-media-agencies/</v>
      </c>
      <c r="B275" s="11" t="str">
        <f>IFERROR(__xludf.DUMMYFUNCTION("""COMPUTED_VALUE"""),"Top 23 Paid Media Agencies in 2026 | Hire the Best Paid Media Agency | Growth Hackers")</f>
        <v>Top 23 Paid Media Agencies in 2026 | Hire the Best Paid Media Agency | Growth Hackers</v>
      </c>
      <c r="C275" s="10" t="str">
        <f>IFERROR(__xludf.DUMMYFUNCTION("""COMPUTED_VALUE"""),"growth-hackers.net")</f>
        <v>growth-hackers.net</v>
      </c>
      <c r="D275" s="11" t="str">
        <f>IFERROR(__xludf.DUMMYFUNCTION("""COMPUTED_VALUE"""),"LISTICLE")</f>
        <v>LISTICLE</v>
      </c>
      <c r="E275" s="11" t="str">
        <f>IFERROR(__xludf.DUMMYFUNCTION("""COMPUTED_VALUE"""),"CORPORATE")</f>
        <v>CORPORATE</v>
      </c>
      <c r="F275" s="11" t="str">
        <f>IFERROR(__xludf.DUMMYFUNCTION("""COMPUTED_VALUE"""),"Listicle")</f>
        <v>Listicle</v>
      </c>
      <c r="G275" s="11" t="b">
        <f>IFERROR(__xludf.DUMMYFUNCTION("""COMPUTED_VALUE"""),FALSE)</f>
        <v>0</v>
      </c>
      <c r="H275" s="11" t="str">
        <f>IFERROR(__xludf.DUMMYFUNCTION("""COMPUTED_VALUE"""),"inBeat, Intero Digital, Disruptive Advertising, IDHL, Marcel Digital, IBM")</f>
        <v>inBeat, Intero Digital, Disruptive Advertising, IDHL, Marcel Digital, IBM</v>
      </c>
      <c r="I275" s="11">
        <f>IFERROR(__xludf.DUMMYFUNCTION("""COMPUTED_VALUE"""),5.0)</f>
        <v>5</v>
      </c>
      <c r="J275" s="11">
        <f>IFERROR(__xludf.DUMMYFUNCTION("""COMPUTED_VALUE"""),0.0)</f>
        <v>0</v>
      </c>
      <c r="K275" s="11">
        <f>IFERROR(__xludf.DUMMYFUNCTION("""COMPUTED_VALUE"""),0.0)</f>
        <v>0</v>
      </c>
    </row>
    <row r="276" ht="15.75" customHeight="1">
      <c r="A276" s="10" t="str">
        <f>IFERROR(__xludf.DUMMYFUNCTION("""COMPUTED_VALUE"""),"https://itprofiles.com/services/digital-marketing/united-states")</f>
        <v>https://itprofiles.com/services/digital-marketing/united-states</v>
      </c>
      <c r="B276" s="11" t="str">
        <f>IFERROR(__xludf.DUMMYFUNCTION("""COMPUTED_VALUE"""),"In the Spotlight - Highest-Rated Digital Marketing Agencies in United States for Jul 2026 | ITProfiles")</f>
        <v>In the Spotlight - Highest-Rated Digital Marketing Agencies in United States for Jul 2026 | ITProfiles</v>
      </c>
      <c r="C276" s="10" t="str">
        <f>IFERROR(__xludf.DUMMYFUNCTION("""COMPUTED_VALUE"""),"itprofiles.com")</f>
        <v>itprofiles.com</v>
      </c>
      <c r="D276" s="11" t="str">
        <f>IFERROR(__xludf.DUMMYFUNCTION("""COMPUTED_VALUE"""),"LISTICLE")</f>
        <v>LISTICLE</v>
      </c>
      <c r="E276" s="11" t="str">
        <f>IFERROR(__xludf.DUMMYFUNCTION("""COMPUTED_VALUE"""),"REFERENCE")</f>
        <v>REFERENCE</v>
      </c>
      <c r="F276" s="11" t="str">
        <f>IFERROR(__xludf.DUMMYFUNCTION("""COMPUTED_VALUE"""),"Listicle")</f>
        <v>Listicle</v>
      </c>
      <c r="G276" s="11" t="b">
        <f>IFERROR(__xludf.DUMMYFUNCTION("""COMPUTED_VALUE"""),FALSE)</f>
        <v>0</v>
      </c>
      <c r="H276" s="11" t="str">
        <f>IFERROR(__xludf.DUMMYFUNCTION("""COMPUTED_VALUE"""),"WebFX, Ignite Visibility, Clutch, Intero Digital, SmartSites, Power Digital, Disruptive Advertising, Siege Media, Acadia, Directive, KlientBoost, AdVenture Media, Measured")</f>
        <v>WebFX, Ignite Visibility, Clutch, Intero Digital, SmartSites, Power Digital, Disruptive Advertising, Siege Media, Acadia, Directive, KlientBoost, AdVenture Media, Measured</v>
      </c>
      <c r="I276" s="11">
        <f>IFERROR(__xludf.DUMMYFUNCTION("""COMPUTED_VALUE"""),5.0)</f>
        <v>5</v>
      </c>
      <c r="J276" s="11">
        <f>IFERROR(__xludf.DUMMYFUNCTION("""COMPUTED_VALUE"""),0.0)</f>
        <v>0</v>
      </c>
      <c r="K276" s="11">
        <f>IFERROR(__xludf.DUMMYFUNCTION("""COMPUTED_VALUE"""),0.0)</f>
        <v>0</v>
      </c>
    </row>
    <row r="277" ht="15.75" customHeight="1">
      <c r="A277" s="10" t="str">
        <f>IFERROR(__xludf.DUMMYFUNCTION("""COMPUTED_VALUE"""),"https://www.keywordsearch.com/blog/top-ai-marketing-agency-trends-to-watch-in-2025")</f>
        <v>https://www.keywordsearch.com/blog/top-ai-marketing-agency-trends-to-watch-in-2025</v>
      </c>
      <c r="B277" s="11" t="str">
        <f>IFERROR(__xludf.DUMMYFUNCTION("""COMPUTED_VALUE"""),"Exploring the Best AI Marketing Agencies in 2025")</f>
        <v>Exploring the Best AI Marketing Agencies in 2025</v>
      </c>
      <c r="C277" s="10" t="str">
        <f>IFERROR(__xludf.DUMMYFUNCTION("""COMPUTED_VALUE"""),"keywordsearch.com")</f>
        <v>keywordsearch.com</v>
      </c>
      <c r="D277" s="11" t="str">
        <f>IFERROR(__xludf.DUMMYFUNCTION("""COMPUTED_VALUE"""),"LISTICLE")</f>
        <v>LISTICLE</v>
      </c>
      <c r="E277" s="11" t="str">
        <f>IFERROR(__xludf.DUMMYFUNCTION("""COMPUTED_VALUE"""),"CORPORATE")</f>
        <v>CORPORATE</v>
      </c>
      <c r="F277" s="11" t="str">
        <f>IFERROR(__xludf.DUMMYFUNCTION("""COMPUTED_VALUE"""),"Listicle")</f>
        <v>Listicle</v>
      </c>
      <c r="G277" s="11" t="b">
        <f>IFERROR(__xludf.DUMMYFUNCTION("""COMPUTED_VALUE"""),FALSE)</f>
        <v>0</v>
      </c>
      <c r="H277" s="11"/>
      <c r="I277" s="11">
        <f>IFERROR(__xludf.DUMMYFUNCTION("""COMPUTED_VALUE"""),5.0)</f>
        <v>5</v>
      </c>
      <c r="J277" s="11">
        <f>IFERROR(__xludf.DUMMYFUNCTION("""COMPUTED_VALUE"""),0.0)</f>
        <v>0</v>
      </c>
      <c r="K277" s="11">
        <f>IFERROR(__xludf.DUMMYFUNCTION("""COMPUTED_VALUE"""),0.0)</f>
        <v>0</v>
      </c>
    </row>
    <row r="278" ht="15.75" customHeight="1">
      <c r="A278" s="10" t="str">
        <f>IFERROR(__xludf.DUMMYFUNCTION("""COMPUTED_VALUE"""),"https://marketingltb.com/blog/agency/best-global-digital-marketing-agencies/")</f>
        <v>https://marketingltb.com/blog/agency/best-global-digital-marketing-agencies/</v>
      </c>
      <c r="B278" s="11" t="str">
        <f>IFERROR(__xludf.DUMMYFUNCTION("""COMPUTED_VALUE"""),"10 Best Global Digital Marketing Agencies in 2026 - Marketing LTB")</f>
        <v>10 Best Global Digital Marketing Agencies in 2026 - Marketing LTB</v>
      </c>
      <c r="C278" s="10" t="str">
        <f>IFERROR(__xludf.DUMMYFUNCTION("""COMPUTED_VALUE"""),"marketingltb.com")</f>
        <v>marketingltb.com</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t="str">
        <f>IFERROR(__xludf.DUMMYFUNCTION("""COMPUTED_VALUE"""),"Ogilvy, GroupM, Dentsu, Publicis Sapient, VML, iProspect, R/GA, IBM, WPP, Merkle, Publicis Groupe, Measured, Momentum")</f>
        <v>Ogilvy, GroupM, Dentsu, Publicis Sapient, VML, iProspect, R/GA, IBM, WPP, Merkle, Publicis Groupe, Measured, Momentum</v>
      </c>
      <c r="I278" s="11">
        <f>IFERROR(__xludf.DUMMYFUNCTION("""COMPUTED_VALUE"""),5.0)</f>
        <v>5</v>
      </c>
      <c r="J278" s="11">
        <f>IFERROR(__xludf.DUMMYFUNCTION("""COMPUTED_VALUE"""),0.0)</f>
        <v>0</v>
      </c>
      <c r="K278" s="11">
        <f>IFERROR(__xludf.DUMMYFUNCTION("""COMPUTED_VALUE"""),0.8)</f>
        <v>0.8</v>
      </c>
    </row>
    <row r="279" ht="15.75" customHeight="1">
      <c r="A279" s="10" t="str">
        <f>IFERROR(__xludf.DUMMYFUNCTION("""COMPUTED_VALUE"""),"https://piperocket.digital/list/top-performance-marketing-agencies/")</f>
        <v>https://piperocket.digital/list/top-performance-marketing-agencies/</v>
      </c>
      <c r="B279" s="11" t="str">
        <f>IFERROR(__xludf.DUMMYFUNCTION("""COMPUTED_VALUE"""),"9 Best Performance Marketing Agencies (2026 Review)")</f>
        <v>9 Best Performance Marketing Agencies (2026 Review)</v>
      </c>
      <c r="C279" s="11" t="str">
        <f>IFERROR(__xludf.DUMMYFUNCTION("""COMPUTED_VALUE"""),"piperocket.digital")</f>
        <v>piperocket.digital</v>
      </c>
      <c r="D279" s="11" t="str">
        <f>IFERROR(__xludf.DUMMYFUNCTION("""COMPUTED_VALUE"""),"LISTICLE")</f>
        <v>LISTICLE</v>
      </c>
      <c r="E279" s="11" t="str">
        <f>IFERROR(__xludf.DUMMYFUNCTION("""COMPUTED_VALUE"""),"CORPORATE")</f>
        <v>CORPORATE</v>
      </c>
      <c r="F279" s="11" t="str">
        <f>IFERROR(__xludf.DUMMYFUNCTION("""COMPUTED_VALUE"""),"Listicle")</f>
        <v>Listicle</v>
      </c>
      <c r="G279" s="11" t="b">
        <f>IFERROR(__xludf.DUMMYFUNCTION("""COMPUTED_VALUE"""),FALSE)</f>
        <v>0</v>
      </c>
      <c r="H279" s="11" t="str">
        <f>IFERROR(__xludf.DUMMYFUNCTION("""COMPUTED_VALUE"""),"Clutch, Directive, Tinuiti, Disruptive Advertising, Ignite Visibility, NoGood, The Social Shepherd, Power Digital, Dentsu")</f>
        <v>Clutch, Directive, Tinuiti, Disruptive Advertising, Ignite Visibility, NoGood, The Social Shepherd, Power Digital, Dentsu</v>
      </c>
      <c r="I279" s="11">
        <f>IFERROR(__xludf.DUMMYFUNCTION("""COMPUTED_VALUE"""),5.0)</f>
        <v>5</v>
      </c>
      <c r="J279" s="11">
        <f>IFERROR(__xludf.DUMMYFUNCTION("""COMPUTED_VALUE"""),0.0)</f>
        <v>0</v>
      </c>
      <c r="K279" s="11">
        <f>IFERROR(__xludf.DUMMYFUNCTION("""COMPUTED_VALUE"""),0.0)</f>
        <v>0</v>
      </c>
    </row>
    <row r="280" ht="15.75" customHeight="1">
      <c r="A280" s="10" t="str">
        <f>IFERROR(__xludf.DUMMYFUNCTION("""COMPUTED_VALUE"""),"https://retailhub.co/best-of/best-geo-marketing-agency/")</f>
        <v>https://retailhub.co/best-of/best-geo-marketing-agency/</v>
      </c>
      <c r="B280" s="11" t="str">
        <f>IFERROR(__xludf.DUMMYFUNCTION("""COMPUTED_VALUE"""),"5 Best GEO Marketing Agencies in 2026 (Ranked by AI Search Results) - Retail Hub")</f>
        <v>5 Best GEO Marketing Agencies in 2026 (Ranked by AI Search Results) - Retail Hub</v>
      </c>
      <c r="C280" s="10" t="str">
        <f>IFERROR(__xludf.DUMMYFUNCTION("""COMPUTED_VALUE"""),"retailhub.co")</f>
        <v>retailhub.co</v>
      </c>
      <c r="D280" s="11" t="str">
        <f>IFERROR(__xludf.DUMMYFUNCTION("""COMPUTED_VALUE"""),"LISTICLE")</f>
        <v>LISTICLE</v>
      </c>
      <c r="E280" s="11" t="str">
        <f>IFERROR(__xludf.DUMMYFUNCTION("""COMPUTED_VALUE"""),"EDITORIAL")</f>
        <v>EDITORIAL</v>
      </c>
      <c r="F280" s="11" t="str">
        <f>IFERROR(__xludf.DUMMYFUNCTION("""COMPUTED_VALUE"""),"Listicle")</f>
        <v>Listicle</v>
      </c>
      <c r="G280" s="11" t="b">
        <f>IFERROR(__xludf.DUMMYFUNCTION("""COMPUTED_VALUE"""),FALSE)</f>
        <v>0</v>
      </c>
      <c r="H280" s="11" t="str">
        <f>IFERROR(__xludf.DUMMYFUNCTION("""COMPUTED_VALUE"""),"Clutch, First Page Sage, Siege Media")</f>
        <v>Clutch, First Page Sage, Siege Media</v>
      </c>
      <c r="I280" s="11">
        <f>IFERROR(__xludf.DUMMYFUNCTION("""COMPUTED_VALUE"""),5.0)</f>
        <v>5</v>
      </c>
      <c r="J280" s="11">
        <f>IFERROR(__xludf.DUMMYFUNCTION("""COMPUTED_VALUE"""),0.0)</f>
        <v>0</v>
      </c>
      <c r="K280" s="11">
        <f>IFERROR(__xludf.DUMMYFUNCTION("""COMPUTED_VALUE"""),0.0)</f>
        <v>0</v>
      </c>
    </row>
    <row r="281" ht="15.75" customHeight="1">
      <c r="A281" s="10" t="str">
        <f>IFERROR(__xludf.DUMMYFUNCTION("""COMPUTED_VALUE"""),"https://sociallyin.com/resources/top-creative-agencies-us/")</f>
        <v>https://sociallyin.com/resources/top-creative-agencies-us/</v>
      </c>
      <c r="B281" s="11" t="str">
        <f>IFERROR(__xludf.DUMMYFUNCTION("""COMPUTED_VALUE"""),"Top 5 Creative Agencies US Reviewed &amp;amp; Ranked for 2026")</f>
        <v>Top 5 Creative Agencies US Reviewed &amp;amp; Ranked for 2026</v>
      </c>
      <c r="C281" s="10" t="str">
        <f>IFERROR(__xludf.DUMMYFUNCTION("""COMPUTED_VALUE"""),"sociallyin.com")</f>
        <v>sociallyin.com</v>
      </c>
      <c r="D281" s="11" t="str">
        <f>IFERROR(__xludf.DUMMYFUNCTION("""COMPUTED_VALUE"""),"LISTICLE")</f>
        <v>LISTICLE</v>
      </c>
      <c r="E281" s="11" t="str">
        <f>IFERROR(__xludf.DUMMYFUNCTION("""COMPUTED_VALUE"""),"COMPETITOR")</f>
        <v>COMPETITOR</v>
      </c>
      <c r="F281" s="11" t="str">
        <f>IFERROR(__xludf.DUMMYFUNCTION("""COMPUTED_VALUE"""),"Listicle")</f>
        <v>Listicle</v>
      </c>
      <c r="G281" s="11" t="b">
        <f>IFERROR(__xludf.DUMMYFUNCTION("""COMPUTED_VALUE"""),FALSE)</f>
        <v>0</v>
      </c>
      <c r="H281" s="11" t="str">
        <f>IFERROR(__xludf.DUMMYFUNCTION("""COMPUTED_VALUE"""),"Sociallyin, McKinsey, inBeat, DEPT, Momentum")</f>
        <v>Sociallyin, McKinsey, inBeat, DEPT, Momentum</v>
      </c>
      <c r="I281" s="11">
        <f>IFERROR(__xludf.DUMMYFUNCTION("""COMPUTED_VALUE"""),5.0)</f>
        <v>5</v>
      </c>
      <c r="J281" s="11">
        <f>IFERROR(__xludf.DUMMYFUNCTION("""COMPUTED_VALUE"""),0.0)</f>
        <v>0</v>
      </c>
      <c r="K281" s="11">
        <f>IFERROR(__xludf.DUMMYFUNCTION("""COMPUTED_VALUE"""),0.0)</f>
        <v>0</v>
      </c>
    </row>
    <row r="282" ht="15.75" customHeight="1">
      <c r="A282" s="10" t="str">
        <f>IFERROR(__xludf.DUMMYFUNCTION("""COMPUTED_VALUE"""),"https://thefrankagency.com/best-paid-social-media-agencies/")</f>
        <v>https://thefrankagency.com/best-paid-social-media-agencies/</v>
      </c>
      <c r="B282" s="11" t="str">
        <f>IFERROR(__xludf.DUMMYFUNCTION("""COMPUTED_VALUE"""),"Top 13 Paid Social Media Agencies in 2026")</f>
        <v>Top 13 Paid Social Media Agencies in 2026</v>
      </c>
      <c r="C282" s="10" t="str">
        <f>IFERROR(__xludf.DUMMYFUNCTION("""COMPUTED_VALUE"""),"thefrankagency.com")</f>
        <v>thefrankagency.com</v>
      </c>
      <c r="D282" s="11" t="str">
        <f>IFERROR(__xludf.DUMMYFUNCTION("""COMPUTED_VALUE"""),"LISTICLE")</f>
        <v>LISTICLE</v>
      </c>
      <c r="E282" s="11" t="str">
        <f>IFERROR(__xludf.DUMMYFUNCTION("""COMPUTED_VALUE"""),"CORPORATE")</f>
        <v>CORPORATE</v>
      </c>
      <c r="F282" s="11" t="str">
        <f>IFERROR(__xludf.DUMMYFUNCTION("""COMPUTED_VALUE"""),"Listicle")</f>
        <v>Listicle</v>
      </c>
      <c r="G282" s="11" t="b">
        <f>IFERROR(__xludf.DUMMYFUNCTION("""COMPUTED_VALUE"""),FALSE)</f>
        <v>0</v>
      </c>
      <c r="H282" s="11" t="str">
        <f>IFERROR(__xludf.DUMMYFUNCTION("""COMPUTED_VALUE"""),"Power Digital, Thrive Internet Marketing Agency, Momentum, WebFX, Sociallyin")</f>
        <v>Power Digital, Thrive Internet Marketing Agency, Momentum, WebFX, Sociallyin</v>
      </c>
      <c r="I282" s="11">
        <f>IFERROR(__xludf.DUMMYFUNCTION("""COMPUTED_VALUE"""),5.0)</f>
        <v>5</v>
      </c>
      <c r="J282" s="11">
        <f>IFERROR(__xludf.DUMMYFUNCTION("""COMPUTED_VALUE"""),0.0)</f>
        <v>0</v>
      </c>
      <c r="K282" s="11">
        <f>IFERROR(__xludf.DUMMYFUNCTION("""COMPUTED_VALUE"""),0.0)</f>
        <v>0</v>
      </c>
    </row>
    <row r="283" ht="15.75" customHeight="1">
      <c r="A283" s="10" t="str">
        <f>IFERROR(__xludf.DUMMYFUNCTION("""COMPUTED_VALUE"""),"https://themanifest.com/us/creative/agencies")</f>
        <v>https://themanifest.com/us/creative/agencies</v>
      </c>
      <c r="B283" s="11" t="str">
        <f>IFERROR(__xludf.DUMMYFUNCTION("""COMPUTED_VALUE"""),"The Best Creative Companies in United States - Jul 2026 | The Manifest")</f>
        <v>The Best Creative Companies in United States - Jul 2026 | The Manifest</v>
      </c>
      <c r="C283" s="10" t="str">
        <f>IFERROR(__xludf.DUMMYFUNCTION("""COMPUTED_VALUE"""),"themanifest.com")</f>
        <v>themanifest.com</v>
      </c>
      <c r="D283" s="11" t="str">
        <f>IFERROR(__xludf.DUMMYFUNCTION("""COMPUTED_VALUE"""),"LISTICLE")</f>
        <v>LISTICLE</v>
      </c>
      <c r="E283" s="11" t="str">
        <f>IFERROR(__xludf.DUMMYFUNCTION("""COMPUTED_VALUE"""),"REFERENCE")</f>
        <v>REFERENCE</v>
      </c>
      <c r="F283" s="11" t="str">
        <f>IFERROR(__xludf.DUMMYFUNCTION("""COMPUTED_VALUE"""),"Listicle")</f>
        <v>Listicle</v>
      </c>
      <c r="G283" s="11" t="b">
        <f>IFERROR(__xludf.DUMMYFUNCTION("""COMPUTED_VALUE"""),FALSE)</f>
        <v>0</v>
      </c>
      <c r="H283" s="11" t="str">
        <f>IFERROR(__xludf.DUMMYFUNCTION("""COMPUTED_VALUE"""),"Clutch, IBM, Clay, PwC")</f>
        <v>Clutch, IBM, Clay, PwC</v>
      </c>
      <c r="I283" s="11">
        <f>IFERROR(__xludf.DUMMYFUNCTION("""COMPUTED_VALUE"""),5.0)</f>
        <v>5</v>
      </c>
      <c r="J283" s="11">
        <f>IFERROR(__xludf.DUMMYFUNCTION("""COMPUTED_VALUE"""),0.0)</f>
        <v>0</v>
      </c>
      <c r="K283" s="11">
        <f>IFERROR(__xludf.DUMMYFUNCTION("""COMPUTED_VALUE"""),0.0)</f>
        <v>0</v>
      </c>
    </row>
    <row r="284" ht="15.75" customHeight="1">
      <c r="A284" s="10" t="str">
        <f>IFERROR(__xludf.DUMMYFUNCTION("""COMPUTED_VALUE"""),"https://themanifest.com/us/social-media/agencies")</f>
        <v>https://themanifest.com/us/social-media/agencies</v>
      </c>
      <c r="B284" s="11" t="str">
        <f>IFERROR(__xludf.DUMMYFUNCTION("""COMPUTED_VALUE"""),"The Best Social Media Marketing Companies in United States - Jul 2026 | The Manifest")</f>
        <v>The Best Social Media Marketing Companies in United States - Jul 2026 | The Manifest</v>
      </c>
      <c r="C284" s="10" t="str">
        <f>IFERROR(__xludf.DUMMYFUNCTION("""COMPUTED_VALUE"""),"themanifest.com")</f>
        <v>themanifest.com</v>
      </c>
      <c r="D284" s="11" t="str">
        <f>IFERROR(__xludf.DUMMYFUNCTION("""COMPUTED_VALUE"""),"LISTICLE")</f>
        <v>LISTICLE</v>
      </c>
      <c r="E284" s="11" t="str">
        <f>IFERROR(__xludf.DUMMYFUNCTION("""COMPUTED_VALUE"""),"REFERENCE")</f>
        <v>REFERENCE</v>
      </c>
      <c r="F284" s="11" t="str">
        <f>IFERROR(__xludf.DUMMYFUNCTION("""COMPUTED_VALUE"""),"Listicle")</f>
        <v>Listicle</v>
      </c>
      <c r="G284" s="11" t="b">
        <f>IFERROR(__xludf.DUMMYFUNCTION("""COMPUTED_VALUE"""),FALSE)</f>
        <v>0</v>
      </c>
      <c r="H284" s="11" t="str">
        <f>IFERROR(__xludf.DUMMYFUNCTION("""COMPUTED_VALUE"""),"Clutch, LYFE Marketing, Sociallyin, Power Digital, Viral Nation, SmartSites, AdVenture Media, NinjaPromo")</f>
        <v>Clutch, LYFE Marketing, Sociallyin, Power Digital, Viral Nation, SmartSites, AdVenture Media, NinjaPromo</v>
      </c>
      <c r="I284" s="11">
        <f>IFERROR(__xludf.DUMMYFUNCTION("""COMPUTED_VALUE"""),5.0)</f>
        <v>5</v>
      </c>
      <c r="J284" s="11">
        <f>IFERROR(__xludf.DUMMYFUNCTION("""COMPUTED_VALUE"""),0.0)</f>
        <v>0</v>
      </c>
      <c r="K284" s="11">
        <f>IFERROR(__xludf.DUMMYFUNCTION("""COMPUTED_VALUE"""),0.0)</f>
        <v>0</v>
      </c>
    </row>
    <row r="285" ht="15.75" customHeight="1">
      <c r="A285" s="10" t="str">
        <f>IFERROR(__xludf.DUMMYFUNCTION("""COMPUTED_VALUE"""),"https://www.tofuhq.com/post/best-ai-agents-for-marketing")</f>
        <v>https://www.tofuhq.com/post/best-ai-agents-for-marketing</v>
      </c>
      <c r="B285" s="11" t="str">
        <f>IFERROR(__xludf.DUMMYFUNCTION("""COMPUTED_VALUE"""),"The 7 Best AI Agents for Marketing in 2026")</f>
        <v>The 7 Best AI Agents for Marketing in 2026</v>
      </c>
      <c r="C285" s="10" t="str">
        <f>IFERROR(__xludf.DUMMYFUNCTION("""COMPUTED_VALUE"""),"tofuhq.com")</f>
        <v>tofuhq.com</v>
      </c>
      <c r="D285" s="11" t="str">
        <f>IFERROR(__xludf.DUMMYFUNCTION("""COMPUTED_VALUE"""),"LISTICLE")</f>
        <v>LISTICLE</v>
      </c>
      <c r="E285" s="11" t="str">
        <f>IFERROR(__xludf.DUMMYFUNCTION("""COMPUTED_VALUE"""),"CORPORATE")</f>
        <v>CORPORATE</v>
      </c>
      <c r="F285" s="11" t="str">
        <f>IFERROR(__xludf.DUMMYFUNCTION("""COMPUTED_VALUE"""),"Listicle")</f>
        <v>Listicle</v>
      </c>
      <c r="G285" s="11" t="b">
        <f>IFERROR(__xludf.DUMMYFUNCTION("""COMPUTED_VALUE"""),FALSE)</f>
        <v>0</v>
      </c>
      <c r="H285" s="11"/>
      <c r="I285" s="11">
        <f>IFERROR(__xludf.DUMMYFUNCTION("""COMPUTED_VALUE"""),5.0)</f>
        <v>5</v>
      </c>
      <c r="J285" s="11">
        <f>IFERROR(__xludf.DUMMYFUNCTION("""COMPUTED_VALUE"""),0.0)</f>
        <v>0</v>
      </c>
      <c r="K285" s="11">
        <f>IFERROR(__xludf.DUMMYFUNCTION("""COMPUTED_VALUE"""),0.0)</f>
        <v>0</v>
      </c>
    </row>
    <row r="286" ht="15.75" customHeight="1">
      <c r="A286" s="10" t="str">
        <f>IFERROR(__xludf.DUMMYFUNCTION("""COMPUTED_VALUE"""),"https://typecast.ai/learn/the-best-ai-marketing-agency/")</f>
        <v>https://typecast.ai/learn/the-best-ai-marketing-agency/</v>
      </c>
      <c r="B286" s="11" t="str">
        <f>IFERROR(__xludf.DUMMYFUNCTION("""COMPUTED_VALUE"""),"The Best AI Advertising Companies and Marketing Agencies | Typecast")</f>
        <v>The Best AI Advertising Companies and Marketing Agencies | Typecast</v>
      </c>
      <c r="C286" s="10" t="str">
        <f>IFERROR(__xludf.DUMMYFUNCTION("""COMPUTED_VALUE"""),"typecast.ai")</f>
        <v>typecast.ai</v>
      </c>
      <c r="D286" s="11" t="str">
        <f>IFERROR(__xludf.DUMMYFUNCTION("""COMPUTED_VALUE"""),"LISTICLE")</f>
        <v>LISTICLE</v>
      </c>
      <c r="E286" s="11" t="str">
        <f>IFERROR(__xludf.DUMMYFUNCTION("""COMPUTED_VALUE"""),"CORPORATE")</f>
        <v>CORPORATE</v>
      </c>
      <c r="F286" s="11" t="str">
        <f>IFERROR(__xludf.DUMMYFUNCTION("""COMPUTED_VALUE"""),"Listicle")</f>
        <v>Listicle</v>
      </c>
      <c r="G286" s="11" t="b">
        <f>IFERROR(__xludf.DUMMYFUNCTION("""COMPUTED_VALUE"""),FALSE)</f>
        <v>0</v>
      </c>
      <c r="H286" s="11" t="str">
        <f>IFERROR(__xludf.DUMMYFUNCTION("""COMPUTED_VALUE"""),"NoGood, Single Grain, Keenfolks, Ignite Visibility, WPP")</f>
        <v>NoGood, Single Grain, Keenfolks, Ignite Visibility, WPP</v>
      </c>
      <c r="I286" s="11">
        <f>IFERROR(__xludf.DUMMYFUNCTION("""COMPUTED_VALUE"""),5.0)</f>
        <v>5</v>
      </c>
      <c r="J286" s="11">
        <f>IFERROR(__xludf.DUMMYFUNCTION("""COMPUTED_VALUE"""),0.0)</f>
        <v>0</v>
      </c>
      <c r="K286" s="11">
        <f>IFERROR(__xludf.DUMMYFUNCTION("""COMPUTED_VALUE"""),0.0)</f>
        <v>0</v>
      </c>
    </row>
    <row r="287" ht="15.75" customHeight="1">
      <c r="A287" s="10" t="str">
        <f>IFERROR(__xludf.DUMMYFUNCTION("""COMPUTED_VALUE"""),"https://usermaven.com/blog/marketing-analytics-companies")</f>
        <v>https://usermaven.com/blog/marketing-analytics-companies</v>
      </c>
      <c r="B287" s="11" t="str">
        <f>IFERROR(__xludf.DUMMYFUNCTION("""COMPUTED_VALUE"""),"Top 10 marketing analytics companies in 2026")</f>
        <v>Top 10 marketing analytics companies in 2026</v>
      </c>
      <c r="C287" s="10" t="str">
        <f>IFERROR(__xludf.DUMMYFUNCTION("""COMPUTED_VALUE"""),"usermaven.com")</f>
        <v>usermaven.com</v>
      </c>
      <c r="D287" s="11" t="str">
        <f>IFERROR(__xludf.DUMMYFUNCTION("""COMPUTED_VALUE"""),"LISTICLE")</f>
        <v>LISTICLE</v>
      </c>
      <c r="E287" s="11" t="str">
        <f>IFERROR(__xludf.DUMMYFUNCTION("""COMPUTED_VALUE"""),"CORPORATE")</f>
        <v>CORPORATE</v>
      </c>
      <c r="F287" s="11" t="str">
        <f>IFERROR(__xludf.DUMMYFUNCTION("""COMPUTED_VALUE"""),"Listicle")</f>
        <v>Listicle</v>
      </c>
      <c r="G287" s="11" t="b">
        <f>IFERROR(__xludf.DUMMYFUNCTION("""COMPUTED_VALUE"""),FALSE)</f>
        <v>0</v>
      </c>
      <c r="H287" s="11" t="str">
        <f>IFERROR(__xludf.DUMMYFUNCTION("""COMPUTED_VALUE"""),"Ruler Analytics, HockeyStack, Cometly, Triple Whale, Rockerbox, Northbeam")</f>
        <v>Ruler Analytics, HockeyStack, Cometly, Triple Whale, Rockerbox, Northbeam</v>
      </c>
      <c r="I287" s="11">
        <f>IFERROR(__xludf.DUMMYFUNCTION("""COMPUTED_VALUE"""),5.0)</f>
        <v>5</v>
      </c>
      <c r="J287" s="11">
        <f>IFERROR(__xludf.DUMMYFUNCTION("""COMPUTED_VALUE"""),0.0)</f>
        <v>0</v>
      </c>
      <c r="K287" s="11">
        <f>IFERROR(__xludf.DUMMYFUNCTION("""COMPUTED_VALUE"""),0.4)</f>
        <v>0.4</v>
      </c>
    </row>
    <row r="288" ht="15.75" customHeight="1">
      <c r="A288" s="10" t="str">
        <f>IFERROR(__xludf.DUMMYFUNCTION("""COMPUTED_VALUE"""),"https://www.youtube.com/watch?v=uAp_SqhuvFg")</f>
        <v>https://www.youtube.com/watch?v=uAp_SqhuvFg</v>
      </c>
      <c r="B288" s="11" t="str">
        <f>IFERROR(__xludf.DUMMYFUNCTION("""COMPUTED_VALUE"""),"Top GEO Experts to Follow in 2026")</f>
        <v>Top GEO Experts to Follow in 2026</v>
      </c>
      <c r="C288" s="10" t="str">
        <f>IFERROR(__xludf.DUMMYFUNCTION("""COMPUTED_VALUE"""),"youtube.com")</f>
        <v>youtube.com</v>
      </c>
      <c r="D288" s="11" t="str">
        <f>IFERROR(__xludf.DUMMYFUNCTION("""COMPUTED_VALUE"""),"LISTICLE")</f>
        <v>LISTICLE</v>
      </c>
      <c r="E288" s="11" t="str">
        <f>IFERROR(__xludf.DUMMYFUNCTION("""COMPUTED_VALUE"""),"UGC")</f>
        <v>UGC</v>
      </c>
      <c r="F288" s="11" t="str">
        <f>IFERROR(__xludf.DUMMYFUNCTION("""COMPUTED_VALUE"""),"Listicle")</f>
        <v>Listicle</v>
      </c>
      <c r="G288" s="11" t="b">
        <f>IFERROR(__xludf.DUMMYFUNCTION("""COMPUTED_VALUE"""),FALSE)</f>
        <v>0</v>
      </c>
      <c r="H288" s="11"/>
      <c r="I288" s="11">
        <f>IFERROR(__xludf.DUMMYFUNCTION("""COMPUTED_VALUE"""),5.0)</f>
        <v>5</v>
      </c>
      <c r="J288" s="11">
        <f>IFERROR(__xludf.DUMMYFUNCTION("""COMPUTED_VALUE"""),0.0)</f>
        <v>0</v>
      </c>
      <c r="K288" s="11">
        <f>IFERROR(__xludf.DUMMYFUNCTION("""COMPUTED_VALUE"""),1.0)</f>
        <v>1</v>
      </c>
    </row>
    <row r="289" ht="15.75" customHeight="1">
      <c r="A289" s="10" t="str">
        <f>IFERROR(__xludf.DUMMYFUNCTION("""COMPUTED_VALUE"""),"https://agencyvista.com/lists/top-25-performance-marketing-agencies/")</f>
        <v>https://agencyvista.com/lists/top-25-performance-marketing-agencies/</v>
      </c>
      <c r="B289" s="11" t="str">
        <f>IFERROR(__xludf.DUMMYFUNCTION("""COMPUTED_VALUE"""),"Top 25 Performance Marketing Agencies . May 2025 Reviews. | Agency Vista")</f>
        <v>Top 25 Performance Marketing Agencies . May 2025 Reviews. | Agency Vista</v>
      </c>
      <c r="C289" s="10" t="str">
        <f>IFERROR(__xludf.DUMMYFUNCTION("""COMPUTED_VALUE"""),"agencyvista.com")</f>
        <v>agencyvista.com</v>
      </c>
      <c r="D289" s="11" t="str">
        <f>IFERROR(__xludf.DUMMYFUNCTION("""COMPUTED_VALUE"""),"LISTICLE")</f>
        <v>LISTICLE</v>
      </c>
      <c r="E289" s="11" t="str">
        <f>IFERROR(__xludf.DUMMYFUNCTION("""COMPUTED_VALUE"""),"CORPORATE")</f>
        <v>CORPORATE</v>
      </c>
      <c r="F289" s="11" t="str">
        <f>IFERROR(__xludf.DUMMYFUNCTION("""COMPUTED_VALUE"""),"Listicle")</f>
        <v>Listicle</v>
      </c>
      <c r="G289" s="11" t="b">
        <f>IFERROR(__xludf.DUMMYFUNCTION("""COMPUTED_VALUE"""),FALSE)</f>
        <v>0</v>
      </c>
      <c r="H289" s="11" t="str">
        <f>IFERROR(__xludf.DUMMYFUNCTION("""COMPUTED_VALUE"""),"SmartSites")</f>
        <v>SmartSites</v>
      </c>
      <c r="I289" s="11">
        <f>IFERROR(__xludf.DUMMYFUNCTION("""COMPUTED_VALUE"""),4.0)</f>
        <v>4</v>
      </c>
      <c r="J289" s="11">
        <f>IFERROR(__xludf.DUMMYFUNCTION("""COMPUTED_VALUE"""),0.0)</f>
        <v>0</v>
      </c>
      <c r="K289" s="11">
        <f>IFERROR(__xludf.DUMMYFUNCTION("""COMPUTED_VALUE"""),0.0)</f>
        <v>0</v>
      </c>
    </row>
    <row r="290" ht="15.75" customHeight="1">
      <c r="A290" s="10" t="str">
        <f>IFERROR(__xludf.DUMMYFUNCTION("""COMPUTED_VALUE"""),"https://www.ai-heroes.co/en-us/blog/best-ai-search-agencies-2026")</f>
        <v>https://www.ai-heroes.co/en-us/blog/best-ai-search-agencies-2026</v>
      </c>
      <c r="B290" s="11" t="str">
        <f>IFERROR(__xludf.DUMMYFUNCTION("""COMPUTED_VALUE"""),"Best AI Search Agencies 2026 (GEO and AEO) Compared | AI Heroes")</f>
        <v>Best AI Search Agencies 2026 (GEO and AEO) Compared | AI Heroes</v>
      </c>
      <c r="C290" s="10" t="str">
        <f>IFERROR(__xludf.DUMMYFUNCTION("""COMPUTED_VALUE"""),"ai-heroes.co")</f>
        <v>ai-heroes.co</v>
      </c>
      <c r="D290" s="11" t="str">
        <f>IFERROR(__xludf.DUMMYFUNCTION("""COMPUTED_VALUE"""),"LISTICLE")</f>
        <v>LISTICLE</v>
      </c>
      <c r="E290" s="11" t="str">
        <f>IFERROR(__xludf.DUMMYFUNCTION("""COMPUTED_VALUE"""),"CORPORATE")</f>
        <v>CORPORATE</v>
      </c>
      <c r="F290" s="11" t="str">
        <f>IFERROR(__xludf.DUMMYFUNCTION("""COMPUTED_VALUE"""),"Listicle")</f>
        <v>Listicle</v>
      </c>
      <c r="G290" s="11" t="b">
        <f>IFERROR(__xludf.DUMMYFUNCTION("""COMPUTED_VALUE"""),FALSE)</f>
        <v>0</v>
      </c>
      <c r="H290" s="11" t="str">
        <f>IFERROR(__xludf.DUMMYFUNCTION("""COMPUTED_VALUE"""),"Avenue Z, NoGood, Single Grain, Measured")</f>
        <v>Avenue Z, NoGood, Single Grain, Measured</v>
      </c>
      <c r="I290" s="11">
        <f>IFERROR(__xludf.DUMMYFUNCTION("""COMPUTED_VALUE"""),4.0)</f>
        <v>4</v>
      </c>
      <c r="J290" s="11">
        <f>IFERROR(__xludf.DUMMYFUNCTION("""COMPUTED_VALUE"""),0.0)</f>
        <v>0</v>
      </c>
      <c r="K290" s="11">
        <f>IFERROR(__xludf.DUMMYFUNCTION("""COMPUTED_VALUE"""),1.0)</f>
        <v>1</v>
      </c>
    </row>
    <row r="291" ht="15.75" customHeight="1">
      <c r="A291" s="10" t="str">
        <f>IFERROR(__xludf.DUMMYFUNCTION("""COMPUTED_VALUE"""),"https://www.arcintermedia.com/knowledge-base/seo-and-organic-reach/what-are-the-top-answer-engine-optimization-aeo-agencies/")</f>
        <v>https://www.arcintermedia.com/knowledge-base/seo-and-organic-reach/what-are-the-top-answer-engine-optimization-aeo-agencies/</v>
      </c>
      <c r="B291" s="11" t="str">
        <f>IFERROR(__xludf.DUMMYFUNCTION("""COMPUTED_VALUE"""),"TOP Answer Engine Optimization (AEO) Agencies")</f>
        <v>TOP Answer Engine Optimization (AEO) Agencies</v>
      </c>
      <c r="C291" s="10" t="str">
        <f>IFERROR(__xludf.DUMMYFUNCTION("""COMPUTED_VALUE"""),"arcintermedia.com")</f>
        <v>arcintermedia.com</v>
      </c>
      <c r="D291" s="11" t="str">
        <f>IFERROR(__xludf.DUMMYFUNCTION("""COMPUTED_VALUE"""),"LISTICLE")</f>
        <v>LISTICLE</v>
      </c>
      <c r="E291" s="11" t="str">
        <f>IFERROR(__xludf.DUMMYFUNCTION("""COMPUTED_VALUE"""),"CORPORATE")</f>
        <v>CORPORATE</v>
      </c>
      <c r="F291" s="11" t="str">
        <f>IFERROR(__xludf.DUMMYFUNCTION("""COMPUTED_VALUE"""),"Listicle")</f>
        <v>Listicle</v>
      </c>
      <c r="G291" s="11" t="b">
        <f>IFERROR(__xludf.DUMMYFUNCTION("""COMPUTED_VALUE"""),FALSE)</f>
        <v>0</v>
      </c>
      <c r="H291" s="11" t="str">
        <f>IFERROR(__xludf.DUMMYFUNCTION("""COMPUTED_VALUE"""),"First Page Sage, NoGood, Intero Digital")</f>
        <v>First Page Sage, NoGood, Intero Digital</v>
      </c>
      <c r="I291" s="11">
        <f>IFERROR(__xludf.DUMMYFUNCTION("""COMPUTED_VALUE"""),4.0)</f>
        <v>4</v>
      </c>
      <c r="J291" s="11">
        <f>IFERROR(__xludf.DUMMYFUNCTION("""COMPUTED_VALUE"""),0.0)</f>
        <v>0</v>
      </c>
      <c r="K291" s="11">
        <f>IFERROR(__xludf.DUMMYFUNCTION("""COMPUTED_VALUE"""),1.0)</f>
        <v>1</v>
      </c>
    </row>
    <row r="292" ht="15.75" customHeight="1">
      <c r="A292" s="10" t="str">
        <f>IFERROR(__xludf.DUMMYFUNCTION("""COMPUTED_VALUE"""),"https://www.b2bmarketing.net/top-10-us-b2b-marketing-agencies/")</f>
        <v>https://www.b2bmarketing.net/top-10-us-b2b-marketing-agencies/</v>
      </c>
      <c r="B292" s="11" t="str">
        <f>IFERROR(__xludf.DUMMYFUNCTION("""COMPUTED_VALUE"""),"Revealed: We Break Down The Top 10 B2B Marketing Agencies In The US - B2B Marketing")</f>
        <v>Revealed: We Break Down The Top 10 B2B Marketing Agencies In The US - B2B Marketing</v>
      </c>
      <c r="C292" s="10" t="str">
        <f>IFERROR(__xludf.DUMMYFUNCTION("""COMPUTED_VALUE"""),"b2bmarketing.net")</f>
        <v>b2bmarketing.net</v>
      </c>
      <c r="D292" s="11" t="str">
        <f>IFERROR(__xludf.DUMMYFUNCTION("""COMPUTED_VALUE"""),"LISTICLE")</f>
        <v>LISTICLE</v>
      </c>
      <c r="E292" s="11" t="str">
        <f>IFERROR(__xludf.DUMMYFUNCTION("""COMPUTED_VALUE"""),"INSTITUTIONAL")</f>
        <v>INSTITUTIONAL</v>
      </c>
      <c r="F292" s="11" t="str">
        <f>IFERROR(__xludf.DUMMYFUNCTION("""COMPUTED_VALUE"""),"Listicle")</f>
        <v>Listicle</v>
      </c>
      <c r="G292" s="11" t="b">
        <f>IFERROR(__xludf.DUMMYFUNCTION("""COMPUTED_VALUE"""),FALSE)</f>
        <v>0</v>
      </c>
      <c r="H292" s="11" t="str">
        <f>IFERROR(__xludf.DUMMYFUNCTION("""COMPUTED_VALUE"""),"Dentsu, Merkle")</f>
        <v>Dentsu, Merkle</v>
      </c>
      <c r="I292" s="11">
        <f>IFERROR(__xludf.DUMMYFUNCTION("""COMPUTED_VALUE"""),4.0)</f>
        <v>4</v>
      </c>
      <c r="J292" s="11">
        <f>IFERROR(__xludf.DUMMYFUNCTION("""COMPUTED_VALUE"""),0.0)</f>
        <v>0</v>
      </c>
      <c r="K292" s="11">
        <f>IFERROR(__xludf.DUMMYFUNCTION("""COMPUTED_VALUE"""),0.0)</f>
        <v>0</v>
      </c>
    </row>
    <row r="293" ht="15.75" customHeight="1">
      <c r="A293" s="10" t="str">
        <f>IFERROR(__xludf.DUMMYFUNCTION("""COMPUTED_VALUE"""),"https://www.bignewsnetwork.com/news/278956073/the-best-aeo-agencies-in-the-usa-for-2026")</f>
        <v>https://www.bignewsnetwork.com/news/278956073/the-best-aeo-agencies-in-the-usa-for-2026</v>
      </c>
      <c r="B293" s="11" t="str">
        <f>IFERROR(__xludf.DUMMYFUNCTION("""COMPUTED_VALUE"""),"The Best AEO Agencies in the USA for 2026")</f>
        <v>The Best AEO Agencies in the USA for 2026</v>
      </c>
      <c r="C293" s="10" t="str">
        <f>IFERROR(__xludf.DUMMYFUNCTION("""COMPUTED_VALUE"""),"bignewsnetwork.com")</f>
        <v>bignewsnetwork.com</v>
      </c>
      <c r="D293" s="11" t="str">
        <f>IFERROR(__xludf.DUMMYFUNCTION("""COMPUTED_VALUE"""),"LISTICLE")</f>
        <v>LISTICLE</v>
      </c>
      <c r="E293" s="11" t="str">
        <f>IFERROR(__xludf.DUMMYFUNCTION("""COMPUTED_VALUE"""),"EDITORIAL")</f>
        <v>EDITORIAL</v>
      </c>
      <c r="F293" s="11" t="str">
        <f>IFERROR(__xludf.DUMMYFUNCTION("""COMPUTED_VALUE"""),"Listicle")</f>
        <v>Listicle</v>
      </c>
      <c r="G293" s="11" t="b">
        <f>IFERROR(__xludf.DUMMYFUNCTION("""COMPUTED_VALUE"""),FALSE)</f>
        <v>0</v>
      </c>
      <c r="H293" s="11" t="str">
        <f>IFERROR(__xludf.DUMMYFUNCTION("""COMPUTED_VALUE"""),"Discovered Labs, WebFX, Measured, First Page Sage, Single Grain, Omniscient Digital, RevenueZen, Siege Media, NoGood, KlientBoost")</f>
        <v>Discovered Labs, WebFX, Measured, First Page Sage, Single Grain, Omniscient Digital, RevenueZen, Siege Media, NoGood, KlientBoost</v>
      </c>
      <c r="I293" s="11">
        <f>IFERROR(__xludf.DUMMYFUNCTION("""COMPUTED_VALUE"""),4.0)</f>
        <v>4</v>
      </c>
      <c r="J293" s="11">
        <f>IFERROR(__xludf.DUMMYFUNCTION("""COMPUTED_VALUE"""),0.0)</f>
        <v>0</v>
      </c>
      <c r="K293" s="11">
        <f>IFERROR(__xludf.DUMMYFUNCTION("""COMPUTED_VALUE"""),0.0)</f>
        <v>0</v>
      </c>
    </row>
    <row r="294" ht="15.75" customHeight="1">
      <c r="A294" s="10" t="str">
        <f>IFERROR(__xludf.DUMMYFUNCTION("""COMPUTED_VALUE"""),"https://www.campaignlive.com/article/pmg-tops-first-north-american-media-rankings-2026/1951942")</f>
        <v>https://www.campaignlive.com/article/pmg-tops-first-north-american-media-rankings-2026/1951942</v>
      </c>
      <c r="B294" s="11" t="str">
        <f>IFERROR(__xludf.DUMMYFUNCTION("""COMPUTED_VALUE"""),"PMG tops first North American media rankings of 2026 | Campaign US")</f>
        <v>PMG tops first North American media rankings of 2026 | Campaign US</v>
      </c>
      <c r="C294" s="10" t="str">
        <f>IFERROR(__xludf.DUMMYFUNCTION("""COMPUTED_VALUE"""),"campaignlive.com")</f>
        <v>campaignlive.com</v>
      </c>
      <c r="D294" s="11" t="str">
        <f>IFERROR(__xludf.DUMMYFUNCTION("""COMPUTED_VALUE"""),"LISTICLE")</f>
        <v>LISTICLE</v>
      </c>
      <c r="E294" s="11" t="str">
        <f>IFERROR(__xludf.DUMMYFUNCTION("""COMPUTED_VALUE"""),"EDITORIAL")</f>
        <v>EDITORIAL</v>
      </c>
      <c r="F294" s="11" t="str">
        <f>IFERROR(__xludf.DUMMYFUNCTION("""COMPUTED_VALUE"""),"Listicle")</f>
        <v>Listicle</v>
      </c>
      <c r="G294" s="11" t="b">
        <f>IFERROR(__xludf.DUMMYFUNCTION("""COMPUTED_VALUE"""),FALSE)</f>
        <v>0</v>
      </c>
      <c r="H294" s="11" t="str">
        <f>IFERROR(__xludf.DUMMYFUNCTION("""COMPUTED_VALUE"""),"PMG, WPP, Wpromote, Giant Spoon, Labelium, Momentum")</f>
        <v>PMG, WPP, Wpromote, Giant Spoon, Labelium, Momentum</v>
      </c>
      <c r="I294" s="11">
        <f>IFERROR(__xludf.DUMMYFUNCTION("""COMPUTED_VALUE"""),4.0)</f>
        <v>4</v>
      </c>
      <c r="J294" s="11">
        <f>IFERROR(__xludf.DUMMYFUNCTION("""COMPUTED_VALUE"""),0.0)</f>
        <v>0</v>
      </c>
      <c r="K294" s="11">
        <f>IFERROR(__xludf.DUMMYFUNCTION("""COMPUTED_VALUE"""),0.5)</f>
        <v>0.5</v>
      </c>
    </row>
    <row r="295" ht="15.75" customHeight="1">
      <c r="A295" s="10" t="str">
        <f>IFERROR(__xludf.DUMMYFUNCTION("""COMPUTED_VALUE"""),"https://carvertise.com/top-advertising-agency/")</f>
        <v>https://carvertise.com/top-advertising-agency/</v>
      </c>
      <c r="B295" s="11" t="str">
        <f>IFERROR(__xludf.DUMMYFUNCTION("""COMPUTED_VALUE"""),"Top Advertising Agencies In The US: A Top 10 List")</f>
        <v>Top Advertising Agencies In The US: A Top 10 List</v>
      </c>
      <c r="C295" s="10" t="str">
        <f>IFERROR(__xludf.DUMMYFUNCTION("""COMPUTED_VALUE"""),"carvertise.com")</f>
        <v>carvertise.com</v>
      </c>
      <c r="D295" s="11" t="str">
        <f>IFERROR(__xludf.DUMMYFUNCTION("""COMPUTED_VALUE"""),"LISTICLE")</f>
        <v>LISTICLE</v>
      </c>
      <c r="E295" s="11" t="str">
        <f>IFERROR(__xludf.DUMMYFUNCTION("""COMPUTED_VALUE"""),"CORPORATE")</f>
        <v>CORPORATE</v>
      </c>
      <c r="F295" s="11" t="str">
        <f>IFERROR(__xludf.DUMMYFUNCTION("""COMPUTED_VALUE"""),"Listicle")</f>
        <v>Listicle</v>
      </c>
      <c r="G295" s="11" t="b">
        <f>IFERROR(__xludf.DUMMYFUNCTION("""COMPUTED_VALUE"""),FALSE)</f>
        <v>0</v>
      </c>
      <c r="H295" s="11" t="str">
        <f>IFERROR(__xludf.DUMMYFUNCTION("""COMPUTED_VALUE"""),"Wieden+Kennedy, Ogilvy, IBM, BBDO, Droga5, TBWA\Chiat\Day, VML")</f>
        <v>Wieden+Kennedy, Ogilvy, IBM, BBDO, Droga5, TBWA\Chiat\Day, VML</v>
      </c>
      <c r="I295" s="11">
        <f>IFERROR(__xludf.DUMMYFUNCTION("""COMPUTED_VALUE"""),4.0)</f>
        <v>4</v>
      </c>
      <c r="J295" s="11">
        <f>IFERROR(__xludf.DUMMYFUNCTION("""COMPUTED_VALUE"""),0.0)</f>
        <v>0</v>
      </c>
      <c r="K295" s="11">
        <f>IFERROR(__xludf.DUMMYFUNCTION("""COMPUTED_VALUE"""),0.5)</f>
        <v>0.5</v>
      </c>
    </row>
    <row r="296" ht="15.75" customHeight="1">
      <c r="A296" s="10" t="str">
        <f>IFERROR(__xludf.DUMMYFUNCTION("""COMPUTED_VALUE"""),"https://www.christianandtimbers.com/insights/10-leading-ai-strategy-consulting-firms-in-2026")</f>
        <v>https://www.christianandtimbers.com/insights/10-leading-ai-strategy-consulting-firms-in-2026</v>
      </c>
      <c r="B296" s="11" t="str">
        <f>IFERROR(__xludf.DUMMYFUNCTION("""COMPUTED_VALUE"""),"10 Leading AI Strategy Consulting Firms in the US (2026)")</f>
        <v>10 Leading AI Strategy Consulting Firms in the US (2026)</v>
      </c>
      <c r="C296" s="10" t="str">
        <f>IFERROR(__xludf.DUMMYFUNCTION("""COMPUTED_VALUE"""),"christianandtimbers.com")</f>
        <v>christianandtimbers.com</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IFERROR(__xludf.DUMMYFUNCTION("""COMPUTED_VALUE"""),"McKinsey, QuantumBlack, BCG, IBM, PwC, Bain &amp; Company")</f>
        <v>McKinsey, QuantumBlack, BCG, IBM, PwC, Bain &amp; Company</v>
      </c>
      <c r="I296" s="11">
        <f>IFERROR(__xludf.DUMMYFUNCTION("""COMPUTED_VALUE"""),4.0)</f>
        <v>4</v>
      </c>
      <c r="J296" s="11">
        <f>IFERROR(__xludf.DUMMYFUNCTION("""COMPUTED_VALUE"""),0.0)</f>
        <v>0</v>
      </c>
      <c r="K296" s="11">
        <f>IFERROR(__xludf.DUMMYFUNCTION("""COMPUTED_VALUE"""),0.5)</f>
        <v>0.5</v>
      </c>
    </row>
    <row r="297" ht="15.75" customHeight="1">
      <c r="A297" s="10" t="str">
        <f>IFERROR(__xludf.DUMMYFUNCTION("""COMPUTED_VALUE"""),"https://www.cometly.com/post/marketing-attribution-consultant-services")</f>
        <v>https://www.cometly.com/post/marketing-attribution-consultant-services</v>
      </c>
      <c r="B297" s="11" t="str">
        <f>IFERROR(__xludf.DUMMYFUNCTION("""COMPUTED_VALUE"""),"Best Marketing Attribution Consultant Services 2026")</f>
        <v>Best Marketing Attribution Consultant Services 2026</v>
      </c>
      <c r="C297" s="10" t="str">
        <f>IFERROR(__xludf.DUMMYFUNCTION("""COMPUTED_VALUE"""),"cometly.com")</f>
        <v>cometly.com</v>
      </c>
      <c r="D297" s="11" t="str">
        <f>IFERROR(__xludf.DUMMYFUNCTION("""COMPUTED_VALUE"""),"LISTICLE")</f>
        <v>LISTICLE</v>
      </c>
      <c r="E297" s="11" t="str">
        <f>IFERROR(__xludf.DUMMYFUNCTION("""COMPUTED_VALUE"""),"COMPETITOR")</f>
        <v>COMPETITOR</v>
      </c>
      <c r="F297" s="11" t="str">
        <f>IFERROR(__xludf.DUMMYFUNCTION("""COMPUTED_VALUE"""),"Listicle")</f>
        <v>Listicle</v>
      </c>
      <c r="G297" s="11" t="b">
        <f>IFERROR(__xludf.DUMMYFUNCTION("""COMPUTED_VALUE"""),FALSE)</f>
        <v>0</v>
      </c>
      <c r="H297" s="11" t="str">
        <f>IFERROR(__xludf.DUMMYFUNCTION("""COMPUTED_VALUE"""),"Cometly, Measured, Rockerbox, Northbeam, Triple Whale, Ruler Analytics")</f>
        <v>Cometly, Measured, Rockerbox, Northbeam, Triple Whale, Ruler Analytics</v>
      </c>
      <c r="I297" s="11">
        <f>IFERROR(__xludf.DUMMYFUNCTION("""COMPUTED_VALUE"""),4.0)</f>
        <v>4</v>
      </c>
      <c r="J297" s="11">
        <f>IFERROR(__xludf.DUMMYFUNCTION("""COMPUTED_VALUE"""),0.0)</f>
        <v>0</v>
      </c>
      <c r="K297" s="11">
        <f>IFERROR(__xludf.DUMMYFUNCTION("""COMPUTED_VALUE"""),0.25)</f>
        <v>0.25</v>
      </c>
    </row>
    <row r="298" ht="15.75" customHeight="1">
      <c r="A298" s="10" t="str">
        <f>IFERROR(__xludf.DUMMYFUNCTION("""COMPUTED_VALUE"""),"https://www.commercepundit.com/blog/best-ai-seo-agencies/")</f>
        <v>https://www.commercepundit.com/blog/best-ai-seo-agencies/</v>
      </c>
      <c r="B298" s="11" t="str">
        <f>IFERROR(__xludf.DUMMYFUNCTION("""COMPUTED_VALUE"""),"10 Best AI SEO Agencies in 2026 | Commerce Pundit")</f>
        <v>10 Best AI SEO Agencies in 2026 | Commerce Pundit</v>
      </c>
      <c r="C298" s="10" t="str">
        <f>IFERROR(__xludf.DUMMYFUNCTION("""COMPUTED_VALUE"""),"commercepundit.com")</f>
        <v>commercepundit.com</v>
      </c>
      <c r="D298" s="11" t="str">
        <f>IFERROR(__xludf.DUMMYFUNCTION("""COMPUTED_VALUE"""),"LISTICLE")</f>
        <v>LISTICLE</v>
      </c>
      <c r="E298" s="11" t="str">
        <f>IFERROR(__xludf.DUMMYFUNCTION("""COMPUTED_VALUE"""),"EDITORIAL")</f>
        <v>EDITORIAL</v>
      </c>
      <c r="F298" s="11" t="str">
        <f>IFERROR(__xludf.DUMMYFUNCTION("""COMPUTED_VALUE"""),"Listicle")</f>
        <v>Listicle</v>
      </c>
      <c r="G298" s="11" t="b">
        <f>IFERROR(__xludf.DUMMYFUNCTION("""COMPUTED_VALUE"""),FALSE)</f>
        <v>0</v>
      </c>
      <c r="H298" s="11" t="str">
        <f>IFERROR(__xludf.DUMMYFUNCTION("""COMPUTED_VALUE"""),"Measured, Thrive Internet Marketing Agency, First Page Sage, Directive, Siege Media, Victorious, WebFX, Intero Digital")</f>
        <v>Measured, Thrive Internet Marketing Agency, First Page Sage, Directive, Siege Media, Victorious, WebFX, Intero Digital</v>
      </c>
      <c r="I298" s="11">
        <f>IFERROR(__xludf.DUMMYFUNCTION("""COMPUTED_VALUE"""),4.0)</f>
        <v>4</v>
      </c>
      <c r="J298" s="11">
        <f>IFERROR(__xludf.DUMMYFUNCTION("""COMPUTED_VALUE"""),0.0)</f>
        <v>0</v>
      </c>
      <c r="K298" s="11">
        <f>IFERROR(__xludf.DUMMYFUNCTION("""COMPUTED_VALUE"""),1.5)</f>
        <v>1.5</v>
      </c>
    </row>
    <row r="299" ht="15.75" customHeight="1">
      <c r="A299" s="10" t="str">
        <f>IFERROR(__xludf.DUMMYFUNCTION("""COMPUTED_VALUE"""),"https://delogostudio.com/blog/top-10-social-media-marketing-agencies-usa-2026/")</f>
        <v>https://delogostudio.com/blog/top-10-social-media-marketing-agencies-usa-2026/</v>
      </c>
      <c r="B299" s="11" t="str">
        <f>IFERROR(__xludf.DUMMYFUNCTION("""COMPUTED_VALUE"""),"Top 10 Social Media Marketing Agencies USA 2026")</f>
        <v>Top 10 Social Media Marketing Agencies USA 2026</v>
      </c>
      <c r="C299" s="10" t="str">
        <f>IFERROR(__xludf.DUMMYFUNCTION("""COMPUTED_VALUE"""),"delogostudio.com")</f>
        <v>delogostudio.com</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t="str">
        <f>IFERROR(__xludf.DUMMYFUNCTION("""COMPUTED_VALUE"""),"Disruptive Advertising, Ignite Visibility, SmartSites, Thrive Internet Marketing Agency, WebFX, Power Digital, Measured")</f>
        <v>Disruptive Advertising, Ignite Visibility, SmartSites, Thrive Internet Marketing Agency, WebFX, Power Digital, Measured</v>
      </c>
      <c r="I299" s="11">
        <f>IFERROR(__xludf.DUMMYFUNCTION("""COMPUTED_VALUE"""),4.0)</f>
        <v>4</v>
      </c>
      <c r="J299" s="11">
        <f>IFERROR(__xludf.DUMMYFUNCTION("""COMPUTED_VALUE"""),0.0)</f>
        <v>0</v>
      </c>
      <c r="K299" s="11">
        <f>IFERROR(__xludf.DUMMYFUNCTION("""COMPUTED_VALUE"""),0.0)</f>
        <v>0</v>
      </c>
    </row>
    <row r="300" ht="15.75" customHeight="1">
      <c r="A300" s="10" t="str">
        <f>IFERROR(__xludf.DUMMYFUNCTION("""COMPUTED_VALUE"""),"https://www.designity.com/blog/ai-marketing-agency")</f>
        <v>https://www.designity.com/blog/ai-marketing-agency</v>
      </c>
      <c r="B300" s="11" t="str">
        <f>IFERROR(__xludf.DUMMYFUNCTION("""COMPUTED_VALUE"""),"10 Powerhouse AI Marketing Agencies Leading the Future - Designity")</f>
        <v>10 Powerhouse AI Marketing Agencies Leading the Future - Designity</v>
      </c>
      <c r="C300" s="10" t="str">
        <f>IFERROR(__xludf.DUMMYFUNCTION("""COMPUTED_VALUE"""),"designity.com")</f>
        <v>designity.com</v>
      </c>
      <c r="D300" s="11" t="str">
        <f>IFERROR(__xludf.DUMMYFUNCTION("""COMPUTED_VALUE"""),"LISTICLE")</f>
        <v>LISTICLE</v>
      </c>
      <c r="E300" s="11" t="str">
        <f>IFERROR(__xludf.DUMMYFUNCTION("""COMPUTED_VALUE"""),"CORPORATE")</f>
        <v>CORPORATE</v>
      </c>
      <c r="F300" s="11" t="str">
        <f>IFERROR(__xludf.DUMMYFUNCTION("""COMPUTED_VALUE"""),"Listicle")</f>
        <v>Listicle</v>
      </c>
      <c r="G300" s="11" t="b">
        <f>IFERROR(__xludf.DUMMYFUNCTION("""COMPUTED_VALUE"""),FALSE)</f>
        <v>0</v>
      </c>
      <c r="H300" s="11" t="str">
        <f>IFERROR(__xludf.DUMMYFUNCTION("""COMPUTED_VALUE"""),"McKinsey, Single Grain, Omniscient Digital, NoGood, Clutch, Siege Media, Keenfolks, Jellyfish, Momentum")</f>
        <v>McKinsey, Single Grain, Omniscient Digital, NoGood, Clutch, Siege Media, Keenfolks, Jellyfish, Momentum</v>
      </c>
      <c r="I300" s="11">
        <f>IFERROR(__xludf.DUMMYFUNCTION("""COMPUTED_VALUE"""),4.0)</f>
        <v>4</v>
      </c>
      <c r="J300" s="11">
        <f>IFERROR(__xludf.DUMMYFUNCTION("""COMPUTED_VALUE"""),0.0)</f>
        <v>0</v>
      </c>
      <c r="K300" s="11">
        <f>IFERROR(__xludf.DUMMYFUNCTION("""COMPUTED_VALUE"""),0.0)</f>
        <v>0</v>
      </c>
    </row>
    <row r="301" ht="15.75" customHeight="1">
      <c r="A301" s="10" t="str">
        <f>IFERROR(__xludf.DUMMYFUNCTION("""COMPUTED_VALUE"""),"https://www.designity.com/blog/paid-media-agency")</f>
        <v>https://www.designity.com/blog/paid-media-agency</v>
      </c>
      <c r="B301" s="11" t="str">
        <f>IFERROR(__xludf.DUMMYFUNCTION("""COMPUTED_VALUE"""),"10 Paid Media Agencies Dominating Digital Advertising - Designity")</f>
        <v>10 Paid Media Agencies Dominating Digital Advertising - Designity</v>
      </c>
      <c r="C301" s="10" t="str">
        <f>IFERROR(__xludf.DUMMYFUNCTION("""COMPUTED_VALUE"""),"designity.com")</f>
        <v>designity.com</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IFERROR(__xludf.DUMMYFUNCTION("""COMPUTED_VALUE"""),"WebFX, Disruptive Advertising, Brainlabs, KlientBoost, NP Digital, Clutch, The Social Shepherd, NoGood, Power Digital")</f>
        <v>WebFX, Disruptive Advertising, Brainlabs, KlientBoost, NP Digital, Clutch, The Social Shepherd, NoGood, Power Digital</v>
      </c>
      <c r="I301" s="11">
        <f>IFERROR(__xludf.DUMMYFUNCTION("""COMPUTED_VALUE"""),4.0)</f>
        <v>4</v>
      </c>
      <c r="J301" s="11">
        <f>IFERROR(__xludf.DUMMYFUNCTION("""COMPUTED_VALUE"""),0.0)</f>
        <v>0</v>
      </c>
      <c r="K301" s="11">
        <f>IFERROR(__xludf.DUMMYFUNCTION("""COMPUTED_VALUE"""),0.0)</f>
        <v>0</v>
      </c>
    </row>
    <row r="302" ht="15.75" customHeight="1">
      <c r="A302" s="10" t="str">
        <f>IFERROR(__xludf.DUMMYFUNCTION("""COMPUTED_VALUE"""),"https://www.designrush.com/agency/paid-media-pay-per-click/google-adwords")</f>
        <v>https://www.designrush.com/agency/paid-media-pay-per-click/google-adwords</v>
      </c>
      <c r="B302" s="11" t="str">
        <f>IFERROR(__xludf.DUMMYFUNCTION("""COMPUTED_VALUE"""),"Top Google Ads Agencies in 2026")</f>
        <v>Top Google Ads Agencies in 2026</v>
      </c>
      <c r="C302" s="10" t="str">
        <f>IFERROR(__xludf.DUMMYFUNCTION("""COMPUTED_VALUE"""),"designrush.com")</f>
        <v>designrush.com</v>
      </c>
      <c r="D302" s="11" t="str">
        <f>IFERROR(__xludf.DUMMYFUNCTION("""COMPUTED_VALUE"""),"LISTICLE")</f>
        <v>LISTICLE</v>
      </c>
      <c r="E302" s="11" t="str">
        <f>IFERROR(__xludf.DUMMYFUNCTION("""COMPUTED_VALUE"""),"CORPORATE")</f>
        <v>CORPORATE</v>
      </c>
      <c r="F302" s="11" t="str">
        <f>IFERROR(__xludf.DUMMYFUNCTION("""COMPUTED_VALUE"""),"Listicle")</f>
        <v>Listicle</v>
      </c>
      <c r="G302" s="11" t="b">
        <f>IFERROR(__xludf.DUMMYFUNCTION("""COMPUTED_VALUE"""),FALSE)</f>
        <v>0</v>
      </c>
      <c r="H302" s="11" t="str">
        <f>IFERROR(__xludf.DUMMYFUNCTION("""COMPUTED_VALUE"""),"SmartSites, Searchbloom, Disruptive Advertising, Silverback Strategies, Funnel Boost Media, Huge, Intero Digital, KlientBoost, Elit-Web, Major Tom, IBM, Momentum")</f>
        <v>SmartSites, Searchbloom, Disruptive Advertising, Silverback Strategies, Funnel Boost Media, Huge, Intero Digital, KlientBoost, Elit-Web, Major Tom, IBM, Momentum</v>
      </c>
      <c r="I302" s="11">
        <f>IFERROR(__xludf.DUMMYFUNCTION("""COMPUTED_VALUE"""),4.0)</f>
        <v>4</v>
      </c>
      <c r="J302" s="11">
        <f>IFERROR(__xludf.DUMMYFUNCTION("""COMPUTED_VALUE"""),0.0)</f>
        <v>0</v>
      </c>
      <c r="K302" s="11">
        <f>IFERROR(__xludf.DUMMYFUNCTION("""COMPUTED_VALUE"""),0.75)</f>
        <v>0.75</v>
      </c>
    </row>
    <row r="303" ht="15.75" customHeight="1">
      <c r="A303" s="10" t="str">
        <f>IFERROR(__xludf.DUMMYFUNCTION("""COMPUTED_VALUE"""),"https://www.digitalreference.co/design-professionals/best-creative-agencies-in-the-usa")</f>
        <v>https://www.digitalreference.co/design-professionals/best-creative-agencies-in-the-usa</v>
      </c>
      <c r="B303" s="11" t="str">
        <f>IFERROR(__xludf.DUMMYFUNCTION("""COMPUTED_VALUE"""),"Best Creative Agencies in the USA")</f>
        <v>Best Creative Agencies in the USA</v>
      </c>
      <c r="C303" s="10" t="str">
        <f>IFERROR(__xludf.DUMMYFUNCTION("""COMPUTED_VALUE"""),"digitalreference.co")</f>
        <v>digitalreference.co</v>
      </c>
      <c r="D303" s="11" t="str">
        <f>IFERROR(__xludf.DUMMYFUNCTION("""COMPUTED_VALUE"""),"LISTICLE")</f>
        <v>LISTICLE</v>
      </c>
      <c r="E303" s="11" t="str">
        <f>IFERROR(__xludf.DUMMYFUNCTION("""COMPUTED_VALUE"""),"UGC")</f>
        <v>UGC</v>
      </c>
      <c r="F303" s="11" t="str">
        <f>IFERROR(__xludf.DUMMYFUNCTION("""COMPUTED_VALUE"""),"Listicle")</f>
        <v>Listicle</v>
      </c>
      <c r="G303" s="11" t="b">
        <f>IFERROR(__xludf.DUMMYFUNCTION("""COMPUTED_VALUE"""),FALSE)</f>
        <v>0</v>
      </c>
      <c r="H303" s="11"/>
      <c r="I303" s="11">
        <f>IFERROR(__xludf.DUMMYFUNCTION("""COMPUTED_VALUE"""),4.0)</f>
        <v>4</v>
      </c>
      <c r="J303" s="11">
        <f>IFERROR(__xludf.DUMMYFUNCTION("""COMPUTED_VALUE"""),0.0)</f>
        <v>0</v>
      </c>
      <c r="K303" s="11">
        <f>IFERROR(__xludf.DUMMYFUNCTION("""COMPUTED_VALUE"""),0.0)</f>
        <v>0</v>
      </c>
    </row>
    <row r="304" ht="15.75" customHeight="1">
      <c r="A304" s="10" t="str">
        <f>IFERROR(__xludf.DUMMYFUNCTION("""COMPUTED_VALUE"""),"https://www.digitalreference.co/insights/marketing-professionals/best-digital-marketing-agencies-companies-in-the-usa")</f>
        <v>https://www.digitalreference.co/insights/marketing-professionals/best-digital-marketing-agencies-companies-in-the-usa</v>
      </c>
      <c r="B304" s="11" t="str">
        <f>IFERROR(__xludf.DUMMYFUNCTION("""COMPUTED_VALUE"""),"Best Digital Marketing Agencies &amp;amp; Digital Marketing Firms in the USA")</f>
        <v>Best Digital Marketing Agencies &amp;amp; Digital Marketing Firms in the USA</v>
      </c>
      <c r="C304" s="10" t="str">
        <f>IFERROR(__xludf.DUMMYFUNCTION("""COMPUTED_VALUE"""),"digitalreference.co")</f>
        <v>digitalreference.co</v>
      </c>
      <c r="D304" s="11" t="str">
        <f>IFERROR(__xludf.DUMMYFUNCTION("""COMPUTED_VALUE"""),"LISTICLE")</f>
        <v>LISTICLE</v>
      </c>
      <c r="E304" s="11" t="str">
        <f>IFERROR(__xludf.DUMMYFUNCTION("""COMPUTED_VALUE"""),"UGC")</f>
        <v>UGC</v>
      </c>
      <c r="F304" s="11" t="str">
        <f>IFERROR(__xludf.DUMMYFUNCTION("""COMPUTED_VALUE"""),"Listicle")</f>
        <v>Listicle</v>
      </c>
      <c r="G304" s="11" t="b">
        <f>IFERROR(__xludf.DUMMYFUNCTION("""COMPUTED_VALUE"""),FALSE)</f>
        <v>0</v>
      </c>
      <c r="H304" s="11"/>
      <c r="I304" s="11">
        <f>IFERROR(__xludf.DUMMYFUNCTION("""COMPUTED_VALUE"""),4.0)</f>
        <v>4</v>
      </c>
      <c r="J304" s="11">
        <f>IFERROR(__xludf.DUMMYFUNCTION("""COMPUTED_VALUE"""),0.0)</f>
        <v>0</v>
      </c>
      <c r="K304" s="11">
        <f>IFERROR(__xludf.DUMMYFUNCTION("""COMPUTED_VALUE"""),0.0)</f>
        <v>0</v>
      </c>
    </row>
    <row r="305" ht="15.75" customHeight="1">
      <c r="A305" s="10" t="str">
        <f>IFERROR(__xludf.DUMMYFUNCTION("""COMPUTED_VALUE"""),"https://www.digitalsilk.com/digital-trends/top-premium-marketing-agencies/")</f>
        <v>https://www.digitalsilk.com/digital-trends/top-premium-marketing-agencies/</v>
      </c>
      <c r="B305" s="11" t="str">
        <f>IFERROR(__xludf.DUMMYFUNCTION("""COMPUTED_VALUE"""),"Digital Marketing Agency &amp; Services \| Digital Silk")</f>
        <v>Digital Marketing Agency &amp; Services \| Digital Silk</v>
      </c>
      <c r="C305" s="10" t="str">
        <f>IFERROR(__xludf.DUMMYFUNCTION("""COMPUTED_VALUE"""),"digitalsilk.com")</f>
        <v>digitalsilk.com</v>
      </c>
      <c r="D305" s="11" t="str">
        <f>IFERROR(__xludf.DUMMYFUNCTION("""COMPUTED_VALUE"""),"LISTICLE")</f>
        <v>LISTICLE</v>
      </c>
      <c r="E305" s="11" t="str">
        <f>IFERROR(__xludf.DUMMYFUNCTION("""COMPUTED_VALUE"""),"CORPORATE")</f>
        <v>CORPORATE</v>
      </c>
      <c r="F305" s="11" t="str">
        <f>IFERROR(__xludf.DUMMYFUNCTION("""COMPUTED_VALUE"""),"Listicle")</f>
        <v>Listicle</v>
      </c>
      <c r="G305" s="11" t="b">
        <f>IFERROR(__xludf.DUMMYFUNCTION("""COMPUTED_VALUE"""),FALSE)</f>
        <v>0</v>
      </c>
      <c r="H305" s="11" t="str">
        <f>IFERROR(__xludf.DUMMYFUNCTION("""COMPUTED_VALUE"""),"IBM, Measured, Momentum")</f>
        <v>IBM, Measured, Momentum</v>
      </c>
      <c r="I305" s="11">
        <f>IFERROR(__xludf.DUMMYFUNCTION("""COMPUTED_VALUE"""),4.0)</f>
        <v>4</v>
      </c>
      <c r="J305" s="11">
        <f>IFERROR(__xludf.DUMMYFUNCTION("""COMPUTED_VALUE"""),0.0)</f>
        <v>0</v>
      </c>
      <c r="K305" s="11">
        <f>IFERROR(__xludf.DUMMYFUNCTION("""COMPUTED_VALUE"""),0.25)</f>
        <v>0.25</v>
      </c>
    </row>
    <row r="306" ht="15.75" customHeight="1">
      <c r="A306" s="10" t="str">
        <f>IFERROR(__xludf.DUMMYFUNCTION("""COMPUTED_VALUE"""),"https://directiveconsulting.com/blog/25-best-advertising-agencies-built-for-media-momentum/")</f>
        <v>https://directiveconsulting.com/blog/25-best-advertising-agencies-built-for-media-momentum/</v>
      </c>
      <c r="B306" s="11" t="str">
        <f>IFERROR(__xludf.DUMMYFUNCTION("""COMPUTED_VALUE"""),"25 Best Advertising Agencies For B2B - Directive")</f>
        <v>25 Best Advertising Agencies For B2B - Directive</v>
      </c>
      <c r="C306" s="10" t="str">
        <f>IFERROR(__xludf.DUMMYFUNCTION("""COMPUTED_VALUE"""),"directiveconsulting.com")</f>
        <v>directiveconsulting.com</v>
      </c>
      <c r="D306" s="11" t="str">
        <f>IFERROR(__xludf.DUMMYFUNCTION("""COMPUTED_VALUE"""),"LISTICLE")</f>
        <v>LISTICLE</v>
      </c>
      <c r="E306" s="11" t="str">
        <f>IFERROR(__xludf.DUMMYFUNCTION("""COMPUTED_VALUE"""),"COMPETITOR")</f>
        <v>COMPETITOR</v>
      </c>
      <c r="F306" s="11" t="str">
        <f>IFERROR(__xludf.DUMMYFUNCTION("""COMPUTED_VALUE"""),"Listicle")</f>
        <v>Listicle</v>
      </c>
      <c r="G306" s="11" t="b">
        <f>IFERROR(__xludf.DUMMYFUNCTION("""COMPUTED_VALUE"""),FALSE)</f>
        <v>0</v>
      </c>
      <c r="H306" s="11" t="str">
        <f>IFERROR(__xludf.DUMMYFUNCTION("""COMPUTED_VALUE"""),"Directive, Momentum, Refine Labs, Tinuiti, PMG, Seer Interactive, Jellyfish, Wpromote, Accelerated Digital Media, KlientBoost, Merkle, iProspect, Croud, R/GA, Monks, AKQA, Measured, IBM, Clutch")</f>
        <v>Directive, Momentum, Refine Labs, Tinuiti, PMG, Seer Interactive, Jellyfish, Wpromote, Accelerated Digital Media, KlientBoost, Merkle, iProspect, Croud, R/GA, Monks, AKQA, Measured, IBM, Clutch</v>
      </c>
      <c r="I306" s="11">
        <f>IFERROR(__xludf.DUMMYFUNCTION("""COMPUTED_VALUE"""),4.0)</f>
        <v>4</v>
      </c>
      <c r="J306" s="11">
        <f>IFERROR(__xludf.DUMMYFUNCTION("""COMPUTED_VALUE"""),0.0)</f>
        <v>0</v>
      </c>
      <c r="K306" s="11">
        <f>IFERROR(__xludf.DUMMYFUNCTION("""COMPUTED_VALUE"""),0.5)</f>
        <v>0.5</v>
      </c>
    </row>
    <row r="307" ht="15.75" customHeight="1">
      <c r="A307" s="10" t="str">
        <f>IFERROR(__xludf.DUMMYFUNCTION("""COMPUTED_VALUE"""),"https://www.growth-hackers.net/best-paid-social-media-agencies/")</f>
        <v>https://www.growth-hackers.net/best-paid-social-media-agencies/</v>
      </c>
      <c r="B307" s="11" t="str">
        <f>IFERROR(__xludf.DUMMYFUNCTION("""COMPUTED_VALUE"""),"Top 18 Paid Social Media Agencies in 2026 | Select the Best Paid Social Media Advertising Agency | Growth Hackers")</f>
        <v>Top 18 Paid Social Media Agencies in 2026 | Select the Best Paid Social Media Advertising Agency | Growth Hackers</v>
      </c>
      <c r="C307" s="10" t="str">
        <f>IFERROR(__xludf.DUMMYFUNCTION("""COMPUTED_VALUE"""),"growth-hackers.net")</f>
        <v>growth-hackers.net</v>
      </c>
      <c r="D307" s="11" t="str">
        <f>IFERROR(__xludf.DUMMYFUNCTION("""COMPUTED_VALUE"""),"LISTICLE")</f>
        <v>LISTICLE</v>
      </c>
      <c r="E307" s="11" t="str">
        <f>IFERROR(__xludf.DUMMYFUNCTION("""COMPUTED_VALUE"""),"CORPORATE")</f>
        <v>CORPORATE</v>
      </c>
      <c r="F307" s="11" t="str">
        <f>IFERROR(__xludf.DUMMYFUNCTION("""COMPUTED_VALUE"""),"Listicle")</f>
        <v>Listicle</v>
      </c>
      <c r="G307" s="11" t="b">
        <f>IFERROR(__xludf.DUMMYFUNCTION("""COMPUTED_VALUE"""),FALSE)</f>
        <v>0</v>
      </c>
      <c r="H307" s="11" t="str">
        <f>IFERROR(__xludf.DUMMYFUNCTION("""COMPUTED_VALUE"""),"Jellyfish, Marcel Digital, Tinuiti, iProspect")</f>
        <v>Jellyfish, Marcel Digital, Tinuiti, iProspect</v>
      </c>
      <c r="I307" s="11">
        <f>IFERROR(__xludf.DUMMYFUNCTION("""COMPUTED_VALUE"""),4.0)</f>
        <v>4</v>
      </c>
      <c r="J307" s="11">
        <f>IFERROR(__xludf.DUMMYFUNCTION("""COMPUTED_VALUE"""),0.0)</f>
        <v>0</v>
      </c>
      <c r="K307" s="11">
        <f>IFERROR(__xludf.DUMMYFUNCTION("""COMPUTED_VALUE"""),0.5)</f>
        <v>0.5</v>
      </c>
    </row>
    <row r="308" ht="15.75" customHeight="1">
      <c r="A308" s="10" t="str">
        <f>IFERROR(__xludf.DUMMYFUNCTION("""COMPUTED_VALUE"""),"https://www.growthmarketingpro.com/best-geo-marketing-agencies/")</f>
        <v>https://www.growthmarketingpro.com/best-geo-marketing-agencies/</v>
      </c>
      <c r="B308" s="11" t="str">
        <f>IFERROR(__xludf.DUMMYFUNCTION("""COMPUTED_VALUE"""),"13 Best GEO marketing agencies | GMP")</f>
        <v>13 Best GEO marketing agencies | GMP</v>
      </c>
      <c r="C308" s="10" t="str">
        <f>IFERROR(__xludf.DUMMYFUNCTION("""COMPUTED_VALUE"""),"growthmarketingpro.com")</f>
        <v>growthmarketingpro.com</v>
      </c>
      <c r="D308" s="11" t="str">
        <f>IFERROR(__xludf.DUMMYFUNCTION("""COMPUTED_VALUE"""),"LISTICLE")</f>
        <v>LISTICLE</v>
      </c>
      <c r="E308" s="11" t="str">
        <f>IFERROR(__xludf.DUMMYFUNCTION("""COMPUTED_VALUE"""),"EDITORIAL")</f>
        <v>EDITORIAL</v>
      </c>
      <c r="F308" s="11" t="str">
        <f>IFERROR(__xludf.DUMMYFUNCTION("""COMPUTED_VALUE"""),"Listicle")</f>
        <v>Listicle</v>
      </c>
      <c r="G308" s="11" t="b">
        <f>IFERROR(__xludf.DUMMYFUNCTION("""COMPUTED_VALUE"""),FALSE)</f>
        <v>0</v>
      </c>
      <c r="H308" s="11" t="str">
        <f>IFERROR(__xludf.DUMMYFUNCTION("""COMPUTED_VALUE"""),"First Page Sage, Intero Digital, Victorious, Avenue Z, Siege Media, iPullRank, NoGood")</f>
        <v>First Page Sage, Intero Digital, Victorious, Avenue Z, Siege Media, iPullRank, NoGood</v>
      </c>
      <c r="I308" s="11">
        <f>IFERROR(__xludf.DUMMYFUNCTION("""COMPUTED_VALUE"""),4.0)</f>
        <v>4</v>
      </c>
      <c r="J308" s="11">
        <f>IFERROR(__xludf.DUMMYFUNCTION("""COMPUTED_VALUE"""),0.0)</f>
        <v>0</v>
      </c>
      <c r="K308" s="11">
        <f>IFERROR(__xludf.DUMMYFUNCTION("""COMPUTED_VALUE"""),0.0)</f>
        <v>0</v>
      </c>
    </row>
    <row r="309" ht="15.75" customHeight="1">
      <c r="A309" s="10" t="str">
        <f>IFERROR(__xludf.DUMMYFUNCTION("""COMPUTED_VALUE"""),"https://www.hockeystack.com/blog-posts/best-marketing-analytics-platforms#:~:text=Enterprise%20plan%3A%20Starts%20at%20%E2%82%AC3%2C300%20per%20month%2C,standardize%20incoming%20data%20into%20one%20consistent%20format.")</f>
        <v>https://www.hockeystack.com/blog-posts/best-marketing-analytics-platforms#:~:text=Enterprise%20plan%3A%20Starts%20at%20%E2%82%AC3%2C300%20per%20month%2C,standardize%20incoming%20data%20into%20one%20consistent%20format.</v>
      </c>
      <c r="B309" s="11" t="str">
        <f>IFERROR(__xludf.DUMMYFUNCTION("""COMPUTED_VALUE"""),"12 Best Marketing Analytics Platforms for 2026 [According to Real Users]")</f>
        <v>12 Best Marketing Analytics Platforms for 2026 [According to Real Users]</v>
      </c>
      <c r="C309" s="10" t="str">
        <f>IFERROR(__xludf.DUMMYFUNCTION("""COMPUTED_VALUE"""),"hockeystack.com")</f>
        <v>hockeystack.com</v>
      </c>
      <c r="D309" s="11" t="str">
        <f>IFERROR(__xludf.DUMMYFUNCTION("""COMPUTED_VALUE"""),"LISTICLE")</f>
        <v>LISTICLE</v>
      </c>
      <c r="E309" s="11" t="str">
        <f>IFERROR(__xludf.DUMMYFUNCTION("""COMPUTED_VALUE"""),"COMPETITOR")</f>
        <v>COMPETITOR</v>
      </c>
      <c r="F309" s="11" t="str">
        <f>IFERROR(__xludf.DUMMYFUNCTION("""COMPUTED_VALUE"""),"Listicle")</f>
        <v>Listicle</v>
      </c>
      <c r="G309" s="11" t="b">
        <f>IFERROR(__xludf.DUMMYFUNCTION("""COMPUTED_VALUE"""),FALSE)</f>
        <v>0</v>
      </c>
      <c r="H309" s="11" t="str">
        <f>IFERROR(__xludf.DUMMYFUNCTION("""COMPUTED_VALUE"""),"HockeyStack, Ruler Analytics, Huge, Triple Whale")</f>
        <v>HockeyStack, Ruler Analytics, Huge, Triple Whale</v>
      </c>
      <c r="I309" s="11">
        <f>IFERROR(__xludf.DUMMYFUNCTION("""COMPUTED_VALUE"""),4.0)</f>
        <v>4</v>
      </c>
      <c r="J309" s="11">
        <f>IFERROR(__xludf.DUMMYFUNCTION("""COMPUTED_VALUE"""),0.0)</f>
        <v>0</v>
      </c>
      <c r="K309" s="11">
        <f>IFERROR(__xludf.DUMMYFUNCTION("""COMPUTED_VALUE"""),0.75)</f>
        <v>0.75</v>
      </c>
    </row>
    <row r="310" ht="15.75" customHeight="1">
      <c r="A310" s="10" t="str">
        <f>IFERROR(__xludf.DUMMYFUNCTION("""COMPUTED_VALUE"""),"https://www.inbeat.co/articles/top-performance-marketing-agencies/")</f>
        <v>https://www.inbeat.co/articles/top-performance-marketing-agencies/</v>
      </c>
      <c r="B310" s="11" t="str">
        <f>IFERROR(__xludf.DUMMYFUNCTION("""COMPUTED_VALUE"""),"Top 30 Performance Marketing Agencies for 2026 and Beyond")</f>
        <v>Top 30 Performance Marketing Agencies for 2026 and Beyond</v>
      </c>
      <c r="C310" s="10" t="str">
        <f>IFERROR(__xludf.DUMMYFUNCTION("""COMPUTED_VALUE"""),"inbeat.co")</f>
        <v>inbeat.co</v>
      </c>
      <c r="D310" s="11" t="str">
        <f>IFERROR(__xludf.DUMMYFUNCTION("""COMPUTED_VALUE"""),"LISTICLE")</f>
        <v>LISTICLE</v>
      </c>
      <c r="E310" s="11" t="str">
        <f>IFERROR(__xludf.DUMMYFUNCTION("""COMPUTED_VALUE"""),"CORPORATE")</f>
        <v>CORPORATE</v>
      </c>
      <c r="F310" s="11" t="str">
        <f>IFERROR(__xludf.DUMMYFUNCTION("""COMPUTED_VALUE"""),"Listicle")</f>
        <v>Listicle</v>
      </c>
      <c r="G310" s="11" t="b">
        <f>IFERROR(__xludf.DUMMYFUNCTION("""COMPUTED_VALUE"""),FALSE)</f>
        <v>0</v>
      </c>
      <c r="H310" s="11" t="str">
        <f>IFERROR(__xludf.DUMMYFUNCTION("""COMPUTED_VALUE"""),"inBeat, Web Tonic, Momentum, Tinuiti, Bark London, Single Grain")</f>
        <v>inBeat, Web Tonic, Momentum, Tinuiti, Bark London, Single Grain</v>
      </c>
      <c r="I310" s="11">
        <f>IFERROR(__xludf.DUMMYFUNCTION("""COMPUTED_VALUE"""),4.0)</f>
        <v>4</v>
      </c>
      <c r="J310" s="11">
        <f>IFERROR(__xludf.DUMMYFUNCTION("""COMPUTED_VALUE"""),0.0)</f>
        <v>0</v>
      </c>
      <c r="K310" s="11">
        <f>IFERROR(__xludf.DUMMYFUNCTION("""COMPUTED_VALUE"""),0.25)</f>
        <v>0.25</v>
      </c>
    </row>
    <row r="311" ht="15.75" customHeight="1">
      <c r="A311" s="10" t="str">
        <f>IFERROR(__xludf.DUMMYFUNCTION("""COMPUTED_VALUE"""),"https://indatalabs.com/blog/marketing-analytics-companies")</f>
        <v>https://indatalabs.com/blog/marketing-analytics-companies</v>
      </c>
      <c r="B311" s="11" t="str">
        <f>IFERROR(__xludf.DUMMYFUNCTION("""COMPUTED_VALUE"""),"Best Marketing Analytics Companies | InData Labs Blog")</f>
        <v>Best Marketing Analytics Companies | InData Labs Blog</v>
      </c>
      <c r="C311" s="10" t="str">
        <f>IFERROR(__xludf.DUMMYFUNCTION("""COMPUTED_VALUE"""),"indatalabs.com")</f>
        <v>indatalabs.com</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IFERROR(__xludf.DUMMYFUNCTION("""COMPUTED_VALUE"""),"Nielsen, Clutch, Fractal Analytics, IBM, Huge")</f>
        <v>Nielsen, Clutch, Fractal Analytics, IBM, Huge</v>
      </c>
      <c r="I311" s="11">
        <f>IFERROR(__xludf.DUMMYFUNCTION("""COMPUTED_VALUE"""),4.0)</f>
        <v>4</v>
      </c>
      <c r="J311" s="11">
        <f>IFERROR(__xludf.DUMMYFUNCTION("""COMPUTED_VALUE"""),0.0)</f>
        <v>0</v>
      </c>
      <c r="K311" s="11">
        <f>IFERROR(__xludf.DUMMYFUNCTION("""COMPUTED_VALUE"""),0.75)</f>
        <v>0.75</v>
      </c>
    </row>
    <row r="312" ht="15.75" customHeight="1">
      <c r="A312" s="10" t="str">
        <f>IFERROR(__xludf.DUMMYFUNCTION("""COMPUTED_VALUE"""),"https://jake-jorgovan.com/blog/top-ai-marketing-agencies")</f>
        <v>https://jake-jorgovan.com/blog/top-ai-marketing-agencies</v>
      </c>
      <c r="B312" s="11" t="str">
        <f>IFERROR(__xludf.DUMMYFUNCTION("""COMPUTED_VALUE"""),"Top 32 AI Marketing Agencies in 2025 — Jake Jorgovan")</f>
        <v>Top 32 AI Marketing Agencies in 2025 — Jake Jorgovan</v>
      </c>
      <c r="C312" s="10" t="str">
        <f>IFERROR(__xludf.DUMMYFUNCTION("""COMPUTED_VALUE"""),"jake-jorgovan.com")</f>
        <v>jake-jorgovan.com</v>
      </c>
      <c r="D312" s="11" t="str">
        <f>IFERROR(__xludf.DUMMYFUNCTION("""COMPUTED_VALUE"""),"LISTICLE")</f>
        <v>LISTICLE</v>
      </c>
      <c r="E312" s="11" t="str">
        <f>IFERROR(__xludf.DUMMYFUNCTION("""COMPUTED_VALUE"""),"CORPORATE")</f>
        <v>CORPORATE</v>
      </c>
      <c r="F312" s="11" t="str">
        <f>IFERROR(__xludf.DUMMYFUNCTION("""COMPUTED_VALUE"""),"Listicle")</f>
        <v>Listicle</v>
      </c>
      <c r="G312" s="11" t="b">
        <f>IFERROR(__xludf.DUMMYFUNCTION("""COMPUTED_VALUE"""),FALSE)</f>
        <v>0</v>
      </c>
      <c r="H312" s="11" t="str">
        <f>IFERROR(__xludf.DUMMYFUNCTION("""COMPUTED_VALUE"""),"inBeat, IBM, Single Grain, Keenfolks")</f>
        <v>inBeat, IBM, Single Grain, Keenfolks</v>
      </c>
      <c r="I312" s="11">
        <f>IFERROR(__xludf.DUMMYFUNCTION("""COMPUTED_VALUE"""),4.0)</f>
        <v>4</v>
      </c>
      <c r="J312" s="11">
        <f>IFERROR(__xludf.DUMMYFUNCTION("""COMPUTED_VALUE"""),0.0)</f>
        <v>0</v>
      </c>
      <c r="K312" s="11">
        <f>IFERROR(__xludf.DUMMYFUNCTION("""COMPUTED_VALUE"""),0.0)</f>
        <v>0</v>
      </c>
    </row>
    <row r="313" ht="15.75" customHeight="1">
      <c r="A313" s="10" t="str">
        <f>IFERROR(__xludf.DUMMYFUNCTION("""COMPUTED_VALUE"""),"https://www.linkedin.com/pulse/top-5-geo-agencies-usa-2026-yash-kumar-m4v6c")</f>
        <v>https://www.linkedin.com/pulse/top-5-geo-agencies-usa-2026-yash-kumar-m4v6c</v>
      </c>
      <c r="B313" s="11" t="str">
        <f>IFERROR(__xludf.DUMMYFUNCTION("""COMPUTED_VALUE"""),"Top 5 GEO Agencies in the USA (2026)")</f>
        <v>Top 5 GEO Agencies in the USA (2026)</v>
      </c>
      <c r="C313" s="10" t="str">
        <f>IFERROR(__xludf.DUMMYFUNCTION("""COMPUTED_VALUE"""),"linkedin.com")</f>
        <v>linkedin.com</v>
      </c>
      <c r="D313" s="11" t="str">
        <f>IFERROR(__xludf.DUMMYFUNCTION("""COMPUTED_VALUE"""),"LISTICLE")</f>
        <v>LISTICLE</v>
      </c>
      <c r="E313" s="11" t="str">
        <f>IFERROR(__xludf.DUMMYFUNCTION("""COMPUTED_VALUE"""),"UGC")</f>
        <v>UGC</v>
      </c>
      <c r="F313" s="11" t="str">
        <f>IFERROR(__xludf.DUMMYFUNCTION("""COMPUTED_VALUE"""),"Listicle")</f>
        <v>Listicle</v>
      </c>
      <c r="G313" s="11" t="b">
        <f>IFERROR(__xludf.DUMMYFUNCTION("""COMPUTED_VALUE"""),FALSE)</f>
        <v>0</v>
      </c>
      <c r="H313" s="11" t="str">
        <f>IFERROR(__xludf.DUMMYFUNCTION("""COMPUTED_VALUE"""),"iPullRank, Siege Media, First Page Sage")</f>
        <v>iPullRank, Siege Media, First Page Sage</v>
      </c>
      <c r="I313" s="11">
        <f>IFERROR(__xludf.DUMMYFUNCTION("""COMPUTED_VALUE"""),4.0)</f>
        <v>4</v>
      </c>
      <c r="J313" s="11">
        <f>IFERROR(__xludf.DUMMYFUNCTION("""COMPUTED_VALUE"""),0.0)</f>
        <v>0</v>
      </c>
      <c r="K313" s="11">
        <f>IFERROR(__xludf.DUMMYFUNCTION("""COMPUTED_VALUE"""),0.0)</f>
        <v>0</v>
      </c>
    </row>
    <row r="314" ht="15.75" customHeight="1">
      <c r="A314" s="10"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314" s="11" t="str">
        <f>IFERROR(__xludf.DUMMYFUNCTION("""COMPUTED_VALUE"""),"15 Best Answer Engine Optimization Agencies: AEO Insights Company Rankings for 2026")</f>
        <v>15 Best Answer Engine Optimization Agencies: AEO Insights Company Rankings for 2026</v>
      </c>
      <c r="C314" s="10" t="str">
        <f>IFERROR(__xludf.DUMMYFUNCTION("""COMPUTED_VALUE"""),"modernmarketingpartners.com")</f>
        <v>modernmarketingpartners.com</v>
      </c>
      <c r="D314" s="11" t="str">
        <f>IFERROR(__xludf.DUMMYFUNCTION("""COMPUTED_VALUE"""),"LISTICLE")</f>
        <v>LISTICLE</v>
      </c>
      <c r="E314" s="11" t="str">
        <f>IFERROR(__xludf.DUMMYFUNCTION("""COMPUTED_VALUE"""),"CORPORATE")</f>
        <v>CORPORATE</v>
      </c>
      <c r="F314" s="11" t="str">
        <f>IFERROR(__xludf.DUMMYFUNCTION("""COMPUTED_VALUE"""),"Listicle")</f>
        <v>Listicle</v>
      </c>
      <c r="G314" s="11" t="b">
        <f>IFERROR(__xludf.DUMMYFUNCTION("""COMPUTED_VALUE"""),FALSE)</f>
        <v>0</v>
      </c>
      <c r="H314" s="11" t="str">
        <f>IFERROR(__xludf.DUMMYFUNCTION("""COMPUTED_VALUE"""),"First Page Sage, Clutch, iPullRank, Siege Media, Single Grain, Omniscient Digital, Avenue Z, NoGood")</f>
        <v>First Page Sage, Clutch, iPullRank, Siege Media, Single Grain, Omniscient Digital, Avenue Z, NoGood</v>
      </c>
      <c r="I314" s="11">
        <f>IFERROR(__xludf.DUMMYFUNCTION("""COMPUTED_VALUE"""),4.0)</f>
        <v>4</v>
      </c>
      <c r="J314" s="11">
        <f>IFERROR(__xludf.DUMMYFUNCTION("""COMPUTED_VALUE"""),0.0)</f>
        <v>0</v>
      </c>
      <c r="K314" s="11">
        <f>IFERROR(__xludf.DUMMYFUNCTION("""COMPUTED_VALUE"""),0.0)</f>
        <v>0</v>
      </c>
    </row>
    <row r="315" ht="15.75" customHeight="1">
      <c r="A315" s="10" t="str">
        <f>IFERROR(__xludf.DUMMYFUNCTION("""COMPUTED_VALUE"""),"https://www.modernmarketingpartners.com/2026/03/19/15-best-answer-engine-optimization-agencies-aeo-insights-company-rankings-for-2026/")</f>
        <v>https://www.modernmarketingpartners.com/2026/03/19/15-best-answer-engine-optimization-agencies-aeo-insights-company-rankings-for-2026/</v>
      </c>
      <c r="B315" s="11" t="str">
        <f>IFERROR(__xludf.DUMMYFUNCTION("""COMPUTED_VALUE"""),"15 Best Answer Engine Optimization Agencies: AEO Insights Company Rankings for 2026")</f>
        <v>15 Best Answer Engine Optimization Agencies: AEO Insights Company Rankings for 2026</v>
      </c>
      <c r="C315" s="10" t="str">
        <f>IFERROR(__xludf.DUMMYFUNCTION("""COMPUTED_VALUE"""),"modernmarketingpartners.com")</f>
        <v>modernmarketingpartners.com</v>
      </c>
      <c r="D315" s="11" t="str">
        <f>IFERROR(__xludf.DUMMYFUNCTION("""COMPUTED_VALUE"""),"LISTICLE")</f>
        <v>LISTICLE</v>
      </c>
      <c r="E315" s="11" t="str">
        <f>IFERROR(__xludf.DUMMYFUNCTION("""COMPUTED_VALUE"""),"CORPORATE")</f>
        <v>CORPORATE</v>
      </c>
      <c r="F315" s="11" t="str">
        <f>IFERROR(__xludf.DUMMYFUNCTION("""COMPUTED_VALUE"""),"Listicle")</f>
        <v>Listicle</v>
      </c>
      <c r="G315" s="11" t="b">
        <f>IFERROR(__xludf.DUMMYFUNCTION("""COMPUTED_VALUE"""),FALSE)</f>
        <v>0</v>
      </c>
      <c r="H315" s="11" t="str">
        <f>IFERROR(__xludf.DUMMYFUNCTION("""COMPUTED_VALUE"""),"First Page Sage, Clutch, iPullRank, Siege Media, Single Grain, Omniscient Digital, Avenue Z, NoGood")</f>
        <v>First Page Sage, Clutch, iPullRank, Siege Media, Single Grain, Omniscient Digital, Avenue Z, NoGood</v>
      </c>
      <c r="I315" s="11">
        <f>IFERROR(__xludf.DUMMYFUNCTION("""COMPUTED_VALUE"""),4.0)</f>
        <v>4</v>
      </c>
      <c r="J315" s="11">
        <f>IFERROR(__xludf.DUMMYFUNCTION("""COMPUTED_VALUE"""),0.0)</f>
        <v>0</v>
      </c>
      <c r="K315" s="11">
        <f>IFERROR(__xludf.DUMMYFUNCTION("""COMPUTED_VALUE"""),0.0)</f>
        <v>0</v>
      </c>
    </row>
    <row r="316" ht="15.75" customHeight="1">
      <c r="A316" s="10" t="str">
        <f>IFERROR(__xludf.DUMMYFUNCTION("""COMPUTED_VALUE"""),"https://nuoptima.com/ai-search-answer-engine-optimization-companies-usa")</f>
        <v>https://nuoptima.com/ai-search-answer-engine-optimization-companies-usa</v>
      </c>
      <c r="B316" s="11" t="str">
        <f>IFERROR(__xludf.DUMMYFUNCTION("""COMPUTED_VALUE"""),"Top Answer Engine Optimization Companies in the USA")</f>
        <v>Top Answer Engine Optimization Companies in the USA</v>
      </c>
      <c r="C316" s="10" t="str">
        <f>IFERROR(__xludf.DUMMYFUNCTION("""COMPUTED_VALUE"""),"nuoptima.com")</f>
        <v>nuoptima.com</v>
      </c>
      <c r="D316" s="11" t="str">
        <f>IFERROR(__xludf.DUMMYFUNCTION("""COMPUTED_VALUE"""),"LISTICLE")</f>
        <v>LISTICLE</v>
      </c>
      <c r="E316" s="11" t="str">
        <f>IFERROR(__xludf.DUMMYFUNCTION("""COMPUTED_VALUE"""),"CORPORATE")</f>
        <v>CORPORATE</v>
      </c>
      <c r="F316" s="11" t="str">
        <f>IFERROR(__xludf.DUMMYFUNCTION("""COMPUTED_VALUE"""),"Listicle")</f>
        <v>Listicle</v>
      </c>
      <c r="G316" s="11" t="b">
        <f>IFERROR(__xludf.DUMMYFUNCTION("""COMPUTED_VALUE"""),FALSE)</f>
        <v>0</v>
      </c>
      <c r="H316" s="11" t="str">
        <f>IFERROR(__xludf.DUMMYFUNCTION("""COMPUTED_VALUE"""),"Siege Media, RevenueZen, Avenue Z, Omniscient Digital, iPullRank, WebFX, First Page Sage")</f>
        <v>Siege Media, RevenueZen, Avenue Z, Omniscient Digital, iPullRank, WebFX, First Page Sage</v>
      </c>
      <c r="I316" s="11">
        <f>IFERROR(__xludf.DUMMYFUNCTION("""COMPUTED_VALUE"""),4.0)</f>
        <v>4</v>
      </c>
      <c r="J316" s="11">
        <f>IFERROR(__xludf.DUMMYFUNCTION("""COMPUTED_VALUE"""),0.0)</f>
        <v>0</v>
      </c>
      <c r="K316" s="11">
        <f>IFERROR(__xludf.DUMMYFUNCTION("""COMPUTED_VALUE"""),0.25)</f>
        <v>0.25</v>
      </c>
    </row>
    <row r="317" ht="15.75" customHeight="1">
      <c r="A317" s="10" t="str">
        <f>IFERROR(__xludf.DUMMYFUNCTION("""COMPUTED_VALUE"""),"https://www.o8.agency/blog/ai/best-ai-marketing-agencies-2026-honest-comparison#:~:text=Keenfolks%20describes%20itself%20as%20%22the%20first%20AI%2Dnative,The%20Drum's%20Transformation%20Agency%20of%20the%20Year.")</f>
        <v>https://www.o8.agency/blog/ai/best-ai-marketing-agencies-2026-honest-comparison#:~:text=Keenfolks%20describes%20itself%20as%20%22the%20first%20AI%2Dnative,The%20Drum's%20Transformation%20Agency%20of%20the%20Year.</v>
      </c>
      <c r="B317" s="11" t="str">
        <f>IFERROR(__xludf.DUMMYFUNCTION("""COMPUTED_VALUE"""),"Best AI Marketing Agencies in 2026: An Honest Comparison | O8")</f>
        <v>Best AI Marketing Agencies in 2026: An Honest Comparison | O8</v>
      </c>
      <c r="C317" s="11" t="str">
        <f>IFERROR(__xludf.DUMMYFUNCTION("""COMPUTED_VALUE"""),"o8.agency")</f>
        <v>o8.agency</v>
      </c>
      <c r="D317" s="11" t="str">
        <f>IFERROR(__xludf.DUMMYFUNCTION("""COMPUTED_VALUE"""),"LISTICLE")</f>
        <v>LISTICLE</v>
      </c>
      <c r="E317" s="11" t="str">
        <f>IFERROR(__xludf.DUMMYFUNCTION("""COMPUTED_VALUE"""),"CORPORATE")</f>
        <v>CORPORATE</v>
      </c>
      <c r="F317" s="11" t="str">
        <f>IFERROR(__xludf.DUMMYFUNCTION("""COMPUTED_VALUE"""),"Listicle")</f>
        <v>Listicle</v>
      </c>
      <c r="G317" s="11" t="b">
        <f>IFERROR(__xludf.DUMMYFUNCTION("""COMPUTED_VALUE"""),FALSE)</f>
        <v>0</v>
      </c>
      <c r="H317" s="11" t="str">
        <f>IFERROR(__xludf.DUMMYFUNCTION("""COMPUTED_VALUE"""),"Keenfolks, NinjaPromo, Measured")</f>
        <v>Keenfolks, NinjaPromo, Measured</v>
      </c>
      <c r="I317" s="11">
        <f>IFERROR(__xludf.DUMMYFUNCTION("""COMPUTED_VALUE"""),4.0)</f>
        <v>4</v>
      </c>
      <c r="J317" s="11">
        <f>IFERROR(__xludf.DUMMYFUNCTION("""COMPUTED_VALUE"""),0.0)</f>
        <v>0</v>
      </c>
      <c r="K317" s="11">
        <f>IFERROR(__xludf.DUMMYFUNCTION("""COMPUTED_VALUE"""),2.5)</f>
        <v>2.5</v>
      </c>
    </row>
    <row r="318" ht="15.75" customHeight="1">
      <c r="A318" s="10" t="str">
        <f>IFERROR(__xludf.DUMMYFUNCTION("""COMPUTED_VALUE"""),"https://www.onely.com/blog/best-digital-marketing-agencies/#:~:text=Key%20Features%20*%20Proprietary%20nova%20analytics%20platform,and%20eCommerce%20vertical%20specialization%20with%20ROAS%2Dbased%20accountability.")</f>
        <v>https://www.onely.com/blog/best-digital-marketing-agencies/#:~:text=Key%20Features%20*%20Proprietary%20nova%20analytics%20platform,and%20eCommerce%20vertical%20specialization%20with%20ROAS%2Dbased%20accountability.</v>
      </c>
      <c r="B318" s="11"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318" s="10" t="str">
        <f>IFERROR(__xludf.DUMMYFUNCTION("""COMPUTED_VALUE"""),"onely.com")</f>
        <v>onely.com</v>
      </c>
      <c r="D318" s="11" t="str">
        <f>IFERROR(__xludf.DUMMYFUNCTION("""COMPUTED_VALUE"""),"LISTICLE")</f>
        <v>LISTICLE</v>
      </c>
      <c r="E318" s="11" t="str">
        <f>IFERROR(__xludf.DUMMYFUNCTION("""COMPUTED_VALUE"""),"CORPORATE")</f>
        <v>CORPORATE</v>
      </c>
      <c r="F318" s="11" t="str">
        <f>IFERROR(__xludf.DUMMYFUNCTION("""COMPUTED_VALUE"""),"Listicle")</f>
        <v>Listicle</v>
      </c>
      <c r="G318" s="11" t="b">
        <f>IFERROR(__xludf.DUMMYFUNCTION("""COMPUTED_VALUE"""),FALSE)</f>
        <v>0</v>
      </c>
      <c r="H318" s="11" t="str">
        <f>IFERROR(__xludf.DUMMYFUNCTION("""COMPUTED_VALUE"""),"Clutch, Directive, Siege Media, Power Digital, Disruptive Advertising, Single Grain, NP Digital, WebFX, Ignite Visibility, SmartSites, KlientBoost, NinjaPromo, IBM")</f>
        <v>Clutch, Directive, Siege Media, Power Digital, Disruptive Advertising, Single Grain, NP Digital, WebFX, Ignite Visibility, SmartSites, KlientBoost, NinjaPromo, IBM</v>
      </c>
      <c r="I318" s="11">
        <f>IFERROR(__xludf.DUMMYFUNCTION("""COMPUTED_VALUE"""),4.0)</f>
        <v>4</v>
      </c>
      <c r="J318" s="11">
        <f>IFERROR(__xludf.DUMMYFUNCTION("""COMPUTED_VALUE"""),0.0)</f>
        <v>0</v>
      </c>
      <c r="K318" s="11">
        <f>IFERROR(__xludf.DUMMYFUNCTION("""COMPUTED_VALUE"""),1.5)</f>
        <v>1.5</v>
      </c>
    </row>
    <row r="319" ht="15.75" customHeight="1">
      <c r="A319" s="10" t="str">
        <f>IFERROR(__xludf.DUMMYFUNCTION("""COMPUTED_VALUE"""),"https://pearllemon.com/top-performance-marketing-agencies-usa/")</f>
        <v>https://pearllemon.com/top-performance-marketing-agencies-usa/</v>
      </c>
      <c r="B319" s="11" t="str">
        <f>IFERROR(__xludf.DUMMYFUNCTION("""COMPUTED_VALUE"""),"Top 10 Performance Marketing Agencies In USA (2025)")</f>
        <v>Top 10 Performance Marketing Agencies In USA (2025)</v>
      </c>
      <c r="C319" s="10" t="str">
        <f>IFERROR(__xludf.DUMMYFUNCTION("""COMPUTED_VALUE"""),"pearllemon.com")</f>
        <v>pearllemon.com</v>
      </c>
      <c r="D319" s="11" t="str">
        <f>IFERROR(__xludf.DUMMYFUNCTION("""COMPUTED_VALUE"""),"LISTICLE")</f>
        <v>LISTICLE</v>
      </c>
      <c r="E319" s="11" t="str">
        <f>IFERROR(__xludf.DUMMYFUNCTION("""COMPUTED_VALUE"""),"CORPORATE")</f>
        <v>CORPORATE</v>
      </c>
      <c r="F319" s="11" t="str">
        <f>IFERROR(__xludf.DUMMYFUNCTION("""COMPUTED_VALUE"""),"Listicle")</f>
        <v>Listicle</v>
      </c>
      <c r="G319" s="11" t="b">
        <f>IFERROR(__xludf.DUMMYFUNCTION("""COMPUTED_VALUE"""),FALSE)</f>
        <v>0</v>
      </c>
      <c r="H319" s="11" t="str">
        <f>IFERROR(__xludf.DUMMYFUNCTION("""COMPUTED_VALUE"""),"SmartSites, Intero Digital, Ignite Visibility")</f>
        <v>SmartSites, Intero Digital, Ignite Visibility</v>
      </c>
      <c r="I319" s="11">
        <f>IFERROR(__xludf.DUMMYFUNCTION("""COMPUTED_VALUE"""),4.0)</f>
        <v>4</v>
      </c>
      <c r="J319" s="11">
        <f>IFERROR(__xludf.DUMMYFUNCTION("""COMPUTED_VALUE"""),0.0)</f>
        <v>0</v>
      </c>
      <c r="K319" s="11">
        <f>IFERROR(__xludf.DUMMYFUNCTION("""COMPUTED_VALUE"""),0.0)</f>
        <v>0</v>
      </c>
    </row>
    <row r="320" ht="15.75" customHeight="1">
      <c r="A320" s="10" t="str">
        <f>IFERROR(__xludf.DUMMYFUNCTION("""COMPUTED_VALUE"""),"https://www.phable.io/top-creative-agencies/top-creative-agencies-in-the-world-masters-of-branding-content-creation-and-innovation")</f>
        <v>https://www.phable.io/top-creative-agencies/top-creative-agencies-in-the-world-masters-of-branding-content-creation-and-innovation</v>
      </c>
      <c r="B320" s="11" t="str">
        <f>IFERROR(__xludf.DUMMYFUNCTION("""COMPUTED_VALUE"""),"Top Creative Agencies in the World | Leaders in Branding, Content Creation, and Innovation — Branding And Content Marketing For Technology")</f>
        <v>Top Creative Agencies in the World | Leaders in Branding, Content Creation, and Innovation — Branding And Content Marketing For Technology</v>
      </c>
      <c r="C320" s="10" t="str">
        <f>IFERROR(__xludf.DUMMYFUNCTION("""COMPUTED_VALUE"""),"phable.io")</f>
        <v>phable.io</v>
      </c>
      <c r="D320" s="11" t="str">
        <f>IFERROR(__xludf.DUMMYFUNCTION("""COMPUTED_VALUE"""),"LISTICLE")</f>
        <v>LISTICLE</v>
      </c>
      <c r="E320" s="11" t="str">
        <f>IFERROR(__xludf.DUMMYFUNCTION("""COMPUTED_VALUE"""),"CORPORATE")</f>
        <v>CORPORATE</v>
      </c>
      <c r="F320" s="11" t="str">
        <f>IFERROR(__xludf.DUMMYFUNCTION("""COMPUTED_VALUE"""),"Listicle")</f>
        <v>Listicle</v>
      </c>
      <c r="G320" s="11" t="b">
        <f>IFERROR(__xludf.DUMMYFUNCTION("""COMPUTED_VALUE"""),FALSE)</f>
        <v>0</v>
      </c>
      <c r="H320" s="11" t="str">
        <f>IFERROR(__xludf.DUMMYFUNCTION("""COMPUTED_VALUE"""),"Ogilvy, IBM, Wieden+Kennedy, Droga5, AKQA, BBDO, R/GA, VML")</f>
        <v>Ogilvy, IBM, Wieden+Kennedy, Droga5, AKQA, BBDO, R/GA, VML</v>
      </c>
      <c r="I320" s="11">
        <f>IFERROR(__xludf.DUMMYFUNCTION("""COMPUTED_VALUE"""),4.0)</f>
        <v>4</v>
      </c>
      <c r="J320" s="11">
        <f>IFERROR(__xludf.DUMMYFUNCTION("""COMPUTED_VALUE"""),0.0)</f>
        <v>0</v>
      </c>
      <c r="K320" s="11">
        <f>IFERROR(__xludf.DUMMYFUNCTION("""COMPUTED_VALUE"""),0.5)</f>
        <v>0.5</v>
      </c>
    </row>
    <row r="321" ht="15.75" customHeight="1">
      <c r="A321" s="10" t="str">
        <f>IFERROR(__xludf.DUMMYFUNCTION("""COMPUTED_VALUE"""),"https://rtslabs.com/top-ai-consulting-firms/")</f>
        <v>https://rtslabs.com/top-ai-consulting-firms/</v>
      </c>
      <c r="B321" s="11" t="str">
        <f>IFERROR(__xludf.DUMMYFUNCTION("""COMPUTED_VALUE"""),"9 Best AI Consulting Firms in 2026 Review + Comparison")</f>
        <v>9 Best AI Consulting Firms in 2026 Review + Comparison</v>
      </c>
      <c r="C321" s="10" t="str">
        <f>IFERROR(__xludf.DUMMYFUNCTION("""COMPUTED_VALUE"""),"rtslabs.com")</f>
        <v>rtslabs.com</v>
      </c>
      <c r="D321" s="11" t="str">
        <f>IFERROR(__xludf.DUMMYFUNCTION("""COMPUTED_VALUE"""),"LISTICLE")</f>
        <v>LISTICLE</v>
      </c>
      <c r="E321" s="11" t="str">
        <f>IFERROR(__xludf.DUMMYFUNCTION("""COMPUTED_VALUE"""),"CORPORATE")</f>
        <v>CORPORATE</v>
      </c>
      <c r="F321" s="11" t="str">
        <f>IFERROR(__xludf.DUMMYFUNCTION("""COMPUTED_VALUE"""),"Listicle")</f>
        <v>Listicle</v>
      </c>
      <c r="G321" s="11" t="b">
        <f>IFERROR(__xludf.DUMMYFUNCTION("""COMPUTED_VALUE"""),FALSE)</f>
        <v>0</v>
      </c>
      <c r="H321" s="11" t="str">
        <f>IFERROR(__xludf.DUMMYFUNCTION("""COMPUTED_VALUE"""),"Fractal Analytics, Slalom, IBM, Measured")</f>
        <v>Fractal Analytics, Slalom, IBM, Measured</v>
      </c>
      <c r="I321" s="11">
        <f>IFERROR(__xludf.DUMMYFUNCTION("""COMPUTED_VALUE"""),4.0)</f>
        <v>4</v>
      </c>
      <c r="J321" s="11">
        <f>IFERROR(__xludf.DUMMYFUNCTION("""COMPUTED_VALUE"""),0.0)</f>
        <v>0</v>
      </c>
      <c r="K321" s="11">
        <f>IFERROR(__xludf.DUMMYFUNCTION("""COMPUTED_VALUE"""),0.5)</f>
        <v>0.5</v>
      </c>
    </row>
    <row r="322" ht="15.75" customHeight="1">
      <c r="A322" s="10" t="str">
        <f>IFERROR(__xludf.DUMMYFUNCTION("""COMPUTED_VALUE"""),"https://scopicstudios.com/blog/top-performance-marketing-agencies/")</f>
        <v>https://scopicstudios.com/blog/top-performance-marketing-agencies/</v>
      </c>
      <c r="B322" s="11" t="str">
        <f>IFERROR(__xludf.DUMMYFUNCTION("""COMPUTED_VALUE"""),"Top 10 Performance Marketing Agencies for ROI in 2025")</f>
        <v>Top 10 Performance Marketing Agencies for ROI in 2025</v>
      </c>
      <c r="C322" s="10" t="str">
        <f>IFERROR(__xludf.DUMMYFUNCTION("""COMPUTED_VALUE"""),"scopicstudios.com")</f>
        <v>scopicstudios.com</v>
      </c>
      <c r="D322" s="11" t="str">
        <f>IFERROR(__xludf.DUMMYFUNCTION("""COMPUTED_VALUE"""),"LISTICLE")</f>
        <v>LISTICLE</v>
      </c>
      <c r="E322" s="11" t="str">
        <f>IFERROR(__xludf.DUMMYFUNCTION("""COMPUTED_VALUE"""),"CORPORATE")</f>
        <v>CORPORATE</v>
      </c>
      <c r="F322" s="11" t="str">
        <f>IFERROR(__xludf.DUMMYFUNCTION("""COMPUTED_VALUE"""),"Listicle")</f>
        <v>Listicle</v>
      </c>
      <c r="G322" s="11" t="b">
        <f>IFERROR(__xludf.DUMMYFUNCTION("""COMPUTED_VALUE"""),FALSE)</f>
        <v>0</v>
      </c>
      <c r="H322" s="11" t="str">
        <f>IFERROR(__xludf.DUMMYFUNCTION("""COMPUTED_VALUE"""),"Clutch, Measured")</f>
        <v>Clutch, Measured</v>
      </c>
      <c r="I322" s="11">
        <f>IFERROR(__xludf.DUMMYFUNCTION("""COMPUTED_VALUE"""),4.0)</f>
        <v>4</v>
      </c>
      <c r="J322" s="11">
        <f>IFERROR(__xludf.DUMMYFUNCTION("""COMPUTED_VALUE"""),0.0)</f>
        <v>0</v>
      </c>
      <c r="K322" s="11">
        <f>IFERROR(__xludf.DUMMYFUNCTION("""COMPUTED_VALUE"""),0.0)</f>
        <v>0</v>
      </c>
    </row>
    <row r="323" ht="15.75" customHeight="1">
      <c r="A323" s="10" t="str">
        <f>IFERROR(__xludf.DUMMYFUNCTION("""COMPUTED_VALUE"""),"https://segmentstream.com/blog/articles/best-attribution-tools")</f>
        <v>https://segmentstream.com/blog/articles/best-attribution-tools</v>
      </c>
      <c r="B323" s="11" t="str">
        <f>IFERROR(__xludf.DUMMYFUNCTION("""COMPUTED_VALUE"""),"10 Best Marketing Attribution Tools &amp;amp; Platforms (2026) — SegmentStream")</f>
        <v>10 Best Marketing Attribution Tools &amp;amp; Platforms (2026) — SegmentStream</v>
      </c>
      <c r="C323" s="10" t="str">
        <f>IFERROR(__xludf.DUMMYFUNCTION("""COMPUTED_VALUE"""),"segmentstream.com")</f>
        <v>segmentstream.com</v>
      </c>
      <c r="D323" s="11" t="str">
        <f>IFERROR(__xludf.DUMMYFUNCTION("""COMPUTED_VALUE"""),"LISTICLE")</f>
        <v>LISTICLE</v>
      </c>
      <c r="E323" s="11" t="str">
        <f>IFERROR(__xludf.DUMMYFUNCTION("""COMPUTED_VALUE"""),"COMPETITOR")</f>
        <v>COMPETITOR</v>
      </c>
      <c r="F323" s="11" t="str">
        <f>IFERROR(__xludf.DUMMYFUNCTION("""COMPUTED_VALUE"""),"Listicle")</f>
        <v>Listicle</v>
      </c>
      <c r="G323" s="11" t="b">
        <f>IFERROR(__xludf.DUMMYFUNCTION("""COMPUTED_VALUE"""),FALSE)</f>
        <v>0</v>
      </c>
      <c r="H323" s="11" t="str">
        <f>IFERROR(__xludf.DUMMYFUNCTION("""COMPUTED_VALUE"""),"SegmentStream, Triple Whale, Northbeam, Measured, Rockerbox, Ruler Analytics, Anomaly")</f>
        <v>SegmentStream, Triple Whale, Northbeam, Measured, Rockerbox, Ruler Analytics, Anomaly</v>
      </c>
      <c r="I323" s="11">
        <f>IFERROR(__xludf.DUMMYFUNCTION("""COMPUTED_VALUE"""),4.0)</f>
        <v>4</v>
      </c>
      <c r="J323" s="11">
        <f>IFERROR(__xludf.DUMMYFUNCTION("""COMPUTED_VALUE"""),0.0)</f>
        <v>0</v>
      </c>
      <c r="K323" s="11">
        <f>IFERROR(__xludf.DUMMYFUNCTION("""COMPUTED_VALUE"""),0.5)</f>
        <v>0.5</v>
      </c>
    </row>
    <row r="324" ht="15.75" customHeight="1">
      <c r="A324" s="10" t="str">
        <f>IFERROR(__xludf.DUMMYFUNCTION("""COMPUTED_VALUE"""),"https://www.seoworks.com/lists/top-b2b-geo-and-aeo-agencies/")</f>
        <v>https://www.seoworks.com/lists/top-b2b-geo-and-aeo-agencies/</v>
      </c>
      <c r="B324" s="11" t="str">
        <f>IFERROR(__xludf.DUMMYFUNCTION("""COMPUTED_VALUE"""),"Top 20 B2B GEO and AEO Agencies (2026) | The SEO Works")</f>
        <v>Top 20 B2B GEO and AEO Agencies (2026) | The SEO Works</v>
      </c>
      <c r="C324" s="10" t="str">
        <f>IFERROR(__xludf.DUMMYFUNCTION("""COMPUTED_VALUE"""),"seoworks.com")</f>
        <v>seoworks.com</v>
      </c>
      <c r="D324" s="11" t="str">
        <f>IFERROR(__xludf.DUMMYFUNCTION("""COMPUTED_VALUE"""),"LISTICLE")</f>
        <v>LISTICLE</v>
      </c>
      <c r="E324" s="11" t="str">
        <f>IFERROR(__xludf.DUMMYFUNCTION("""COMPUTED_VALUE"""),"CORPORATE")</f>
        <v>CORPORATE</v>
      </c>
      <c r="F324" s="11" t="str">
        <f>IFERROR(__xludf.DUMMYFUNCTION("""COMPUTED_VALUE"""),"Listicle")</f>
        <v>Listicle</v>
      </c>
      <c r="G324" s="11" t="b">
        <f>IFERROR(__xludf.DUMMYFUNCTION("""COMPUTED_VALUE"""),FALSE)</f>
        <v>0</v>
      </c>
      <c r="H324" s="11" t="str">
        <f>IFERROR(__xludf.DUMMYFUNCTION("""COMPUTED_VALUE"""),"The SEO Works, Discovered Labs, Animalz, Directive, WebFX, Victorious")</f>
        <v>The SEO Works, Discovered Labs, Animalz, Directive, WebFX, Victorious</v>
      </c>
      <c r="I324" s="11">
        <f>IFERROR(__xludf.DUMMYFUNCTION("""COMPUTED_VALUE"""),4.0)</f>
        <v>4</v>
      </c>
      <c r="J324" s="11">
        <f>IFERROR(__xludf.DUMMYFUNCTION("""COMPUTED_VALUE"""),0.0)</f>
        <v>0</v>
      </c>
      <c r="K324" s="11">
        <f>IFERROR(__xludf.DUMMYFUNCTION("""COMPUTED_VALUE"""),0.0)</f>
        <v>0</v>
      </c>
    </row>
    <row r="325" ht="15.75" customHeight="1">
      <c r="A325" s="10" t="str">
        <f>IFERROR(__xludf.DUMMYFUNCTION("""COMPUTED_VALUE"""),"https://www.silverbackstrategies.com/lists/best-digital-marketing-agencies-in-the-us-rank-reviewed/")</f>
        <v>https://www.silverbackstrategies.com/lists/best-digital-marketing-agencies-in-the-us-rank-reviewed/</v>
      </c>
      <c r="B325" s="11" t="str">
        <f>IFERROR(__xludf.DUMMYFUNCTION("""COMPUTED_VALUE"""),"Best Digital Marketing Agencies in the U.S. in 2026 (Ranked &amp;amp; Reviewed) | Silverback Strategies")</f>
        <v>Best Digital Marketing Agencies in the U.S. in 2026 (Ranked &amp;amp; Reviewed) | Silverback Strategies</v>
      </c>
      <c r="C325" s="10" t="str">
        <f>IFERROR(__xludf.DUMMYFUNCTION("""COMPUTED_VALUE"""),"silverbackstrategies.com")</f>
        <v>silverbackstrategies.com</v>
      </c>
      <c r="D325" s="11" t="str">
        <f>IFERROR(__xludf.DUMMYFUNCTION("""COMPUTED_VALUE"""),"LISTICLE")</f>
        <v>LISTICLE</v>
      </c>
      <c r="E325" s="11" t="str">
        <f>IFERROR(__xludf.DUMMYFUNCTION("""COMPUTED_VALUE"""),"COMPETITOR")</f>
        <v>COMPETITOR</v>
      </c>
      <c r="F325" s="11" t="str">
        <f>IFERROR(__xludf.DUMMYFUNCTION("""COMPUTED_VALUE"""),"Listicle")</f>
        <v>Listicle</v>
      </c>
      <c r="G325" s="11" t="b">
        <f>IFERROR(__xludf.DUMMYFUNCTION("""COMPUTED_VALUE"""),FALSE)</f>
        <v>0</v>
      </c>
      <c r="H325" s="11" t="str">
        <f>IFERROR(__xludf.DUMMYFUNCTION("""COMPUTED_VALUE"""),"Silverback Strategies, Clutch, Disruptive Advertising, Elit-Web, Accelerated Digital Media")</f>
        <v>Silverback Strategies, Clutch, Disruptive Advertising, Elit-Web, Accelerated Digital Media</v>
      </c>
      <c r="I325" s="11">
        <f>IFERROR(__xludf.DUMMYFUNCTION("""COMPUTED_VALUE"""),4.0)</f>
        <v>4</v>
      </c>
      <c r="J325" s="11">
        <f>IFERROR(__xludf.DUMMYFUNCTION("""COMPUTED_VALUE"""),0.0)</f>
        <v>0</v>
      </c>
      <c r="K325" s="11">
        <f>IFERROR(__xludf.DUMMYFUNCTION("""COMPUTED_VALUE"""),0.5)</f>
        <v>0.5</v>
      </c>
    </row>
    <row r="326" ht="15.75" customHeight="1">
      <c r="A326" s="10" t="str">
        <f>IFERROR(__xludf.DUMMYFUNCTION("""COMPUTED_VALUE"""),"https://www.strategyeye.com/top-13-performance-marketing-agencies/")</f>
        <v>https://www.strategyeye.com/top-13-performance-marketing-agencies/</v>
      </c>
      <c r="B326" s="11" t="str">
        <f>IFERROR(__xludf.DUMMYFUNCTION("""COMPUTED_VALUE"""),"Top 13 Performance Marketing Agencies - StrategyEye")</f>
        <v>Top 13 Performance Marketing Agencies - StrategyEye</v>
      </c>
      <c r="C326" s="10" t="str">
        <f>IFERROR(__xludf.DUMMYFUNCTION("""COMPUTED_VALUE"""),"strategyeye.com")</f>
        <v>strategyeye.com</v>
      </c>
      <c r="D326" s="11" t="str">
        <f>IFERROR(__xludf.DUMMYFUNCTION("""COMPUTED_VALUE"""),"LISTICLE")</f>
        <v>LISTICLE</v>
      </c>
      <c r="E326" s="11" t="str">
        <f>IFERROR(__xludf.DUMMYFUNCTION("""COMPUTED_VALUE"""),"EDITORIAL")</f>
        <v>EDITORIAL</v>
      </c>
      <c r="F326" s="11" t="str">
        <f>IFERROR(__xludf.DUMMYFUNCTION("""COMPUTED_VALUE"""),"Listicle")</f>
        <v>Listicle</v>
      </c>
      <c r="G326" s="11" t="b">
        <f>IFERROR(__xludf.DUMMYFUNCTION("""COMPUTED_VALUE"""),FALSE)</f>
        <v>0</v>
      </c>
      <c r="H326" s="11" t="str">
        <f>IFERROR(__xludf.DUMMYFUNCTION("""COMPUTED_VALUE"""),"Merkle, Tinuiti, Wpromote, Metric Theory, iProspect, Brainlabs, PMG")</f>
        <v>Merkle, Tinuiti, Wpromote, Metric Theory, iProspect, Brainlabs, PMG</v>
      </c>
      <c r="I326" s="11">
        <f>IFERROR(__xludf.DUMMYFUNCTION("""COMPUTED_VALUE"""),4.0)</f>
        <v>4</v>
      </c>
      <c r="J326" s="11">
        <f>IFERROR(__xludf.DUMMYFUNCTION("""COMPUTED_VALUE"""),0.0)</f>
        <v>0</v>
      </c>
      <c r="K326" s="11">
        <f>IFERROR(__xludf.DUMMYFUNCTION("""COMPUTED_VALUE"""),0.5)</f>
        <v>0.5</v>
      </c>
    </row>
    <row r="327" ht="15.75" customHeight="1">
      <c r="A327" s="10" t="str">
        <f>IFERROR(__xludf.DUMMYFUNCTION("""COMPUTED_VALUE"""),"https://www.thegrowthsyndicate.com/agencies/best-b2b-google-ads-agencies-us")</f>
        <v>https://www.thegrowthsyndicate.com/agencies/best-b2b-google-ads-agencies-us</v>
      </c>
      <c r="B327" s="11" t="str">
        <f>IFERROR(__xludf.DUMMYFUNCTION("""COMPUTED_VALUE"""),"15 Best B2B Google Ads Agencies in the US in 2026")</f>
        <v>15 Best B2B Google Ads Agencies in the US in 2026</v>
      </c>
      <c r="C327" s="10" t="str">
        <f>IFERROR(__xludf.DUMMYFUNCTION("""COMPUTED_VALUE"""),"thegrowthsyndicate.com")</f>
        <v>thegrowthsyndicate.com</v>
      </c>
      <c r="D327" s="11" t="str">
        <f>IFERROR(__xludf.DUMMYFUNCTION("""COMPUTED_VALUE"""),"LISTICLE")</f>
        <v>LISTICLE</v>
      </c>
      <c r="E327" s="11" t="str">
        <f>IFERROR(__xludf.DUMMYFUNCTION("""COMPUTED_VALUE"""),"CORPORATE")</f>
        <v>CORPORATE</v>
      </c>
      <c r="F327" s="11" t="str">
        <f>IFERROR(__xludf.DUMMYFUNCTION("""COMPUTED_VALUE"""),"Listicle")</f>
        <v>Listicle</v>
      </c>
      <c r="G327" s="11" t="b">
        <f>IFERROR(__xludf.DUMMYFUNCTION("""COMPUTED_VALUE"""),FALSE)</f>
        <v>0</v>
      </c>
      <c r="H327" s="11" t="str">
        <f>IFERROR(__xludf.DUMMYFUNCTION("""COMPUTED_VALUE"""),"Directive, Disruptive Advertising, KlientBoost, Single Grain, Tinuiti, Brainlabs, HawkSEM, AdVenture Media, Silverback Strategies, Clutch, Seer Interactive, Metric Theory, Monks")</f>
        <v>Directive, Disruptive Advertising, KlientBoost, Single Grain, Tinuiti, Brainlabs, HawkSEM, AdVenture Media, Silverback Strategies, Clutch, Seer Interactive, Metric Theory, Monks</v>
      </c>
      <c r="I327" s="11">
        <f>IFERROR(__xludf.DUMMYFUNCTION("""COMPUTED_VALUE"""),4.0)</f>
        <v>4</v>
      </c>
      <c r="J327" s="11">
        <f>IFERROR(__xludf.DUMMYFUNCTION("""COMPUTED_VALUE"""),0.0)</f>
        <v>0</v>
      </c>
      <c r="K327" s="11">
        <f>IFERROR(__xludf.DUMMYFUNCTION("""COMPUTED_VALUE"""),0.25)</f>
        <v>0.25</v>
      </c>
    </row>
    <row r="328" ht="15.75" customHeight="1">
      <c r="A328" s="10" t="str">
        <f>IFERROR(__xludf.DUMMYFUNCTION("""COMPUTED_VALUE"""),"https://theinklusive.com/blog/best-creative-marketing-agency-partners-for-your-brand/")</f>
        <v>https://theinklusive.com/blog/best-creative-marketing-agency-partners-for-your-brand/</v>
      </c>
      <c r="B328" s="11" t="str">
        <f>IFERROR(__xludf.DUMMYFUNCTION("""COMPUTED_VALUE"""),"15 BEST Creative Marketing Agencies for 2026 (W+K, Ogilvy, Mischief)")</f>
        <v>15 BEST Creative Marketing Agencies for 2026 (W+K, Ogilvy, Mischief)</v>
      </c>
      <c r="C328" s="10" t="str">
        <f>IFERROR(__xludf.DUMMYFUNCTION("""COMPUTED_VALUE"""),"theinklusive.com")</f>
        <v>theinklusive.com</v>
      </c>
      <c r="D328" s="11" t="str">
        <f>IFERROR(__xludf.DUMMYFUNCTION("""COMPUTED_VALUE"""),"LISTICLE")</f>
        <v>LISTICLE</v>
      </c>
      <c r="E328" s="11" t="str">
        <f>IFERROR(__xludf.DUMMYFUNCTION("""COMPUTED_VALUE"""),"CORPORATE")</f>
        <v>CORPORATE</v>
      </c>
      <c r="F328" s="11" t="str">
        <f>IFERROR(__xludf.DUMMYFUNCTION("""COMPUTED_VALUE"""),"Listicle")</f>
        <v>Listicle</v>
      </c>
      <c r="G328" s="11" t="b">
        <f>IFERROR(__xludf.DUMMYFUNCTION("""COMPUTED_VALUE"""),FALSE)</f>
        <v>0</v>
      </c>
      <c r="H328" s="11" t="str">
        <f>IFERROR(__xludf.DUMMYFUNCTION("""COMPUTED_VALUE"""),"Momentum, Wieden+Kennedy, Ogilvy, Giant Spoon")</f>
        <v>Momentum, Wieden+Kennedy, Ogilvy, Giant Spoon</v>
      </c>
      <c r="I328" s="11">
        <f>IFERROR(__xludf.DUMMYFUNCTION("""COMPUTED_VALUE"""),4.0)</f>
        <v>4</v>
      </c>
      <c r="J328" s="11">
        <f>IFERROR(__xludf.DUMMYFUNCTION("""COMPUTED_VALUE"""),0.0)</f>
        <v>0</v>
      </c>
      <c r="K328" s="11">
        <f>IFERROR(__xludf.DUMMYFUNCTION("""COMPUTED_VALUE"""),0.75)</f>
        <v>0.75</v>
      </c>
    </row>
    <row r="329" ht="15.75" customHeight="1">
      <c r="A329" s="10" t="str">
        <f>IFERROR(__xludf.DUMMYFUNCTION("""COMPUTED_VALUE"""),"https://www.thekeenfolks.com/blog-article/best-performance-marketing-agencies#:~:text=Best%20For%3A%20Mid%2Dmarket%20to%20enterprise%20companies%20focused,clients%20a%20concrete%20baseline%20for%20evaluating%20performance.")</f>
        <v>https://www.thekeenfolks.com/blog-article/best-performance-marketing-agencies#:~:text=Best%20For%3A%20Mid%2Dmarket%20to%20enterprise%20companies%20focused,clients%20a%20concrete%20baseline%20for%20evaluating%20performance.</v>
      </c>
      <c r="B329" s="11" t="str">
        <f>IFERROR(__xludf.DUMMYFUNCTION("""COMPUTED_VALUE"""),"The Best Performance Marketing Agencies for Enterprise Growth")</f>
        <v>The Best Performance Marketing Agencies for Enterprise Growth</v>
      </c>
      <c r="C329" s="10" t="str">
        <f>IFERROR(__xludf.DUMMYFUNCTION("""COMPUTED_VALUE"""),"thekeenfolks.com")</f>
        <v>thekeenfolks.com</v>
      </c>
      <c r="D329" s="11" t="str">
        <f>IFERROR(__xludf.DUMMYFUNCTION("""COMPUTED_VALUE"""),"LISTICLE")</f>
        <v>LISTICLE</v>
      </c>
      <c r="E329" s="11" t="str">
        <f>IFERROR(__xludf.DUMMYFUNCTION("""COMPUTED_VALUE"""),"COMPETITOR")</f>
        <v>COMPETITOR</v>
      </c>
      <c r="F329" s="11" t="str">
        <f>IFERROR(__xludf.DUMMYFUNCTION("""COMPUTED_VALUE"""),"Listicle")</f>
        <v>Listicle</v>
      </c>
      <c r="G329" s="11" t="b">
        <f>IFERROR(__xludf.DUMMYFUNCTION("""COMPUTED_VALUE"""),FALSE)</f>
        <v>0</v>
      </c>
      <c r="H329" s="11" t="str">
        <f>IFERROR(__xludf.DUMMYFUNCTION("""COMPUTED_VALUE"""),"Keenfolks, Tinuiti, DEPT, Croud, Ignite Visibility, Disruptive Advertising, WebFX")</f>
        <v>Keenfolks, Tinuiti, DEPT, Croud, Ignite Visibility, Disruptive Advertising, WebFX</v>
      </c>
      <c r="I329" s="11">
        <f>IFERROR(__xludf.DUMMYFUNCTION("""COMPUTED_VALUE"""),4.0)</f>
        <v>4</v>
      </c>
      <c r="J329" s="11">
        <f>IFERROR(__xludf.DUMMYFUNCTION("""COMPUTED_VALUE"""),0.0)</f>
        <v>0</v>
      </c>
      <c r="K329" s="11">
        <f>IFERROR(__xludf.DUMMYFUNCTION("""COMPUTED_VALUE"""),1.5)</f>
        <v>1.5</v>
      </c>
    </row>
    <row r="330" ht="15.75" customHeight="1">
      <c r="A330" s="10" t="str">
        <f>IFERROR(__xludf.DUMMYFUNCTION("""COMPUTED_VALUE"""),"https://www.uforocks.com/blog/top-ppc-agencies-in-the-u-s/")</f>
        <v>https://www.uforocks.com/blog/top-ppc-agencies-in-the-u-s/</v>
      </c>
      <c r="B330" s="11" t="str">
        <f>IFERROR(__xludf.DUMMYFUNCTION("""COMPUTED_VALUE"""),"Top PPC Agencies in the U.S. - UFO Digital Marketing Agency")</f>
        <v>Top PPC Agencies in the U.S. - UFO Digital Marketing Agency</v>
      </c>
      <c r="C330" s="10" t="str">
        <f>IFERROR(__xludf.DUMMYFUNCTION("""COMPUTED_VALUE"""),"uforocks.com")</f>
        <v>uforocks.com</v>
      </c>
      <c r="D330" s="11" t="str">
        <f>IFERROR(__xludf.DUMMYFUNCTION("""COMPUTED_VALUE"""),"LISTICLE")</f>
        <v>LISTICLE</v>
      </c>
      <c r="E330" s="11" t="str">
        <f>IFERROR(__xludf.DUMMYFUNCTION("""COMPUTED_VALUE"""),"CORPORATE")</f>
        <v>CORPORATE</v>
      </c>
      <c r="F330" s="11" t="str">
        <f>IFERROR(__xludf.DUMMYFUNCTION("""COMPUTED_VALUE"""),"Listicle")</f>
        <v>Listicle</v>
      </c>
      <c r="G330" s="11" t="b">
        <f>IFERROR(__xludf.DUMMYFUNCTION("""COMPUTED_VALUE"""),FALSE)</f>
        <v>0</v>
      </c>
      <c r="H330" s="11" t="str">
        <f>IFERROR(__xludf.DUMMYFUNCTION("""COMPUTED_VALUE"""),"AdVenture Media, Directive, Disruptive Advertising, Ignite Visibility, KlientBoost, MuteSix, Dentsu, NP Digital, Seer Interactive, Silverback Strategies, SmartSites, Thrive Internet Marketing Agency, Tinuiti, WebFX, Wpromote")</f>
        <v>AdVenture Media, Directive, Disruptive Advertising, Ignite Visibility, KlientBoost, MuteSix, Dentsu, NP Digital, Seer Interactive, Silverback Strategies, SmartSites, Thrive Internet Marketing Agency, Tinuiti, WebFX, Wpromote</v>
      </c>
      <c r="I330" s="11">
        <f>IFERROR(__xludf.DUMMYFUNCTION("""COMPUTED_VALUE"""),4.0)</f>
        <v>4</v>
      </c>
      <c r="J330" s="11">
        <f>IFERROR(__xludf.DUMMYFUNCTION("""COMPUTED_VALUE"""),0.0)</f>
        <v>0</v>
      </c>
      <c r="K330" s="11">
        <f>IFERROR(__xludf.DUMMYFUNCTION("""COMPUTED_VALUE"""),0.0)</f>
        <v>0</v>
      </c>
    </row>
    <row r="331" ht="15.75" customHeight="1">
      <c r="A331" s="10" t="str">
        <f>IFERROR(__xludf.DUMMYFUNCTION("""COMPUTED_VALUE"""),"https://www.warc.com/en/data-benchmarks/rankings-creative-100-overview")</f>
        <v>https://www.warc.com/en/data-benchmarks/rankings-creative-100-overview</v>
      </c>
      <c r="B331" s="11" t="str">
        <f>IFERROR(__xludf.DUMMYFUNCTION("""COMPUTED_VALUE"""),"Creative 100 Overview")</f>
        <v>Creative 100 Overview</v>
      </c>
      <c r="C331" s="10" t="str">
        <f>IFERROR(__xludf.DUMMYFUNCTION("""COMPUTED_VALUE"""),"warc.com")</f>
        <v>warc.com</v>
      </c>
      <c r="D331" s="11" t="str">
        <f>IFERROR(__xludf.DUMMYFUNCTION("""COMPUTED_VALUE"""),"LISTICLE")</f>
        <v>LISTICLE</v>
      </c>
      <c r="E331" s="11" t="str">
        <f>IFERROR(__xludf.DUMMYFUNCTION("""COMPUTED_VALUE"""),"REFERENCE")</f>
        <v>REFERENCE</v>
      </c>
      <c r="F331" s="11" t="str">
        <f>IFERROR(__xludf.DUMMYFUNCTION("""COMPUTED_VALUE"""),"Listicle")</f>
        <v>Listicle</v>
      </c>
      <c r="G331" s="11" t="b">
        <f>IFERROR(__xludf.DUMMYFUNCTION("""COMPUTED_VALUE"""),FALSE)</f>
        <v>0</v>
      </c>
      <c r="H331" s="11" t="str">
        <f>IFERROR(__xludf.DUMMYFUNCTION("""COMPUTED_VALUE"""),"Ogilvy, WPP, VML")</f>
        <v>Ogilvy, WPP, VML</v>
      </c>
      <c r="I331" s="11">
        <f>IFERROR(__xludf.DUMMYFUNCTION("""COMPUTED_VALUE"""),4.0)</f>
        <v>4</v>
      </c>
      <c r="J331" s="11">
        <f>IFERROR(__xludf.DUMMYFUNCTION("""COMPUTED_VALUE"""),0.0)</f>
        <v>0</v>
      </c>
      <c r="K331" s="11">
        <f>IFERROR(__xludf.DUMMYFUNCTION("""COMPUTED_VALUE"""),1.0)</f>
        <v>1</v>
      </c>
    </row>
    <row r="332" ht="15.75" customHeight="1">
      <c r="A332" s="10" t="str">
        <f>IFERROR(__xludf.DUMMYFUNCTION("""COMPUTED_VALUE"""),"https://www.warc.com/en/rankings/creative-100")</f>
        <v>https://www.warc.com/en/rankings/creative-100</v>
      </c>
      <c r="B332" s="11" t="str">
        <f>IFERROR(__xludf.DUMMYFUNCTION("""COMPUTED_VALUE"""),"Creative 100 Overview")</f>
        <v>Creative 100 Overview</v>
      </c>
      <c r="C332" s="10" t="str">
        <f>IFERROR(__xludf.DUMMYFUNCTION("""COMPUTED_VALUE"""),"warc.com")</f>
        <v>warc.com</v>
      </c>
      <c r="D332" s="11" t="str">
        <f>IFERROR(__xludf.DUMMYFUNCTION("""COMPUTED_VALUE"""),"LISTICLE")</f>
        <v>LISTICLE</v>
      </c>
      <c r="E332" s="11" t="str">
        <f>IFERROR(__xludf.DUMMYFUNCTION("""COMPUTED_VALUE"""),"REFERENCE")</f>
        <v>REFERENCE</v>
      </c>
      <c r="F332" s="11" t="str">
        <f>IFERROR(__xludf.DUMMYFUNCTION("""COMPUTED_VALUE"""),"Listicle")</f>
        <v>Listicle</v>
      </c>
      <c r="G332" s="11" t="b">
        <f>IFERROR(__xludf.DUMMYFUNCTION("""COMPUTED_VALUE"""),FALSE)</f>
        <v>0</v>
      </c>
      <c r="H332" s="11" t="str">
        <f>IFERROR(__xludf.DUMMYFUNCTION("""COMPUTED_VALUE"""),"Ogilvy, WPP, VML")</f>
        <v>Ogilvy, WPP, VML</v>
      </c>
      <c r="I332" s="11">
        <f>IFERROR(__xludf.DUMMYFUNCTION("""COMPUTED_VALUE"""),4.0)</f>
        <v>4</v>
      </c>
      <c r="J332" s="11">
        <f>IFERROR(__xludf.DUMMYFUNCTION("""COMPUTED_VALUE"""),0.0)</f>
        <v>0</v>
      </c>
      <c r="K332" s="11">
        <f>IFERROR(__xludf.DUMMYFUNCTION("""COMPUTED_VALUE"""),1.0)</f>
        <v>1</v>
      </c>
    </row>
    <row r="333" ht="15.75" customHeight="1">
      <c r="A333" s="10" t="str">
        <f>IFERROR(__xludf.DUMMYFUNCTION("""COMPUTED_VALUE"""),"https://www.webtonic.io/blog/top-enterprise-digital-marketing-agencies#:~:text=Their%20capabilities%20include%20advanced%20analytics%2C%20marketing%20automation,Columbia%20(Maryland)%2C%20New%20York%2C%20London%2C%20Global%20offices.")</f>
        <v>https://www.webtonic.io/blog/top-enterprise-digital-marketing-agencies#:~:text=Their%20capabilities%20include%20advanced%20analytics%2C%20marketing%20automation,Columbia%20(Maryland)%2C%20New%20York%2C%20London%2C%20Global%20offices.</v>
      </c>
      <c r="B333" s="11" t="str">
        <f>IFERROR(__xludf.DUMMYFUNCTION("""COMPUTED_VALUE"""),"40 Top Enterprise Digital Marketing Agencies for 2026")</f>
        <v>40 Top Enterprise Digital Marketing Agencies for 2026</v>
      </c>
      <c r="C333" s="10" t="str">
        <f>IFERROR(__xludf.DUMMYFUNCTION("""COMPUTED_VALUE"""),"webtonic.io")</f>
        <v>webtonic.io</v>
      </c>
      <c r="D333" s="11" t="str">
        <f>IFERROR(__xludf.DUMMYFUNCTION("""COMPUTED_VALUE"""),"LISTICLE")</f>
        <v>LISTICLE</v>
      </c>
      <c r="E333" s="11" t="str">
        <f>IFERROR(__xludf.DUMMYFUNCTION("""COMPUTED_VALUE"""),"COMPETITOR")</f>
        <v>COMPETITOR</v>
      </c>
      <c r="F333" s="11" t="str">
        <f>IFERROR(__xludf.DUMMYFUNCTION("""COMPUTED_VALUE"""),"Listicle")</f>
        <v>Listicle</v>
      </c>
      <c r="G333" s="11" t="b">
        <f>IFERROR(__xludf.DUMMYFUNCTION("""COMPUTED_VALUE"""),FALSE)</f>
        <v>0</v>
      </c>
      <c r="H333" s="11" t="str">
        <f>IFERROR(__xludf.DUMMYFUNCTION("""COMPUTED_VALUE"""),"Web Tonic, Publicis Sapient, Merkle, Dentsu, Accenture Song, VML, Deloitte Digital, iProspect, R/GA, Huge, Digitas, Epsilon, PwC, Ogilvy, IBM, GroupM, DEPT, WPP")</f>
        <v>Web Tonic, Publicis Sapient, Merkle, Dentsu, Accenture Song, VML, Deloitte Digital, iProspect, R/GA, Huge, Digitas, Epsilon, PwC, Ogilvy, IBM, GroupM, DEPT, WPP</v>
      </c>
      <c r="I333" s="11">
        <f>IFERROR(__xludf.DUMMYFUNCTION("""COMPUTED_VALUE"""),4.0)</f>
        <v>4</v>
      </c>
      <c r="J333" s="11">
        <f>IFERROR(__xludf.DUMMYFUNCTION("""COMPUTED_VALUE"""),0.0)</f>
        <v>0</v>
      </c>
      <c r="K333" s="11">
        <f>IFERROR(__xludf.DUMMYFUNCTION("""COMPUTED_VALUE"""),1.75)</f>
        <v>1.75</v>
      </c>
    </row>
    <row r="334" ht="15.75" customHeight="1">
      <c r="A334" s="10" t="str">
        <f>IFERROR(__xludf.DUMMYFUNCTION("""COMPUTED_VALUE"""),"https://www.webtonic.io/blog/top-paid-media-agencies")</f>
        <v>https://www.webtonic.io/blog/top-paid-media-agencies</v>
      </c>
      <c r="B334" s="11" t="str">
        <f>IFERROR(__xludf.DUMMYFUNCTION("""COMPUTED_VALUE"""),"The 51 Top Paid Media Agencies as of 2026")</f>
        <v>The 51 Top Paid Media Agencies as of 2026</v>
      </c>
      <c r="C334" s="10" t="str">
        <f>IFERROR(__xludf.DUMMYFUNCTION("""COMPUTED_VALUE"""),"webtonic.io")</f>
        <v>webtonic.io</v>
      </c>
      <c r="D334" s="11" t="str">
        <f>IFERROR(__xludf.DUMMYFUNCTION("""COMPUTED_VALUE"""),"LISTICLE")</f>
        <v>LISTICLE</v>
      </c>
      <c r="E334" s="11" t="str">
        <f>IFERROR(__xludf.DUMMYFUNCTION("""COMPUTED_VALUE"""),"COMPETITOR")</f>
        <v>COMPETITOR</v>
      </c>
      <c r="F334" s="11" t="str">
        <f>IFERROR(__xludf.DUMMYFUNCTION("""COMPUTED_VALUE"""),"Listicle")</f>
        <v>Listicle</v>
      </c>
      <c r="G334" s="11" t="b">
        <f>IFERROR(__xludf.DUMMYFUNCTION("""COMPUTED_VALUE"""),TRUE)</f>
        <v>1</v>
      </c>
      <c r="H334" s="11" t="str">
        <f>IFERROR(__xludf.DUMMYFUNCTION("""COMPUTED_VALUE"""),"Web Tonic, Tinuiti, Wpromote, TransUnion, Jellyfish, Merkle, Dentsu, Brainlabs, DEPT, GroupM, Metric Theory, KlientBoost, Power Digital, Disruptive Advertising, AdVenture Media, PMG, Directive, Incubeta, Hawke Media, MuteSix, Amsive")</f>
        <v>Web Tonic, Tinuiti, Wpromote, TransUnion, Jellyfish, Merkle, Dentsu, Brainlabs, DEPT, GroupM, Metric Theory, KlientBoost, Power Digital, Disruptive Advertising, AdVenture Media, PMG, Directive, Incubeta, Hawke Media, MuteSix, Amsive</v>
      </c>
      <c r="I334" s="11">
        <f>IFERROR(__xludf.DUMMYFUNCTION("""COMPUTED_VALUE"""),4.0)</f>
        <v>4</v>
      </c>
      <c r="J334" s="11">
        <f>IFERROR(__xludf.DUMMYFUNCTION("""COMPUTED_VALUE"""),0.0)</f>
        <v>0</v>
      </c>
      <c r="K334" s="11">
        <f>IFERROR(__xludf.DUMMYFUNCTION("""COMPUTED_VALUE"""),1.75)</f>
        <v>1.75</v>
      </c>
    </row>
    <row r="335" ht="15.75" customHeight="1">
      <c r="A335" s="10" t="str">
        <f>IFERROR(__xludf.DUMMYFUNCTION("""COMPUTED_VALUE"""),"https://www.youtube.com/watch?v=Zyd_x8Z9J7I&amp;t=92")</f>
        <v>https://www.youtube.com/watch?v=Zyd_x8Z9J7I&amp;t=92</v>
      </c>
      <c r="B335" s="11" t="str">
        <f>IFERROR(__xludf.DUMMYFUNCTION("""COMPUTED_VALUE"""),"Best Digital Performance Marketing Companies")</f>
        <v>Best Digital Performance Marketing Companies</v>
      </c>
      <c r="C335" s="10" t="str">
        <f>IFERROR(__xludf.DUMMYFUNCTION("""COMPUTED_VALUE"""),"youtube.com")</f>
        <v>youtube.com</v>
      </c>
      <c r="D335" s="11" t="str">
        <f>IFERROR(__xludf.DUMMYFUNCTION("""COMPUTED_VALUE"""),"LISTICLE")</f>
        <v>LISTICLE</v>
      </c>
      <c r="E335" s="11" t="str">
        <f>IFERROR(__xludf.DUMMYFUNCTION("""COMPUTED_VALUE"""),"UGC")</f>
        <v>UGC</v>
      </c>
      <c r="F335" s="11" t="str">
        <f>IFERROR(__xludf.DUMMYFUNCTION("""COMPUTED_VALUE"""),"Listicle")</f>
        <v>Listicle</v>
      </c>
      <c r="G335" s="11" t="b">
        <f>IFERROR(__xludf.DUMMYFUNCTION("""COMPUTED_VALUE"""),FALSE)</f>
        <v>0</v>
      </c>
      <c r="H335" s="11" t="str">
        <f>IFERROR(__xludf.DUMMYFUNCTION("""COMPUTED_VALUE"""),"Tinuiti, Wpromote, Single Grain, Right Side Up")</f>
        <v>Tinuiti, Wpromote, Single Grain, Right Side Up</v>
      </c>
      <c r="I335" s="11">
        <f>IFERROR(__xludf.DUMMYFUNCTION("""COMPUTED_VALUE"""),4.0)</f>
        <v>4</v>
      </c>
      <c r="J335" s="11">
        <f>IFERROR(__xludf.DUMMYFUNCTION("""COMPUTED_VALUE"""),0.0)</f>
        <v>0</v>
      </c>
      <c r="K335" s="11">
        <f>IFERROR(__xludf.DUMMYFUNCTION("""COMPUTED_VALUE"""),1.0)</f>
        <v>1</v>
      </c>
    </row>
    <row r="336" ht="15.75" customHeight="1">
      <c r="A336" s="10" t="str">
        <f>IFERROR(__xludf.DUMMYFUNCTION("""COMPUTED_VALUE"""),"https://www.accuracast.com/articles/multilingual-7471/top-10-international-digital-marketing-agencies-2026/")</f>
        <v>https://www.accuracast.com/articles/multilingual-7471/top-10-international-digital-marketing-agencies-2026/</v>
      </c>
      <c r="B336" s="11" t="str">
        <f>IFERROR(__xludf.DUMMYFUNCTION("""COMPUTED_VALUE"""),"Top 10 International Digital Marketing Agencies 2026 - Accuracast")</f>
        <v>Top 10 International Digital Marketing Agencies 2026 - Accuracast</v>
      </c>
      <c r="C336" s="10" t="str">
        <f>IFERROR(__xludf.DUMMYFUNCTION("""COMPUTED_VALUE"""),"accuracast.com")</f>
        <v>accuracast.com</v>
      </c>
      <c r="D336" s="11" t="str">
        <f>IFERROR(__xludf.DUMMYFUNCTION("""COMPUTED_VALUE"""),"LISTICLE")</f>
        <v>LISTICLE</v>
      </c>
      <c r="E336" s="11" t="str">
        <f>IFERROR(__xludf.DUMMYFUNCTION("""COMPUTED_VALUE"""),"CORPORATE")</f>
        <v>CORPORATE</v>
      </c>
      <c r="F336" s="11" t="str">
        <f>IFERROR(__xludf.DUMMYFUNCTION("""COMPUTED_VALUE"""),"Listicle")</f>
        <v>Listicle</v>
      </c>
      <c r="G336" s="11" t="b">
        <f>IFERROR(__xludf.DUMMYFUNCTION("""COMPUTED_VALUE"""),FALSE)</f>
        <v>0</v>
      </c>
      <c r="H336" s="11" t="str">
        <f>IFERROR(__xludf.DUMMYFUNCTION("""COMPUTED_VALUE"""),"WebFX, Disruptive Advertising, iProspect, Ignite Visibility, SmartSites, Jellyfish, Accenture Song, Thrive Internet Marketing Agency, NoGood")</f>
        <v>WebFX, Disruptive Advertising, iProspect, Ignite Visibility, SmartSites, Jellyfish, Accenture Song, Thrive Internet Marketing Agency, NoGood</v>
      </c>
      <c r="I336" s="11">
        <f>IFERROR(__xludf.DUMMYFUNCTION("""COMPUTED_VALUE"""),3.0)</f>
        <v>3</v>
      </c>
      <c r="J336" s="11">
        <f>IFERROR(__xludf.DUMMYFUNCTION("""COMPUTED_VALUE"""),0.0)</f>
        <v>0</v>
      </c>
      <c r="K336" s="11">
        <f>IFERROR(__xludf.DUMMYFUNCTION("""COMPUTED_VALUE"""),0.0)</f>
        <v>0</v>
      </c>
    </row>
    <row r="337" ht="15.75" customHeight="1">
      <c r="A337" s="10" t="str">
        <f>IFERROR(__xludf.DUMMYFUNCTION("""COMPUTED_VALUE"""),"https://www.adogy.com/the-top-generative-engine-optimization-geo-agencies/")</f>
        <v>https://www.adogy.com/the-top-generative-engine-optimization-geo-agencies/</v>
      </c>
      <c r="B337" s="11" t="str">
        <f>IFERROR(__xludf.DUMMYFUNCTION("""COMPUTED_VALUE"""),"Best Generative Engine Optimization (GEO) Agencies of 2026")</f>
        <v>Best Generative Engine Optimization (GEO) Agencies of 2026</v>
      </c>
      <c r="C337" s="10" t="str">
        <f>IFERROR(__xludf.DUMMYFUNCTION("""COMPUTED_VALUE"""),"adogy.com")</f>
        <v>adogy.com</v>
      </c>
      <c r="D337" s="11" t="str">
        <f>IFERROR(__xludf.DUMMYFUNCTION("""COMPUTED_VALUE"""),"LISTICLE")</f>
        <v>LISTICLE</v>
      </c>
      <c r="E337" s="11" t="str">
        <f>IFERROR(__xludf.DUMMYFUNCTION("""COMPUTED_VALUE"""),"CORPORATE")</f>
        <v>CORPORATE</v>
      </c>
      <c r="F337" s="11" t="str">
        <f>IFERROR(__xludf.DUMMYFUNCTION("""COMPUTED_VALUE"""),"Listicle")</f>
        <v>Listicle</v>
      </c>
      <c r="G337" s="11" t="b">
        <f>IFERROR(__xludf.DUMMYFUNCTION("""COMPUTED_VALUE"""),FALSE)</f>
        <v>0</v>
      </c>
      <c r="H337" s="11" t="str">
        <f>IFERROR(__xludf.DUMMYFUNCTION("""COMPUTED_VALUE"""),"NoGood, Intero Digital, Avenue Z, Omniscient Digital, First Page Sage")</f>
        <v>NoGood, Intero Digital, Avenue Z, Omniscient Digital, First Page Sage</v>
      </c>
      <c r="I337" s="11">
        <f>IFERROR(__xludf.DUMMYFUNCTION("""COMPUTED_VALUE"""),3.0)</f>
        <v>3</v>
      </c>
      <c r="J337" s="11">
        <f>IFERROR(__xludf.DUMMYFUNCTION("""COMPUTED_VALUE"""),0.0)</f>
        <v>0</v>
      </c>
      <c r="K337" s="11">
        <f>IFERROR(__xludf.DUMMYFUNCTION("""COMPUTED_VALUE"""),1.33)</f>
        <v>1.33</v>
      </c>
    </row>
    <row r="338" ht="15.75" customHeight="1">
      <c r="A338" s="10" t="str">
        <f>IFERROR(__xludf.DUMMYFUNCTION("""COMPUTED_VALUE"""),"https://aiinsiderdaily.com/ai-tools-reviews/ai-agency-guide-2025/")</f>
        <v>https://aiinsiderdaily.com/ai-tools-reviews/ai-agency-guide-2025/</v>
      </c>
      <c r="B338" s="11" t="str">
        <f>IFERROR(__xludf.DUMMYFUNCTION("""COMPUTED_VALUE"""),"AI Agency Guide 2025: Top 20 Best AI Agent Companies in the USA | AI Insider Daily")</f>
        <v>AI Agency Guide 2025: Top 20 Best AI Agent Companies in the USA | AI Insider Daily</v>
      </c>
      <c r="C338" s="10" t="str">
        <f>IFERROR(__xludf.DUMMYFUNCTION("""COMPUTED_VALUE"""),"aiinsiderdaily.com")</f>
        <v>aiinsiderdaily.com</v>
      </c>
      <c r="D338" s="11" t="str">
        <f>IFERROR(__xludf.DUMMYFUNCTION("""COMPUTED_VALUE"""),"LISTICLE")</f>
        <v>LISTICLE</v>
      </c>
      <c r="E338" s="11" t="str">
        <f>IFERROR(__xludf.DUMMYFUNCTION("""COMPUTED_VALUE"""),"EDITORIAL")</f>
        <v>EDITORIAL</v>
      </c>
      <c r="F338" s="11" t="str">
        <f>IFERROR(__xludf.DUMMYFUNCTION("""COMPUTED_VALUE"""),"Listicle")</f>
        <v>Listicle</v>
      </c>
      <c r="G338" s="11" t="b">
        <f>IFERROR(__xludf.DUMMYFUNCTION("""COMPUTED_VALUE"""),FALSE)</f>
        <v>0</v>
      </c>
      <c r="H338" s="11" t="str">
        <f>IFERROR(__xludf.DUMMYFUNCTION("""COMPUTED_VALUE"""),"IBM")</f>
        <v>IBM</v>
      </c>
      <c r="I338" s="11">
        <f>IFERROR(__xludf.DUMMYFUNCTION("""COMPUTED_VALUE"""),3.0)</f>
        <v>3</v>
      </c>
      <c r="J338" s="11">
        <f>IFERROR(__xludf.DUMMYFUNCTION("""COMPUTED_VALUE"""),0.0)</f>
        <v>0</v>
      </c>
      <c r="K338" s="11">
        <f>IFERROR(__xludf.DUMMYFUNCTION("""COMPUTED_VALUE"""),0.0)</f>
        <v>0</v>
      </c>
    </row>
    <row r="339" ht="15.75" customHeight="1">
      <c r="A339" s="10" t="str">
        <f>IFERROR(__xludf.DUMMYFUNCTION("""COMPUTED_VALUE"""),"https://avenuez.com/blog/top-answer-engine-optimization-aeo-agencies/")</f>
        <v>https://avenuez.com/blog/top-answer-engine-optimization-aeo-agencies/</v>
      </c>
      <c r="B339" s="11" t="str">
        <f>IFERROR(__xludf.DUMMYFUNCTION("""COMPUTED_VALUE"""),"Top Answer Engine Optimization (AEO) Agencies of 2025 - Avenue Z")</f>
        <v>Top Answer Engine Optimization (AEO) Agencies of 2025 - Avenue Z</v>
      </c>
      <c r="C339" s="10" t="str">
        <f>IFERROR(__xludf.DUMMYFUNCTION("""COMPUTED_VALUE"""),"avenuez.com")</f>
        <v>avenuez.com</v>
      </c>
      <c r="D339" s="11" t="str">
        <f>IFERROR(__xludf.DUMMYFUNCTION("""COMPUTED_VALUE"""),"LISTICLE")</f>
        <v>LISTICLE</v>
      </c>
      <c r="E339" s="11" t="str">
        <f>IFERROR(__xludf.DUMMYFUNCTION("""COMPUTED_VALUE"""),"COMPETITOR")</f>
        <v>COMPETITOR</v>
      </c>
      <c r="F339" s="11" t="str">
        <f>IFERROR(__xludf.DUMMYFUNCTION("""COMPUTED_VALUE"""),"Listicle")</f>
        <v>Listicle</v>
      </c>
      <c r="G339" s="11" t="b">
        <f>IFERROR(__xludf.DUMMYFUNCTION("""COMPUTED_VALUE"""),FALSE)</f>
        <v>0</v>
      </c>
      <c r="H339" s="11" t="str">
        <f>IFERROR(__xludf.DUMMYFUNCTION("""COMPUTED_VALUE"""),"Avenue Z, First Page Sage, Siege Media, NoGood, Thrive Internet Marketing Agency")</f>
        <v>Avenue Z, First Page Sage, Siege Media, NoGood, Thrive Internet Marketing Agency</v>
      </c>
      <c r="I339" s="11">
        <f>IFERROR(__xludf.DUMMYFUNCTION("""COMPUTED_VALUE"""),3.0)</f>
        <v>3</v>
      </c>
      <c r="J339" s="11">
        <f>IFERROR(__xludf.DUMMYFUNCTION("""COMPUTED_VALUE"""),0.0)</f>
        <v>0</v>
      </c>
      <c r="K339" s="11">
        <f>IFERROR(__xludf.DUMMYFUNCTION("""COMPUTED_VALUE"""),1.67)</f>
        <v>1.67</v>
      </c>
    </row>
    <row r="340" ht="15.75" customHeight="1">
      <c r="A340" s="10" t="str">
        <f>IFERROR(__xludf.DUMMYFUNCTION("""COMPUTED_VALUE"""),"https://avenuez.com/blog/top-paid-ads-agencies-in-the-u-s/")</f>
        <v>https://avenuez.com/blog/top-paid-ads-agencies-in-the-u-s/</v>
      </c>
      <c r="B340" s="11" t="str">
        <f>IFERROR(__xludf.DUMMYFUNCTION("""COMPUTED_VALUE"""),"Top Paid Ads Agencies in the U.S. - Avenue Z")</f>
        <v>Top Paid Ads Agencies in the U.S. - Avenue Z</v>
      </c>
      <c r="C340" s="10" t="str">
        <f>IFERROR(__xludf.DUMMYFUNCTION("""COMPUTED_VALUE"""),"avenuez.com")</f>
        <v>avenuez.com</v>
      </c>
      <c r="D340" s="11" t="str">
        <f>IFERROR(__xludf.DUMMYFUNCTION("""COMPUTED_VALUE"""),"LISTICLE")</f>
        <v>LISTICLE</v>
      </c>
      <c r="E340" s="11" t="str">
        <f>IFERROR(__xludf.DUMMYFUNCTION("""COMPUTED_VALUE"""),"COMPETITOR")</f>
        <v>COMPETITOR</v>
      </c>
      <c r="F340" s="11" t="str">
        <f>IFERROR(__xludf.DUMMYFUNCTION("""COMPUTED_VALUE"""),"Listicle")</f>
        <v>Listicle</v>
      </c>
      <c r="G340" s="11" t="b">
        <f>IFERROR(__xludf.DUMMYFUNCTION("""COMPUTED_VALUE"""),FALSE)</f>
        <v>0</v>
      </c>
      <c r="H340" s="11" t="str">
        <f>IFERROR(__xludf.DUMMYFUNCTION("""COMPUTED_VALUE"""),"Avenue Z, Disruptive Advertising, NoGood, Wpromote, Marcel Digital, IBM, Power Digital")</f>
        <v>Avenue Z, Disruptive Advertising, NoGood, Wpromote, Marcel Digital, IBM, Power Digital</v>
      </c>
      <c r="I340" s="11">
        <f>IFERROR(__xludf.DUMMYFUNCTION("""COMPUTED_VALUE"""),3.0)</f>
        <v>3</v>
      </c>
      <c r="J340" s="11">
        <f>IFERROR(__xludf.DUMMYFUNCTION("""COMPUTED_VALUE"""),0.0)</f>
        <v>0</v>
      </c>
      <c r="K340" s="11">
        <f>IFERROR(__xludf.DUMMYFUNCTION("""COMPUTED_VALUE"""),0.0)</f>
        <v>0</v>
      </c>
    </row>
    <row r="341" ht="15.75" customHeight="1">
      <c r="A341" s="10" t="str">
        <f>IFERROR(__xludf.DUMMYFUNCTION("""COMPUTED_VALUE"""),"https://builtin.com/articles/agencies-for-ai-search-visibility")</f>
        <v>https://builtin.com/articles/agencies-for-ai-search-visibility</v>
      </c>
      <c r="B341" s="11" t="str">
        <f>IFERROR(__xludf.DUMMYFUNCTION("""COMPUTED_VALUE"""),"Agencies That Help Brands Appear in AI Search Results | Built In")</f>
        <v>Agencies That Help Brands Appear in AI Search Results | Built In</v>
      </c>
      <c r="C341" s="10" t="str">
        <f>IFERROR(__xludf.DUMMYFUNCTION("""COMPUTED_VALUE"""),"builtin.com")</f>
        <v>builtin.com</v>
      </c>
      <c r="D341" s="11" t="str">
        <f>IFERROR(__xludf.DUMMYFUNCTION("""COMPUTED_VALUE"""),"LISTICLE")</f>
        <v>LISTICLE</v>
      </c>
      <c r="E341" s="11" t="str">
        <f>IFERROR(__xludf.DUMMYFUNCTION("""COMPUTED_VALUE"""),"UGC")</f>
        <v>UGC</v>
      </c>
      <c r="F341" s="11" t="str">
        <f>IFERROR(__xludf.DUMMYFUNCTION("""COMPUTED_VALUE"""),"Listicle")</f>
        <v>Listicle</v>
      </c>
      <c r="G341" s="11" t="b">
        <f>IFERROR(__xludf.DUMMYFUNCTION("""COMPUTED_VALUE"""),FALSE)</f>
        <v>0</v>
      </c>
      <c r="H341" s="11" t="str">
        <f>IFERROR(__xludf.DUMMYFUNCTION("""COMPUTED_VALUE"""),"iPullRank, Seer Interactive")</f>
        <v>iPullRank, Seer Interactive</v>
      </c>
      <c r="I341" s="11">
        <f>IFERROR(__xludf.DUMMYFUNCTION("""COMPUTED_VALUE"""),3.0)</f>
        <v>3</v>
      </c>
      <c r="J341" s="11">
        <f>IFERROR(__xludf.DUMMYFUNCTION("""COMPUTED_VALUE"""),0.0)</f>
        <v>0</v>
      </c>
      <c r="K341" s="11">
        <f>IFERROR(__xludf.DUMMYFUNCTION("""COMPUTED_VALUE"""),0.33)</f>
        <v>0.33</v>
      </c>
    </row>
    <row r="342" ht="15.75" customHeight="1">
      <c r="A342" s="10" t="str">
        <f>IFERROR(__xludf.DUMMYFUNCTION("""COMPUTED_VALUE"""),"https://www.cleverly.co/blog/best-marketing-attribution-software")</f>
        <v>https://www.cleverly.co/blog/best-marketing-attribution-software</v>
      </c>
      <c r="B342" s="11" t="str">
        <f>IFERROR(__xludf.DUMMYFUNCTION("""COMPUTED_VALUE"""),"9 BEST Marketing Attribution Software in 2026 (We Use #1 Personally)")</f>
        <v>9 BEST Marketing Attribution Software in 2026 (We Use #1 Personally)</v>
      </c>
      <c r="C342" s="10" t="str">
        <f>IFERROR(__xludf.DUMMYFUNCTION("""COMPUTED_VALUE"""),"cleverly.co")</f>
        <v>cleverly.co</v>
      </c>
      <c r="D342" s="11" t="str">
        <f>IFERROR(__xludf.DUMMYFUNCTION("""COMPUTED_VALUE"""),"LISTICLE")</f>
        <v>LISTICLE</v>
      </c>
      <c r="E342" s="11" t="str">
        <f>IFERROR(__xludf.DUMMYFUNCTION("""COMPUTED_VALUE"""),"CORPORATE")</f>
        <v>CORPORATE</v>
      </c>
      <c r="F342" s="11" t="str">
        <f>IFERROR(__xludf.DUMMYFUNCTION("""COMPUTED_VALUE"""),"Listicle")</f>
        <v>Listicle</v>
      </c>
      <c r="G342" s="11" t="b">
        <f>IFERROR(__xludf.DUMMYFUNCTION("""COMPUTED_VALUE"""),FALSE)</f>
        <v>0</v>
      </c>
      <c r="H342" s="11" t="str">
        <f>IFERROR(__xludf.DUMMYFUNCTION("""COMPUTED_VALUE"""),"Cometly, Ruler Analytics, Triple Whale")</f>
        <v>Cometly, Ruler Analytics, Triple Whale</v>
      </c>
      <c r="I342" s="11">
        <f>IFERROR(__xludf.DUMMYFUNCTION("""COMPUTED_VALUE"""),3.0)</f>
        <v>3</v>
      </c>
      <c r="J342" s="11">
        <f>IFERROR(__xludf.DUMMYFUNCTION("""COMPUTED_VALUE"""),0.0)</f>
        <v>0</v>
      </c>
      <c r="K342" s="11">
        <f>IFERROR(__xludf.DUMMYFUNCTION("""COMPUTED_VALUE"""),1.0)</f>
        <v>1</v>
      </c>
    </row>
    <row r="343" ht="15.75" customHeight="1">
      <c r="A343" s="10" t="str">
        <f>IFERROR(__xludf.DUMMYFUNCTION("""COMPUTED_VALUE"""),"https://www.cometly.com/post/attribution-tools-for-digital-marketing-agencies")</f>
        <v>https://www.cometly.com/post/attribution-tools-for-digital-marketing-agencies</v>
      </c>
      <c r="B343" s="11" t="str">
        <f>IFERROR(__xludf.DUMMYFUNCTION("""COMPUTED_VALUE"""),"9 Best Attribution Tools For Digital Marketing Agencies")</f>
        <v>9 Best Attribution Tools For Digital Marketing Agencies</v>
      </c>
      <c r="C343" s="10" t="str">
        <f>IFERROR(__xludf.DUMMYFUNCTION("""COMPUTED_VALUE"""),"cometly.com")</f>
        <v>cometly.com</v>
      </c>
      <c r="D343" s="11" t="str">
        <f>IFERROR(__xludf.DUMMYFUNCTION("""COMPUTED_VALUE"""),"LISTICLE")</f>
        <v>LISTICLE</v>
      </c>
      <c r="E343" s="11" t="str">
        <f>IFERROR(__xludf.DUMMYFUNCTION("""COMPUTED_VALUE"""),"COMPETITOR")</f>
        <v>COMPETITOR</v>
      </c>
      <c r="F343" s="11" t="str">
        <f>IFERROR(__xludf.DUMMYFUNCTION("""COMPUTED_VALUE"""),"Listicle")</f>
        <v>Listicle</v>
      </c>
      <c r="G343" s="11" t="b">
        <f>IFERROR(__xludf.DUMMYFUNCTION("""COMPUTED_VALUE"""),FALSE)</f>
        <v>0</v>
      </c>
      <c r="H343" s="11" t="str">
        <f>IFERROR(__xludf.DUMMYFUNCTION("""COMPUTED_VALUE"""),"Cometly, Triple Whale, Northbeam, Rockerbox, Ruler Analytics")</f>
        <v>Cometly, Triple Whale, Northbeam, Rockerbox, Ruler Analytics</v>
      </c>
      <c r="I343" s="11">
        <f>IFERROR(__xludf.DUMMYFUNCTION("""COMPUTED_VALUE"""),3.0)</f>
        <v>3</v>
      </c>
      <c r="J343" s="11">
        <f>IFERROR(__xludf.DUMMYFUNCTION("""COMPUTED_VALUE"""),0.0)</f>
        <v>0</v>
      </c>
      <c r="K343" s="11">
        <f>IFERROR(__xludf.DUMMYFUNCTION("""COMPUTED_VALUE"""),1.33)</f>
        <v>1.33</v>
      </c>
    </row>
    <row r="344" ht="15.75" customHeight="1">
      <c r="A344" s="10" t="str">
        <f>IFERROR(__xludf.DUMMYFUNCTION("""COMPUTED_VALUE"""),"https://www.cometly.com/post/marketing-attribution-platform-for-agencies#:~:text=1.,full%20customer%20journey%20in%20real")</f>
        <v>https://www.cometly.com/post/marketing-attribution-platform-for-agencies#:~:text=1.,full%20customer%20journey%20in%20real</v>
      </c>
      <c r="B344" s="11" t="str">
        <f>IFERROR(__xludf.DUMMYFUNCTION("""COMPUTED_VALUE"""),"Best Marketing Attribution Platform For Agencies 2026")</f>
        <v>Best Marketing Attribution Platform For Agencies 2026</v>
      </c>
      <c r="C344" s="10" t="str">
        <f>IFERROR(__xludf.DUMMYFUNCTION("""COMPUTED_VALUE"""),"cometly.com")</f>
        <v>cometly.com</v>
      </c>
      <c r="D344" s="11" t="str">
        <f>IFERROR(__xludf.DUMMYFUNCTION("""COMPUTED_VALUE"""),"LISTICLE")</f>
        <v>LISTICLE</v>
      </c>
      <c r="E344" s="11" t="str">
        <f>IFERROR(__xludf.DUMMYFUNCTION("""COMPUTED_VALUE"""),"COMPETITOR")</f>
        <v>COMPETITOR</v>
      </c>
      <c r="F344" s="11" t="str">
        <f>IFERROR(__xludf.DUMMYFUNCTION("""COMPUTED_VALUE"""),"Listicle")</f>
        <v>Listicle</v>
      </c>
      <c r="G344" s="11" t="b">
        <f>IFERROR(__xludf.DUMMYFUNCTION("""COMPUTED_VALUE"""),FALSE)</f>
        <v>0</v>
      </c>
      <c r="H344" s="11" t="str">
        <f>IFERROR(__xludf.DUMMYFUNCTION("""COMPUTED_VALUE"""),"Cometly, Triple Whale, Rockerbox, Northbeam, HockeyStack, Ruler Analytics")</f>
        <v>Cometly, Triple Whale, Rockerbox, Northbeam, HockeyStack, Ruler Analytics</v>
      </c>
      <c r="I344" s="11">
        <f>IFERROR(__xludf.DUMMYFUNCTION("""COMPUTED_VALUE"""),3.0)</f>
        <v>3</v>
      </c>
      <c r="J344" s="11">
        <f>IFERROR(__xludf.DUMMYFUNCTION("""COMPUTED_VALUE"""),0.0)</f>
        <v>0</v>
      </c>
      <c r="K344" s="11">
        <f>IFERROR(__xludf.DUMMYFUNCTION("""COMPUTED_VALUE"""),1.33)</f>
        <v>1.33</v>
      </c>
    </row>
    <row r="345" ht="15.75" customHeight="1">
      <c r="A345" s="10" t="str">
        <f>IFERROR(__xludf.DUMMYFUNCTION("""COMPUTED_VALUE"""),"https://www.commercepundit.com/blog/top-10-ai-consulting-companies-in-2026/")</f>
        <v>https://www.commercepundit.com/blog/top-10-ai-consulting-companies-in-2026/</v>
      </c>
      <c r="B345" s="11" t="str">
        <f>IFERROR(__xludf.DUMMYFUNCTION("""COMPUTED_VALUE"""),"Top 10 AI Consulting Companies in 2026 for Businesses")</f>
        <v>Top 10 AI Consulting Companies in 2026 for Businesses</v>
      </c>
      <c r="C345" s="10" t="str">
        <f>IFERROR(__xludf.DUMMYFUNCTION("""COMPUTED_VALUE"""),"commercepundit.com")</f>
        <v>commercepundit.com</v>
      </c>
      <c r="D345" s="11" t="str">
        <f>IFERROR(__xludf.DUMMYFUNCTION("""COMPUTED_VALUE"""),"LISTICLE")</f>
        <v>LISTICLE</v>
      </c>
      <c r="E345" s="11" t="str">
        <f>IFERROR(__xludf.DUMMYFUNCTION("""COMPUTED_VALUE"""),"EDITORIAL")</f>
        <v>EDITORIAL</v>
      </c>
      <c r="F345" s="11" t="str">
        <f>IFERROR(__xludf.DUMMYFUNCTION("""COMPUTED_VALUE"""),"Listicle")</f>
        <v>Listicle</v>
      </c>
      <c r="G345" s="11" t="b">
        <f>IFERROR(__xludf.DUMMYFUNCTION("""COMPUTED_VALUE"""),FALSE)</f>
        <v>0</v>
      </c>
      <c r="H345" s="11" t="str">
        <f>IFERROR(__xludf.DUMMYFUNCTION("""COMPUTED_VALUE"""),"McKinsey, QuantumBlack, IBM, BCG, PwC, Clutch")</f>
        <v>McKinsey, QuantumBlack, IBM, BCG, PwC, Clutch</v>
      </c>
      <c r="I345" s="11">
        <f>IFERROR(__xludf.DUMMYFUNCTION("""COMPUTED_VALUE"""),3.0)</f>
        <v>3</v>
      </c>
      <c r="J345" s="11">
        <f>IFERROR(__xludf.DUMMYFUNCTION("""COMPUTED_VALUE"""),0.0)</f>
        <v>0</v>
      </c>
      <c r="K345" s="11">
        <f>IFERROR(__xludf.DUMMYFUNCTION("""COMPUTED_VALUE"""),0.0)</f>
        <v>0</v>
      </c>
    </row>
    <row r="346" ht="15.75" customHeight="1">
      <c r="A346" s="10" t="str">
        <f>IFERROR(__xludf.DUMMYFUNCTION("""COMPUTED_VALUE"""),"https://coolnerdsmarketing.com/best-creative-marketing-agencies-2025/#:~:text=Best%20overall%3A%20Cool%20Nerds%20Marketing.%20Best%20for,and%20Viral%20Marketing%3A%20Crispin%20Porter%20%2B%20Bogusky.")</f>
        <v>https://coolnerdsmarketing.com/best-creative-marketing-agencies-2025/#:~:text=Best%20overall%3A%20Cool%20Nerds%20Marketing.%20Best%20for,and%20Viral%20Marketing%3A%20Crispin%20Porter%20%2B%20Bogusky.</v>
      </c>
      <c r="B346" s="11" t="str">
        <f>IFERROR(__xludf.DUMMYFUNCTION("""COMPUTED_VALUE"""),"Top 20 Best Creative Marketing Agencies in 2026 | Expert List")</f>
        <v>Top 20 Best Creative Marketing Agencies in 2026 | Expert List</v>
      </c>
      <c r="C346" s="10" t="str">
        <f>IFERROR(__xludf.DUMMYFUNCTION("""COMPUTED_VALUE"""),"coolnerdsmarketing.com")</f>
        <v>coolnerdsmarketing.com</v>
      </c>
      <c r="D346" s="11" t="str">
        <f>IFERROR(__xludf.DUMMYFUNCTION("""COMPUTED_VALUE"""),"LISTICLE")</f>
        <v>LISTICLE</v>
      </c>
      <c r="E346" s="11" t="str">
        <f>IFERROR(__xludf.DUMMYFUNCTION("""COMPUTED_VALUE"""),"CORPORATE")</f>
        <v>CORPORATE</v>
      </c>
      <c r="F346" s="11" t="str">
        <f>IFERROR(__xludf.DUMMYFUNCTION("""COMPUTED_VALUE"""),"Listicle")</f>
        <v>Listicle</v>
      </c>
      <c r="G346" s="11" t="b">
        <f>IFERROR(__xludf.DUMMYFUNCTION("""COMPUTED_VALUE"""),FALSE)</f>
        <v>0</v>
      </c>
      <c r="H346" s="11" t="str">
        <f>IFERROR(__xludf.DUMMYFUNCTION("""COMPUTED_VALUE"""),"Ogilvy, Wieden+Kennedy, BBDO, VML, Droga5, R/GA, Huge, Disruptive Advertising, 72andSunny, Dentsu, Anomaly, AKQA")</f>
        <v>Ogilvy, Wieden+Kennedy, BBDO, VML, Droga5, R/GA, Huge, Disruptive Advertising, 72andSunny, Dentsu, Anomaly, AKQA</v>
      </c>
      <c r="I346" s="11">
        <f>IFERROR(__xludf.DUMMYFUNCTION("""COMPUTED_VALUE"""),3.0)</f>
        <v>3</v>
      </c>
      <c r="J346" s="11">
        <f>IFERROR(__xludf.DUMMYFUNCTION("""COMPUTED_VALUE"""),0.0)</f>
        <v>0</v>
      </c>
      <c r="K346" s="11">
        <f>IFERROR(__xludf.DUMMYFUNCTION("""COMPUTED_VALUE"""),2.0)</f>
        <v>2</v>
      </c>
    </row>
    <row r="347" ht="15.75" customHeight="1">
      <c r="A347" s="10" t="str">
        <f>IFERROR(__xludf.DUMMYFUNCTION("""COMPUTED_VALUE"""),"https://deployflow.co/blog/top-ai-consulting-companies-worldwide/#:~:text=Check%3A%20Confirm%20the%20current%20scope,paired%20with%20real%20build%20muscle.")</f>
        <v>https://deployflow.co/blog/top-ai-consulting-companies-worldwide/#:~:text=Check%3A%20Confirm%20the%20current%20scope,paired%20with%20real%20build%20muscle.</v>
      </c>
      <c r="B347" s="11" t="str">
        <f>IFERROR(__xludf.DUMMYFUNCTION("""COMPUTED_VALUE"""),"Top AI Consulting Companies in 2026 – CTO’s Ultimate Guide")</f>
        <v>Top AI Consulting Companies in 2026 – CTO’s Ultimate Guide</v>
      </c>
      <c r="C347" s="10" t="str">
        <f>IFERROR(__xludf.DUMMYFUNCTION("""COMPUTED_VALUE"""),"deployflow.co")</f>
        <v>deployflow.co</v>
      </c>
      <c r="D347" s="11" t="str">
        <f>IFERROR(__xludf.DUMMYFUNCTION("""COMPUTED_VALUE"""),"LISTICLE")</f>
        <v>LISTICLE</v>
      </c>
      <c r="E347" s="11" t="str">
        <f>IFERROR(__xludf.DUMMYFUNCTION("""COMPUTED_VALUE"""),"CORPORATE")</f>
        <v>CORPORATE</v>
      </c>
      <c r="F347" s="11" t="str">
        <f>IFERROR(__xludf.DUMMYFUNCTION("""COMPUTED_VALUE"""),"Listicle")</f>
        <v>Listicle</v>
      </c>
      <c r="G347" s="11" t="b">
        <f>IFERROR(__xludf.DUMMYFUNCTION("""COMPUTED_VALUE"""),FALSE)</f>
        <v>0</v>
      </c>
      <c r="H347" s="11" t="str">
        <f>IFERROR(__xludf.DUMMYFUNCTION("""COMPUTED_VALUE"""),"QuantumBlack, McKinsey, BCG, Momentum")</f>
        <v>QuantumBlack, McKinsey, BCG, Momentum</v>
      </c>
      <c r="I347" s="11">
        <f>IFERROR(__xludf.DUMMYFUNCTION("""COMPUTED_VALUE"""),3.0)</f>
        <v>3</v>
      </c>
      <c r="J347" s="11">
        <f>IFERROR(__xludf.DUMMYFUNCTION("""COMPUTED_VALUE"""),0.0)</f>
        <v>0</v>
      </c>
      <c r="K347" s="11">
        <f>IFERROR(__xludf.DUMMYFUNCTION("""COMPUTED_VALUE"""),1.0)</f>
        <v>1</v>
      </c>
    </row>
    <row r="348" ht="15.75" customHeight="1">
      <c r="A348" s="10" t="str">
        <f>IFERROR(__xludf.DUMMYFUNCTION("""COMPUTED_VALUE"""),"https://digitalstrategyforce.com/top-10-aeo-agencies-2026/")</f>
        <v>https://digitalstrategyforce.com/top-10-aeo-agencies-2026/</v>
      </c>
      <c r="B348" s="11" t="str">
        <f>IFERROR(__xludf.DUMMYFUNCTION("""COMPUTED_VALUE"""),"Top 10 AEO Agencies in 2026: Best AEO Agencies Ranked | Digital Strategy Force")</f>
        <v>Top 10 AEO Agencies in 2026: Best AEO Agencies Ranked | Digital Strategy Force</v>
      </c>
      <c r="C348" s="10" t="str">
        <f>IFERROR(__xludf.DUMMYFUNCTION("""COMPUTED_VALUE"""),"digitalstrategyforce.com")</f>
        <v>digitalstrategyforce.com</v>
      </c>
      <c r="D348" s="11" t="str">
        <f>IFERROR(__xludf.DUMMYFUNCTION("""COMPUTED_VALUE"""),"LISTICLE")</f>
        <v>LISTICLE</v>
      </c>
      <c r="E348" s="11" t="str">
        <f>IFERROR(__xludf.DUMMYFUNCTION("""COMPUTED_VALUE"""),"CORPORATE")</f>
        <v>CORPORATE</v>
      </c>
      <c r="F348" s="11" t="str">
        <f>IFERROR(__xludf.DUMMYFUNCTION("""COMPUTED_VALUE"""),"Listicle")</f>
        <v>Listicle</v>
      </c>
      <c r="G348" s="11" t="b">
        <f>IFERROR(__xludf.DUMMYFUNCTION("""COMPUTED_VALUE"""),FALSE)</f>
        <v>0</v>
      </c>
      <c r="H348" s="11" t="str">
        <f>IFERROR(__xludf.DUMMYFUNCTION("""COMPUTED_VALUE"""),"iPullRank, NoGood, First Page Sage, Omniscient Digital, Siege Media, Tinuiti, Searchbloom, Digital Authority Partners, Amsive, Measured, McKinsey")</f>
        <v>iPullRank, NoGood, First Page Sage, Omniscient Digital, Siege Media, Tinuiti, Searchbloom, Digital Authority Partners, Amsive, Measured, McKinsey</v>
      </c>
      <c r="I348" s="11">
        <f>IFERROR(__xludf.DUMMYFUNCTION("""COMPUTED_VALUE"""),3.0)</f>
        <v>3</v>
      </c>
      <c r="J348" s="11">
        <f>IFERROR(__xludf.DUMMYFUNCTION("""COMPUTED_VALUE"""),0.0)</f>
        <v>0</v>
      </c>
      <c r="K348" s="11">
        <f>IFERROR(__xludf.DUMMYFUNCTION("""COMPUTED_VALUE"""),0.67)</f>
        <v>0.67</v>
      </c>
    </row>
    <row r="349" ht="15.75" customHeight="1">
      <c r="A349" s="10" t="str">
        <f>IFERROR(__xludf.DUMMYFUNCTION("""COMPUTED_VALUE"""),"https://directiveconsulting.com/blog/best-programmatic-ad-agencies/")</f>
        <v>https://directiveconsulting.com/blog/best-programmatic-ad-agencies/</v>
      </c>
      <c r="B349" s="11" t="str">
        <f>IFERROR(__xludf.DUMMYFUNCTION("""COMPUTED_VALUE"""),"17 Best Programmatic Advertising Agencies For B2B - Directive")</f>
        <v>17 Best Programmatic Advertising Agencies For B2B - Directive</v>
      </c>
      <c r="C349" s="10" t="str">
        <f>IFERROR(__xludf.DUMMYFUNCTION("""COMPUTED_VALUE"""),"directiveconsulting.com")</f>
        <v>directiveconsulting.com</v>
      </c>
      <c r="D349" s="11" t="str">
        <f>IFERROR(__xludf.DUMMYFUNCTION("""COMPUTED_VALUE"""),"LISTICLE")</f>
        <v>LISTICLE</v>
      </c>
      <c r="E349" s="11" t="str">
        <f>IFERROR(__xludf.DUMMYFUNCTION("""COMPUTED_VALUE"""),"COMPETITOR")</f>
        <v>COMPETITOR</v>
      </c>
      <c r="F349" s="11" t="str">
        <f>IFERROR(__xludf.DUMMYFUNCTION("""COMPUTED_VALUE"""),"Listicle")</f>
        <v>Listicle</v>
      </c>
      <c r="G349" s="11" t="b">
        <f>IFERROR(__xludf.DUMMYFUNCTION("""COMPUTED_VALUE"""),FALSE)</f>
        <v>0</v>
      </c>
      <c r="H349" s="11" t="str">
        <f>IFERROR(__xludf.DUMMYFUNCTION("""COMPUTED_VALUE"""),"Directive, Tinuiti, Merkle, Wpromote, Monks, Brainlabs, PMG, Jellyfish, Croud, iProspect, Kepler Group, TransUnion, IBM, Clutch")</f>
        <v>Directive, Tinuiti, Merkle, Wpromote, Monks, Brainlabs, PMG, Jellyfish, Croud, iProspect, Kepler Group, TransUnion, IBM, Clutch</v>
      </c>
      <c r="I349" s="11">
        <f>IFERROR(__xludf.DUMMYFUNCTION("""COMPUTED_VALUE"""),3.0)</f>
        <v>3</v>
      </c>
      <c r="J349" s="11">
        <f>IFERROR(__xludf.DUMMYFUNCTION("""COMPUTED_VALUE"""),0.0)</f>
        <v>0</v>
      </c>
      <c r="K349" s="11">
        <f>IFERROR(__xludf.DUMMYFUNCTION("""COMPUTED_VALUE"""),0.67)</f>
        <v>0.67</v>
      </c>
    </row>
    <row r="350" ht="15.75" customHeight="1">
      <c r="A350" s="10" t="str">
        <f>IFERROR(__xludf.DUMMYFUNCTION("""COMPUTED_VALUE"""),"https://directiveconsulting.com/blog/the-best-b2b-marketing-agencies-for-technology-companies-in-2026/")</f>
        <v>https://directiveconsulting.com/blog/the-best-b2b-marketing-agencies-for-technology-companies-in-2026/</v>
      </c>
      <c r="B350" s="11" t="str">
        <f>IFERROR(__xludf.DUMMYFUNCTION("""COMPUTED_VALUE"""),"25 Best B2B Marketing Agencies For B2B Technology Companies")</f>
        <v>25 Best B2B Marketing Agencies For B2B Technology Companies</v>
      </c>
      <c r="C350" s="10" t="str">
        <f>IFERROR(__xludf.DUMMYFUNCTION("""COMPUTED_VALUE"""),"directiveconsulting.com")</f>
        <v>directiveconsulting.com</v>
      </c>
      <c r="D350" s="11" t="str">
        <f>IFERROR(__xludf.DUMMYFUNCTION("""COMPUTED_VALUE"""),"LISTICLE")</f>
        <v>LISTICLE</v>
      </c>
      <c r="E350" s="11" t="str">
        <f>IFERROR(__xludf.DUMMYFUNCTION("""COMPUTED_VALUE"""),"COMPETITOR")</f>
        <v>COMPETITOR</v>
      </c>
      <c r="F350" s="11" t="str">
        <f>IFERROR(__xludf.DUMMYFUNCTION("""COMPUTED_VALUE"""),"Listicle")</f>
        <v>Listicle</v>
      </c>
      <c r="G350" s="11" t="b">
        <f>IFERROR(__xludf.DUMMYFUNCTION("""COMPUTED_VALUE"""),FALSE)</f>
        <v>0</v>
      </c>
      <c r="H350" s="11" t="str">
        <f>IFERROR(__xludf.DUMMYFUNCTION("""COMPUTED_VALUE"""),"Directive, Refine Labs, Merkle, Jellyfish, AKQA, R/GA, Monks, DEPT, Bounteous, Seer Interactive, Wpromote, iProspect, Tinuiti, Victorious, PMG, WebFX, Croud, Measured, Momentum, IBM, Clutch")</f>
        <v>Directive, Refine Labs, Merkle, Jellyfish, AKQA, R/GA, Monks, DEPT, Bounteous, Seer Interactive, Wpromote, iProspect, Tinuiti, Victorious, PMG, WebFX, Croud, Measured, Momentum, IBM, Clutch</v>
      </c>
      <c r="I350" s="11">
        <f>IFERROR(__xludf.DUMMYFUNCTION("""COMPUTED_VALUE"""),3.0)</f>
        <v>3</v>
      </c>
      <c r="J350" s="11">
        <f>IFERROR(__xludf.DUMMYFUNCTION("""COMPUTED_VALUE"""),0.0)</f>
        <v>0</v>
      </c>
      <c r="K350" s="11">
        <f>IFERROR(__xludf.DUMMYFUNCTION("""COMPUTED_VALUE"""),0.67)</f>
        <v>0.67</v>
      </c>
    </row>
    <row r="351" ht="15.75" customHeight="1">
      <c r="A351" s="10" t="str">
        <f>IFERROR(__xludf.DUMMYFUNCTION("""COMPUTED_VALUE"""),"https://www.equinoxitsol.com/blog/top-10-performance-marketing-agencies-in-the-us/")</f>
        <v>https://www.equinoxitsol.com/blog/top-10-performance-marketing-agencies-in-the-us/</v>
      </c>
      <c r="B351" s="11" t="str">
        <f>IFERROR(__xludf.DUMMYFUNCTION("""COMPUTED_VALUE"""),"Top Performance Marketing Agencies US")</f>
        <v>Top Performance Marketing Agencies US</v>
      </c>
      <c r="C351" s="10" t="str">
        <f>IFERROR(__xludf.DUMMYFUNCTION("""COMPUTED_VALUE"""),"equinoxitsol.com")</f>
        <v>equinoxitsol.com</v>
      </c>
      <c r="D351" s="11" t="str">
        <f>IFERROR(__xludf.DUMMYFUNCTION("""COMPUTED_VALUE"""),"LISTICLE")</f>
        <v>LISTICLE</v>
      </c>
      <c r="E351" s="11" t="str">
        <f>IFERROR(__xludf.DUMMYFUNCTION("""COMPUTED_VALUE"""),"CORPORATE")</f>
        <v>CORPORATE</v>
      </c>
      <c r="F351" s="11" t="str">
        <f>IFERROR(__xludf.DUMMYFUNCTION("""COMPUTED_VALUE"""),"Listicle")</f>
        <v>Listicle</v>
      </c>
      <c r="G351" s="11" t="b">
        <f>IFERROR(__xludf.DUMMYFUNCTION("""COMPUTED_VALUE"""),FALSE)</f>
        <v>0</v>
      </c>
      <c r="H351" s="11" t="str">
        <f>IFERROR(__xludf.DUMMYFUNCTION("""COMPUTED_VALUE"""),"Disruptive Advertising, Thrive Internet Marketing Agency, Power Digital, Tinuiti, WebFX, Ignite Visibility, KlientBoost, Metric Theory, NoGood")</f>
        <v>Disruptive Advertising, Thrive Internet Marketing Agency, Power Digital, Tinuiti, WebFX, Ignite Visibility, KlientBoost, Metric Theory, NoGood</v>
      </c>
      <c r="I351" s="11">
        <f>IFERROR(__xludf.DUMMYFUNCTION("""COMPUTED_VALUE"""),3.0)</f>
        <v>3</v>
      </c>
      <c r="J351" s="11">
        <f>IFERROR(__xludf.DUMMYFUNCTION("""COMPUTED_VALUE"""),0.0)</f>
        <v>0</v>
      </c>
      <c r="K351" s="11">
        <f>IFERROR(__xludf.DUMMYFUNCTION("""COMPUTED_VALUE"""),1.33)</f>
        <v>1.33</v>
      </c>
    </row>
    <row r="352" ht="15.75" customHeight="1">
      <c r="A352" s="10" t="str">
        <f>IFERROR(__xludf.DUMMYFUNCTION("""COMPUTED_VALUE"""),"https://www.growthspreeofficial.com/blogs/top-5-agencies-best-for-large-scale-b2b-demand-generation#:~:text=Senior%20operators%20run%20creation%2C%20capture%2C%20ABM%2C%20and,SaaS%20companies)%2C%20with%20no%20junior%20account%2Dmanager%20handoffs.")</f>
        <v>https://www.growthspreeofficial.com/blogs/top-5-agencies-best-for-large-scale-b2b-demand-generation#:~:text=Senior%20operators%20run%20creation%2C%20capture%2C%20ABM%2C%20and,SaaS%20companies)%2C%20with%20no%20junior%20account%2Dmanager%20handoffs.</v>
      </c>
      <c r="B352" s="11" t="str">
        <f>IFERROR(__xludf.DUMMYFUNCTION("""COMPUTED_VALUE"""),"Top 5 Agencies for Large-Scale B2B Demand Generation (2026)")</f>
        <v>Top 5 Agencies for Large-Scale B2B Demand Generation (2026)</v>
      </c>
      <c r="C352" s="10" t="str">
        <f>IFERROR(__xludf.DUMMYFUNCTION("""COMPUTED_VALUE"""),"growthspreeofficial.com")</f>
        <v>growthspreeofficial.com</v>
      </c>
      <c r="D352" s="11" t="str">
        <f>IFERROR(__xludf.DUMMYFUNCTION("""COMPUTED_VALUE"""),"LISTICLE")</f>
        <v>LISTICLE</v>
      </c>
      <c r="E352" s="11" t="str">
        <f>IFERROR(__xludf.DUMMYFUNCTION("""COMPUTED_VALUE"""),"CORPORATE")</f>
        <v>CORPORATE</v>
      </c>
      <c r="F352" s="11" t="str">
        <f>IFERROR(__xludf.DUMMYFUNCTION("""COMPUTED_VALUE"""),"Listicle")</f>
        <v>Listicle</v>
      </c>
      <c r="G352" s="11" t="b">
        <f>IFERROR(__xludf.DUMMYFUNCTION("""COMPUTED_VALUE"""),FALSE)</f>
        <v>0</v>
      </c>
      <c r="H352" s="11" t="str">
        <f>IFERROR(__xludf.DUMMYFUNCTION("""COMPUTED_VALUE"""),"GrowthSpree, Directive, Refine Labs, Measured, NoGood, Bain &amp; Company")</f>
        <v>GrowthSpree, Directive, Refine Labs, Measured, NoGood, Bain &amp; Company</v>
      </c>
      <c r="I352" s="11">
        <f>IFERROR(__xludf.DUMMYFUNCTION("""COMPUTED_VALUE"""),3.0)</f>
        <v>3</v>
      </c>
      <c r="J352" s="11">
        <f>IFERROR(__xludf.DUMMYFUNCTION("""COMPUTED_VALUE"""),0.0)</f>
        <v>0</v>
      </c>
      <c r="K352" s="11">
        <f>IFERROR(__xludf.DUMMYFUNCTION("""COMPUTED_VALUE"""),3.0)</f>
        <v>3</v>
      </c>
    </row>
    <row r="353" ht="15.75" customHeight="1">
      <c r="A353" s="10" t="str">
        <f>IFERROR(__xludf.DUMMYFUNCTION("""COMPUTED_VALUE"""),"https://growwithvysta.com/blog/best-youtube-ads-agencies-in-the-us-2026/")</f>
        <v>https://growwithvysta.com/blog/best-youtube-ads-agencies-in-the-us-2026/</v>
      </c>
      <c r="B353" s="11" t="str">
        <f>IFERROR(__xludf.DUMMYFUNCTION("""COMPUTED_VALUE"""),"Best YouTube Ads Agencies in the US (2026)")</f>
        <v>Best YouTube Ads Agencies in the US (2026)</v>
      </c>
      <c r="C353" s="10" t="str">
        <f>IFERROR(__xludf.DUMMYFUNCTION("""COMPUTED_VALUE"""),"growwithvysta.com")</f>
        <v>growwithvysta.com</v>
      </c>
      <c r="D353" s="11" t="str">
        <f>IFERROR(__xludf.DUMMYFUNCTION("""COMPUTED_VALUE"""),"LISTICLE")</f>
        <v>LISTICLE</v>
      </c>
      <c r="E353" s="11" t="str">
        <f>IFERROR(__xludf.DUMMYFUNCTION("""COMPUTED_VALUE"""),"CORPORATE")</f>
        <v>CORPORATE</v>
      </c>
      <c r="F353" s="11" t="str">
        <f>IFERROR(__xludf.DUMMYFUNCTION("""COMPUTED_VALUE"""),"Listicle")</f>
        <v>Listicle</v>
      </c>
      <c r="G353" s="11" t="b">
        <f>IFERROR(__xludf.DUMMYFUNCTION("""COMPUTED_VALUE"""),FALSE)</f>
        <v>0</v>
      </c>
      <c r="H353" s="11" t="str">
        <f>IFERROR(__xludf.DUMMYFUNCTION("""COMPUTED_VALUE"""),"Disruptive Advertising, KlientBoost, Tinuiti, Common Thread Collective")</f>
        <v>Disruptive Advertising, KlientBoost, Tinuiti, Common Thread Collective</v>
      </c>
      <c r="I353" s="11">
        <f>IFERROR(__xludf.DUMMYFUNCTION("""COMPUTED_VALUE"""),3.0)</f>
        <v>3</v>
      </c>
      <c r="J353" s="11">
        <f>IFERROR(__xludf.DUMMYFUNCTION("""COMPUTED_VALUE"""),0.0)</f>
        <v>0</v>
      </c>
      <c r="K353" s="11">
        <f>IFERROR(__xludf.DUMMYFUNCTION("""COMPUTED_VALUE"""),3.0)</f>
        <v>3</v>
      </c>
    </row>
    <row r="354" ht="15.75" customHeight="1">
      <c r="A354" s="10" t="str">
        <f>IFERROR(__xludf.DUMMYFUNCTION("""COMPUTED_VALUE"""),"https://hashmeta.com/blog/10-best-aeo-geo-agencies-for-ai-search-optimization/")</f>
        <v>https://hashmeta.com/blog/10-best-aeo-geo-agencies-for-ai-search-optimization/</v>
      </c>
      <c r="B354" s="11" t="str">
        <f>IFERROR(__xludf.DUMMYFUNCTION("""COMPUTED_VALUE"""),"10 Best AEO/GEO Agencies for AI Search Optimization | Hashmeta")</f>
        <v>10 Best AEO/GEO Agencies for AI Search Optimization | Hashmeta</v>
      </c>
      <c r="C354" s="10" t="str">
        <f>IFERROR(__xludf.DUMMYFUNCTION("""COMPUTED_VALUE"""),"hashmeta.com")</f>
        <v>hashmeta.com</v>
      </c>
      <c r="D354" s="11" t="str">
        <f>IFERROR(__xludf.DUMMYFUNCTION("""COMPUTED_VALUE"""),"LISTICLE")</f>
        <v>LISTICLE</v>
      </c>
      <c r="E354" s="11" t="str">
        <f>IFERROR(__xludf.DUMMYFUNCTION("""COMPUTED_VALUE"""),"CORPORATE")</f>
        <v>CORPORATE</v>
      </c>
      <c r="F354" s="11" t="str">
        <f>IFERROR(__xludf.DUMMYFUNCTION("""COMPUTED_VALUE"""),"Listicle")</f>
        <v>Listicle</v>
      </c>
      <c r="G354" s="11" t="b">
        <f>IFERROR(__xludf.DUMMYFUNCTION("""COMPUTED_VALUE"""),FALSE)</f>
        <v>0</v>
      </c>
      <c r="H354" s="11" t="str">
        <f>IFERROR(__xludf.DUMMYFUNCTION("""COMPUTED_VALUE"""),"iPullRank, Go Fish Digital, Amsive, Siege Media, Measured")</f>
        <v>iPullRank, Go Fish Digital, Amsive, Siege Media, Measured</v>
      </c>
      <c r="I354" s="11">
        <f>IFERROR(__xludf.DUMMYFUNCTION("""COMPUTED_VALUE"""),3.0)</f>
        <v>3</v>
      </c>
      <c r="J354" s="11">
        <f>IFERROR(__xludf.DUMMYFUNCTION("""COMPUTED_VALUE"""),0.0)</f>
        <v>0</v>
      </c>
      <c r="K354" s="11">
        <f>IFERROR(__xludf.DUMMYFUNCTION("""COMPUTED_VALUE"""),0.33)</f>
        <v>0.33</v>
      </c>
    </row>
    <row r="355" ht="15.75" customHeight="1">
      <c r="A355" s="10" t="str">
        <f>IFERROR(__xludf.DUMMYFUNCTION("""COMPUTED_VALUE"""),"https://improvado.io/blog/marketing-mix-modeling-providers")</f>
        <v>https://improvado.io/blog/marketing-mix-modeling-providers</v>
      </c>
      <c r="B355" s="11" t="str">
        <f>IFERROR(__xludf.DUMMYFUNCTION("""COMPUTED_VALUE"""),"12 Best Marketing Mix Modeling Tools 2026 | Provider Guide")</f>
        <v>12 Best Marketing Mix Modeling Tools 2026 | Provider Guide</v>
      </c>
      <c r="C355" s="10" t="str">
        <f>IFERROR(__xludf.DUMMYFUNCTION("""COMPUTED_VALUE"""),"improvado.io")</f>
        <v>improvado.io</v>
      </c>
      <c r="D355" s="11" t="str">
        <f>IFERROR(__xludf.DUMMYFUNCTION("""COMPUTED_VALUE"""),"LISTICLE")</f>
        <v>LISTICLE</v>
      </c>
      <c r="E355" s="11" t="str">
        <f>IFERROR(__xludf.DUMMYFUNCTION("""COMPUTED_VALUE"""),"CORPORATE")</f>
        <v>CORPORATE</v>
      </c>
      <c r="F355" s="11" t="str">
        <f>IFERROR(__xludf.DUMMYFUNCTION("""COMPUTED_VALUE"""),"Listicle")</f>
        <v>Listicle</v>
      </c>
      <c r="G355" s="11" t="b">
        <f>IFERROR(__xludf.DUMMYFUNCTION("""COMPUTED_VALUE"""),FALSE)</f>
        <v>0</v>
      </c>
      <c r="H355" s="11" t="str">
        <f>IFERROR(__xludf.DUMMYFUNCTION("""COMPUTED_VALUE"""),"Analytic Partners, Measured, Recast, Cometly, SegmentStream, LifeSight, Triple Whale, HockeyStack")</f>
        <v>Analytic Partners, Measured, Recast, Cometly, SegmentStream, LifeSight, Triple Whale, HockeyStack</v>
      </c>
      <c r="I355" s="11">
        <f>IFERROR(__xludf.DUMMYFUNCTION("""COMPUTED_VALUE"""),3.0)</f>
        <v>3</v>
      </c>
      <c r="J355" s="11">
        <f>IFERROR(__xludf.DUMMYFUNCTION("""COMPUTED_VALUE"""),0.0)</f>
        <v>0</v>
      </c>
      <c r="K355" s="11">
        <f>IFERROR(__xludf.DUMMYFUNCTION("""COMPUTED_VALUE"""),0.33)</f>
        <v>0.33</v>
      </c>
    </row>
    <row r="356" ht="15.75" customHeight="1">
      <c r="A356" s="10" t="str">
        <f>IFERROR(__xludf.DUMMYFUNCTION("""COMPUTED_VALUE"""),"https://inbeat.agency/blog/top-performance-creative-agencies")</f>
        <v>https://inbeat.agency/blog/top-performance-creative-agencies</v>
      </c>
      <c r="B356" s="11" t="str">
        <f>IFERROR(__xludf.DUMMYFUNCTION("""COMPUTED_VALUE"""),"Performance Creative Agencies: 15 Worth a First Call (2026) - inBeat Agency")</f>
        <v>Performance Creative Agencies: 15 Worth a First Call (2026) - inBeat Agency</v>
      </c>
      <c r="C356" s="11" t="str">
        <f>IFERROR(__xludf.DUMMYFUNCTION("""COMPUTED_VALUE"""),"inbeat.agency")</f>
        <v>inbeat.agency</v>
      </c>
      <c r="D356" s="11" t="str">
        <f>IFERROR(__xludf.DUMMYFUNCTION("""COMPUTED_VALUE"""),"LISTICLE")</f>
        <v>LISTICLE</v>
      </c>
      <c r="E356" s="11" t="str">
        <f>IFERROR(__xludf.DUMMYFUNCTION("""COMPUTED_VALUE"""),"COMPETITOR")</f>
        <v>COMPETITOR</v>
      </c>
      <c r="F356" s="11" t="str">
        <f>IFERROR(__xludf.DUMMYFUNCTION("""COMPUTED_VALUE"""),"Listicle")</f>
        <v>Listicle</v>
      </c>
      <c r="G356" s="11" t="b">
        <f>IFERROR(__xludf.DUMMYFUNCTION("""COMPUTED_VALUE"""),FALSE)</f>
        <v>0</v>
      </c>
      <c r="H356" s="11" t="str">
        <f>IFERROR(__xludf.DUMMYFUNCTION("""COMPUTED_VALUE"""),"inBeat, Nielsen, Brighter Click, Tinuiti, Darkroom, Bark London")</f>
        <v>inBeat, Nielsen, Brighter Click, Tinuiti, Darkroom, Bark London</v>
      </c>
      <c r="I356" s="11">
        <f>IFERROR(__xludf.DUMMYFUNCTION("""COMPUTED_VALUE"""),3.0)</f>
        <v>3</v>
      </c>
      <c r="J356" s="11">
        <f>IFERROR(__xludf.DUMMYFUNCTION("""COMPUTED_VALUE"""),0.0)</f>
        <v>0</v>
      </c>
      <c r="K356" s="11">
        <f>IFERROR(__xludf.DUMMYFUNCTION("""COMPUTED_VALUE"""),0.33)</f>
        <v>0.33</v>
      </c>
    </row>
    <row r="357" ht="15.75" customHeight="1">
      <c r="A357" s="10" t="str">
        <f>IFERROR(__xludf.DUMMYFUNCTION("""COMPUTED_VALUE"""),"https://iternal.ai/best-ai-consulting-firms")</f>
        <v>https://iternal.ai/best-ai-consulting-firms</v>
      </c>
      <c r="B357" s="11" t="str">
        <f>IFERROR(__xludf.DUMMYFUNCTION("""COMPUTED_VALUE"""),"Best AI Consulting Firms for Enterprise (2026)")</f>
        <v>Best AI Consulting Firms for Enterprise (2026)</v>
      </c>
      <c r="C357" s="10" t="str">
        <f>IFERROR(__xludf.DUMMYFUNCTION("""COMPUTED_VALUE"""),"iternal.ai")</f>
        <v>iternal.ai</v>
      </c>
      <c r="D357" s="11" t="str">
        <f>IFERROR(__xludf.DUMMYFUNCTION("""COMPUTED_VALUE"""),"LISTICLE")</f>
        <v>LISTICLE</v>
      </c>
      <c r="E357" s="11" t="str">
        <f>IFERROR(__xludf.DUMMYFUNCTION("""COMPUTED_VALUE"""),"CORPORATE")</f>
        <v>CORPORATE</v>
      </c>
      <c r="F357" s="11" t="str">
        <f>IFERROR(__xludf.DUMMYFUNCTION("""COMPUTED_VALUE"""),"Listicle")</f>
        <v>Listicle</v>
      </c>
      <c r="G357" s="11" t="b">
        <f>IFERROR(__xludf.DUMMYFUNCTION("""COMPUTED_VALUE"""),FALSE)</f>
        <v>0</v>
      </c>
      <c r="H357" s="11" t="str">
        <f>IFERROR(__xludf.DUMMYFUNCTION("""COMPUTED_VALUE"""),"McKinsey, QuantumBlack, BCG, Bain &amp; Company, PwC, IBM, Momentum")</f>
        <v>McKinsey, QuantumBlack, BCG, Bain &amp; Company, PwC, IBM, Momentum</v>
      </c>
      <c r="I357" s="11">
        <f>IFERROR(__xludf.DUMMYFUNCTION("""COMPUTED_VALUE"""),3.0)</f>
        <v>3</v>
      </c>
      <c r="J357" s="11">
        <f>IFERROR(__xludf.DUMMYFUNCTION("""COMPUTED_VALUE"""),0.0)</f>
        <v>0</v>
      </c>
      <c r="K357" s="11">
        <f>IFERROR(__xludf.DUMMYFUNCTION("""COMPUTED_VALUE"""),0.67)</f>
        <v>0.67</v>
      </c>
    </row>
    <row r="358" ht="15.75" customHeight="1">
      <c r="A358" s="10" t="str">
        <f>IFERROR(__xludf.DUMMYFUNCTION("""COMPUTED_VALUE"""),"https://www.lyfemarketing.com/blog/top-advertising-agencies-us/")</f>
        <v>https://www.lyfemarketing.com/blog/top-advertising-agencies-us/</v>
      </c>
      <c r="B358" s="11" t="str">
        <f>IFERROR(__xludf.DUMMYFUNCTION("""COMPUTED_VALUE"""),"Top 32 Advertising Agencies In The US 2026")</f>
        <v>Top 32 Advertising Agencies In The US 2026</v>
      </c>
      <c r="C358" s="10" t="str">
        <f>IFERROR(__xludf.DUMMYFUNCTION("""COMPUTED_VALUE"""),"lyfemarketing.com")</f>
        <v>lyfemarketing.com</v>
      </c>
      <c r="D358" s="11" t="str">
        <f>IFERROR(__xludf.DUMMYFUNCTION("""COMPUTED_VALUE"""),"LISTICLE")</f>
        <v>LISTICLE</v>
      </c>
      <c r="E358" s="11" t="str">
        <f>IFERROR(__xludf.DUMMYFUNCTION("""COMPUTED_VALUE"""),"CORPORATE")</f>
        <v>CORPORATE</v>
      </c>
      <c r="F358" s="11" t="str">
        <f>IFERROR(__xludf.DUMMYFUNCTION("""COMPUTED_VALUE"""),"Listicle")</f>
        <v>Listicle</v>
      </c>
      <c r="G358" s="11" t="b">
        <f>IFERROR(__xludf.DUMMYFUNCTION("""COMPUTED_VALUE"""),FALSE)</f>
        <v>0</v>
      </c>
      <c r="H358" s="11" t="str">
        <f>IFERROR(__xludf.DUMMYFUNCTION("""COMPUTED_VALUE"""),"LYFE Marketing, Refine Labs, Kobe Digital, Disruptive Advertising, Ogilvy, Wieden+Kennedy")</f>
        <v>LYFE Marketing, Refine Labs, Kobe Digital, Disruptive Advertising, Ogilvy, Wieden+Kennedy</v>
      </c>
      <c r="I358" s="11">
        <f>IFERROR(__xludf.DUMMYFUNCTION("""COMPUTED_VALUE"""),3.0)</f>
        <v>3</v>
      </c>
      <c r="J358" s="11">
        <f>IFERROR(__xludf.DUMMYFUNCTION("""COMPUTED_VALUE"""),0.0)</f>
        <v>0</v>
      </c>
      <c r="K358" s="11">
        <f>IFERROR(__xludf.DUMMYFUNCTION("""COMPUTED_VALUE"""),0.33)</f>
        <v>0.33</v>
      </c>
    </row>
    <row r="359" ht="15.75" customHeight="1">
      <c r="A359" s="10" t="str">
        <f>IFERROR(__xludf.DUMMYFUNCTION("""COMPUTED_VALUE"""),"https://www.lyfemarketing.com/blog/top-google-ads-agencies-us/")</f>
        <v>https://www.lyfemarketing.com/blog/top-google-ads-agencies-us/</v>
      </c>
      <c r="B359" s="11" t="str">
        <f>IFERROR(__xludf.DUMMYFUNCTION("""COMPUTED_VALUE"""),"Top 25 Google Ads Agencies In The U.S. 2026")</f>
        <v>Top 25 Google Ads Agencies In The U.S. 2026</v>
      </c>
      <c r="C359" s="10" t="str">
        <f>IFERROR(__xludf.DUMMYFUNCTION("""COMPUTED_VALUE"""),"lyfemarketing.com")</f>
        <v>lyfemarketing.com</v>
      </c>
      <c r="D359" s="11" t="str">
        <f>IFERROR(__xludf.DUMMYFUNCTION("""COMPUTED_VALUE"""),"LISTICLE")</f>
        <v>LISTICLE</v>
      </c>
      <c r="E359" s="11" t="str">
        <f>IFERROR(__xludf.DUMMYFUNCTION("""COMPUTED_VALUE"""),"CORPORATE")</f>
        <v>CORPORATE</v>
      </c>
      <c r="F359" s="11" t="str">
        <f>IFERROR(__xludf.DUMMYFUNCTION("""COMPUTED_VALUE"""),"Listicle")</f>
        <v>Listicle</v>
      </c>
      <c r="G359" s="11" t="b">
        <f>IFERROR(__xludf.DUMMYFUNCTION("""COMPUTED_VALUE"""),FALSE)</f>
        <v>0</v>
      </c>
      <c r="H359" s="11" t="str">
        <f>IFERROR(__xludf.DUMMYFUNCTION("""COMPUTED_VALUE"""),"LYFE Marketing, Directive, NinjaPromo, KlientBoost, AdVenture Media, Intero Digital, Single Grain")</f>
        <v>LYFE Marketing, Directive, NinjaPromo, KlientBoost, AdVenture Media, Intero Digital, Single Grain</v>
      </c>
      <c r="I359" s="11">
        <f>IFERROR(__xludf.DUMMYFUNCTION("""COMPUTED_VALUE"""),3.0)</f>
        <v>3</v>
      </c>
      <c r="J359" s="11">
        <f>IFERROR(__xludf.DUMMYFUNCTION("""COMPUTED_VALUE"""),0.0)</f>
        <v>0</v>
      </c>
      <c r="K359" s="11">
        <f>IFERROR(__xludf.DUMMYFUNCTION("""COMPUTED_VALUE"""),0.67)</f>
        <v>0.67</v>
      </c>
    </row>
    <row r="360" ht="15.75" customHeight="1">
      <c r="A360" s="10" t="str">
        <f>IFERROR(__xludf.DUMMYFUNCTION("""COMPUTED_VALUE"""),"https://www.madx.digital/learn/geo-aeo-agencies")</f>
        <v>https://www.madx.digital/learn/geo-aeo-agencies</v>
      </c>
      <c r="B360" s="11" t="str">
        <f>IFERROR(__xludf.DUMMYFUNCTION("""COMPUTED_VALUE"""),"14 Great GEO &amp;amp; AEO Agencies in 2026 | MADX Digital")</f>
        <v>14 Great GEO &amp;amp; AEO Agencies in 2026 | MADX Digital</v>
      </c>
      <c r="C360" s="11" t="str">
        <f>IFERROR(__xludf.DUMMYFUNCTION("""COMPUTED_VALUE"""),"madx.digital")</f>
        <v>madx.digital</v>
      </c>
      <c r="D360" s="11" t="str">
        <f>IFERROR(__xludf.DUMMYFUNCTION("""COMPUTED_VALUE"""),"LISTICLE")</f>
        <v>LISTICLE</v>
      </c>
      <c r="E360" s="11" t="str">
        <f>IFERROR(__xludf.DUMMYFUNCTION("""COMPUTED_VALUE"""),"OTHER")</f>
        <v>OTHER</v>
      </c>
      <c r="F360" s="11" t="str">
        <f>IFERROR(__xludf.DUMMYFUNCTION("""COMPUTED_VALUE"""),"Listicle")</f>
        <v>Listicle</v>
      </c>
      <c r="G360" s="11" t="b">
        <f>IFERROR(__xludf.DUMMYFUNCTION("""COMPUTED_VALUE"""),FALSE)</f>
        <v>0</v>
      </c>
      <c r="H360" s="11" t="str">
        <f>IFERROR(__xludf.DUMMYFUNCTION("""COMPUTED_VALUE"""),"NoGood, iPullRank, Searchbloom, Siege Media, First Page Sage, Single Grain")</f>
        <v>NoGood, iPullRank, Searchbloom, Siege Media, First Page Sage, Single Grain</v>
      </c>
      <c r="I360" s="11">
        <f>IFERROR(__xludf.DUMMYFUNCTION("""COMPUTED_VALUE"""),3.0)</f>
        <v>3</v>
      </c>
      <c r="J360" s="11">
        <f>IFERROR(__xludf.DUMMYFUNCTION("""COMPUTED_VALUE"""),0.0)</f>
        <v>0</v>
      </c>
      <c r="K360" s="11">
        <f>IFERROR(__xludf.DUMMYFUNCTION("""COMPUTED_VALUE"""),0.0)</f>
        <v>0</v>
      </c>
    </row>
    <row r="361" ht="15.75" customHeight="1">
      <c r="A361" s="10" t="str">
        <f>IFERROR(__xludf.DUMMYFUNCTION("""COMPUTED_VALUE"""),"https://www.magier.com/blog/best-creative-agency")</f>
        <v>https://www.magier.com/blog/best-creative-agency</v>
      </c>
      <c r="B361" s="11" t="str">
        <f>IFERROR(__xludf.DUMMYFUNCTION("""COMPUTED_VALUE"""),"15 Best Creative Agencies for Branding, Ads, and UX (2026)")</f>
        <v>15 Best Creative Agencies for Branding, Ads, and UX (2026)</v>
      </c>
      <c r="C361" s="10" t="str">
        <f>IFERROR(__xludf.DUMMYFUNCTION("""COMPUTED_VALUE"""),"magier.com")</f>
        <v>magier.com</v>
      </c>
      <c r="D361" s="11" t="str">
        <f>IFERROR(__xludf.DUMMYFUNCTION("""COMPUTED_VALUE"""),"LISTICLE")</f>
        <v>LISTICLE</v>
      </c>
      <c r="E361" s="11" t="str">
        <f>IFERROR(__xludf.DUMMYFUNCTION("""COMPUTED_VALUE"""),"OTHER")</f>
        <v>OTHER</v>
      </c>
      <c r="F361" s="11" t="str">
        <f>IFERROR(__xludf.DUMMYFUNCTION("""COMPUTED_VALUE"""),"Listicle")</f>
        <v>Listicle</v>
      </c>
      <c r="G361" s="11" t="b">
        <f>IFERROR(__xludf.DUMMYFUNCTION("""COMPUTED_VALUE"""),FALSE)</f>
        <v>0</v>
      </c>
      <c r="H361" s="11" t="str">
        <f>IFERROR(__xludf.DUMMYFUNCTION("""COMPUTED_VALUE"""),"Pentagram, Wolff Olins, Wieden+Kennedy, BBDO, R/GA, AKQA, Ogilvy, Droga5, WPP, Giant Spoon, Clutch, Accenture Song, Momentum, 72andSunny, Clay, Huge, Superside")</f>
        <v>Pentagram, Wolff Olins, Wieden+Kennedy, BBDO, R/GA, AKQA, Ogilvy, Droga5, WPP, Giant Spoon, Clutch, Accenture Song, Momentum, 72andSunny, Clay, Huge, Superside</v>
      </c>
      <c r="I361" s="11">
        <f>IFERROR(__xludf.DUMMYFUNCTION("""COMPUTED_VALUE"""),3.0)</f>
        <v>3</v>
      </c>
      <c r="J361" s="11">
        <f>IFERROR(__xludf.DUMMYFUNCTION("""COMPUTED_VALUE"""),0.0)</f>
        <v>0</v>
      </c>
      <c r="K361" s="11">
        <f>IFERROR(__xludf.DUMMYFUNCTION("""COMPUTED_VALUE"""),0.67)</f>
        <v>0.67</v>
      </c>
    </row>
    <row r="362" ht="15.75" customHeight="1">
      <c r="A362" s="10" t="str">
        <f>IFERROR(__xludf.DUMMYFUNCTION("""COMPUTED_VALUE"""),"https://marketerhire.com/blog/ai-marketing-agencies")</f>
        <v>https://marketerhire.com/blog/ai-marketing-agencies</v>
      </c>
      <c r="B362" s="11" t="str">
        <f>IFERROR(__xludf.DUMMYFUNCTION("""COMPUTED_VALUE"""),"Ultimate Guide to the Best AI Marketing Agencies for Your Business")</f>
        <v>Ultimate Guide to the Best AI Marketing Agencies for Your Business</v>
      </c>
      <c r="C362" s="10" t="str">
        <f>IFERROR(__xludf.DUMMYFUNCTION("""COMPUTED_VALUE"""),"marketerhire.com")</f>
        <v>marketerhire.com</v>
      </c>
      <c r="D362" s="11" t="str">
        <f>IFERROR(__xludf.DUMMYFUNCTION("""COMPUTED_VALUE"""),"LISTICLE")</f>
        <v>LISTICLE</v>
      </c>
      <c r="E362" s="11" t="str">
        <f>IFERROR(__xludf.DUMMYFUNCTION("""COMPUTED_VALUE"""),"CORPORATE")</f>
        <v>CORPORATE</v>
      </c>
      <c r="F362" s="11" t="str">
        <f>IFERROR(__xludf.DUMMYFUNCTION("""COMPUTED_VALUE"""),"Listicle")</f>
        <v>Listicle</v>
      </c>
      <c r="G362" s="11" t="b">
        <f>IFERROR(__xludf.DUMMYFUNCTION("""COMPUTED_VALUE"""),FALSE)</f>
        <v>0</v>
      </c>
      <c r="H362" s="11" t="str">
        <f>IFERROR(__xludf.DUMMYFUNCTION("""COMPUTED_VALUE"""),"NoGood")</f>
        <v>NoGood</v>
      </c>
      <c r="I362" s="11">
        <f>IFERROR(__xludf.DUMMYFUNCTION("""COMPUTED_VALUE"""),3.0)</f>
        <v>3</v>
      </c>
      <c r="J362" s="11">
        <f>IFERROR(__xludf.DUMMYFUNCTION("""COMPUTED_VALUE"""),0.0)</f>
        <v>0</v>
      </c>
      <c r="K362" s="11">
        <f>IFERROR(__xludf.DUMMYFUNCTION("""COMPUTED_VALUE"""),0.67)</f>
        <v>0.67</v>
      </c>
    </row>
    <row r="363" ht="15.75" customHeight="1">
      <c r="A363" s="10" t="str">
        <f>IFERROR(__xludf.DUMMYFUNCTION("""COMPUTED_VALUE"""),"https://metaflow.life/blog/best-paid-media-agencies-2026")</f>
        <v>https://metaflow.life/blog/best-paid-media-agencies-2026</v>
      </c>
      <c r="B363" s="11" t="str">
        <f>IFERROR(__xludf.DUMMYFUNCTION("""COMPUTED_VALUE"""),"11 Best paid media Agencies for 2026")</f>
        <v>11 Best paid media Agencies for 2026</v>
      </c>
      <c r="C363" s="11" t="str">
        <f>IFERROR(__xludf.DUMMYFUNCTION("""COMPUTED_VALUE"""),"metaflow.life")</f>
        <v>metaflow.life</v>
      </c>
      <c r="D363" s="11" t="str">
        <f>IFERROR(__xludf.DUMMYFUNCTION("""COMPUTED_VALUE"""),"LISTICLE")</f>
        <v>LISTICLE</v>
      </c>
      <c r="E363" s="11" t="str">
        <f>IFERROR(__xludf.DUMMYFUNCTION("""COMPUTED_VALUE"""),"OTHER")</f>
        <v>OTHER</v>
      </c>
      <c r="F363" s="11" t="str">
        <f>IFERROR(__xludf.DUMMYFUNCTION("""COMPUTED_VALUE"""),"Listicle")</f>
        <v>Listicle</v>
      </c>
      <c r="G363" s="11" t="b">
        <f>IFERROR(__xludf.DUMMYFUNCTION("""COMPUTED_VALUE"""),FALSE)</f>
        <v>0</v>
      </c>
      <c r="H363" s="11" t="str">
        <f>IFERROR(__xludf.DUMMYFUNCTION("""COMPUTED_VALUE"""),"Power Digital, NoGood, Ignite Visibility, Victorious, Amsive")</f>
        <v>Power Digital, NoGood, Ignite Visibility, Victorious, Amsive</v>
      </c>
      <c r="I363" s="11">
        <f>IFERROR(__xludf.DUMMYFUNCTION("""COMPUTED_VALUE"""),3.0)</f>
        <v>3</v>
      </c>
      <c r="J363" s="11">
        <f>IFERROR(__xludf.DUMMYFUNCTION("""COMPUTED_VALUE"""),0.0)</f>
        <v>0</v>
      </c>
      <c r="K363" s="11">
        <f>IFERROR(__xludf.DUMMYFUNCTION("""COMPUTED_VALUE"""),0.33)</f>
        <v>0.33</v>
      </c>
    </row>
    <row r="364" ht="15.75" customHeight="1">
      <c r="A364" s="10" t="str">
        <f>IFERROR(__xludf.DUMMYFUNCTION("""COMPUTED_VALUE"""),"https://www.miniloop.ai/blog/best-geo-agencies")</f>
        <v>https://www.miniloop.ai/blog/best-geo-agencies</v>
      </c>
      <c r="B364" s="11" t="str">
        <f>IFERROR(__xludf.DUMMYFUNCTION("""COMPUTED_VALUE"""),"Best GEO Agencies 2026: Generative Engine Optimization Companies")</f>
        <v>Best GEO Agencies 2026: Generative Engine Optimization Companies</v>
      </c>
      <c r="C364" s="10" t="str">
        <f>IFERROR(__xludf.DUMMYFUNCTION("""COMPUTED_VALUE"""),"miniloop.ai")</f>
        <v>miniloop.ai</v>
      </c>
      <c r="D364" s="11" t="str">
        <f>IFERROR(__xludf.DUMMYFUNCTION("""COMPUTED_VALUE"""),"LISTICLE")</f>
        <v>LISTICLE</v>
      </c>
      <c r="E364" s="11" t="str">
        <f>IFERROR(__xludf.DUMMYFUNCTION("""COMPUTED_VALUE"""),"CORPORATE")</f>
        <v>CORPORATE</v>
      </c>
      <c r="F364" s="11" t="str">
        <f>IFERROR(__xludf.DUMMYFUNCTION("""COMPUTED_VALUE"""),"Listicle")</f>
        <v>Listicle</v>
      </c>
      <c r="G364" s="11" t="b">
        <f>IFERROR(__xludf.DUMMYFUNCTION("""COMPUTED_VALUE"""),FALSE)</f>
        <v>0</v>
      </c>
      <c r="H364" s="11" t="str">
        <f>IFERROR(__xludf.DUMMYFUNCTION("""COMPUTED_VALUE"""),"Omniscient Digital, Animalz, Siege Media, Go Fish Digital, Intero Digital")</f>
        <v>Omniscient Digital, Animalz, Siege Media, Go Fish Digital, Intero Digital</v>
      </c>
      <c r="I364" s="11">
        <f>IFERROR(__xludf.DUMMYFUNCTION("""COMPUTED_VALUE"""),3.0)</f>
        <v>3</v>
      </c>
      <c r="J364" s="11">
        <f>IFERROR(__xludf.DUMMYFUNCTION("""COMPUTED_VALUE"""),0.0)</f>
        <v>0</v>
      </c>
      <c r="K364" s="11">
        <f>IFERROR(__xludf.DUMMYFUNCTION("""COMPUTED_VALUE"""),3.67)</f>
        <v>3.67</v>
      </c>
    </row>
    <row r="365" ht="15.75" customHeight="1">
      <c r="A365" s="10" t="str">
        <f>IFERROR(__xludf.DUMMYFUNCTION("""COMPUTED_VALUE"""),"https://www.munro.agency/marketing-agencies-in-the-usa/")</f>
        <v>https://www.munro.agency/marketing-agencies-in-the-usa/</v>
      </c>
      <c r="B365" s="11" t="str">
        <f>IFERROR(__xludf.DUMMYFUNCTION("""COMPUTED_VALUE"""),"Top 15 Marketing Agencies in the USA for 2026")</f>
        <v>Top 15 Marketing Agencies in the USA for 2026</v>
      </c>
      <c r="C365" s="11" t="str">
        <f>IFERROR(__xludf.DUMMYFUNCTION("""COMPUTED_VALUE"""),"munro.agency")</f>
        <v>munro.agency</v>
      </c>
      <c r="D365" s="11" t="str">
        <f>IFERROR(__xludf.DUMMYFUNCTION("""COMPUTED_VALUE"""),"LISTICLE")</f>
        <v>LISTICLE</v>
      </c>
      <c r="E365" s="11" t="str">
        <f>IFERROR(__xludf.DUMMYFUNCTION("""COMPUTED_VALUE"""),"CORPORATE")</f>
        <v>CORPORATE</v>
      </c>
      <c r="F365" s="11" t="str">
        <f>IFERROR(__xludf.DUMMYFUNCTION("""COMPUTED_VALUE"""),"Listicle")</f>
        <v>Listicle</v>
      </c>
      <c r="G365" s="11" t="b">
        <f>IFERROR(__xludf.DUMMYFUNCTION("""COMPUTED_VALUE"""),FALSE)</f>
        <v>0</v>
      </c>
      <c r="H365" s="11" t="str">
        <f>IFERROR(__xludf.DUMMYFUNCTION("""COMPUTED_VALUE"""),"LYFE Marketing, Wieden+Kennedy, Disruptive Advertising, Dentsu, Digitas, BBDO, Major Tom, Funnel Boost Media, 72andSunny, Ignite Visibility")</f>
        <v>LYFE Marketing, Wieden+Kennedy, Disruptive Advertising, Dentsu, Digitas, BBDO, Major Tom, Funnel Boost Media, 72andSunny, Ignite Visibility</v>
      </c>
      <c r="I365" s="11">
        <f>IFERROR(__xludf.DUMMYFUNCTION("""COMPUTED_VALUE"""),3.0)</f>
        <v>3</v>
      </c>
      <c r="J365" s="11">
        <f>IFERROR(__xludf.DUMMYFUNCTION("""COMPUTED_VALUE"""),0.0)</f>
        <v>0</v>
      </c>
      <c r="K365" s="11">
        <f>IFERROR(__xludf.DUMMYFUNCTION("""COMPUTED_VALUE"""),1.0)</f>
        <v>1</v>
      </c>
    </row>
    <row r="366" ht="15.75" customHeight="1">
      <c r="A366" s="10" t="str">
        <f>IFERROR(__xludf.DUMMYFUNCTION("""COMPUTED_VALUE"""),"https://nationalmarketingawards.com/agency/")</f>
        <v>https://nationalmarketingawards.com/agency/</v>
      </c>
      <c r="B366" s="11" t="str">
        <f>IFERROR(__xludf.DUMMYFUNCTION("""COMPUTED_VALUE"""),"Top Marketing Agencies 2026 | National Marketing Awards")</f>
        <v>Top Marketing Agencies 2026 | National Marketing Awards</v>
      </c>
      <c r="C366" s="10" t="str">
        <f>IFERROR(__xludf.DUMMYFUNCTION("""COMPUTED_VALUE"""),"nationalmarketingawards.com")</f>
        <v>nationalmarketingawards.com</v>
      </c>
      <c r="D366" s="11" t="str">
        <f>IFERROR(__xludf.DUMMYFUNCTION("""COMPUTED_VALUE"""),"LISTICLE")</f>
        <v>LISTICLE</v>
      </c>
      <c r="E366" s="11" t="str">
        <f>IFERROR(__xludf.DUMMYFUNCTION("""COMPUTED_VALUE"""),"REFERENCE")</f>
        <v>REFERENCE</v>
      </c>
      <c r="F366" s="11" t="str">
        <f>IFERROR(__xludf.DUMMYFUNCTION("""COMPUTED_VALUE"""),"Listicle")</f>
        <v>Listicle</v>
      </c>
      <c r="G366" s="11" t="b">
        <f>IFERROR(__xludf.DUMMYFUNCTION("""COMPUTED_VALUE"""),FALSE)</f>
        <v>0</v>
      </c>
      <c r="H366" s="11" t="str">
        <f>IFERROR(__xludf.DUMMYFUNCTION("""COMPUTED_VALUE"""),"WebFX, VML, WPP, Ignite Visibility, Wieden+Kennedy, SmartSites, Anomaly, HawkSEM, Disruptive Advertising, R/GA, LYFE Marketing, Intero Digital, Noble Studios, NP Digital, Marcel Digital, Directive, Seer Interactive, Silverback Strategies, Publicis Groupe,"&amp;" Power Digital, Victorious, Huge, 72andSunny, Searchbloom, Wpromote, Siege Media, Droga5, Accenture Song, Horizon Media, KlientBoost, Single Grain, PMG, Bounteous, BBDO, Sociallyin, First Page Sage, Viral Nation, Clay, Tinuiti, Hawke Media, NoGood, Clutch"&amp;", Measured")</f>
        <v>WebFX, VML, WPP, Ignite Visibility, Wieden+Kennedy, SmartSites, Anomaly, HawkSEM, Disruptive Advertising, R/GA, LYFE Marketing, Intero Digital, Noble Studios, NP Digital, Marcel Digital, Directive, Seer Interactive, Silverback Strategies, Publicis Groupe, Power Digital, Victorious, Huge, 72andSunny, Searchbloom, Wpromote, Siege Media, Droga5, Accenture Song, Horizon Media, KlientBoost, Single Grain, PMG, Bounteous, BBDO, Sociallyin, First Page Sage, Viral Nation, Clay, Tinuiti, Hawke Media, NoGood, Clutch, Measured</v>
      </c>
      <c r="I366" s="11">
        <f>IFERROR(__xludf.DUMMYFUNCTION("""COMPUTED_VALUE"""),3.0)</f>
        <v>3</v>
      </c>
      <c r="J366" s="11">
        <f>IFERROR(__xludf.DUMMYFUNCTION("""COMPUTED_VALUE"""),0.0)</f>
        <v>0</v>
      </c>
      <c r="K366" s="11">
        <f>IFERROR(__xludf.DUMMYFUNCTION("""COMPUTED_VALUE"""),0.0)</f>
        <v>0</v>
      </c>
    </row>
    <row r="367" ht="15.75" customHeight="1">
      <c r="A367" s="10" t="str">
        <f>IFERROR(__xludf.DUMMYFUNCTION("""COMPUTED_VALUE"""),"https://www.nine.am/insights/best-performance-marketing-agencies-nyc")</f>
        <v>https://www.nine.am/insights/best-performance-marketing-agencies-nyc</v>
      </c>
      <c r="B367" s="11" t="str">
        <f>IFERROR(__xludf.DUMMYFUNCTION("""COMPUTED_VALUE"""),"10 Best Performance Marketing Agencies in NYC (2026 Edition)")</f>
        <v>10 Best Performance Marketing Agencies in NYC (2026 Edition)</v>
      </c>
      <c r="C367" s="10" t="str">
        <f>IFERROR(__xludf.DUMMYFUNCTION("""COMPUTED_VALUE"""),"nine.am")</f>
        <v>nine.am</v>
      </c>
      <c r="D367" s="11" t="str">
        <f>IFERROR(__xludf.DUMMYFUNCTION("""COMPUTED_VALUE"""),"LISTICLE")</f>
        <v>LISTICLE</v>
      </c>
      <c r="E367" s="11" t="str">
        <f>IFERROR(__xludf.DUMMYFUNCTION("""COMPUTED_VALUE"""),"CORPORATE")</f>
        <v>CORPORATE</v>
      </c>
      <c r="F367" s="11" t="str">
        <f>IFERROR(__xludf.DUMMYFUNCTION("""COMPUTED_VALUE"""),"Listicle")</f>
        <v>Listicle</v>
      </c>
      <c r="G367" s="11" t="b">
        <f>IFERROR(__xludf.DUMMYFUNCTION("""COMPUTED_VALUE"""),FALSE)</f>
        <v>0</v>
      </c>
      <c r="H367" s="11" t="str">
        <f>IFERROR(__xludf.DUMMYFUNCTION("""COMPUTED_VALUE"""),"NoGood, Clutch, Tinuiti, Power Digital, Amsive, VaynerMedia, inBeat")</f>
        <v>NoGood, Clutch, Tinuiti, Power Digital, Amsive, VaynerMedia, inBeat</v>
      </c>
      <c r="I367" s="11">
        <f>IFERROR(__xludf.DUMMYFUNCTION("""COMPUTED_VALUE"""),3.0)</f>
        <v>3</v>
      </c>
      <c r="J367" s="11">
        <f>IFERROR(__xludf.DUMMYFUNCTION("""COMPUTED_VALUE"""),0.0)</f>
        <v>0</v>
      </c>
      <c r="K367" s="11">
        <f>IFERROR(__xludf.DUMMYFUNCTION("""COMPUTED_VALUE"""),1.0)</f>
        <v>1</v>
      </c>
    </row>
    <row r="368" ht="15.75" customHeight="1">
      <c r="A368" s="10" t="str">
        <f>IFERROR(__xludf.DUMMYFUNCTION("""COMPUTED_VALUE"""),"https://www.outrightcrm.com/blog/roi-focused-digital-marketing-agencies/")</f>
        <v>https://www.outrightcrm.com/blog/roi-focused-digital-marketing-agencies/</v>
      </c>
      <c r="B368" s="11" t="str">
        <f>IFERROR(__xludf.DUMMYFUNCTION("""COMPUTED_VALUE"""),"15 Best ROI-Focused Digital Marketing Firms in 2026 | OutrightCRM")</f>
        <v>15 Best ROI-Focused Digital Marketing Firms in 2026 | OutrightCRM</v>
      </c>
      <c r="C368" s="10" t="str">
        <f>IFERROR(__xludf.DUMMYFUNCTION("""COMPUTED_VALUE"""),"outrightcrm.com")</f>
        <v>outrightcrm.com</v>
      </c>
      <c r="D368" s="11" t="str">
        <f>IFERROR(__xludf.DUMMYFUNCTION("""COMPUTED_VALUE"""),"LISTICLE")</f>
        <v>LISTICLE</v>
      </c>
      <c r="E368" s="11" t="str">
        <f>IFERROR(__xludf.DUMMYFUNCTION("""COMPUTED_VALUE"""),"CORPORATE")</f>
        <v>CORPORATE</v>
      </c>
      <c r="F368" s="11" t="str">
        <f>IFERROR(__xludf.DUMMYFUNCTION("""COMPUTED_VALUE"""),"Listicle")</f>
        <v>Listicle</v>
      </c>
      <c r="G368" s="11" t="b">
        <f>IFERROR(__xludf.DUMMYFUNCTION("""COMPUTED_VALUE"""),FALSE)</f>
        <v>0</v>
      </c>
      <c r="H368" s="11" t="str">
        <f>IFERROR(__xludf.DUMMYFUNCTION("""COMPUTED_VALUE"""),"Disruptive Advertising, KlientBoost, SmartSites, Power Digital, Wpromote, Ignite Visibility, Seer Interactive, Directive, Jellyfish, Merkle, VaynerMedia, NP Digital, Thrive Internet Marketing Agency, LYFE Marketing, Clutch, Huge")</f>
        <v>Disruptive Advertising, KlientBoost, SmartSites, Power Digital, Wpromote, Ignite Visibility, Seer Interactive, Directive, Jellyfish, Merkle, VaynerMedia, NP Digital, Thrive Internet Marketing Agency, LYFE Marketing, Clutch, Huge</v>
      </c>
      <c r="I368" s="11">
        <f>IFERROR(__xludf.DUMMYFUNCTION("""COMPUTED_VALUE"""),3.0)</f>
        <v>3</v>
      </c>
      <c r="J368" s="11">
        <f>IFERROR(__xludf.DUMMYFUNCTION("""COMPUTED_VALUE"""),0.0)</f>
        <v>0</v>
      </c>
      <c r="K368" s="11">
        <f>IFERROR(__xludf.DUMMYFUNCTION("""COMPUTED_VALUE"""),0.0)</f>
        <v>0</v>
      </c>
    </row>
    <row r="369" ht="15.75" customHeight="1">
      <c r="A369" s="10" t="str">
        <f>IFERROR(__xludf.DUMMYFUNCTION("""COMPUTED_VALUE"""),"https://oxdpr.com/creative-strategy-agencies/")</f>
        <v>https://oxdpr.com/creative-strategy-agencies/</v>
      </c>
      <c r="B369" s="11" t="str">
        <f>IFERROR(__xludf.DUMMYFUNCTION("""COMPUTED_VALUE"""),"Top 7 Creative Strategy Agencies Shaping Brands in 2026 - OXDPR - Digital Marketing")</f>
        <v>Top 7 Creative Strategy Agencies Shaping Brands in 2026 - OXDPR - Digital Marketing</v>
      </c>
      <c r="C369" s="10" t="str">
        <f>IFERROR(__xludf.DUMMYFUNCTION("""COMPUTED_VALUE"""),"oxdpr.com")</f>
        <v>oxdpr.com</v>
      </c>
      <c r="D369" s="11" t="str">
        <f>IFERROR(__xludf.DUMMYFUNCTION("""COMPUTED_VALUE"""),"LISTICLE")</f>
        <v>LISTICLE</v>
      </c>
      <c r="E369" s="11" t="str">
        <f>IFERROR(__xludf.DUMMYFUNCTION("""COMPUTED_VALUE"""),"CORPORATE")</f>
        <v>CORPORATE</v>
      </c>
      <c r="F369" s="11" t="str">
        <f>IFERROR(__xludf.DUMMYFUNCTION("""COMPUTED_VALUE"""),"Listicle")</f>
        <v>Listicle</v>
      </c>
      <c r="G369" s="11" t="b">
        <f>IFERROR(__xludf.DUMMYFUNCTION("""COMPUTED_VALUE"""),FALSE)</f>
        <v>0</v>
      </c>
      <c r="H369" s="11" t="str">
        <f>IFERROR(__xludf.DUMMYFUNCTION("""COMPUTED_VALUE"""),"McKinsey, Superside, inBeat, Ogilvy, IBM, Wieden+Kennedy, Accenture Song, Measured")</f>
        <v>McKinsey, Superside, inBeat, Ogilvy, IBM, Wieden+Kennedy, Accenture Song, Measured</v>
      </c>
      <c r="I369" s="11">
        <f>IFERROR(__xludf.DUMMYFUNCTION("""COMPUTED_VALUE"""),3.0)</f>
        <v>3</v>
      </c>
      <c r="J369" s="11">
        <f>IFERROR(__xludf.DUMMYFUNCTION("""COMPUTED_VALUE"""),0.0)</f>
        <v>0</v>
      </c>
      <c r="K369" s="11">
        <f>IFERROR(__xludf.DUMMYFUNCTION("""COMPUTED_VALUE"""),0.33)</f>
        <v>0.33</v>
      </c>
    </row>
    <row r="370" ht="15.75" customHeight="1">
      <c r="A370" s="10" t="str">
        <f>IFERROR(__xludf.DUMMYFUNCTION("""COMPUTED_VALUE"""),"https://parallel365.com/best-ai-search-optimization-agencies-for-b2b-companies/")</f>
        <v>https://parallel365.com/best-ai-search-optimization-agencies-for-b2b-companies/</v>
      </c>
      <c r="B370" s="11" t="str">
        <f>IFERROR(__xludf.DUMMYFUNCTION("""COMPUTED_VALUE"""),"Best AI Search Optimization Agencies for B2B Companies in 2026")</f>
        <v>Best AI Search Optimization Agencies for B2B Companies in 2026</v>
      </c>
      <c r="C370" s="10" t="str">
        <f>IFERROR(__xludf.DUMMYFUNCTION("""COMPUTED_VALUE"""),"parallel365.com")</f>
        <v>parallel365.com</v>
      </c>
      <c r="D370" s="11" t="str">
        <f>IFERROR(__xludf.DUMMYFUNCTION("""COMPUTED_VALUE"""),"LISTICLE")</f>
        <v>LISTICLE</v>
      </c>
      <c r="E370" s="11" t="str">
        <f>IFERROR(__xludf.DUMMYFUNCTION("""COMPUTED_VALUE"""),"CORPORATE")</f>
        <v>CORPORATE</v>
      </c>
      <c r="F370" s="11" t="str">
        <f>IFERROR(__xludf.DUMMYFUNCTION("""COMPUTED_VALUE"""),"Listicle")</f>
        <v>Listicle</v>
      </c>
      <c r="G370" s="11" t="b">
        <f>IFERROR(__xludf.DUMMYFUNCTION("""COMPUTED_VALUE"""),FALSE)</f>
        <v>0</v>
      </c>
      <c r="H370" s="11" t="str">
        <f>IFERROR(__xludf.DUMMYFUNCTION("""COMPUTED_VALUE"""),"McKinsey, Omniscient Digital, Directive, NoGood, Single Grain, Disruptive Advertising, Power Digital, WebFX, Thrive Internet Marketing Agency, Searchbloom")</f>
        <v>McKinsey, Omniscient Digital, Directive, NoGood, Single Grain, Disruptive Advertising, Power Digital, WebFX, Thrive Internet Marketing Agency, Searchbloom</v>
      </c>
      <c r="I370" s="11">
        <f>IFERROR(__xludf.DUMMYFUNCTION("""COMPUTED_VALUE"""),3.0)</f>
        <v>3</v>
      </c>
      <c r="J370" s="11">
        <f>IFERROR(__xludf.DUMMYFUNCTION("""COMPUTED_VALUE"""),0.0)</f>
        <v>0</v>
      </c>
      <c r="K370" s="11">
        <f>IFERROR(__xludf.DUMMYFUNCTION("""COMPUTED_VALUE"""),0.0)</f>
        <v>0</v>
      </c>
    </row>
    <row r="371" ht="15.75" customHeight="1">
      <c r="A371" s="10" t="str">
        <f>IFERROR(__xludf.DUMMYFUNCTION("""COMPUTED_VALUE"""),"https://piperocket.digital/list/best-paid-social-agencies/")</f>
        <v>https://piperocket.digital/list/best-paid-social-agencies/</v>
      </c>
      <c r="B371" s="11" t="str">
        <f>IFERROR(__xludf.DUMMYFUNCTION("""COMPUTED_VALUE"""),"9 Best Paid Social Agencies for 2026 (Honest Review)")</f>
        <v>9 Best Paid Social Agencies for 2026 (Honest Review)</v>
      </c>
      <c r="C371" s="11" t="str">
        <f>IFERROR(__xludf.DUMMYFUNCTION("""COMPUTED_VALUE"""),"piperocket.digital")</f>
        <v>piperocket.digital</v>
      </c>
      <c r="D371" s="11" t="str">
        <f>IFERROR(__xludf.DUMMYFUNCTION("""COMPUTED_VALUE"""),"LISTICLE")</f>
        <v>LISTICLE</v>
      </c>
      <c r="E371" s="11" t="str">
        <f>IFERROR(__xludf.DUMMYFUNCTION("""COMPUTED_VALUE"""),"CORPORATE")</f>
        <v>CORPORATE</v>
      </c>
      <c r="F371" s="11" t="str">
        <f>IFERROR(__xludf.DUMMYFUNCTION("""COMPUTED_VALUE"""),"Listicle")</f>
        <v>Listicle</v>
      </c>
      <c r="G371" s="11" t="b">
        <f>IFERROR(__xludf.DUMMYFUNCTION("""COMPUTED_VALUE"""),FALSE)</f>
        <v>0</v>
      </c>
      <c r="H371" s="11" t="str">
        <f>IFERROR(__xludf.DUMMYFUNCTION("""COMPUTED_VALUE"""),"Clutch, Directive, Hey Digital, KlientBoost, NoGood, Measured")</f>
        <v>Clutch, Directive, Hey Digital, KlientBoost, NoGood, Measured</v>
      </c>
      <c r="I371" s="11">
        <f>IFERROR(__xludf.DUMMYFUNCTION("""COMPUTED_VALUE"""),3.0)</f>
        <v>3</v>
      </c>
      <c r="J371" s="11">
        <f>IFERROR(__xludf.DUMMYFUNCTION("""COMPUTED_VALUE"""),0.0)</f>
        <v>0</v>
      </c>
      <c r="K371" s="11">
        <f>IFERROR(__xludf.DUMMYFUNCTION("""COMPUTED_VALUE"""),0.33)</f>
        <v>0.33</v>
      </c>
    </row>
    <row r="372" ht="15.75" customHeight="1">
      <c r="A372" s="10" t="str">
        <f>IFERROR(__xludf.DUMMYFUNCTION("""COMPUTED_VALUE"""),"https://www.redseo.io/compare/best-ai-seo-agency")</f>
        <v>https://www.redseo.io/compare/best-ai-seo-agency</v>
      </c>
      <c r="B372" s="11" t="str">
        <f>IFERROR(__xludf.DUMMYFUNCTION("""COMPUTED_VALUE"""),"The 10 Best AI SEO Agencies of 2026 (AEO &amp;amp; GEO Specialists)")</f>
        <v>The 10 Best AI SEO Agencies of 2026 (AEO &amp;amp; GEO Specialists)</v>
      </c>
      <c r="C372" s="10" t="str">
        <f>IFERROR(__xludf.DUMMYFUNCTION("""COMPUTED_VALUE"""),"redseo.io")</f>
        <v>redseo.io</v>
      </c>
      <c r="D372" s="11" t="str">
        <f>IFERROR(__xludf.DUMMYFUNCTION("""COMPUTED_VALUE"""),"LISTICLE")</f>
        <v>LISTICLE</v>
      </c>
      <c r="E372" s="11" t="str">
        <f>IFERROR(__xludf.DUMMYFUNCTION("""COMPUTED_VALUE"""),"CORPORATE")</f>
        <v>CORPORATE</v>
      </c>
      <c r="F372" s="11" t="str">
        <f>IFERROR(__xludf.DUMMYFUNCTION("""COMPUTED_VALUE"""),"Listicle")</f>
        <v>Listicle</v>
      </c>
      <c r="G372" s="11" t="b">
        <f>IFERROR(__xludf.DUMMYFUNCTION("""COMPUTED_VALUE"""),FALSE)</f>
        <v>0</v>
      </c>
      <c r="H372" s="11" t="str">
        <f>IFERROR(__xludf.DUMMYFUNCTION("""COMPUTED_VALUE"""),"iPullRank, Graphite, Animalz, Brainlabs, NoGood, Victorious, Seer Interactive, Siege Media, Omniscient Digital, Clutch, Measured")</f>
        <v>iPullRank, Graphite, Animalz, Brainlabs, NoGood, Victorious, Seer Interactive, Siege Media, Omniscient Digital, Clutch, Measured</v>
      </c>
      <c r="I372" s="11">
        <f>IFERROR(__xludf.DUMMYFUNCTION("""COMPUTED_VALUE"""),3.0)</f>
        <v>3</v>
      </c>
      <c r="J372" s="11">
        <f>IFERROR(__xludf.DUMMYFUNCTION("""COMPUTED_VALUE"""),0.0)</f>
        <v>0</v>
      </c>
      <c r="K372" s="11">
        <f>IFERROR(__xludf.DUMMYFUNCTION("""COMPUTED_VALUE"""),0.0)</f>
        <v>0</v>
      </c>
    </row>
    <row r="373" ht="15.75" customHeight="1">
      <c r="A373" s="10" t="str">
        <f>IFERROR(__xludf.DUMMYFUNCTION("""COMPUTED_VALUE"""),"https://ritzherald.com/best-marketing-agencies-ai-search-optimization/#:~:text=The%20B2B%20AI%20search%20specialist%20connecting%20AI,earliest%20dedicated%20AI%20Search%20and%20Visibility%20programs.")</f>
        <v>https://ritzherald.com/best-marketing-agencies-ai-search-optimization/#:~:text=The%20B2B%20AI%20search%20specialist%20connecting%20AI,earliest%20dedicated%20AI%20Search%20and%20Visibility%20programs.</v>
      </c>
      <c r="B373" s="11" t="str">
        <f>IFERROR(__xludf.DUMMYFUNCTION("""COMPUTED_VALUE"""),"7 Best Marketing Agencies for AI Search Optimization in 2026")</f>
        <v>7 Best Marketing Agencies for AI Search Optimization in 2026</v>
      </c>
      <c r="C373" s="10" t="str">
        <f>IFERROR(__xludf.DUMMYFUNCTION("""COMPUTED_VALUE"""),"ritzherald.com")</f>
        <v>ritzherald.com</v>
      </c>
      <c r="D373" s="11" t="str">
        <f>IFERROR(__xludf.DUMMYFUNCTION("""COMPUTED_VALUE"""),"LISTICLE")</f>
        <v>LISTICLE</v>
      </c>
      <c r="E373" s="11" t="str">
        <f>IFERROR(__xludf.DUMMYFUNCTION("""COMPUTED_VALUE"""),"EDITORIAL")</f>
        <v>EDITORIAL</v>
      </c>
      <c r="F373" s="11" t="str">
        <f>IFERROR(__xludf.DUMMYFUNCTION("""COMPUTED_VALUE"""),"Listicle")</f>
        <v>Listicle</v>
      </c>
      <c r="G373" s="11" t="b">
        <f>IFERROR(__xludf.DUMMYFUNCTION("""COMPUTED_VALUE"""),FALSE)</f>
        <v>0</v>
      </c>
      <c r="H373" s="11" t="str">
        <f>IFERROR(__xludf.DUMMYFUNCTION("""COMPUTED_VALUE"""),"Measured, Ogilvy, Jellyfish, Brandtech, NP Digital, iProspect, Dentsu, Wpromote, Merkle")</f>
        <v>Measured, Ogilvy, Jellyfish, Brandtech, NP Digital, iProspect, Dentsu, Wpromote, Merkle</v>
      </c>
      <c r="I373" s="11">
        <f>IFERROR(__xludf.DUMMYFUNCTION("""COMPUTED_VALUE"""),3.0)</f>
        <v>3</v>
      </c>
      <c r="J373" s="11">
        <f>IFERROR(__xludf.DUMMYFUNCTION("""COMPUTED_VALUE"""),0.0)</f>
        <v>0</v>
      </c>
      <c r="K373" s="11">
        <f>IFERROR(__xludf.DUMMYFUNCTION("""COMPUTED_VALUE"""),1.0)</f>
        <v>1</v>
      </c>
    </row>
    <row r="374" ht="15.75" customHeight="1">
      <c r="A374" s="10" t="str">
        <f>IFERROR(__xludf.DUMMYFUNCTION("""COMPUTED_VALUE"""),"https://rtslabs.com/ai-consulting-company-in-usa")</f>
        <v>https://rtslabs.com/ai-consulting-company-in-usa</v>
      </c>
      <c r="B374" s="11" t="str">
        <f>IFERROR(__xludf.DUMMYFUNCTION("""COMPUTED_VALUE"""),"10 Best AI Consulting Companies in USA for 2026")</f>
        <v>10 Best AI Consulting Companies in USA for 2026</v>
      </c>
      <c r="C374" s="10" t="str">
        <f>IFERROR(__xludf.DUMMYFUNCTION("""COMPUTED_VALUE"""),"rtslabs.com")</f>
        <v>rtslabs.com</v>
      </c>
      <c r="D374" s="11" t="str">
        <f>IFERROR(__xludf.DUMMYFUNCTION("""COMPUTED_VALUE"""),"LISTICLE")</f>
        <v>LISTICLE</v>
      </c>
      <c r="E374" s="11" t="str">
        <f>IFERROR(__xludf.DUMMYFUNCTION("""COMPUTED_VALUE"""),"CORPORATE")</f>
        <v>CORPORATE</v>
      </c>
      <c r="F374" s="11" t="str">
        <f>IFERROR(__xludf.DUMMYFUNCTION("""COMPUTED_VALUE"""),"Listicle")</f>
        <v>Listicle</v>
      </c>
      <c r="G374" s="11" t="b">
        <f>IFERROR(__xludf.DUMMYFUNCTION("""COMPUTED_VALUE"""),FALSE)</f>
        <v>0</v>
      </c>
      <c r="H374" s="11" t="str">
        <f>IFERROR(__xludf.DUMMYFUNCTION("""COMPUTED_VALUE"""),"Slalom, Artefact, Fractal Analytics, McKinsey, QuantumBlack, IBM")</f>
        <v>Slalom, Artefact, Fractal Analytics, McKinsey, QuantumBlack, IBM</v>
      </c>
      <c r="I374" s="11">
        <f>IFERROR(__xludf.DUMMYFUNCTION("""COMPUTED_VALUE"""),3.0)</f>
        <v>3</v>
      </c>
      <c r="J374" s="11">
        <f>IFERROR(__xludf.DUMMYFUNCTION("""COMPUTED_VALUE"""),0.0)</f>
        <v>0</v>
      </c>
      <c r="K374" s="11">
        <f>IFERROR(__xludf.DUMMYFUNCTION("""COMPUTED_VALUE"""),1.0)</f>
        <v>1</v>
      </c>
    </row>
    <row r="375" ht="15.75" customHeight="1">
      <c r="A375" s="10" t="str">
        <f>IFERROR(__xludf.DUMMYFUNCTION("""COMPUTED_VALUE"""),"https://sociallyin.com/resources/top-performance-marketing-agencies-us/")</f>
        <v>https://sociallyin.com/resources/top-performance-marketing-agencies-us/</v>
      </c>
      <c r="B375" s="11" t="str">
        <f>IFERROR(__xludf.DUMMYFUNCTION("""COMPUTED_VALUE"""),"Top 5 Performance Marketing Agencies in the US for 2026")</f>
        <v>Top 5 Performance Marketing Agencies in the US for 2026</v>
      </c>
      <c r="C375" s="10" t="str">
        <f>IFERROR(__xludf.DUMMYFUNCTION("""COMPUTED_VALUE"""),"sociallyin.com")</f>
        <v>sociallyin.com</v>
      </c>
      <c r="D375" s="11" t="str">
        <f>IFERROR(__xludf.DUMMYFUNCTION("""COMPUTED_VALUE"""),"LISTICLE")</f>
        <v>LISTICLE</v>
      </c>
      <c r="E375" s="11" t="str">
        <f>IFERROR(__xludf.DUMMYFUNCTION("""COMPUTED_VALUE"""),"COMPETITOR")</f>
        <v>COMPETITOR</v>
      </c>
      <c r="F375" s="11" t="str">
        <f>IFERROR(__xludf.DUMMYFUNCTION("""COMPUTED_VALUE"""),"Listicle")</f>
        <v>Listicle</v>
      </c>
      <c r="G375" s="11" t="b">
        <f>IFERROR(__xludf.DUMMYFUNCTION("""COMPUTED_VALUE"""),FALSE)</f>
        <v>0</v>
      </c>
      <c r="H375" s="11" t="str">
        <f>IFERROR(__xludf.DUMMYFUNCTION("""COMPUTED_VALUE"""),"Sociallyin, Wpromote, TransUnion, Tinuiti, Disruptive Advertising, Merkle, Clutch, Measured, McKinsey")</f>
        <v>Sociallyin, Wpromote, TransUnion, Tinuiti, Disruptive Advertising, Merkle, Clutch, Measured, McKinsey</v>
      </c>
      <c r="I375" s="11">
        <f>IFERROR(__xludf.DUMMYFUNCTION("""COMPUTED_VALUE"""),3.0)</f>
        <v>3</v>
      </c>
      <c r="J375" s="11">
        <f>IFERROR(__xludf.DUMMYFUNCTION("""COMPUTED_VALUE"""),0.0)</f>
        <v>0</v>
      </c>
      <c r="K375" s="11">
        <f>IFERROR(__xludf.DUMMYFUNCTION("""COMPUTED_VALUE"""),3.33)</f>
        <v>3.33</v>
      </c>
    </row>
    <row r="376" ht="15.75" customHeight="1">
      <c r="A376" s="10" t="str">
        <f>IFERROR(__xludf.DUMMYFUNCTION("""COMPUTED_VALUE"""),"https://www.sortlist.com/display-advertising")</f>
        <v>https://www.sortlist.com/display-advertising</v>
      </c>
      <c r="B376" s="11" t="str">
        <f>IFERROR(__xludf.DUMMYFUNCTION("""COMPUTED_VALUE"""),"The 100 Best Display Advertising Agencies - 2026 Reviews")</f>
        <v>The 100 Best Display Advertising Agencies - 2026 Reviews</v>
      </c>
      <c r="C376" s="10" t="str">
        <f>IFERROR(__xludf.DUMMYFUNCTION("""COMPUTED_VALUE"""),"sortlist.com")</f>
        <v>sortlist.com</v>
      </c>
      <c r="D376" s="11" t="str">
        <f>IFERROR(__xludf.DUMMYFUNCTION("""COMPUTED_VALUE"""),"LISTICLE")</f>
        <v>LISTICLE</v>
      </c>
      <c r="E376" s="11" t="str">
        <f>IFERROR(__xludf.DUMMYFUNCTION("""COMPUTED_VALUE"""),"CORPORATE")</f>
        <v>CORPORATE</v>
      </c>
      <c r="F376" s="11" t="str">
        <f>IFERROR(__xludf.DUMMYFUNCTION("""COMPUTED_VALUE"""),"Listicle")</f>
        <v>Listicle</v>
      </c>
      <c r="G376" s="11" t="b">
        <f>IFERROR(__xludf.DUMMYFUNCTION("""COMPUTED_VALUE"""),FALSE)</f>
        <v>0</v>
      </c>
      <c r="H376" s="11"/>
      <c r="I376" s="11">
        <f>IFERROR(__xludf.DUMMYFUNCTION("""COMPUTED_VALUE"""),3.0)</f>
        <v>3</v>
      </c>
      <c r="J376" s="11">
        <f>IFERROR(__xludf.DUMMYFUNCTION("""COMPUTED_VALUE"""),0.0)</f>
        <v>0</v>
      </c>
      <c r="K376" s="11">
        <f>IFERROR(__xludf.DUMMYFUNCTION("""COMPUTED_VALUE"""),0.0)</f>
        <v>0</v>
      </c>
    </row>
    <row r="377" ht="15.75" customHeight="1">
      <c r="A377" s="10" t="str">
        <f>IFERROR(__xludf.DUMMYFUNCTION("""COMPUTED_VALUE"""),"https://www.superside.com/blog/creative-agencies-new-york")</f>
        <v>https://www.superside.com/blog/creative-agencies-new-york</v>
      </c>
      <c r="B377" s="11" t="str">
        <f>IFERROR(__xludf.DUMMYFUNCTION("""COMPUTED_VALUE"""),"15 Top Creative Agencies in New York City for 2026")</f>
        <v>15 Top Creative Agencies in New York City for 2026</v>
      </c>
      <c r="C377" s="10" t="str">
        <f>IFERROR(__xludf.DUMMYFUNCTION("""COMPUTED_VALUE"""),"superside.com")</f>
        <v>superside.com</v>
      </c>
      <c r="D377" s="11" t="str">
        <f>IFERROR(__xludf.DUMMYFUNCTION("""COMPUTED_VALUE"""),"LISTICLE")</f>
        <v>LISTICLE</v>
      </c>
      <c r="E377" s="11" t="str">
        <f>IFERROR(__xludf.DUMMYFUNCTION("""COMPUTED_VALUE"""),"COMPETITOR")</f>
        <v>COMPETITOR</v>
      </c>
      <c r="F377" s="11" t="str">
        <f>IFERROR(__xludf.DUMMYFUNCTION("""COMPUTED_VALUE"""),"Listicle")</f>
        <v>Listicle</v>
      </c>
      <c r="G377" s="11" t="b">
        <f>IFERROR(__xludf.DUMMYFUNCTION("""COMPUTED_VALUE"""),FALSE)</f>
        <v>0</v>
      </c>
      <c r="H377" s="11" t="str">
        <f>IFERROR(__xludf.DUMMYFUNCTION("""COMPUTED_VALUE"""),"Superside")</f>
        <v>Superside</v>
      </c>
      <c r="I377" s="11">
        <f>IFERROR(__xludf.DUMMYFUNCTION("""COMPUTED_VALUE"""),3.0)</f>
        <v>3</v>
      </c>
      <c r="J377" s="11">
        <f>IFERROR(__xludf.DUMMYFUNCTION("""COMPUTED_VALUE"""),0.0)</f>
        <v>0</v>
      </c>
      <c r="K377" s="11">
        <f>IFERROR(__xludf.DUMMYFUNCTION("""COMPUTED_VALUE"""),0.67)</f>
        <v>0.67</v>
      </c>
    </row>
    <row r="378" ht="15.75" customHeight="1">
      <c r="A378" s="10" t="str">
        <f>IFERROR(__xludf.DUMMYFUNCTION("""COMPUTED_VALUE"""),"https://sweatpantsagency.com/best-meta-ad-agencies")</f>
        <v>https://sweatpantsagency.com/best-meta-ad-agencies</v>
      </c>
      <c r="B378" s="11" t="str">
        <f>IFERROR(__xludf.DUMMYFUNCTION("""COMPUTED_VALUE"""),"Best Meta Ad Agencies for DTC Brands (2026) | Sweat Pants Agency")</f>
        <v>Best Meta Ad Agencies for DTC Brands (2026) | Sweat Pants Agency</v>
      </c>
      <c r="C378" s="10" t="str">
        <f>IFERROR(__xludf.DUMMYFUNCTION("""COMPUTED_VALUE"""),"sweatpantsagency.com")</f>
        <v>sweatpantsagency.com</v>
      </c>
      <c r="D378" s="11" t="str">
        <f>IFERROR(__xludf.DUMMYFUNCTION("""COMPUTED_VALUE"""),"LISTICLE")</f>
        <v>LISTICLE</v>
      </c>
      <c r="E378" s="11" t="str">
        <f>IFERROR(__xludf.DUMMYFUNCTION("""COMPUTED_VALUE"""),"CORPORATE")</f>
        <v>CORPORATE</v>
      </c>
      <c r="F378" s="11" t="str">
        <f>IFERROR(__xludf.DUMMYFUNCTION("""COMPUTED_VALUE"""),"Listicle")</f>
        <v>Listicle</v>
      </c>
      <c r="G378" s="11" t="b">
        <f>IFERROR(__xludf.DUMMYFUNCTION("""COMPUTED_VALUE"""),FALSE)</f>
        <v>0</v>
      </c>
      <c r="H378" s="11" t="str">
        <f>IFERROR(__xludf.DUMMYFUNCTION("""COMPUTED_VALUE"""),"Tinuiti, KlientBoost, MuteSix")</f>
        <v>Tinuiti, KlientBoost, MuteSix</v>
      </c>
      <c r="I378" s="11">
        <f>IFERROR(__xludf.DUMMYFUNCTION("""COMPUTED_VALUE"""),3.0)</f>
        <v>3</v>
      </c>
      <c r="J378" s="11">
        <f>IFERROR(__xludf.DUMMYFUNCTION("""COMPUTED_VALUE"""),0.0)</f>
        <v>0</v>
      </c>
      <c r="K378" s="11">
        <f>IFERROR(__xludf.DUMMYFUNCTION("""COMPUTED_VALUE"""),0.67)</f>
        <v>0.67</v>
      </c>
    </row>
    <row r="379" ht="15.75" customHeight="1">
      <c r="A379" s="10" t="str">
        <f>IFERROR(__xludf.DUMMYFUNCTION("""COMPUTED_VALUE"""),"https://teamai.com/blog/generative-ai-and-business/top-geo-agencies-for-ai-visibility/")</f>
        <v>https://teamai.com/blog/generative-ai-and-business/top-geo-agencies-for-ai-visibility/</v>
      </c>
      <c r="B379" s="11" t="str">
        <f>IFERROR(__xludf.DUMMYFUNCTION("""COMPUTED_VALUE"""),"The Best GEO Agencies to Explore in 2026")</f>
        <v>The Best GEO Agencies to Explore in 2026</v>
      </c>
      <c r="C379" s="10" t="str">
        <f>IFERROR(__xludf.DUMMYFUNCTION("""COMPUTED_VALUE"""),"teamai.com")</f>
        <v>teamai.com</v>
      </c>
      <c r="D379" s="11" t="str">
        <f>IFERROR(__xludf.DUMMYFUNCTION("""COMPUTED_VALUE"""),"LISTICLE")</f>
        <v>LISTICLE</v>
      </c>
      <c r="E379" s="11" t="str">
        <f>IFERROR(__xludf.DUMMYFUNCTION("""COMPUTED_VALUE"""),"CORPORATE")</f>
        <v>CORPORATE</v>
      </c>
      <c r="F379" s="11" t="str">
        <f>IFERROR(__xludf.DUMMYFUNCTION("""COMPUTED_VALUE"""),"Listicle")</f>
        <v>Listicle</v>
      </c>
      <c r="G379" s="11" t="b">
        <f>IFERROR(__xludf.DUMMYFUNCTION("""COMPUTED_VALUE"""),FALSE)</f>
        <v>0</v>
      </c>
      <c r="H379" s="11" t="str">
        <f>IFERROR(__xludf.DUMMYFUNCTION("""COMPUTED_VALUE"""),"Clutch, WebFX, Victorious, Siege Media, Major Tom, The SEO Works")</f>
        <v>Clutch, WebFX, Victorious, Siege Media, Major Tom, The SEO Works</v>
      </c>
      <c r="I379" s="11">
        <f>IFERROR(__xludf.DUMMYFUNCTION("""COMPUTED_VALUE"""),3.0)</f>
        <v>3</v>
      </c>
      <c r="J379" s="11">
        <f>IFERROR(__xludf.DUMMYFUNCTION("""COMPUTED_VALUE"""),0.0)</f>
        <v>0</v>
      </c>
      <c r="K379" s="11">
        <f>IFERROR(__xludf.DUMMYFUNCTION("""COMPUTED_VALUE"""),0.67)</f>
        <v>0.67</v>
      </c>
    </row>
    <row r="380" ht="15.75" customHeight="1">
      <c r="A380" s="10" t="str">
        <f>IFERROR(__xludf.DUMMYFUNCTION("""COMPUTED_VALUE"""),"https://thatware.co/10-best-geo-companies-in-usa/")</f>
        <v>https://thatware.co/10-best-geo-companies-in-usa/</v>
      </c>
      <c r="B380" s="11" t="str">
        <f>IFERROR(__xludf.DUMMYFUNCTION("""COMPUTED_VALUE"""),"10 Best GEO-Listing Companies in USA - Top GEO Agencies")</f>
        <v>10 Best GEO-Listing Companies in USA - Top GEO Agencies</v>
      </c>
      <c r="C380" s="10" t="str">
        <f>IFERROR(__xludf.DUMMYFUNCTION("""COMPUTED_VALUE"""),"thatware.co")</f>
        <v>thatware.co</v>
      </c>
      <c r="D380" s="11" t="str">
        <f>IFERROR(__xludf.DUMMYFUNCTION("""COMPUTED_VALUE"""),"LISTICLE")</f>
        <v>LISTICLE</v>
      </c>
      <c r="E380" s="11" t="str">
        <f>IFERROR(__xludf.DUMMYFUNCTION("""COMPUTED_VALUE"""),"CORPORATE")</f>
        <v>CORPORATE</v>
      </c>
      <c r="F380" s="11" t="str">
        <f>IFERROR(__xludf.DUMMYFUNCTION("""COMPUTED_VALUE"""),"Listicle")</f>
        <v>Listicle</v>
      </c>
      <c r="G380" s="11" t="b">
        <f>IFERROR(__xludf.DUMMYFUNCTION("""COMPUTED_VALUE"""),FALSE)</f>
        <v>0</v>
      </c>
      <c r="H380" s="11" t="str">
        <f>IFERROR(__xludf.DUMMYFUNCTION("""COMPUTED_VALUE"""),"Momentum, Clutch")</f>
        <v>Momentum, Clutch</v>
      </c>
      <c r="I380" s="11">
        <f>IFERROR(__xludf.DUMMYFUNCTION("""COMPUTED_VALUE"""),3.0)</f>
        <v>3</v>
      </c>
      <c r="J380" s="11">
        <f>IFERROR(__xludf.DUMMYFUNCTION("""COMPUTED_VALUE"""),0.0)</f>
        <v>0</v>
      </c>
      <c r="K380" s="11">
        <f>IFERROR(__xludf.DUMMYFUNCTION("""COMPUTED_VALUE"""),0.0)</f>
        <v>0</v>
      </c>
    </row>
    <row r="381" ht="15.75" customHeight="1">
      <c r="A381" s="10" t="str">
        <f>IFERROR(__xludf.DUMMYFUNCTION("""COMPUTED_VALUE"""),"https://thatware.co/best-ai-search-optimization-services-usa/")</f>
        <v>https://thatware.co/best-ai-search-optimization-services-usa/</v>
      </c>
      <c r="B381" s="11" t="str">
        <f>IFERROR(__xludf.DUMMYFUNCTION("""COMPUTED_VALUE"""),"Best AI Search Optimization Services in USA – Trusted Provider")</f>
        <v>Best AI Search Optimization Services in USA – Trusted Provider</v>
      </c>
      <c r="C381" s="10" t="str">
        <f>IFERROR(__xludf.DUMMYFUNCTION("""COMPUTED_VALUE"""),"thatware.co")</f>
        <v>thatware.co</v>
      </c>
      <c r="D381" s="11" t="str">
        <f>IFERROR(__xludf.DUMMYFUNCTION("""COMPUTED_VALUE"""),"LISTICLE")</f>
        <v>LISTICLE</v>
      </c>
      <c r="E381" s="11" t="str">
        <f>IFERROR(__xludf.DUMMYFUNCTION("""COMPUTED_VALUE"""),"CORPORATE")</f>
        <v>CORPORATE</v>
      </c>
      <c r="F381" s="11" t="str">
        <f>IFERROR(__xludf.DUMMYFUNCTION("""COMPUTED_VALUE"""),"Listicle")</f>
        <v>Listicle</v>
      </c>
      <c r="G381" s="11" t="b">
        <f>IFERROR(__xludf.DUMMYFUNCTION("""COMPUTED_VALUE"""),FALSE)</f>
        <v>0</v>
      </c>
      <c r="H381" s="11" t="str">
        <f>IFERROR(__xludf.DUMMYFUNCTION("""COMPUTED_VALUE"""),"Anomaly, Clutch")</f>
        <v>Anomaly, Clutch</v>
      </c>
      <c r="I381" s="11">
        <f>IFERROR(__xludf.DUMMYFUNCTION("""COMPUTED_VALUE"""),3.0)</f>
        <v>3</v>
      </c>
      <c r="J381" s="11">
        <f>IFERROR(__xludf.DUMMYFUNCTION("""COMPUTED_VALUE"""),0.0)</f>
        <v>0</v>
      </c>
      <c r="K381" s="11">
        <f>IFERROR(__xludf.DUMMYFUNCTION("""COMPUTED_VALUE"""),0.33)</f>
        <v>0.33</v>
      </c>
    </row>
    <row r="382" ht="15.75" customHeight="1">
      <c r="A382" s="10" t="str">
        <f>IFERROR(__xludf.DUMMYFUNCTION("""COMPUTED_VALUE"""),"https://themanifest.com/us/media-buying/agencies?page=1")</f>
        <v>https://themanifest.com/us/media-buying/agencies?page=1</v>
      </c>
      <c r="B382" s="11" t="str">
        <f>IFERROR(__xludf.DUMMYFUNCTION("""COMPUTED_VALUE"""),"The Best Media Planning and Buying Companies in United States - Jul 2026 | The Manifest")</f>
        <v>The Best Media Planning and Buying Companies in United States - Jul 2026 | The Manifest</v>
      </c>
      <c r="C382" s="10" t="str">
        <f>IFERROR(__xludf.DUMMYFUNCTION("""COMPUTED_VALUE"""),"themanifest.com")</f>
        <v>themanifest.com</v>
      </c>
      <c r="D382" s="11" t="str">
        <f>IFERROR(__xludf.DUMMYFUNCTION("""COMPUTED_VALUE"""),"LISTICLE")</f>
        <v>LISTICLE</v>
      </c>
      <c r="E382" s="11" t="str">
        <f>IFERROR(__xludf.DUMMYFUNCTION("""COMPUTED_VALUE"""),"REFERENCE")</f>
        <v>REFERENCE</v>
      </c>
      <c r="F382" s="11" t="str">
        <f>IFERROR(__xludf.DUMMYFUNCTION("""COMPUTED_VALUE"""),"Listicle")</f>
        <v>Listicle</v>
      </c>
      <c r="G382" s="11" t="b">
        <f>IFERROR(__xludf.DUMMYFUNCTION("""COMPUTED_VALUE"""),FALSE)</f>
        <v>0</v>
      </c>
      <c r="H382" s="11" t="str">
        <f>IFERROR(__xludf.DUMMYFUNCTION("""COMPUTED_VALUE"""),"Clutch, DEPT, Amsive, Accelerated Digital Media")</f>
        <v>Clutch, DEPT, Amsive, Accelerated Digital Media</v>
      </c>
      <c r="I382" s="11">
        <f>IFERROR(__xludf.DUMMYFUNCTION("""COMPUTED_VALUE"""),3.0)</f>
        <v>3</v>
      </c>
      <c r="J382" s="11">
        <f>IFERROR(__xludf.DUMMYFUNCTION("""COMPUTED_VALUE"""),0.0)</f>
        <v>0</v>
      </c>
      <c r="K382" s="11">
        <f>IFERROR(__xludf.DUMMYFUNCTION("""COMPUTED_VALUE"""),0.0)</f>
        <v>0</v>
      </c>
    </row>
    <row r="383" ht="15.75" customHeight="1">
      <c r="A383" s="10" t="str">
        <f>IFERROR(__xludf.DUMMYFUNCTION("""COMPUTED_VALUE"""),"https://themarketingagency.ca/blog/performance-marketing-agencies/#:~:text=thesocialshepherd.com.%20Features.%20Paid%20Social%20(Meta%2C%20TikTok%2C%20Pinterest).,complex%20B2B%20enterprise%20lead%20gen%2C%20look%20elsewhere.")</f>
        <v>https://themarketingagency.ca/blog/performance-marketing-agencies/#:~:text=thesocialshepherd.com.%20Features.%20Paid%20Social%20(Meta%2C%20TikTok%2C%20Pinterest).,complex%20B2B%20enterprise%20lead%20gen%2C%20look%20elsewhere.</v>
      </c>
      <c r="B383" s="11" t="str">
        <f>IFERROR(__xludf.DUMMYFUNCTION("""COMPUTED_VALUE"""),"11 Best Performance Marketing Agencies in 2026")</f>
        <v>11 Best Performance Marketing Agencies in 2026</v>
      </c>
      <c r="C383" s="10" t="str">
        <f>IFERROR(__xludf.DUMMYFUNCTION("""COMPUTED_VALUE"""),"themarketingagency.ca")</f>
        <v>themarketingagency.ca</v>
      </c>
      <c r="D383" s="11" t="str">
        <f>IFERROR(__xludf.DUMMYFUNCTION("""COMPUTED_VALUE"""),"LISTICLE")</f>
        <v>LISTICLE</v>
      </c>
      <c r="E383" s="11" t="str">
        <f>IFERROR(__xludf.DUMMYFUNCTION("""COMPUTED_VALUE"""),"CORPORATE")</f>
        <v>CORPORATE</v>
      </c>
      <c r="F383" s="11" t="str">
        <f>IFERROR(__xludf.DUMMYFUNCTION("""COMPUTED_VALUE"""),"Listicle")</f>
        <v>Listicle</v>
      </c>
      <c r="G383" s="11" t="b">
        <f>IFERROR(__xludf.DUMMYFUNCTION("""COMPUTED_VALUE"""),FALSE)</f>
        <v>0</v>
      </c>
      <c r="H383" s="11" t="str">
        <f>IFERROR(__xludf.DUMMYFUNCTION("""COMPUTED_VALUE"""),"NoGood, Tinuiti, Disruptive Advertising, The Social Shepherd, WebFX, MuteSix, Directive, Ignite Visibility, Viral Nation, Measured, Clutch, IBM, Single Grain, Power Digital, Publicis Groupe, Momentum")</f>
        <v>NoGood, Tinuiti, Disruptive Advertising, The Social Shepherd, WebFX, MuteSix, Directive, Ignite Visibility, Viral Nation, Measured, Clutch, IBM, Single Grain, Power Digital, Publicis Groupe, Momentum</v>
      </c>
      <c r="I383" s="11">
        <f>IFERROR(__xludf.DUMMYFUNCTION("""COMPUTED_VALUE"""),3.0)</f>
        <v>3</v>
      </c>
      <c r="J383" s="11">
        <f>IFERROR(__xludf.DUMMYFUNCTION("""COMPUTED_VALUE"""),0.0)</f>
        <v>0</v>
      </c>
      <c r="K383" s="11">
        <f>IFERROR(__xludf.DUMMYFUNCTION("""COMPUTED_VALUE"""),1.67)</f>
        <v>1.67</v>
      </c>
    </row>
    <row r="384" ht="15.75" customHeight="1">
      <c r="A384" s="10" t="str">
        <f>IFERROR(__xludf.DUMMYFUNCTION("""COMPUTED_VALUE"""),"https://university.tenten.co/t/top-30-ai-powered-marketing-agencies/2295#:~:text=9%20%7C%20360i%20%7C%20New%20York%2C%20USA,Creative%20innovation%20%7C%20Advanced%20AI%20brand%20systems")</f>
        <v>https://university.tenten.co/t/top-30-ai-powered-marketing-agencies/2295#:~:text=9%20%7C%20360i%20%7C%20New%20York%2C%20USA,Creative%20innovation%20%7C%20Advanced%20AI%20brand%20systems</v>
      </c>
      <c r="B384" s="11" t="str">
        <f>IFERROR(__xludf.DUMMYFUNCTION("""COMPUTED_VALUE"""),"Top 30 AI-Powered Marketing Agencies - Tenten AI")</f>
        <v>Top 30 AI-Powered Marketing Agencies - Tenten AI</v>
      </c>
      <c r="C384" s="10" t="str">
        <f>IFERROR(__xludf.DUMMYFUNCTION("""COMPUTED_VALUE"""),"tenten.co")</f>
        <v>tenten.co</v>
      </c>
      <c r="D384" s="11" t="str">
        <f>IFERROR(__xludf.DUMMYFUNCTION("""COMPUTED_VALUE"""),"LISTICLE")</f>
        <v>LISTICLE</v>
      </c>
      <c r="E384" s="11" t="str">
        <f>IFERROR(__xludf.DUMMYFUNCTION("""COMPUTED_VALUE"""),"CORPORATE")</f>
        <v>CORPORATE</v>
      </c>
      <c r="F384" s="11" t="str">
        <f>IFERROR(__xludf.DUMMYFUNCTION("""COMPUTED_VALUE"""),"Listicle")</f>
        <v>Listicle</v>
      </c>
      <c r="G384" s="11" t="b">
        <f>IFERROR(__xludf.DUMMYFUNCTION("""COMPUTED_VALUE"""),FALSE)</f>
        <v>0</v>
      </c>
      <c r="H384" s="11" t="str">
        <f>IFERROR(__xludf.DUMMYFUNCTION("""COMPUTED_VALUE"""),"Web Tonic, WebFX, Disruptive Advertising, Sociallyin, Ignite Visibility, Merkle, iProspect, Jellyfish, Publicis Sapient, Huge, R/GA, Accenture Song, Hawke Media, Wpromote, Tinuiti, Brainlabs, VaynerMedia, Seer Interactive, SmartSites, Power Digital")</f>
        <v>Web Tonic, WebFX, Disruptive Advertising, Sociallyin, Ignite Visibility, Merkle, iProspect, Jellyfish, Publicis Sapient, Huge, R/GA, Accenture Song, Hawke Media, Wpromote, Tinuiti, Brainlabs, VaynerMedia, Seer Interactive, SmartSites, Power Digital</v>
      </c>
      <c r="I384" s="11">
        <f>IFERROR(__xludf.DUMMYFUNCTION("""COMPUTED_VALUE"""),3.0)</f>
        <v>3</v>
      </c>
      <c r="J384" s="11">
        <f>IFERROR(__xludf.DUMMYFUNCTION("""COMPUTED_VALUE"""),0.0)</f>
        <v>0</v>
      </c>
      <c r="K384" s="11">
        <f>IFERROR(__xludf.DUMMYFUNCTION("""COMPUTED_VALUE"""),1.0)</f>
        <v>1</v>
      </c>
    </row>
    <row r="385" ht="15.75" customHeight="1">
      <c r="A385" s="10" t="str">
        <f>IFERROR(__xludf.DUMMYFUNCTION("""COMPUTED_VALUE"""),"https://wamdigital.com/blog/top-5-creative-and-web-development-agencies-for-scalable-production-in-2026")</f>
        <v>https://wamdigital.com/blog/top-5-creative-and-web-development-agencies-for-scalable-production-in-2026</v>
      </c>
      <c r="B385" s="11" t="str">
        <f>IFERROR(__xludf.DUMMYFUNCTION("""COMPUTED_VALUE"""),"Top Creative &amp;amp; Web Development Agencies for Scalable Production in 2026")</f>
        <v>Top Creative &amp;amp; Web Development Agencies for Scalable Production in 2026</v>
      </c>
      <c r="C385" s="10" t="str">
        <f>IFERROR(__xludf.DUMMYFUNCTION("""COMPUTED_VALUE"""),"wamdigital.com")</f>
        <v>wamdigital.com</v>
      </c>
      <c r="D385" s="11" t="str">
        <f>IFERROR(__xludf.DUMMYFUNCTION("""COMPUTED_VALUE"""),"LISTICLE")</f>
        <v>LISTICLE</v>
      </c>
      <c r="E385" s="11" t="str">
        <f>IFERROR(__xludf.DUMMYFUNCTION("""COMPUTED_VALUE"""),"CORPORATE")</f>
        <v>CORPORATE</v>
      </c>
      <c r="F385" s="11" t="str">
        <f>IFERROR(__xludf.DUMMYFUNCTION("""COMPUTED_VALUE"""),"Listicle")</f>
        <v>Listicle</v>
      </c>
      <c r="G385" s="11" t="b">
        <f>IFERROR(__xludf.DUMMYFUNCTION("""COMPUTED_VALUE"""),FALSE)</f>
        <v>0</v>
      </c>
      <c r="H385" s="11" t="str">
        <f>IFERROR(__xludf.DUMMYFUNCTION("""COMPUTED_VALUE"""),"Superside, DEPT")</f>
        <v>Superside, DEPT</v>
      </c>
      <c r="I385" s="11">
        <f>IFERROR(__xludf.DUMMYFUNCTION("""COMPUTED_VALUE"""),3.0)</f>
        <v>3</v>
      </c>
      <c r="J385" s="11">
        <f>IFERROR(__xludf.DUMMYFUNCTION("""COMPUTED_VALUE"""),0.0)</f>
        <v>0</v>
      </c>
      <c r="K385" s="11">
        <f>IFERROR(__xludf.DUMMYFUNCTION("""COMPUTED_VALUE"""),0.67)</f>
        <v>0.67</v>
      </c>
    </row>
    <row r="386" ht="15.75" customHeight="1">
      <c r="A386" s="10" t="str">
        <f>IFERROR(__xludf.DUMMYFUNCTION("""COMPUTED_VALUE"""),"https://www.webtonic.io/blog/best-ai-marketing-agencies")</f>
        <v>https://www.webtonic.io/blog/best-ai-marketing-agencies</v>
      </c>
      <c r="B386" s="11" t="str">
        <f>IFERROR(__xludf.DUMMYFUNCTION("""COMPUTED_VALUE"""),"34 Best AI Marketing Agencies for 2026")</f>
        <v>34 Best AI Marketing Agencies for 2026</v>
      </c>
      <c r="C386" s="10" t="str">
        <f>IFERROR(__xludf.DUMMYFUNCTION("""COMPUTED_VALUE"""),"webtonic.io")</f>
        <v>webtonic.io</v>
      </c>
      <c r="D386" s="11" t="str">
        <f>IFERROR(__xludf.DUMMYFUNCTION("""COMPUTED_VALUE"""),"LISTICLE")</f>
        <v>LISTICLE</v>
      </c>
      <c r="E386" s="11" t="str">
        <f>IFERROR(__xludf.DUMMYFUNCTION("""COMPUTED_VALUE"""),"COMPETITOR")</f>
        <v>COMPETITOR</v>
      </c>
      <c r="F386" s="11" t="str">
        <f>IFERROR(__xludf.DUMMYFUNCTION("""COMPUTED_VALUE"""),"Listicle")</f>
        <v>Listicle</v>
      </c>
      <c r="G386" s="11" t="b">
        <f>IFERROR(__xludf.DUMMYFUNCTION("""COMPUTED_VALUE"""),FALSE)</f>
        <v>0</v>
      </c>
      <c r="H386" s="11" t="str">
        <f>IFERROR(__xludf.DUMMYFUNCTION("""COMPUTED_VALUE"""),"Web Tonic, Anomaly, IBM, Ogilvy")</f>
        <v>Web Tonic, Anomaly, IBM, Ogilvy</v>
      </c>
      <c r="I386" s="11">
        <f>IFERROR(__xludf.DUMMYFUNCTION("""COMPUTED_VALUE"""),3.0)</f>
        <v>3</v>
      </c>
      <c r="J386" s="11">
        <f>IFERROR(__xludf.DUMMYFUNCTION("""COMPUTED_VALUE"""),0.0)</f>
        <v>0</v>
      </c>
      <c r="K386" s="11">
        <f>IFERROR(__xludf.DUMMYFUNCTION("""COMPUTED_VALUE"""),0.33)</f>
        <v>0.33</v>
      </c>
    </row>
    <row r="387" ht="15.75" customHeight="1">
      <c r="A387" s="10" t="str">
        <f>IFERROR(__xludf.DUMMYFUNCTION("""COMPUTED_VALUE"""),"https://www.webtonic.io/blog/best-data-driven-marketing-agencies#:~:text=Industries%20Served%3A%20Retail%2C%20Financial%20Services%2C%20Healthcare%2C%20Travel,and%20personalization%20at%20scale.%20%2D%203.%20Jellyfish.")</f>
        <v>https://www.webtonic.io/blog/best-data-driven-marketing-agencies#:~:text=Industries%20Served%3A%20Retail%2C%20Financial%20Services%2C%20Healthcare%2C%20Travel,and%20personalization%20at%20scale.%20%2D%203.%20Jellyfish.</v>
      </c>
      <c r="B387" s="11" t="str">
        <f>IFERROR(__xludf.DUMMYFUNCTION("""COMPUTED_VALUE"""),"35 Best Data-Driven Marketing Agencies for 2026")</f>
        <v>35 Best Data-Driven Marketing Agencies for 2026</v>
      </c>
      <c r="C387" s="10" t="str">
        <f>IFERROR(__xludf.DUMMYFUNCTION("""COMPUTED_VALUE"""),"webtonic.io")</f>
        <v>webtonic.io</v>
      </c>
      <c r="D387" s="11" t="str">
        <f>IFERROR(__xludf.DUMMYFUNCTION("""COMPUTED_VALUE"""),"LISTICLE")</f>
        <v>LISTICLE</v>
      </c>
      <c r="E387" s="11" t="str">
        <f>IFERROR(__xludf.DUMMYFUNCTION("""COMPUTED_VALUE"""),"COMPETITOR")</f>
        <v>COMPETITOR</v>
      </c>
      <c r="F387" s="11" t="str">
        <f>IFERROR(__xludf.DUMMYFUNCTION("""COMPUTED_VALUE"""),"Listicle")</f>
        <v>Listicle</v>
      </c>
      <c r="G387" s="11" t="b">
        <f>IFERROR(__xludf.DUMMYFUNCTION("""COMPUTED_VALUE"""),TRUE)</f>
        <v>1</v>
      </c>
      <c r="H387" s="11" t="str">
        <f>IFERROR(__xludf.DUMMYFUNCTION("""COMPUTED_VALUE"""),"Web Tonic, Merkle, Dentsu, Jellyfish, Wpromote, TransUnion, Tinuiti, Ignite Visibility, KlientBoost, Metric Theory, Power Digital, Brainlabs, Hawke Media, Directive, iProspect, Seer Interactive, Amsive, Rockerbox, Incubeta, GroupM, Measured")</f>
        <v>Web Tonic, Merkle, Dentsu, Jellyfish, Wpromote, TransUnion, Tinuiti, Ignite Visibility, KlientBoost, Metric Theory, Power Digital, Brainlabs, Hawke Media, Directive, iProspect, Seer Interactive, Amsive, Rockerbox, Incubeta, GroupM, Measured</v>
      </c>
      <c r="I387" s="11">
        <f>IFERROR(__xludf.DUMMYFUNCTION("""COMPUTED_VALUE"""),3.0)</f>
        <v>3</v>
      </c>
      <c r="J387" s="11">
        <f>IFERROR(__xludf.DUMMYFUNCTION("""COMPUTED_VALUE"""),0.0)</f>
        <v>0</v>
      </c>
      <c r="K387" s="11">
        <f>IFERROR(__xludf.DUMMYFUNCTION("""COMPUTED_VALUE"""),1.33)</f>
        <v>1.33</v>
      </c>
    </row>
    <row r="388" ht="15.75" customHeight="1">
      <c r="A388" s="10" t="str">
        <f>IFERROR(__xludf.DUMMYFUNCTION("""COMPUTED_VALUE"""),"https://www.webtonic.io/blog/best-google-ads-agencies-us")</f>
        <v>https://www.webtonic.io/blog/best-google-ads-agencies-us</v>
      </c>
      <c r="B388" s="11" t="str">
        <f>IFERROR(__xludf.DUMMYFUNCTION("""COMPUTED_VALUE"""),"Top 32 Google Ads Agencies in the US (2026 Edition)")</f>
        <v>Top 32 Google Ads Agencies in the US (2026 Edition)</v>
      </c>
      <c r="C388" s="10" t="str">
        <f>IFERROR(__xludf.DUMMYFUNCTION("""COMPUTED_VALUE"""),"webtonic.io")</f>
        <v>webtonic.io</v>
      </c>
      <c r="D388" s="11" t="str">
        <f>IFERROR(__xludf.DUMMYFUNCTION("""COMPUTED_VALUE"""),"LISTICLE")</f>
        <v>LISTICLE</v>
      </c>
      <c r="E388" s="11" t="str">
        <f>IFERROR(__xludf.DUMMYFUNCTION("""COMPUTED_VALUE"""),"COMPETITOR")</f>
        <v>COMPETITOR</v>
      </c>
      <c r="F388" s="11" t="str">
        <f>IFERROR(__xludf.DUMMYFUNCTION("""COMPUTED_VALUE"""),"Listicle")</f>
        <v>Listicle</v>
      </c>
      <c r="G388" s="11" t="b">
        <f>IFERROR(__xludf.DUMMYFUNCTION("""COMPUTED_VALUE"""),FALSE)</f>
        <v>0</v>
      </c>
      <c r="H388" s="11" t="str">
        <f>IFERROR(__xludf.DUMMYFUNCTION("""COMPUTED_VALUE"""),"Web Tonic, KlientBoost, SmartSites, Disruptive Advertising, Ignite Visibility, Clutch, Tinuiti, Wpromote, TransUnion, WebFX, HawkSEM, Directive, Thrive Internet Marketing Agency, LYFE Marketing, NP Digital, Power Digital, Seer Interactive, AdVenture Media"&amp;", Metric Theory, Silverback Strategies, Searchbloom, Hawke Media, MuteSix, Dentsu, Superside, NoGood")</f>
        <v>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v>
      </c>
      <c r="I388" s="11">
        <f>IFERROR(__xludf.DUMMYFUNCTION("""COMPUTED_VALUE"""),3.0)</f>
        <v>3</v>
      </c>
      <c r="J388" s="11">
        <f>IFERROR(__xludf.DUMMYFUNCTION("""COMPUTED_VALUE"""),0.0)</f>
        <v>0</v>
      </c>
      <c r="K388" s="11">
        <f>IFERROR(__xludf.DUMMYFUNCTION("""COMPUTED_VALUE"""),1.33)</f>
        <v>1.33</v>
      </c>
    </row>
    <row r="389" ht="15.75" customHeight="1">
      <c r="A389" s="10" t="str">
        <f>IFERROR(__xludf.DUMMYFUNCTION("""COMPUTED_VALUE"""),"https://www.webtonic.io/blog/top-advertising-agencies-us#:~:text=MullenLowe,Zulu%20Alpha")</f>
        <v>https://www.webtonic.io/blog/top-advertising-agencies-us#:~:text=MullenLowe,Zulu%20Alpha</v>
      </c>
      <c r="B389" s="11" t="str">
        <f>IFERROR(__xludf.DUMMYFUNCTION("""COMPUTED_VALUE"""),"42 Top Advertising Agencies in the US for 2026")</f>
        <v>42 Top Advertising Agencies in the US for 2026</v>
      </c>
      <c r="C389" s="10" t="str">
        <f>IFERROR(__xludf.DUMMYFUNCTION("""COMPUTED_VALUE"""),"webtonic.io")</f>
        <v>webtonic.io</v>
      </c>
      <c r="D389" s="11" t="str">
        <f>IFERROR(__xludf.DUMMYFUNCTION("""COMPUTED_VALUE"""),"LISTICLE")</f>
        <v>LISTICLE</v>
      </c>
      <c r="E389" s="11" t="str">
        <f>IFERROR(__xludf.DUMMYFUNCTION("""COMPUTED_VALUE"""),"COMPETITOR")</f>
        <v>COMPETITOR</v>
      </c>
      <c r="F389" s="11" t="str">
        <f>IFERROR(__xludf.DUMMYFUNCTION("""COMPUTED_VALUE"""),"Listicle")</f>
        <v>Listicle</v>
      </c>
      <c r="G389" s="11" t="b">
        <f>IFERROR(__xludf.DUMMYFUNCTION("""COMPUTED_VALUE"""),FALSE)</f>
        <v>0</v>
      </c>
      <c r="H389" s="11" t="str">
        <f>IFERROR(__xludf.DUMMYFUNCTION("""COMPUTED_VALUE"""),"Web Tonic, 72andSunny, AKQA, Anomaly, BBDO, Dentsu, Droga5, Momentum, Ogilvy, IBM, Publicis Groupe, R/GA, TBWA\Chiat\Day, Wieden+Kennedy, Wpromote, VML")</f>
        <v>Web Tonic, 72andSunny, AKQA, Anomaly, BBDO, Dentsu, Droga5, Momentum, Ogilvy, IBM, Publicis Groupe, R/GA, TBWA\Chiat\Day, Wieden+Kennedy, Wpromote, VML</v>
      </c>
      <c r="I389" s="11">
        <f>IFERROR(__xludf.DUMMYFUNCTION("""COMPUTED_VALUE"""),3.0)</f>
        <v>3</v>
      </c>
      <c r="J389" s="11">
        <f>IFERROR(__xludf.DUMMYFUNCTION("""COMPUTED_VALUE"""),0.0)</f>
        <v>0</v>
      </c>
      <c r="K389" s="11">
        <f>IFERROR(__xludf.DUMMYFUNCTION("""COMPUTED_VALUE"""),1.33)</f>
        <v>1.33</v>
      </c>
    </row>
    <row r="390" ht="15.75" customHeight="1">
      <c r="A390" s="10" t="str">
        <f>IFERROR(__xludf.DUMMYFUNCTION("""COMPUTED_VALUE"""),"https://whyflagshalfmasttoday.com/best-u-s-aeo-agencies-for-answer-engine-optimization-2026/")</f>
        <v>https://whyflagshalfmasttoday.com/best-u-s-aeo-agencies-for-answer-engine-optimization-2026/</v>
      </c>
      <c r="B390" s="11" t="str">
        <f>IFERROR(__xludf.DUMMYFUNCTION("""COMPUTED_VALUE"""),"Best U.S. AEO Agencies for Answer Engine Optimization (2026)")</f>
        <v>Best U.S. AEO Agencies for Answer Engine Optimization (2026)</v>
      </c>
      <c r="C390" s="10" t="str">
        <f>IFERROR(__xludf.DUMMYFUNCTION("""COMPUTED_VALUE"""),"whyflagshalfmasttoday.com")</f>
        <v>whyflagshalfmasttoday.com</v>
      </c>
      <c r="D390" s="11" t="str">
        <f>IFERROR(__xludf.DUMMYFUNCTION("""COMPUTED_VALUE"""),"LISTICLE")</f>
        <v>LISTICLE</v>
      </c>
      <c r="E390" s="11" t="str">
        <f>IFERROR(__xludf.DUMMYFUNCTION("""COMPUTED_VALUE"""),"EDITORIAL")</f>
        <v>EDITORIAL</v>
      </c>
      <c r="F390" s="11" t="str">
        <f>IFERROR(__xludf.DUMMYFUNCTION("""COMPUTED_VALUE"""),"Listicle")</f>
        <v>Listicle</v>
      </c>
      <c r="G390" s="11" t="b">
        <f>IFERROR(__xludf.DUMMYFUNCTION("""COMPUTED_VALUE"""),FALSE)</f>
        <v>0</v>
      </c>
      <c r="H390" s="11" t="str">
        <f>IFERROR(__xludf.DUMMYFUNCTION("""COMPUTED_VALUE"""),"iPullRank, Seer Interactive, Go Fish Digital, Momentum, Siege Media, Victorious")</f>
        <v>iPullRank, Seer Interactive, Go Fish Digital, Momentum, Siege Media, Victorious</v>
      </c>
      <c r="I390" s="11">
        <f>IFERROR(__xludf.DUMMYFUNCTION("""COMPUTED_VALUE"""),3.0)</f>
        <v>3</v>
      </c>
      <c r="J390" s="11">
        <f>IFERROR(__xludf.DUMMYFUNCTION("""COMPUTED_VALUE"""),0.0)</f>
        <v>0</v>
      </c>
      <c r="K390" s="11">
        <f>IFERROR(__xludf.DUMMYFUNCTION("""COMPUTED_VALUE"""),0.0)</f>
        <v>0</v>
      </c>
    </row>
    <row r="391" ht="15.75" customHeight="1">
      <c r="A391" s="10" t="str">
        <f>IFERROR(__xludf.DUMMYFUNCTION("""COMPUTED_VALUE"""),"https://wifitalents.com/service/display-advertising/")</f>
        <v>https://wifitalents.com/service/display-advertising/</v>
      </c>
      <c r="B391" s="11" t="str">
        <f>IFERROR(__xludf.DUMMYFUNCTION("""COMPUTED_VALUE"""),"Display Advertising Services: Best Picks (2026)")</f>
        <v>Display Advertising Services: Best Picks (2026)</v>
      </c>
      <c r="C391" s="10" t="str">
        <f>IFERROR(__xludf.DUMMYFUNCTION("""COMPUTED_VALUE"""),"wifitalents.com")</f>
        <v>wifitalents.com</v>
      </c>
      <c r="D391" s="11" t="str">
        <f>IFERROR(__xludf.DUMMYFUNCTION("""COMPUTED_VALUE"""),"LISTICLE")</f>
        <v>LISTICLE</v>
      </c>
      <c r="E391" s="11" t="str">
        <f>IFERROR(__xludf.DUMMYFUNCTION("""COMPUTED_VALUE"""),"REFERENCE")</f>
        <v>REFERENCE</v>
      </c>
      <c r="F391" s="11" t="str">
        <f>IFERROR(__xludf.DUMMYFUNCTION("""COMPUTED_VALUE"""),"Listicle")</f>
        <v>Listicle</v>
      </c>
      <c r="G391" s="11" t="b">
        <f>IFERROR(__xludf.DUMMYFUNCTION("""COMPUTED_VALUE"""),FALSE)</f>
        <v>0</v>
      </c>
      <c r="H391" s="11" t="str">
        <f>IFERROR(__xludf.DUMMYFUNCTION("""COMPUTED_VALUE"""),"WPP, GroupM, Dentsu, Publicis Groupe, Accenture Song, Tinuiti, Clutch")</f>
        <v>WPP, GroupM, Dentsu, Publicis Groupe, Accenture Song, Tinuiti, Clutch</v>
      </c>
      <c r="I391" s="11">
        <f>IFERROR(__xludf.DUMMYFUNCTION("""COMPUTED_VALUE"""),3.0)</f>
        <v>3</v>
      </c>
      <c r="J391" s="11">
        <f>IFERROR(__xludf.DUMMYFUNCTION("""COMPUTED_VALUE"""),0.0)</f>
        <v>0</v>
      </c>
      <c r="K391" s="11">
        <f>IFERROR(__xludf.DUMMYFUNCTION("""COMPUTED_VALUE"""),0.0)</f>
        <v>0</v>
      </c>
    </row>
    <row r="392" ht="15.75" customHeight="1">
      <c r="A392" s="10" t="str">
        <f>IFERROR(__xludf.DUMMYFUNCTION("""COMPUTED_VALUE"""),"https://www.yall.co/post/top-dtc-performance-creative-agencies-in-2026")</f>
        <v>https://www.yall.co/post/top-dtc-performance-creative-agencies-in-2026</v>
      </c>
      <c r="B392" s="11" t="str">
        <f>IFERROR(__xludf.DUMMYFUNCTION("""COMPUTED_VALUE"""),"Top DTC Performance Creative Agencies in 2026 (Updated June 2026) | Y’all, A Performance Creative Agency")</f>
        <v>Top DTC Performance Creative Agencies in 2026 (Updated June 2026) | Y’all, A Performance Creative Agency</v>
      </c>
      <c r="C392" s="10" t="str">
        <f>IFERROR(__xludf.DUMMYFUNCTION("""COMPUTED_VALUE"""),"yall.co")</f>
        <v>yall.co</v>
      </c>
      <c r="D392" s="11" t="str">
        <f>IFERROR(__xludf.DUMMYFUNCTION("""COMPUTED_VALUE"""),"LISTICLE")</f>
        <v>LISTICLE</v>
      </c>
      <c r="E392" s="11" t="str">
        <f>IFERROR(__xludf.DUMMYFUNCTION("""COMPUTED_VALUE"""),"CORPORATE")</f>
        <v>CORPORATE</v>
      </c>
      <c r="F392" s="11" t="str">
        <f>IFERROR(__xludf.DUMMYFUNCTION("""COMPUTED_VALUE"""),"Listicle")</f>
        <v>Listicle</v>
      </c>
      <c r="G392" s="11" t="b">
        <f>IFERROR(__xludf.DUMMYFUNCTION("""COMPUTED_VALUE"""),FALSE)</f>
        <v>0</v>
      </c>
      <c r="H392" s="11" t="str">
        <f>IFERROR(__xludf.DUMMYFUNCTION("""COMPUTED_VALUE"""),"Hawke Media, Darkroom, Common Thread Collective, MuteSix, Power Digital, DEPT")</f>
        <v>Hawke Media, Darkroom, Common Thread Collective, MuteSix, Power Digital, DEPT</v>
      </c>
      <c r="I392" s="11">
        <f>IFERROR(__xludf.DUMMYFUNCTION("""COMPUTED_VALUE"""),3.0)</f>
        <v>3</v>
      </c>
      <c r="J392" s="11">
        <f>IFERROR(__xludf.DUMMYFUNCTION("""COMPUTED_VALUE"""),0.0)</f>
        <v>0</v>
      </c>
      <c r="K392" s="11">
        <f>IFERROR(__xludf.DUMMYFUNCTION("""COMPUTED_VALUE"""),1.0)</f>
        <v>1</v>
      </c>
    </row>
    <row r="393" ht="15.75" customHeight="1">
      <c r="A393" s="10" t="str">
        <f>IFERROR(__xludf.DUMMYFUNCTION("""COMPUTED_VALUE"""),"https://www.youtube.com/watch?v=YFmHk-nNoNg&amp;t=46")</f>
        <v>https://www.youtube.com/watch?v=YFmHk-nNoNg&amp;t=46</v>
      </c>
      <c r="B393" s="11" t="str">
        <f>IFERROR(__xludf.DUMMYFUNCTION("""COMPUTED_VALUE"""),"Top 6 AI-Powered B2B SaaS Marketing Agencies in the US (2026 Real Ranking)")</f>
        <v>Top 6 AI-Powered B2B SaaS Marketing Agencies in the US (2026 Real Ranking)</v>
      </c>
      <c r="C393" s="10" t="str">
        <f>IFERROR(__xludf.DUMMYFUNCTION("""COMPUTED_VALUE"""),"youtube.com")</f>
        <v>youtube.com</v>
      </c>
      <c r="D393" s="11" t="str">
        <f>IFERROR(__xludf.DUMMYFUNCTION("""COMPUTED_VALUE"""),"LISTICLE")</f>
        <v>LISTICLE</v>
      </c>
      <c r="E393" s="11" t="str">
        <f>IFERROR(__xludf.DUMMYFUNCTION("""COMPUTED_VALUE"""),"UGC")</f>
        <v>UGC</v>
      </c>
      <c r="F393" s="11" t="str">
        <f>IFERROR(__xludf.DUMMYFUNCTION("""COMPUTED_VALUE"""),"Listicle")</f>
        <v>Listicle</v>
      </c>
      <c r="G393" s="11" t="b">
        <f>IFERROR(__xludf.DUMMYFUNCTION("""COMPUTED_VALUE"""),FALSE)</f>
        <v>0</v>
      </c>
      <c r="H393" s="11" t="str">
        <f>IFERROR(__xludf.DUMMYFUNCTION("""COMPUTED_VALUE"""),"Clutch, GrowthSpree, Refine Labs, NoGood, Single Grain, AdVenture Media")</f>
        <v>Clutch, GrowthSpree, Refine Labs, NoGood, Single Grain, AdVenture Media</v>
      </c>
      <c r="I393" s="11">
        <f>IFERROR(__xludf.DUMMYFUNCTION("""COMPUTED_VALUE"""),3.0)</f>
        <v>3</v>
      </c>
      <c r="J393" s="11">
        <f>IFERROR(__xludf.DUMMYFUNCTION("""COMPUTED_VALUE"""),0.0)</f>
        <v>0</v>
      </c>
      <c r="K393" s="11">
        <f>IFERROR(__xludf.DUMMYFUNCTION("""COMPUTED_VALUE"""),1.33)</f>
        <v>1.33</v>
      </c>
    </row>
    <row r="394" ht="15.75" customHeight="1">
      <c r="A394" s="10" t="str">
        <f>IFERROR(__xludf.DUMMYFUNCTION("""COMPUTED_VALUE"""),"https://www.youtube.com/watch?v=fdPFLXFJlwo&amp;t=30")</f>
        <v>https://www.youtube.com/watch?v=fdPFLXFJlwo&amp;t=30</v>
      </c>
      <c r="B394" s="11" t="str">
        <f>IFERROR(__xludf.DUMMYFUNCTION("""COMPUTED_VALUE"""),"6 Best Revenue Attribution Agencies for B2B SaaS in 2026")</f>
        <v>6 Best Revenue Attribution Agencies for B2B SaaS in 2026</v>
      </c>
      <c r="C394" s="10" t="str">
        <f>IFERROR(__xludf.DUMMYFUNCTION("""COMPUTED_VALUE"""),"youtube.com")</f>
        <v>youtube.com</v>
      </c>
      <c r="D394" s="11" t="str">
        <f>IFERROR(__xludf.DUMMYFUNCTION("""COMPUTED_VALUE"""),"LISTICLE")</f>
        <v>LISTICLE</v>
      </c>
      <c r="E394" s="11" t="str">
        <f>IFERROR(__xludf.DUMMYFUNCTION("""COMPUTED_VALUE"""),"UGC")</f>
        <v>UGC</v>
      </c>
      <c r="F394" s="11" t="str">
        <f>IFERROR(__xludf.DUMMYFUNCTION("""COMPUTED_VALUE"""),"Listicle")</f>
        <v>Listicle</v>
      </c>
      <c r="G394" s="11" t="b">
        <f>IFERROR(__xludf.DUMMYFUNCTION("""COMPUTED_VALUE"""),FALSE)</f>
        <v>0</v>
      </c>
      <c r="H394" s="11" t="str">
        <f>IFERROR(__xludf.DUMMYFUNCTION("""COMPUTED_VALUE"""),"Clutch, GrowthSpree, Refine Labs, NoGood, Single Grain, Disruptive Advertising, Wpromote")</f>
        <v>Clutch, GrowthSpree, Refine Labs, NoGood, Single Grain, Disruptive Advertising, Wpromote</v>
      </c>
      <c r="I394" s="11">
        <f>IFERROR(__xludf.DUMMYFUNCTION("""COMPUTED_VALUE"""),3.0)</f>
        <v>3</v>
      </c>
      <c r="J394" s="11">
        <f>IFERROR(__xludf.DUMMYFUNCTION("""COMPUTED_VALUE"""),0.0)</f>
        <v>0</v>
      </c>
      <c r="K394" s="11">
        <f>IFERROR(__xludf.DUMMYFUNCTION("""COMPUTED_VALUE"""),1.33)</f>
        <v>1.33</v>
      </c>
    </row>
    <row r="395" ht="15.75" customHeight="1">
      <c r="A395" s="10" t="str">
        <f>IFERROR(__xludf.DUMMYFUNCTION("""COMPUTED_VALUE"""),"https://zipdo.co/service/global-digital-marketing/")</f>
        <v>https://zipdo.co/service/global-digital-marketing/</v>
      </c>
      <c r="B395" s="11" t="str">
        <f>IFERROR(__xludf.DUMMYFUNCTION("""COMPUTED_VALUE"""),"Top 10 Best Global Digital Marketing Services | 2026 Edition")</f>
        <v>Top 10 Best Global Digital Marketing Services | 2026 Edition</v>
      </c>
      <c r="C395" s="10" t="str">
        <f>IFERROR(__xludf.DUMMYFUNCTION("""COMPUTED_VALUE"""),"zipdo.co")</f>
        <v>zipdo.co</v>
      </c>
      <c r="D395" s="11" t="str">
        <f>IFERROR(__xludf.DUMMYFUNCTION("""COMPUTED_VALUE"""),"LISTICLE")</f>
        <v>LISTICLE</v>
      </c>
      <c r="E395" s="11" t="str">
        <f>IFERROR(__xludf.DUMMYFUNCTION("""COMPUTED_VALUE"""),"REFERENCE")</f>
        <v>REFERENCE</v>
      </c>
      <c r="F395" s="11" t="str">
        <f>IFERROR(__xludf.DUMMYFUNCTION("""COMPUTED_VALUE"""),"Listicle")</f>
        <v>Listicle</v>
      </c>
      <c r="G395" s="11" t="b">
        <f>IFERROR(__xludf.DUMMYFUNCTION("""COMPUTED_VALUE"""),FALSE)</f>
        <v>0</v>
      </c>
      <c r="H395" s="11" t="str">
        <f>IFERROR(__xludf.DUMMYFUNCTION("""COMPUTED_VALUE"""),"WPP, Publicis Groupe, Omnicom Media Group, Deloitte Digital, IBM, Kantar, iProspect, Merkle, Publicis Sapient, Clutch")</f>
        <v>WPP, Publicis Groupe, Omnicom Media Group, Deloitte Digital, IBM, Kantar, iProspect, Merkle, Publicis Sapient, Clutch</v>
      </c>
      <c r="I395" s="11">
        <f>IFERROR(__xludf.DUMMYFUNCTION("""COMPUTED_VALUE"""),3.0)</f>
        <v>3</v>
      </c>
      <c r="J395" s="11">
        <f>IFERROR(__xludf.DUMMYFUNCTION("""COMPUTED_VALUE"""),0.0)</f>
        <v>0</v>
      </c>
      <c r="K395" s="11">
        <f>IFERROR(__xludf.DUMMYFUNCTION("""COMPUTED_VALUE"""),3.67)</f>
        <v>3.67</v>
      </c>
    </row>
    <row r="396" ht="15.75" customHeight="1">
      <c r="A396" s="10" t="str">
        <f>IFERROR(__xludf.DUMMYFUNCTION("""COMPUTED_VALUE"""),"https://zipdo.co/service/marketing-data-analytics/")</f>
        <v>https://zipdo.co/service/marketing-data-analytics/</v>
      </c>
      <c r="B396" s="11" t="str">
        <f>IFERROR(__xludf.DUMMYFUNCTION("""COMPUTED_VALUE"""),"Best Marketing Data Analytics Services (2026)")</f>
        <v>Best Marketing Data Analytics Services (2026)</v>
      </c>
      <c r="C396" s="10" t="str">
        <f>IFERROR(__xludf.DUMMYFUNCTION("""COMPUTED_VALUE"""),"zipdo.co")</f>
        <v>zipdo.co</v>
      </c>
      <c r="D396" s="11" t="str">
        <f>IFERROR(__xludf.DUMMYFUNCTION("""COMPUTED_VALUE"""),"LISTICLE")</f>
        <v>LISTICLE</v>
      </c>
      <c r="E396" s="11" t="str">
        <f>IFERROR(__xludf.DUMMYFUNCTION("""COMPUTED_VALUE"""),"REFERENCE")</f>
        <v>REFERENCE</v>
      </c>
      <c r="F396" s="11" t="str">
        <f>IFERROR(__xludf.DUMMYFUNCTION("""COMPUTED_VALUE"""),"Listicle")</f>
        <v>Listicle</v>
      </c>
      <c r="G396" s="11" t="b">
        <f>IFERROR(__xludf.DUMMYFUNCTION("""COMPUTED_VALUE"""),FALSE)</f>
        <v>0</v>
      </c>
      <c r="H396" s="11" t="str">
        <f>IFERROR(__xludf.DUMMYFUNCTION("""COMPUTED_VALUE"""),"Merkle, Dentsu, Publicis Groupe, VML, PwC, Clutch")</f>
        <v>Merkle, Dentsu, Publicis Groupe, VML, PwC, Clutch</v>
      </c>
      <c r="I396" s="11">
        <f>IFERROR(__xludf.DUMMYFUNCTION("""COMPUTED_VALUE"""),3.0)</f>
        <v>3</v>
      </c>
      <c r="J396" s="11">
        <f>IFERROR(__xludf.DUMMYFUNCTION("""COMPUTED_VALUE"""),0.0)</f>
        <v>0</v>
      </c>
      <c r="K396" s="11">
        <f>IFERROR(__xludf.DUMMYFUNCTION("""COMPUTED_VALUE"""),0.0)</f>
        <v>0</v>
      </c>
    </row>
    <row r="397" ht="15.75" customHeight="1">
      <c r="A397" s="10" t="str">
        <f>IFERROR(__xludf.DUMMYFUNCTION("""COMPUTED_VALUE"""),"https://ziptie.dev/blog/best-ai-seo-agency/")</f>
        <v>https://ziptie.dev/blog/best-ai-seo-agency/</v>
      </c>
      <c r="B397" s="11" t="str">
        <f>IFERROR(__xludf.DUMMYFUNCTION("""COMPUTED_VALUE"""),"Best AI SEO Agency | How to choose an AI SEO agency? – ZipTie.dev")</f>
        <v>Best AI SEO Agency | How to choose an AI SEO agency? – ZipTie.dev</v>
      </c>
      <c r="C397" s="11" t="str">
        <f>IFERROR(__xludf.DUMMYFUNCTION("""COMPUTED_VALUE"""),"ziptie.dev")</f>
        <v>ziptie.dev</v>
      </c>
      <c r="D397" s="11" t="str">
        <f>IFERROR(__xludf.DUMMYFUNCTION("""COMPUTED_VALUE"""),"LISTICLE")</f>
        <v>LISTICLE</v>
      </c>
      <c r="E397" s="11" t="str">
        <f>IFERROR(__xludf.DUMMYFUNCTION("""COMPUTED_VALUE"""),"OTHER")</f>
        <v>OTHER</v>
      </c>
      <c r="F397" s="11" t="str">
        <f>IFERROR(__xludf.DUMMYFUNCTION("""COMPUTED_VALUE"""),"Listicle")</f>
        <v>Listicle</v>
      </c>
      <c r="G397" s="11" t="b">
        <f>IFERROR(__xludf.DUMMYFUNCTION("""COMPUTED_VALUE"""),FALSE)</f>
        <v>0</v>
      </c>
      <c r="H397" s="11" t="str">
        <f>IFERROR(__xludf.DUMMYFUNCTION("""COMPUTED_VALUE"""),"iPullRank, Omniscient Digital, First Page Sage, Siege Media, Directive, Seer Interactive, Searchbloom, NoGood")</f>
        <v>iPullRank, Omniscient Digital, First Page Sage, Siege Media, Directive, Seer Interactive, Searchbloom, NoGood</v>
      </c>
      <c r="I397" s="11">
        <f>IFERROR(__xludf.DUMMYFUNCTION("""COMPUTED_VALUE"""),3.0)</f>
        <v>3</v>
      </c>
      <c r="J397" s="11">
        <f>IFERROR(__xludf.DUMMYFUNCTION("""COMPUTED_VALUE"""),0.0)</f>
        <v>0</v>
      </c>
      <c r="K397" s="11">
        <f>IFERROR(__xludf.DUMMYFUNCTION("""COMPUTED_VALUE"""),1.33)</f>
        <v>1.33</v>
      </c>
    </row>
    <row r="398" ht="15.75" customHeight="1">
      <c r="A398" s="10" t="str">
        <f>IFERROR(__xludf.DUMMYFUNCTION("""COMPUTED_VALUE"""),"https://zyppy.com/companies/c/marketing-attribution/")</f>
        <v>https://zyppy.com/companies/c/marketing-attribution/</v>
      </c>
      <c r="B398" s="11" t="str">
        <f>IFERROR(__xludf.DUMMYFUNCTION("""COMPUTED_VALUE"""),"Top Marketing Attribution Companies - July 2026")</f>
        <v>Top Marketing Attribution Companies - July 2026</v>
      </c>
      <c r="C398" s="10" t="str">
        <f>IFERROR(__xludf.DUMMYFUNCTION("""COMPUTED_VALUE"""),"zyppy.com")</f>
        <v>zyppy.com</v>
      </c>
      <c r="D398" s="11" t="str">
        <f>IFERROR(__xludf.DUMMYFUNCTION("""COMPUTED_VALUE"""),"LISTICLE")</f>
        <v>LISTICLE</v>
      </c>
      <c r="E398" s="11" t="str">
        <f>IFERROR(__xludf.DUMMYFUNCTION("""COMPUTED_VALUE"""),"CORPORATE")</f>
        <v>CORPORATE</v>
      </c>
      <c r="F398" s="11" t="str">
        <f>IFERROR(__xludf.DUMMYFUNCTION("""COMPUTED_VALUE"""),"Listicle")</f>
        <v>Listicle</v>
      </c>
      <c r="G398" s="11" t="b">
        <f>IFERROR(__xludf.DUMMYFUNCTION("""COMPUTED_VALUE"""),FALSE)</f>
        <v>0</v>
      </c>
      <c r="H398" s="11"/>
      <c r="I398" s="11">
        <f>IFERROR(__xludf.DUMMYFUNCTION("""COMPUTED_VALUE"""),3.0)</f>
        <v>3</v>
      </c>
      <c r="J398" s="11">
        <f>IFERROR(__xludf.DUMMYFUNCTION("""COMPUTED_VALUE"""),0.0)</f>
        <v>0</v>
      </c>
      <c r="K398" s="11">
        <f>IFERROR(__xludf.DUMMYFUNCTION("""COMPUTED_VALUE"""),0.0)</f>
        <v>0</v>
      </c>
    </row>
    <row r="399" ht="15.75" customHeight="1">
      <c r="A399" s="10" t="str">
        <f>IFERROR(__xludf.DUMMYFUNCTION("""COMPUTED_VALUE"""),"https://www.310creative.com/blog/top-abm-agencies")</f>
        <v>https://www.310creative.com/blog/top-abm-agencies</v>
      </c>
      <c r="B399" s="11" t="str">
        <f>IFERROR(__xludf.DUMMYFUNCTION("""COMPUTED_VALUE"""),"Top 10 ABM Agencies in the U.S. 2026 | Reviews | 310 Creative")</f>
        <v>Top 10 ABM Agencies in the U.S. 2026 | Reviews | 310 Creative</v>
      </c>
      <c r="C399" s="10" t="str">
        <f>IFERROR(__xludf.DUMMYFUNCTION("""COMPUTED_VALUE"""),"310creative.com")</f>
        <v>310creative.com</v>
      </c>
      <c r="D399" s="11" t="str">
        <f>IFERROR(__xludf.DUMMYFUNCTION("""COMPUTED_VALUE"""),"LISTICLE")</f>
        <v>LISTICLE</v>
      </c>
      <c r="E399" s="11" t="str">
        <f>IFERROR(__xludf.DUMMYFUNCTION("""COMPUTED_VALUE"""),"CORPORATE")</f>
        <v>CORPORATE</v>
      </c>
      <c r="F399" s="11" t="str">
        <f>IFERROR(__xludf.DUMMYFUNCTION("""COMPUTED_VALUE"""),"Listicle")</f>
        <v>Listicle</v>
      </c>
      <c r="G399" s="11" t="b">
        <f>IFERROR(__xludf.DUMMYFUNCTION("""COMPUTED_VALUE"""),FALSE)</f>
        <v>0</v>
      </c>
      <c r="H399" s="11" t="str">
        <f>IFERROR(__xludf.DUMMYFUNCTION("""COMPUTED_VALUE"""),"Directive, Momentum")</f>
        <v>Directive, Momentum</v>
      </c>
      <c r="I399" s="11">
        <f>IFERROR(__xludf.DUMMYFUNCTION("""COMPUTED_VALUE"""),2.0)</f>
        <v>2</v>
      </c>
      <c r="J399" s="11">
        <f>IFERROR(__xludf.DUMMYFUNCTION("""COMPUTED_VALUE"""),0.0)</f>
        <v>0</v>
      </c>
      <c r="K399" s="11">
        <f>IFERROR(__xludf.DUMMYFUNCTION("""COMPUTED_VALUE"""),1.0)</f>
        <v>1</v>
      </c>
    </row>
    <row r="400" ht="15.75" customHeight="1">
      <c r="A400" s="10" t="str">
        <f>IFERROR(__xludf.DUMMYFUNCTION("""COMPUTED_VALUE"""),"https://42dm.net/10-best-generative-engine-optimization-agencies-globally/")</f>
        <v>https://42dm.net/10-best-generative-engine-optimization-agencies-globally/</v>
      </c>
      <c r="B400" s="11" t="str">
        <f>IFERROR(__xludf.DUMMYFUNCTION("""COMPUTED_VALUE"""),"Top Generative AI SEO Agencies for 2026 – Compare the Best")</f>
        <v>Top Generative AI SEO Agencies for 2026 – Compare the Best</v>
      </c>
      <c r="C400" s="10" t="str">
        <f>IFERROR(__xludf.DUMMYFUNCTION("""COMPUTED_VALUE"""),"42dm.net")</f>
        <v>42dm.net</v>
      </c>
      <c r="D400" s="11" t="str">
        <f>IFERROR(__xludf.DUMMYFUNCTION("""COMPUTED_VALUE"""),"LISTICLE")</f>
        <v>LISTICLE</v>
      </c>
      <c r="E400" s="11" t="str">
        <f>IFERROR(__xludf.DUMMYFUNCTION("""COMPUTED_VALUE"""),"CORPORATE")</f>
        <v>CORPORATE</v>
      </c>
      <c r="F400" s="11" t="str">
        <f>IFERROR(__xludf.DUMMYFUNCTION("""COMPUTED_VALUE"""),"Listicle")</f>
        <v>Listicle</v>
      </c>
      <c r="G400" s="11" t="b">
        <f>IFERROR(__xludf.DUMMYFUNCTION("""COMPUTED_VALUE"""),FALSE)</f>
        <v>0</v>
      </c>
      <c r="H400" s="11" t="str">
        <f>IFERROR(__xludf.DUMMYFUNCTION("""COMPUTED_VALUE"""),"Clutch, Victorious, Intero Digital, Marcel Digital, Avenue Z, Single Grain, NoGood")</f>
        <v>Clutch, Victorious, Intero Digital, Marcel Digital, Avenue Z, Single Grain, NoGood</v>
      </c>
      <c r="I400" s="11">
        <f>IFERROR(__xludf.DUMMYFUNCTION("""COMPUTED_VALUE"""),2.0)</f>
        <v>2</v>
      </c>
      <c r="J400" s="11">
        <f>IFERROR(__xludf.DUMMYFUNCTION("""COMPUTED_VALUE"""),0.0)</f>
        <v>0</v>
      </c>
      <c r="K400" s="11">
        <f>IFERROR(__xludf.DUMMYFUNCTION("""COMPUTED_VALUE"""),2.0)</f>
        <v>2</v>
      </c>
    </row>
    <row r="401" ht="15.75" customHeight="1">
      <c r="A401" s="10" t="str">
        <f>IFERROR(__xludf.DUMMYFUNCTION("""COMPUTED_VALUE"""),"https://addepto.com/blog/top-16-ai-consulting-companies/")</f>
        <v>https://addepto.com/blog/top-16-ai-consulting-companies/</v>
      </c>
      <c r="B401" s="11" t="str">
        <f>IFERROR(__xludf.DUMMYFUNCTION("""COMPUTED_VALUE"""),"Top 16 AI Consulting Companies to Check in 2026 - Addepto")</f>
        <v>Top 16 AI Consulting Companies to Check in 2026 - Addepto</v>
      </c>
      <c r="C401" s="10" t="str">
        <f>IFERROR(__xludf.DUMMYFUNCTION("""COMPUTED_VALUE"""),"addepto.com")</f>
        <v>addepto.com</v>
      </c>
      <c r="D401" s="11" t="str">
        <f>IFERROR(__xludf.DUMMYFUNCTION("""COMPUTED_VALUE"""),"LISTICLE")</f>
        <v>LISTICLE</v>
      </c>
      <c r="E401" s="11" t="str">
        <f>IFERROR(__xludf.DUMMYFUNCTION("""COMPUTED_VALUE"""),"CORPORATE")</f>
        <v>CORPORATE</v>
      </c>
      <c r="F401" s="11" t="str">
        <f>IFERROR(__xludf.DUMMYFUNCTION("""COMPUTED_VALUE"""),"Listicle")</f>
        <v>Listicle</v>
      </c>
      <c r="G401" s="11" t="b">
        <f>IFERROR(__xludf.DUMMYFUNCTION("""COMPUTED_VALUE"""),FALSE)</f>
        <v>0</v>
      </c>
      <c r="H401" s="11" t="str">
        <f>IFERROR(__xludf.DUMMYFUNCTION("""COMPUTED_VALUE"""),"Clutch, Anomaly, BCG, IBM, McKinsey")</f>
        <v>Clutch, Anomaly, BCG, IBM, McKinsey</v>
      </c>
      <c r="I401" s="11">
        <f>IFERROR(__xludf.DUMMYFUNCTION("""COMPUTED_VALUE"""),2.0)</f>
        <v>2</v>
      </c>
      <c r="J401" s="11">
        <f>IFERROR(__xludf.DUMMYFUNCTION("""COMPUTED_VALUE"""),0.0)</f>
        <v>0</v>
      </c>
      <c r="K401" s="11">
        <f>IFERROR(__xludf.DUMMYFUNCTION("""COMPUTED_VALUE"""),1.5)</f>
        <v>1.5</v>
      </c>
    </row>
    <row r="402" ht="15.75" customHeight="1">
      <c r="A402" s="10" t="str">
        <f>IFERROR(__xludf.DUMMYFUNCTION("""COMPUTED_VALUE"""),"https://agencymb.com/david-vs-goliath-independent-agencies-over-holding-company-giants/")</f>
        <v>https://agencymb.com/david-vs-goliath-independent-agencies-over-holding-company-giants/</v>
      </c>
      <c r="B402" s="11" t="str">
        <f>IFERROR(__xludf.DUMMYFUNCTION("""COMPUTED_VALUE"""),"David vs Goliath: Independent Agencies Over Holding-Company Giants | Media Bridge")</f>
        <v>David vs Goliath: Independent Agencies Over Holding-Company Giants | Media Bridge</v>
      </c>
      <c r="C402" s="10" t="str">
        <f>IFERROR(__xludf.DUMMYFUNCTION("""COMPUTED_VALUE"""),"agencymb.com")</f>
        <v>agencymb.com</v>
      </c>
      <c r="D402" s="11" t="str">
        <f>IFERROR(__xludf.DUMMYFUNCTION("""COMPUTED_VALUE"""),"LISTICLE")</f>
        <v>LISTICLE</v>
      </c>
      <c r="E402" s="11" t="str">
        <f>IFERROR(__xludf.DUMMYFUNCTION("""COMPUTED_VALUE"""),"CORPORATE")</f>
        <v>CORPORATE</v>
      </c>
      <c r="F402" s="11" t="str">
        <f>IFERROR(__xludf.DUMMYFUNCTION("""COMPUTED_VALUE"""),"Listicle")</f>
        <v>Listicle</v>
      </c>
      <c r="G402" s="11" t="b">
        <f>IFERROR(__xludf.DUMMYFUNCTION("""COMPUTED_VALUE"""),FALSE)</f>
        <v>0</v>
      </c>
      <c r="H402" s="11" t="str">
        <f>IFERROR(__xludf.DUMMYFUNCTION("""COMPUTED_VALUE"""),"WPP, Dentsu, Measured")</f>
        <v>WPP, Dentsu, Measured</v>
      </c>
      <c r="I402" s="11">
        <f>IFERROR(__xludf.DUMMYFUNCTION("""COMPUTED_VALUE"""),2.0)</f>
        <v>2</v>
      </c>
      <c r="J402" s="11">
        <f>IFERROR(__xludf.DUMMYFUNCTION("""COMPUTED_VALUE"""),0.0)</f>
        <v>0</v>
      </c>
      <c r="K402" s="11">
        <f>IFERROR(__xludf.DUMMYFUNCTION("""COMPUTED_VALUE"""),0.0)</f>
        <v>0</v>
      </c>
    </row>
    <row r="403" ht="15.75" customHeight="1">
      <c r="A403" s="10" t="str">
        <f>IFERROR(__xludf.DUMMYFUNCTION("""COMPUTED_VALUE"""),"https://aimsetwin.com/blog/biggest-digital-marketing-agencies/#:~:text=Tinuiti%20is%20at%20the%20forefront,Core%20Features%3A")</f>
        <v>https://aimsetwin.com/blog/biggest-digital-marketing-agencies/#:~:text=Tinuiti%20is%20at%20the%20forefront,Core%20Features%3A</v>
      </c>
      <c r="B403" s="11" t="str">
        <f>IFERROR(__xludf.DUMMYFUNCTION("""COMPUTED_VALUE"""),"Biggest Digital Marketing Agencies in the World")</f>
        <v>Biggest Digital Marketing Agencies in the World</v>
      </c>
      <c r="C403" s="10" t="str">
        <f>IFERROR(__xludf.DUMMYFUNCTION("""COMPUTED_VALUE"""),"aimsetwin.com")</f>
        <v>aimsetwin.com</v>
      </c>
      <c r="D403" s="11" t="str">
        <f>IFERROR(__xludf.DUMMYFUNCTION("""COMPUTED_VALUE"""),"LISTICLE")</f>
        <v>LISTICLE</v>
      </c>
      <c r="E403" s="11" t="str">
        <f>IFERROR(__xludf.DUMMYFUNCTION("""COMPUTED_VALUE"""),"CORPORATE")</f>
        <v>CORPORATE</v>
      </c>
      <c r="F403" s="11" t="str">
        <f>IFERROR(__xludf.DUMMYFUNCTION("""COMPUTED_VALUE"""),"Listicle")</f>
        <v>Listicle</v>
      </c>
      <c r="G403" s="11" t="b">
        <f>IFERROR(__xludf.DUMMYFUNCTION("""COMPUTED_VALUE"""),FALSE)</f>
        <v>0</v>
      </c>
      <c r="H403" s="11" t="str">
        <f>IFERROR(__xludf.DUMMYFUNCTION("""COMPUTED_VALUE"""),"WebFX, Disruptive Advertising, NP Digital, SmartSites, Tinuiti, Huge")</f>
        <v>WebFX, Disruptive Advertising, NP Digital, SmartSites, Tinuiti, Huge</v>
      </c>
      <c r="I403" s="11">
        <f>IFERROR(__xludf.DUMMYFUNCTION("""COMPUTED_VALUE"""),2.0)</f>
        <v>2</v>
      </c>
      <c r="J403" s="11">
        <f>IFERROR(__xludf.DUMMYFUNCTION("""COMPUTED_VALUE"""),0.0)</f>
        <v>0</v>
      </c>
      <c r="K403" s="11">
        <f>IFERROR(__xludf.DUMMYFUNCTION("""COMPUTED_VALUE"""),1.5)</f>
        <v>1.5</v>
      </c>
    </row>
    <row r="404" ht="15.75" customHeight="1">
      <c r="A404" s="10" t="str">
        <f>IFERROR(__xludf.DUMMYFUNCTION("""COMPUTED_VALUE"""),"https://www.andersoncollaborative.com/digital-marketing-agencies-in-the-united-states-driving-growth-with-data-driven-campaigns/")</f>
        <v>https://www.andersoncollaborative.com/digital-marketing-agencies-in-the-united-states-driving-growth-with-data-driven-campaigns/</v>
      </c>
      <c r="B404" s="11" t="str">
        <f>IFERROR(__xludf.DUMMYFUNCTION("""COMPUTED_VALUE"""),"23 Best Digital Marketing Agencies in the US (2026)")</f>
        <v>23 Best Digital Marketing Agencies in the US (2026)</v>
      </c>
      <c r="C404" s="10" t="str">
        <f>IFERROR(__xludf.DUMMYFUNCTION("""COMPUTED_VALUE"""),"andersoncollaborative.com")</f>
        <v>andersoncollaborative.com</v>
      </c>
      <c r="D404" s="11" t="str">
        <f>IFERROR(__xludf.DUMMYFUNCTION("""COMPUTED_VALUE"""),"LISTICLE")</f>
        <v>LISTICLE</v>
      </c>
      <c r="E404" s="11" t="str">
        <f>IFERROR(__xludf.DUMMYFUNCTION("""COMPUTED_VALUE"""),"CORPORATE")</f>
        <v>CORPORATE</v>
      </c>
      <c r="F404" s="11" t="str">
        <f>IFERROR(__xludf.DUMMYFUNCTION("""COMPUTED_VALUE"""),"Listicle")</f>
        <v>Listicle</v>
      </c>
      <c r="G404" s="11" t="b">
        <f>IFERROR(__xludf.DUMMYFUNCTION("""COMPUTED_VALUE"""),FALSE)</f>
        <v>0</v>
      </c>
      <c r="H404" s="11" t="str">
        <f>IFERROR(__xludf.DUMMYFUNCTION("""COMPUTED_VALUE"""),"Clutch, Thrive Internet Marketing Agency, Power Digital, Silverback Strategies, Sociallyin, Single Grain, Directive, Kobe Digital, Victorious, Tinuiti, Wpromote, Metric Theory, DEPT")</f>
        <v>Clutch, Thrive Internet Marketing Agency, Power Digital, Silverback Strategies, Sociallyin, Single Grain, Directive, Kobe Digital, Victorious, Tinuiti, Wpromote, Metric Theory, DEPT</v>
      </c>
      <c r="I404" s="11">
        <f>IFERROR(__xludf.DUMMYFUNCTION("""COMPUTED_VALUE"""),2.0)</f>
        <v>2</v>
      </c>
      <c r="J404" s="11">
        <f>IFERROR(__xludf.DUMMYFUNCTION("""COMPUTED_VALUE"""),0.0)</f>
        <v>0</v>
      </c>
      <c r="K404" s="11">
        <f>IFERROR(__xludf.DUMMYFUNCTION("""COMPUTED_VALUE"""),0.5)</f>
        <v>0.5</v>
      </c>
    </row>
    <row r="405" ht="15.75" customHeight="1">
      <c r="A405" s="10" t="str">
        <f>IFERROR(__xludf.DUMMYFUNCTION("""COMPUTED_VALUE"""),"https://www.animalz.co/blog/best-aeo-agencies")</f>
        <v>https://www.animalz.co/blog/best-aeo-agencies</v>
      </c>
      <c r="B405" s="11" t="str">
        <f>IFERROR(__xludf.DUMMYFUNCTION("""COMPUTED_VALUE"""),"10 Best AEO/GEO Agencies - Animalz")</f>
        <v>10 Best AEO/GEO Agencies - Animalz</v>
      </c>
      <c r="C405" s="10" t="str">
        <f>IFERROR(__xludf.DUMMYFUNCTION("""COMPUTED_VALUE"""),"animalz.co")</f>
        <v>animalz.co</v>
      </c>
      <c r="D405" s="11" t="str">
        <f>IFERROR(__xludf.DUMMYFUNCTION("""COMPUTED_VALUE"""),"LISTICLE")</f>
        <v>LISTICLE</v>
      </c>
      <c r="E405" s="11" t="str">
        <f>IFERROR(__xludf.DUMMYFUNCTION("""COMPUTED_VALUE"""),"COMPETITOR")</f>
        <v>COMPETITOR</v>
      </c>
      <c r="F405" s="11" t="str">
        <f>IFERROR(__xludf.DUMMYFUNCTION("""COMPUTED_VALUE"""),"Listicle")</f>
        <v>Listicle</v>
      </c>
      <c r="G405" s="11" t="b">
        <f>IFERROR(__xludf.DUMMYFUNCTION("""COMPUTED_VALUE"""),FALSE)</f>
        <v>0</v>
      </c>
      <c r="H405" s="11" t="str">
        <f>IFERROR(__xludf.DUMMYFUNCTION("""COMPUTED_VALUE"""),"Animalz, First Page Sage, NoGood, Omniscient Digital, iPullRank, RevenueZen, Go Fish Digital, Avenue Z, Stratabeat, Momentum")</f>
        <v>Animalz, First Page Sage, NoGood, Omniscient Digital, iPullRank, RevenueZen, Go Fish Digital, Avenue Z, Stratabeat, Momentum</v>
      </c>
      <c r="I405" s="11">
        <f>IFERROR(__xludf.DUMMYFUNCTION("""COMPUTED_VALUE"""),2.0)</f>
        <v>2</v>
      </c>
      <c r="J405" s="11">
        <f>IFERROR(__xludf.DUMMYFUNCTION("""COMPUTED_VALUE"""),0.0)</f>
        <v>0</v>
      </c>
      <c r="K405" s="11">
        <f>IFERROR(__xludf.DUMMYFUNCTION("""COMPUTED_VALUE"""),1.0)</f>
        <v>1</v>
      </c>
    </row>
    <row r="406" ht="15.75" customHeight="1">
      <c r="A406" s="10" t="str">
        <f>IFERROR(__xludf.DUMMYFUNCTION("""COMPUTED_VALUE"""),"https://appkod.com/blogs/paid-social-agencies-us/")</f>
        <v>https://appkod.com/blogs/paid-social-agencies-us/</v>
      </c>
      <c r="B406" s="11" t="str">
        <f>IFERROR(__xludf.DUMMYFUNCTION("""COMPUTED_VALUE"""),"Top 17 Paid Social Agencies in the U.S. (2025) -")</f>
        <v>Top 17 Paid Social Agencies in the U.S. (2025) -</v>
      </c>
      <c r="C406" s="10" t="str">
        <f>IFERROR(__xludf.DUMMYFUNCTION("""COMPUTED_VALUE"""),"appkod.com")</f>
        <v>appkod.com</v>
      </c>
      <c r="D406" s="11" t="str">
        <f>IFERROR(__xludf.DUMMYFUNCTION("""COMPUTED_VALUE"""),"LISTICLE")</f>
        <v>LISTICLE</v>
      </c>
      <c r="E406" s="11" t="str">
        <f>IFERROR(__xludf.DUMMYFUNCTION("""COMPUTED_VALUE"""),"CORPORATE")</f>
        <v>CORPORATE</v>
      </c>
      <c r="F406" s="11" t="str">
        <f>IFERROR(__xludf.DUMMYFUNCTION("""COMPUTED_VALUE"""),"Listicle")</f>
        <v>Listicle</v>
      </c>
      <c r="G406" s="11" t="b">
        <f>IFERROR(__xludf.DUMMYFUNCTION("""COMPUTED_VALUE"""),FALSE)</f>
        <v>0</v>
      </c>
      <c r="H406" s="11" t="str">
        <f>IFERROR(__xludf.DUMMYFUNCTION("""COMPUTED_VALUE"""),"The Social Shepherd, Marcel Digital, Jellyfish, Tinuiti, iProspect")</f>
        <v>The Social Shepherd, Marcel Digital, Jellyfish, Tinuiti, iProspect</v>
      </c>
      <c r="I406" s="11">
        <f>IFERROR(__xludf.DUMMYFUNCTION("""COMPUTED_VALUE"""),2.0)</f>
        <v>2</v>
      </c>
      <c r="J406" s="11">
        <f>IFERROR(__xludf.DUMMYFUNCTION("""COMPUTED_VALUE"""),0.0)</f>
        <v>0</v>
      </c>
      <c r="K406" s="11">
        <f>IFERROR(__xludf.DUMMYFUNCTION("""COMPUTED_VALUE"""),0.0)</f>
        <v>0</v>
      </c>
    </row>
    <row r="407" ht="15.75" customHeight="1">
      <c r="A407" s="10" t="str">
        <f>IFERROR(__xludf.DUMMYFUNCTION("""COMPUTED_VALUE"""),"https://www.askneedle.com/blog/best-instagram-ad-agencies")</f>
        <v>https://www.askneedle.com/blog/best-instagram-ad-agencies</v>
      </c>
      <c r="B407" s="11" t="str">
        <f>IFERROR(__xludf.DUMMYFUNCTION("""COMPUTED_VALUE"""),"12 Best Instagram Ad Agencies for DTC Brands in 2026")</f>
        <v>12 Best Instagram Ad Agencies for DTC Brands in 2026</v>
      </c>
      <c r="C407" s="10" t="str">
        <f>IFERROR(__xludf.DUMMYFUNCTION("""COMPUTED_VALUE"""),"askneedle.com")</f>
        <v>askneedle.com</v>
      </c>
      <c r="D407" s="11" t="str">
        <f>IFERROR(__xludf.DUMMYFUNCTION("""COMPUTED_VALUE"""),"LISTICLE")</f>
        <v>LISTICLE</v>
      </c>
      <c r="E407" s="11" t="str">
        <f>IFERROR(__xludf.DUMMYFUNCTION("""COMPUTED_VALUE"""),"CORPORATE")</f>
        <v>CORPORATE</v>
      </c>
      <c r="F407" s="11" t="str">
        <f>IFERROR(__xludf.DUMMYFUNCTION("""COMPUTED_VALUE"""),"Listicle")</f>
        <v>Listicle</v>
      </c>
      <c r="G407" s="11" t="b">
        <f>IFERROR(__xludf.DUMMYFUNCTION("""COMPUTED_VALUE"""),FALSE)</f>
        <v>0</v>
      </c>
      <c r="H407" s="11" t="str">
        <f>IFERROR(__xludf.DUMMYFUNCTION("""COMPUTED_VALUE"""),"Clutch, Tinuiti, MuteSix, Disruptive Advertising, Hawke Media, Power Digital, LYFE Marketing")</f>
        <v>Clutch, Tinuiti, MuteSix, Disruptive Advertising, Hawke Media, Power Digital, LYFE Marketing</v>
      </c>
      <c r="I407" s="11">
        <f>IFERROR(__xludf.DUMMYFUNCTION("""COMPUTED_VALUE"""),2.0)</f>
        <v>2</v>
      </c>
      <c r="J407" s="11">
        <f>IFERROR(__xludf.DUMMYFUNCTION("""COMPUTED_VALUE"""),0.0)</f>
        <v>0</v>
      </c>
      <c r="K407" s="11">
        <f>IFERROR(__xludf.DUMMYFUNCTION("""COMPUTED_VALUE"""),1.0)</f>
        <v>1</v>
      </c>
    </row>
    <row r="408" ht="15.75" customHeight="1">
      <c r="A408" s="10" t="str">
        <f>IFERROR(__xludf.DUMMYFUNCTION("""COMPUTED_VALUE"""),"https://auditynow.com/blog/best-ai-readiness-assessment-tools")</f>
        <v>https://auditynow.com/blog/best-ai-readiness-assessment-tools</v>
      </c>
      <c r="B408" s="11" t="str">
        <f>IFERROR(__xludf.DUMMYFUNCTION("""COMPUTED_VALUE"""),"8 Best AI Readiness Assessment Tools for Consulting Firms (2026)")</f>
        <v>8 Best AI Readiness Assessment Tools for Consulting Firms (2026)</v>
      </c>
      <c r="C408" s="10" t="str">
        <f>IFERROR(__xludf.DUMMYFUNCTION("""COMPUTED_VALUE"""),"auditynow.com")</f>
        <v>auditynow.com</v>
      </c>
      <c r="D408" s="11" t="str">
        <f>IFERROR(__xludf.DUMMYFUNCTION("""COMPUTED_VALUE"""),"LISTICLE")</f>
        <v>LISTICLE</v>
      </c>
      <c r="E408" s="11" t="str">
        <f>IFERROR(__xludf.DUMMYFUNCTION("""COMPUTED_VALUE"""),"CORPORATE")</f>
        <v>CORPORATE</v>
      </c>
      <c r="F408" s="11" t="str">
        <f>IFERROR(__xludf.DUMMYFUNCTION("""COMPUTED_VALUE"""),"Listicle")</f>
        <v>Listicle</v>
      </c>
      <c r="G408" s="11" t="b">
        <f>IFERROR(__xludf.DUMMYFUNCTION("""COMPUTED_VALUE"""),FALSE)</f>
        <v>0</v>
      </c>
      <c r="H408" s="11" t="str">
        <f>IFERROR(__xludf.DUMMYFUNCTION("""COMPUTED_VALUE"""),"BCG, NoGood, Momentum")</f>
        <v>BCG, NoGood, Momentum</v>
      </c>
      <c r="I408" s="11">
        <f>IFERROR(__xludf.DUMMYFUNCTION("""COMPUTED_VALUE"""),2.0)</f>
        <v>2</v>
      </c>
      <c r="J408" s="11">
        <f>IFERROR(__xludf.DUMMYFUNCTION("""COMPUTED_VALUE"""),0.0)</f>
        <v>0</v>
      </c>
      <c r="K408" s="11">
        <f>IFERROR(__xludf.DUMMYFUNCTION("""COMPUTED_VALUE"""),0.0)</f>
        <v>0</v>
      </c>
    </row>
    <row r="409" ht="15.75" customHeight="1">
      <c r="A409" s="10" t="str">
        <f>IFERROR(__xludf.DUMMYFUNCTION("""COMPUTED_VALUE"""),"https://awisee.com/blog/ai-seo-agencies-usa/")</f>
        <v>https://awisee.com/blog/ai-seo-agencies-usa/</v>
      </c>
      <c r="B409" s="11" t="str">
        <f>IFERROR(__xludf.DUMMYFUNCTION("""COMPUTED_VALUE"""),"The 5 Best AI SEO Agencies USA In 2026")</f>
        <v>The 5 Best AI SEO Agencies USA In 2026</v>
      </c>
      <c r="C409" s="10" t="str">
        <f>IFERROR(__xludf.DUMMYFUNCTION("""COMPUTED_VALUE"""),"awisee.com")</f>
        <v>awisee.com</v>
      </c>
      <c r="D409" s="11" t="str">
        <f>IFERROR(__xludf.DUMMYFUNCTION("""COMPUTED_VALUE"""),"LISTICLE")</f>
        <v>LISTICLE</v>
      </c>
      <c r="E409" s="11" t="str">
        <f>IFERROR(__xludf.DUMMYFUNCTION("""COMPUTED_VALUE"""),"OTHER")</f>
        <v>OTHER</v>
      </c>
      <c r="F409" s="11" t="str">
        <f>IFERROR(__xludf.DUMMYFUNCTION("""COMPUTED_VALUE"""),"Listicle")</f>
        <v>Listicle</v>
      </c>
      <c r="G409" s="11" t="b">
        <f>IFERROR(__xludf.DUMMYFUNCTION("""COMPUTED_VALUE"""),FALSE)</f>
        <v>0</v>
      </c>
      <c r="H409" s="11"/>
      <c r="I409" s="11">
        <f>IFERROR(__xludf.DUMMYFUNCTION("""COMPUTED_VALUE"""),2.0)</f>
        <v>2</v>
      </c>
      <c r="J409" s="11">
        <f>IFERROR(__xludf.DUMMYFUNCTION("""COMPUTED_VALUE"""),0.0)</f>
        <v>0</v>
      </c>
      <c r="K409" s="11">
        <f>IFERROR(__xludf.DUMMYFUNCTION("""COMPUTED_VALUE"""),1.0)</f>
        <v>1</v>
      </c>
    </row>
    <row r="410" ht="15.75" customHeight="1">
      <c r="A410" s="10" t="str">
        <f>IFERROR(__xludf.DUMMYFUNCTION("""COMPUTED_VALUE"""),"https://benly.ai/learn/ai-marketing/best-attribution-tools-2026")</f>
        <v>https://benly.ai/learn/ai-marketing/best-attribution-tools-2026</v>
      </c>
      <c r="B410" s="11" t="str">
        <f>IFERROR(__xludf.DUMMYFUNCTION("""COMPUTED_VALUE"""),"11 Best Marketing Attribution Tools in 2026")</f>
        <v>11 Best Marketing Attribution Tools in 2026</v>
      </c>
      <c r="C410" s="10" t="str">
        <f>IFERROR(__xludf.DUMMYFUNCTION("""COMPUTED_VALUE"""),"benly.ai")</f>
        <v>benly.ai</v>
      </c>
      <c r="D410" s="11" t="str">
        <f>IFERROR(__xludf.DUMMYFUNCTION("""COMPUTED_VALUE"""),"LISTICLE")</f>
        <v>LISTICLE</v>
      </c>
      <c r="E410" s="11" t="str">
        <f>IFERROR(__xludf.DUMMYFUNCTION("""COMPUTED_VALUE"""),"CORPORATE")</f>
        <v>CORPORATE</v>
      </c>
      <c r="F410" s="11" t="str">
        <f>IFERROR(__xludf.DUMMYFUNCTION("""COMPUTED_VALUE"""),"Listicle")</f>
        <v>Listicle</v>
      </c>
      <c r="G410" s="11" t="b">
        <f>IFERROR(__xludf.DUMMYFUNCTION("""COMPUTED_VALUE"""),FALSE)</f>
        <v>0</v>
      </c>
      <c r="H410" s="11" t="str">
        <f>IFERROR(__xludf.DUMMYFUNCTION("""COMPUTED_VALUE"""),"Northbeam, Triple Whale, Rockerbox, Measured, Ruler Analytics, Anomaly")</f>
        <v>Northbeam, Triple Whale, Rockerbox, Measured, Ruler Analytics, Anomaly</v>
      </c>
      <c r="I410" s="11">
        <f>IFERROR(__xludf.DUMMYFUNCTION("""COMPUTED_VALUE"""),2.0)</f>
        <v>2</v>
      </c>
      <c r="J410" s="11">
        <f>IFERROR(__xludf.DUMMYFUNCTION("""COMPUTED_VALUE"""),0.0)</f>
        <v>0</v>
      </c>
      <c r="K410" s="11">
        <f>IFERROR(__xludf.DUMMYFUNCTION("""COMPUTED_VALUE"""),0.0)</f>
        <v>0</v>
      </c>
    </row>
    <row r="411" ht="15.75" customHeight="1">
      <c r="A411" s="10" t="str">
        <f>IFERROR(__xludf.DUMMYFUNCTION("""COMPUTED_VALUE"""),"https://bigspy.com/blog/Top-10-Paid-Social-Agencies")</f>
        <v>https://bigspy.com/blog/Top-10-Paid-Social-Agencies</v>
      </c>
      <c r="B411" s="11" t="str">
        <f>IFERROR(__xludf.DUMMYFUNCTION("""COMPUTED_VALUE"""),"Top 10 Paid Social Agencies in the US to Boost Your Business in 2024")</f>
        <v>Top 10 Paid Social Agencies in the US to Boost Your Business in 2024</v>
      </c>
      <c r="C411" s="10" t="str">
        <f>IFERROR(__xludf.DUMMYFUNCTION("""COMPUTED_VALUE"""),"bigspy.com")</f>
        <v>bigspy.com</v>
      </c>
      <c r="D411" s="11" t="str">
        <f>IFERROR(__xludf.DUMMYFUNCTION("""COMPUTED_VALUE"""),"LISTICLE")</f>
        <v>LISTICLE</v>
      </c>
      <c r="E411" s="11" t="str">
        <f>IFERROR(__xludf.DUMMYFUNCTION("""COMPUTED_VALUE"""),"CORPORATE")</f>
        <v>CORPORATE</v>
      </c>
      <c r="F411" s="11" t="str">
        <f>IFERROR(__xludf.DUMMYFUNCTION("""COMPUTED_VALUE"""),"Listicle")</f>
        <v>Listicle</v>
      </c>
      <c r="G411" s="11" t="b">
        <f>IFERROR(__xludf.DUMMYFUNCTION("""COMPUTED_VALUE"""),FALSE)</f>
        <v>0</v>
      </c>
      <c r="H411" s="11" t="str">
        <f>IFERROR(__xludf.DUMMYFUNCTION("""COMPUTED_VALUE"""),"NoGood, NinjaPromo, Tinuiti, inBeat, Power Digital, Brainlabs")</f>
        <v>NoGood, NinjaPromo, Tinuiti, inBeat, Power Digital, Brainlabs</v>
      </c>
      <c r="I411" s="11">
        <f>IFERROR(__xludf.DUMMYFUNCTION("""COMPUTED_VALUE"""),2.0)</f>
        <v>2</v>
      </c>
      <c r="J411" s="11">
        <f>IFERROR(__xludf.DUMMYFUNCTION("""COMPUTED_VALUE"""),0.0)</f>
        <v>0</v>
      </c>
      <c r="K411" s="11">
        <f>IFERROR(__xludf.DUMMYFUNCTION("""COMPUTED_VALUE"""),1.5)</f>
        <v>1.5</v>
      </c>
    </row>
    <row r="412" ht="15.75" customHeight="1">
      <c r="A412" s="10" t="str">
        <f>IFERROR(__xludf.DUMMYFUNCTION("""COMPUTED_VALUE"""),"https://blog.viewed.video/top-10-ai-consulting-firms-boosting-tech-marketing")</f>
        <v>https://blog.viewed.video/top-10-ai-consulting-firms-boosting-tech-marketing</v>
      </c>
      <c r="B412" s="11" t="str">
        <f>IFERROR(__xludf.DUMMYFUNCTION("""COMPUTED_VALUE"""),"Top 10 AI Consulting Firms Boosting Tech Marketing")</f>
        <v>Top 10 AI Consulting Firms Boosting Tech Marketing</v>
      </c>
      <c r="C412" s="11" t="str">
        <f>IFERROR(__xludf.DUMMYFUNCTION("""COMPUTED_VALUE"""),"viewed.video")</f>
        <v>viewed.video</v>
      </c>
      <c r="D412" s="11" t="str">
        <f>IFERROR(__xludf.DUMMYFUNCTION("""COMPUTED_VALUE"""),"LISTICLE")</f>
        <v>LISTICLE</v>
      </c>
      <c r="E412" s="11" t="str">
        <f>IFERROR(__xludf.DUMMYFUNCTION("""COMPUTED_VALUE"""),"CORPORATE")</f>
        <v>CORPORATE</v>
      </c>
      <c r="F412" s="11" t="str">
        <f>IFERROR(__xludf.DUMMYFUNCTION("""COMPUTED_VALUE"""),"Listicle")</f>
        <v>Listicle</v>
      </c>
      <c r="G412" s="11" t="b">
        <f>IFERROR(__xludf.DUMMYFUNCTION("""COMPUTED_VALUE"""),FALSE)</f>
        <v>0</v>
      </c>
      <c r="H412" s="11" t="str">
        <f>IFERROR(__xludf.DUMMYFUNCTION("""COMPUTED_VALUE"""),"McKinsey, IBM, BCG, PwC, Bain &amp; Company")</f>
        <v>McKinsey, IBM, BCG, PwC, Bain &amp; Company</v>
      </c>
      <c r="I412" s="11">
        <f>IFERROR(__xludf.DUMMYFUNCTION("""COMPUTED_VALUE"""),2.0)</f>
        <v>2</v>
      </c>
      <c r="J412" s="11">
        <f>IFERROR(__xludf.DUMMYFUNCTION("""COMPUTED_VALUE"""),0.0)</f>
        <v>0</v>
      </c>
      <c r="K412" s="11">
        <f>IFERROR(__xludf.DUMMYFUNCTION("""COMPUTED_VALUE"""),0.0)</f>
        <v>0</v>
      </c>
    </row>
    <row r="413" ht="15.75" customHeight="1">
      <c r="A413" s="10" t="str">
        <f>IFERROR(__xludf.DUMMYFUNCTION("""COMPUTED_VALUE"""),"https://brillmedia.co/resources/best-connected-tv-advertising-companies/")</f>
        <v>https://brillmedia.co/resources/best-connected-tv-advertising-companies/</v>
      </c>
      <c r="B413" s="11" t="str">
        <f>IFERROR(__xludf.DUMMYFUNCTION("""COMPUTED_VALUE"""),"Best Connected TV Advertising Companies | Brill Media")</f>
        <v>Best Connected TV Advertising Companies | Brill Media</v>
      </c>
      <c r="C413" s="10" t="str">
        <f>IFERROR(__xludf.DUMMYFUNCTION("""COMPUTED_VALUE"""),"brillmedia.co")</f>
        <v>brillmedia.co</v>
      </c>
      <c r="D413" s="11" t="str">
        <f>IFERROR(__xludf.DUMMYFUNCTION("""COMPUTED_VALUE"""),"LISTICLE")</f>
        <v>LISTICLE</v>
      </c>
      <c r="E413" s="11" t="str">
        <f>IFERROR(__xludf.DUMMYFUNCTION("""COMPUTED_VALUE"""),"CORPORATE")</f>
        <v>CORPORATE</v>
      </c>
      <c r="F413" s="11" t="str">
        <f>IFERROR(__xludf.DUMMYFUNCTION("""COMPUTED_VALUE"""),"Listicle")</f>
        <v>Listicle</v>
      </c>
      <c r="G413" s="11" t="b">
        <f>IFERROR(__xludf.DUMMYFUNCTION("""COMPUTED_VALUE"""),FALSE)</f>
        <v>0</v>
      </c>
      <c r="H413" s="11"/>
      <c r="I413" s="11">
        <f>IFERROR(__xludf.DUMMYFUNCTION("""COMPUTED_VALUE"""),2.0)</f>
        <v>2</v>
      </c>
      <c r="J413" s="11">
        <f>IFERROR(__xludf.DUMMYFUNCTION("""COMPUTED_VALUE"""),0.0)</f>
        <v>0</v>
      </c>
      <c r="K413" s="11">
        <f>IFERROR(__xludf.DUMMYFUNCTION("""COMPUTED_VALUE"""),1.0)</f>
        <v>1</v>
      </c>
    </row>
    <row r="414" ht="15.75" customHeight="1">
      <c r="A414" s="10" t="str">
        <f>IFERROR(__xludf.DUMMYFUNCTION("""COMPUTED_VALUE"""),"https://businessgoalmag.com/10-enterprise-creative-agency-partners-that-can-handle-scale/")</f>
        <v>https://businessgoalmag.com/10-enterprise-creative-agency-partners-that-can-handle-scale/</v>
      </c>
      <c r="B414" s="11" t="str">
        <f>IFERROR(__xludf.DUMMYFUNCTION("""COMPUTED_VALUE"""),"10+ Enterprise Creative Agency Partners That Can Handle Scale")</f>
        <v>10+ Enterprise Creative Agency Partners That Can Handle Scale</v>
      </c>
      <c r="C414" s="10" t="str">
        <f>IFERROR(__xludf.DUMMYFUNCTION("""COMPUTED_VALUE"""),"businessgoalmag.com")</f>
        <v>businessgoalmag.com</v>
      </c>
      <c r="D414" s="11" t="str">
        <f>IFERROR(__xludf.DUMMYFUNCTION("""COMPUTED_VALUE"""),"LISTICLE")</f>
        <v>LISTICLE</v>
      </c>
      <c r="E414" s="11" t="str">
        <f>IFERROR(__xludf.DUMMYFUNCTION("""COMPUTED_VALUE"""),"EDITORIAL")</f>
        <v>EDITORIAL</v>
      </c>
      <c r="F414" s="11" t="str">
        <f>IFERROR(__xludf.DUMMYFUNCTION("""COMPUTED_VALUE"""),"Listicle")</f>
        <v>Listicle</v>
      </c>
      <c r="G414" s="11" t="b">
        <f>IFERROR(__xludf.DUMMYFUNCTION("""COMPUTED_VALUE"""),FALSE)</f>
        <v>0</v>
      </c>
      <c r="H414" s="11" t="str">
        <f>IFERROR(__xludf.DUMMYFUNCTION("""COMPUTED_VALUE"""),"NP Digital, Monks, Pentagram, VaynerMedia, Wieden+Kennedy, R/GA, Ogilvy, Droga5, BBDO")</f>
        <v>NP Digital, Monks, Pentagram, VaynerMedia, Wieden+Kennedy, R/GA, Ogilvy, Droga5, BBDO</v>
      </c>
      <c r="I414" s="11">
        <f>IFERROR(__xludf.DUMMYFUNCTION("""COMPUTED_VALUE"""),2.0)</f>
        <v>2</v>
      </c>
      <c r="J414" s="11">
        <f>IFERROR(__xludf.DUMMYFUNCTION("""COMPUTED_VALUE"""),0.0)</f>
        <v>0</v>
      </c>
      <c r="K414" s="11">
        <f>IFERROR(__xludf.DUMMYFUNCTION("""COMPUTED_VALUE"""),0.0)</f>
        <v>0</v>
      </c>
    </row>
    <row r="415" ht="15.75" customHeight="1">
      <c r="A415" s="10" t="str">
        <f>IFERROR(__xludf.DUMMYFUNCTION("""COMPUTED_VALUE"""),"https://cairrot.com/blog/best-aeo-agencies/")</f>
        <v>https://cairrot.com/blog/best-aeo-agencies/</v>
      </c>
      <c r="B415" s="11" t="str">
        <f>IFERROR(__xludf.DUMMYFUNCTION("""COMPUTED_VALUE"""),"Best AEO Agencies and Services in 2026 | Top 10 AEO/GEO Agencies for Revenue-Focused Performance - Cairrot")</f>
        <v>Best AEO Agencies and Services in 2026 | Top 10 AEO/GEO Agencies for Revenue-Focused Performance - Cairrot</v>
      </c>
      <c r="C415" s="10" t="str">
        <f>IFERROR(__xludf.DUMMYFUNCTION("""COMPUTED_VALUE"""),"cairrot.com")</f>
        <v>cairrot.com</v>
      </c>
      <c r="D415" s="11" t="str">
        <f>IFERROR(__xludf.DUMMYFUNCTION("""COMPUTED_VALUE"""),"LISTICLE")</f>
        <v>LISTICLE</v>
      </c>
      <c r="E415" s="11" t="str">
        <f>IFERROR(__xludf.DUMMYFUNCTION("""COMPUTED_VALUE"""),"CORPORATE")</f>
        <v>CORPORATE</v>
      </c>
      <c r="F415" s="11" t="str">
        <f>IFERROR(__xludf.DUMMYFUNCTION("""COMPUTED_VALUE"""),"Listicle")</f>
        <v>Listicle</v>
      </c>
      <c r="G415" s="11" t="b">
        <f>IFERROR(__xludf.DUMMYFUNCTION("""COMPUTED_VALUE"""),FALSE)</f>
        <v>0</v>
      </c>
      <c r="H415" s="11" t="str">
        <f>IFERROR(__xludf.DUMMYFUNCTION("""COMPUTED_VALUE"""),"iPullRank, Directive, Clutch, Momentum")</f>
        <v>iPullRank, Directive, Clutch, Momentum</v>
      </c>
      <c r="I415" s="11">
        <f>IFERROR(__xludf.DUMMYFUNCTION("""COMPUTED_VALUE"""),2.0)</f>
        <v>2</v>
      </c>
      <c r="J415" s="11">
        <f>IFERROR(__xludf.DUMMYFUNCTION("""COMPUTED_VALUE"""),0.0)</f>
        <v>0</v>
      </c>
      <c r="K415" s="11">
        <f>IFERROR(__xludf.DUMMYFUNCTION("""COMPUTED_VALUE"""),0.0)</f>
        <v>0</v>
      </c>
    </row>
    <row r="416" ht="15.75" customHeight="1">
      <c r="A416" s="10" t="str">
        <f>IFERROR(__xludf.DUMMYFUNCTION("""COMPUTED_VALUE"""),"https://www.campaignlive.com/article/empower-assembly-barkleyokrp-climb-june-us-media-agency-rankings/1923811")</f>
        <v>https://www.campaignlive.com/article/empower-assembly-barkleyokrp-climb-june-us-media-agency-rankings/1923811</v>
      </c>
      <c r="B416" s="11" t="str">
        <f>IFERROR(__xludf.DUMMYFUNCTION("""COMPUTED_VALUE"""),"Empower, Assembly, BarkleyOKRP climb into June US media agency rankings | Campaign US")</f>
        <v>Empower, Assembly, BarkleyOKRP climb into June US media agency rankings | Campaign US</v>
      </c>
      <c r="C416" s="10" t="str">
        <f>IFERROR(__xludf.DUMMYFUNCTION("""COMPUTED_VALUE"""),"campaignlive.com")</f>
        <v>campaignlive.com</v>
      </c>
      <c r="D416" s="11" t="str">
        <f>IFERROR(__xludf.DUMMYFUNCTION("""COMPUTED_VALUE"""),"LISTICLE")</f>
        <v>LISTICLE</v>
      </c>
      <c r="E416" s="11" t="str">
        <f>IFERROR(__xludf.DUMMYFUNCTION("""COMPUTED_VALUE"""),"EDITORIAL")</f>
        <v>EDITORIAL</v>
      </c>
      <c r="F416" s="11" t="str">
        <f>IFERROR(__xludf.DUMMYFUNCTION("""COMPUTED_VALUE"""),"Listicle")</f>
        <v>Listicle</v>
      </c>
      <c r="G416" s="11" t="b">
        <f>IFERROR(__xludf.DUMMYFUNCTION("""COMPUTED_VALUE"""),FALSE)</f>
        <v>0</v>
      </c>
      <c r="H416" s="11" t="str">
        <f>IFERROR(__xludf.DUMMYFUNCTION("""COMPUTED_VALUE"""),"Horizon Media, Digitas, Momentum, WPP")</f>
        <v>Horizon Media, Digitas, Momentum, WPP</v>
      </c>
      <c r="I416" s="11">
        <f>IFERROR(__xludf.DUMMYFUNCTION("""COMPUTED_VALUE"""),2.0)</f>
        <v>2</v>
      </c>
      <c r="J416" s="11">
        <f>IFERROR(__xludf.DUMMYFUNCTION("""COMPUTED_VALUE"""),0.0)</f>
        <v>0</v>
      </c>
      <c r="K416" s="11">
        <f>IFERROR(__xludf.DUMMYFUNCTION("""COMPUTED_VALUE"""),0.0)</f>
        <v>0</v>
      </c>
    </row>
    <row r="417" ht="15.75" customHeight="1">
      <c r="A417" s="10" t="str">
        <f>IFERROR(__xludf.DUMMYFUNCTION("""COMPUTED_VALUE"""),"https://www.campaignlive.com/article/initiative-claims-no-1-spot-preliminary-2025-us-media-rankings/1948015")</f>
        <v>https://www.campaignlive.com/article/initiative-claims-no-1-spot-preliminary-2025-us-media-rankings/1948015</v>
      </c>
      <c r="B417" s="11" t="str">
        <f>IFERROR(__xludf.DUMMYFUNCTION("""COMPUTED_VALUE"""),"Initiative claims No. 1 spot in preliminary 2025 US media rankings \| Campaign US")</f>
        <v>Initiative claims No. 1 spot in preliminary 2025 US media rankings \| Campaign US</v>
      </c>
      <c r="C417" s="10" t="str">
        <f>IFERROR(__xludf.DUMMYFUNCTION("""COMPUTED_VALUE"""),"campaignlive.com")</f>
        <v>campaignlive.com</v>
      </c>
      <c r="D417" s="11" t="str">
        <f>IFERROR(__xludf.DUMMYFUNCTION("""COMPUTED_VALUE"""),"LISTICLE")</f>
        <v>LISTICLE</v>
      </c>
      <c r="E417" s="11" t="str">
        <f>IFERROR(__xludf.DUMMYFUNCTION("""COMPUTED_VALUE"""),"EDITORIAL")</f>
        <v>EDITORIAL</v>
      </c>
      <c r="F417" s="11" t="str">
        <f>IFERROR(__xludf.DUMMYFUNCTION("""COMPUTED_VALUE"""),"Listicle")</f>
        <v>Listicle</v>
      </c>
      <c r="G417" s="11" t="b">
        <f>IFERROR(__xludf.DUMMYFUNCTION("""COMPUTED_VALUE"""),FALSE)</f>
        <v>0</v>
      </c>
      <c r="H417" s="11" t="str">
        <f>IFERROR(__xludf.DUMMYFUNCTION("""COMPUTED_VALUE"""),"Publicis Groupe, Horizon Media, VaynerMedia, WPP, Dentsu")</f>
        <v>Publicis Groupe, Horizon Media, VaynerMedia, WPP, Dentsu</v>
      </c>
      <c r="I417" s="11">
        <f>IFERROR(__xludf.DUMMYFUNCTION("""COMPUTED_VALUE"""),2.0)</f>
        <v>2</v>
      </c>
      <c r="J417" s="11">
        <f>IFERROR(__xludf.DUMMYFUNCTION("""COMPUTED_VALUE"""),0.0)</f>
        <v>0</v>
      </c>
      <c r="K417" s="11">
        <f>IFERROR(__xludf.DUMMYFUNCTION("""COMPUTED_VALUE"""),0.0)</f>
        <v>0</v>
      </c>
    </row>
    <row r="418" ht="15.75" customHeight="1">
      <c r="A418" s="10" t="str">
        <f>IFERROR(__xludf.DUMMYFUNCTION("""COMPUTED_VALUE"""),"https://clicksgeek.com/best-roi-focused-marketing-agencies/")</f>
        <v>https://clicksgeek.com/best-roi-focused-marketing-agencies/</v>
      </c>
      <c r="B418" s="11" t="str">
        <f>IFERROR(__xludf.DUMMYFUNCTION("""COMPUTED_VALUE"""),"Best ROI Focused Marketing Agencies: 2026 Guide &amp;amp; Tips")</f>
        <v>Best ROI Focused Marketing Agencies: 2026 Guide &amp;amp; Tips</v>
      </c>
      <c r="C418" s="10" t="str">
        <f>IFERROR(__xludf.DUMMYFUNCTION("""COMPUTED_VALUE"""),"clicksgeek.com")</f>
        <v>clicksgeek.com</v>
      </c>
      <c r="D418" s="11" t="str">
        <f>IFERROR(__xludf.DUMMYFUNCTION("""COMPUTED_VALUE"""),"LISTICLE")</f>
        <v>LISTICLE</v>
      </c>
      <c r="E418" s="11" t="str">
        <f>IFERROR(__xludf.DUMMYFUNCTION("""COMPUTED_VALUE"""),"CORPORATE")</f>
        <v>CORPORATE</v>
      </c>
      <c r="F418" s="11" t="str">
        <f>IFERROR(__xludf.DUMMYFUNCTION("""COMPUTED_VALUE"""),"Listicle")</f>
        <v>Listicle</v>
      </c>
      <c r="G418" s="11" t="b">
        <f>IFERROR(__xludf.DUMMYFUNCTION("""COMPUTED_VALUE"""),FALSE)</f>
        <v>0</v>
      </c>
      <c r="H418" s="11" t="str">
        <f>IFERROR(__xludf.DUMMYFUNCTION("""COMPUTED_VALUE"""),"Momentum")</f>
        <v>Momentum</v>
      </c>
      <c r="I418" s="11">
        <f>IFERROR(__xludf.DUMMYFUNCTION("""COMPUTED_VALUE"""),2.0)</f>
        <v>2</v>
      </c>
      <c r="J418" s="11">
        <f>IFERROR(__xludf.DUMMYFUNCTION("""COMPUTED_VALUE"""),0.0)</f>
        <v>0</v>
      </c>
      <c r="K418" s="11">
        <f>IFERROR(__xludf.DUMMYFUNCTION("""COMPUTED_VALUE"""),0.0)</f>
        <v>0</v>
      </c>
    </row>
    <row r="419" ht="15.75" customHeight="1">
      <c r="A419" s="10" t="str">
        <f>IFERROR(__xludf.DUMMYFUNCTION("""COMPUTED_VALUE"""),"https://clutch.co/agencies/performance-marketing%3Fpage%3D0")</f>
        <v>https://clutch.co/agencies/performance-marketing%3Fpage%3D0</v>
      </c>
      <c r="B419" s="11" t="str">
        <f>IFERROR(__xludf.DUMMYFUNCTION("""COMPUTED_VALUE"""),"Top Performance Marketing Agencies - Jul 2026 Rankings \| Clutch.co")</f>
        <v>Top Performance Marketing Agencies - Jul 2026 Rankings \| Clutch.co</v>
      </c>
      <c r="C419" s="10" t="str">
        <f>IFERROR(__xludf.DUMMYFUNCTION("""COMPUTED_VALUE"""),"clutch.co")</f>
        <v>clutch.co</v>
      </c>
      <c r="D419" s="11" t="str">
        <f>IFERROR(__xludf.DUMMYFUNCTION("""COMPUTED_VALUE"""),"LISTICLE")</f>
        <v>LISTICLE</v>
      </c>
      <c r="E419" s="11" t="str">
        <f>IFERROR(__xludf.DUMMYFUNCTION("""COMPUTED_VALUE"""),"COMPETITOR")</f>
        <v>COMPETITOR</v>
      </c>
      <c r="F419" s="11" t="str">
        <f>IFERROR(__xludf.DUMMYFUNCTION("""COMPUTED_VALUE"""),"Listicle")</f>
        <v>Listicle</v>
      </c>
      <c r="G419" s="11" t="b">
        <f>IFERROR(__xludf.DUMMYFUNCTION("""COMPUTED_VALUE"""),FALSE)</f>
        <v>0</v>
      </c>
      <c r="H419" s="11" t="str">
        <f>IFERROR(__xludf.DUMMYFUNCTION("""COMPUTED_VALUE"""),"Clutch, Disruptive Advertising, Accelerated Digital Media, Momentum")</f>
        <v>Clutch, Disruptive Advertising, Accelerated Digital Media, Momentum</v>
      </c>
      <c r="I419" s="11">
        <f>IFERROR(__xludf.DUMMYFUNCTION("""COMPUTED_VALUE"""),2.0)</f>
        <v>2</v>
      </c>
      <c r="J419" s="11">
        <f>IFERROR(__xludf.DUMMYFUNCTION("""COMPUTED_VALUE"""),0.0)</f>
        <v>0</v>
      </c>
      <c r="K419" s="11">
        <f>IFERROR(__xludf.DUMMYFUNCTION("""COMPUTED_VALUE"""),0.0)</f>
        <v>0</v>
      </c>
    </row>
    <row r="420" ht="15.75" customHeight="1">
      <c r="A420" s="10" t="str">
        <f>IFERROR(__xludf.DUMMYFUNCTION("""COMPUTED_VALUE"""),"https://clutch.co/press-releases/Best-of-Clutch-winners-2025")</f>
        <v>https://clutch.co/press-releases/Best-of-Clutch-winners-2025</v>
      </c>
      <c r="B420" s="11" t="str">
        <f>IFERROR(__xludf.DUMMYFUNCTION("""COMPUTED_VALUE"""),"Clutch Announces 2025 Best of Clutch Award Winners \| Clutch.co")</f>
        <v>Clutch Announces 2025 Best of Clutch Award Winners \| Clutch.co</v>
      </c>
      <c r="C420" s="10" t="str">
        <f>IFERROR(__xludf.DUMMYFUNCTION("""COMPUTED_VALUE"""),"clutch.co")</f>
        <v>clutch.co</v>
      </c>
      <c r="D420" s="11" t="str">
        <f>IFERROR(__xludf.DUMMYFUNCTION("""COMPUTED_VALUE"""),"LISTICLE")</f>
        <v>LISTICLE</v>
      </c>
      <c r="E420" s="11" t="str">
        <f>IFERROR(__xludf.DUMMYFUNCTION("""COMPUTED_VALUE"""),"COMPETITOR")</f>
        <v>COMPETITOR</v>
      </c>
      <c r="F420" s="11" t="str">
        <f>IFERROR(__xludf.DUMMYFUNCTION("""COMPUTED_VALUE"""),"Listicle")</f>
        <v>Listicle</v>
      </c>
      <c r="G420" s="11" t="b">
        <f>IFERROR(__xludf.DUMMYFUNCTION("""COMPUTED_VALUE"""),FALSE)</f>
        <v>0</v>
      </c>
      <c r="H420" s="11" t="str">
        <f>IFERROR(__xludf.DUMMYFUNCTION("""COMPUTED_VALUE"""),"Clutch, Ignite Visibility, Victorious")</f>
        <v>Clutch, Ignite Visibility, Victorious</v>
      </c>
      <c r="I420" s="11">
        <f>IFERROR(__xludf.DUMMYFUNCTION("""COMPUTED_VALUE"""),2.0)</f>
        <v>2</v>
      </c>
      <c r="J420" s="11">
        <f>IFERROR(__xludf.DUMMYFUNCTION("""COMPUTED_VALUE"""),0.0)</f>
        <v>0</v>
      </c>
      <c r="K420" s="11">
        <f>IFERROR(__xludf.DUMMYFUNCTION("""COMPUTED_VALUE"""),0.0)</f>
        <v>0</v>
      </c>
    </row>
    <row r="421" ht="15.75" customHeight="1">
      <c r="A421" s="10" t="str">
        <f>IFERROR(__xludf.DUMMYFUNCTION("""COMPUTED_VALUE"""),"https://www.cometly.com/post/marketing-attribution-companies")</f>
        <v>https://www.cometly.com/post/marketing-attribution-companies</v>
      </c>
      <c r="B421" s="11" t="str">
        <f>IFERROR(__xludf.DUMMYFUNCTION("""COMPUTED_VALUE"""),"11 Best Marketing Attribution Companies to Track ROI")</f>
        <v>11 Best Marketing Attribution Companies to Track ROI</v>
      </c>
      <c r="C421" s="10" t="str">
        <f>IFERROR(__xludf.DUMMYFUNCTION("""COMPUTED_VALUE"""),"cometly.com")</f>
        <v>cometly.com</v>
      </c>
      <c r="D421" s="11" t="str">
        <f>IFERROR(__xludf.DUMMYFUNCTION("""COMPUTED_VALUE"""),"LISTICLE")</f>
        <v>LISTICLE</v>
      </c>
      <c r="E421" s="11" t="str">
        <f>IFERROR(__xludf.DUMMYFUNCTION("""COMPUTED_VALUE"""),"COMPETITOR")</f>
        <v>COMPETITOR</v>
      </c>
      <c r="F421" s="11" t="str">
        <f>IFERROR(__xludf.DUMMYFUNCTION("""COMPUTED_VALUE"""),"Listicle")</f>
        <v>Listicle</v>
      </c>
      <c r="G421" s="11" t="b">
        <f>IFERROR(__xludf.DUMMYFUNCTION("""COMPUTED_VALUE"""),FALSE)</f>
        <v>0</v>
      </c>
      <c r="H421" s="11" t="str">
        <f>IFERROR(__xludf.DUMMYFUNCTION("""COMPUTED_VALUE"""),"Cometly, Triple Whale, Northbeam, Rockerbox, Ruler Analytics")</f>
        <v>Cometly, Triple Whale, Northbeam, Rockerbox, Ruler Analytics</v>
      </c>
      <c r="I421" s="11">
        <f>IFERROR(__xludf.DUMMYFUNCTION("""COMPUTED_VALUE"""),2.0)</f>
        <v>2</v>
      </c>
      <c r="J421" s="11">
        <f>IFERROR(__xludf.DUMMYFUNCTION("""COMPUTED_VALUE"""),0.0)</f>
        <v>0</v>
      </c>
      <c r="K421" s="11">
        <f>IFERROR(__xludf.DUMMYFUNCTION("""COMPUTED_VALUE"""),2.0)</f>
        <v>2</v>
      </c>
    </row>
    <row r="422" ht="15.75" customHeight="1">
      <c r="A422" s="10" t="str">
        <f>IFERROR(__xludf.DUMMYFUNCTION("""COMPUTED_VALUE"""),"https://coolnerdsmarketing.com/top-ppc-agencies-us/")</f>
        <v>https://coolnerdsmarketing.com/top-ppc-agencies-us/</v>
      </c>
      <c r="B422" s="11" t="str">
        <f>IFERROR(__xludf.DUMMYFUNCTION("""COMPUTED_VALUE"""),"Top PPC Agencies in the U.S. (2026 Rankings)")</f>
        <v>Top PPC Agencies in the U.S. (2026 Rankings)</v>
      </c>
      <c r="C422" s="10" t="str">
        <f>IFERROR(__xludf.DUMMYFUNCTION("""COMPUTED_VALUE"""),"coolnerdsmarketing.com")</f>
        <v>coolnerdsmarketing.com</v>
      </c>
      <c r="D422" s="11" t="str">
        <f>IFERROR(__xludf.DUMMYFUNCTION("""COMPUTED_VALUE"""),"LISTICLE")</f>
        <v>LISTICLE</v>
      </c>
      <c r="E422" s="11" t="str">
        <f>IFERROR(__xludf.DUMMYFUNCTION("""COMPUTED_VALUE"""),"CORPORATE")</f>
        <v>CORPORATE</v>
      </c>
      <c r="F422" s="11" t="str">
        <f>IFERROR(__xludf.DUMMYFUNCTION("""COMPUTED_VALUE"""),"Listicle")</f>
        <v>Listicle</v>
      </c>
      <c r="G422" s="11" t="b">
        <f>IFERROR(__xludf.DUMMYFUNCTION("""COMPUTED_VALUE"""),FALSE)</f>
        <v>0</v>
      </c>
      <c r="H422" s="11" t="str">
        <f>IFERROR(__xludf.DUMMYFUNCTION("""COMPUTED_VALUE"""),"Disruptive Advertising, WebFX, Directive, KlientBoost, HawkSEM, Ignite Visibility")</f>
        <v>Disruptive Advertising, WebFX, Directive, KlientBoost, HawkSEM, Ignite Visibility</v>
      </c>
      <c r="I422" s="11">
        <f>IFERROR(__xludf.DUMMYFUNCTION("""COMPUTED_VALUE"""),2.0)</f>
        <v>2</v>
      </c>
      <c r="J422" s="11">
        <f>IFERROR(__xludf.DUMMYFUNCTION("""COMPUTED_VALUE"""),0.0)</f>
        <v>0</v>
      </c>
      <c r="K422" s="11">
        <f>IFERROR(__xludf.DUMMYFUNCTION("""COMPUTED_VALUE"""),0.0)</f>
        <v>0</v>
      </c>
    </row>
    <row r="423" ht="15.75" customHeight="1">
      <c r="A423" s="10" t="str">
        <f>IFERROR(__xludf.DUMMYFUNCTION("""COMPUTED_VALUE"""),"https://cornerstonecontent.com/best-answer-engine-optimization-aeo-agencies/")</f>
        <v>https://cornerstonecontent.com/best-answer-engine-optimization-aeo-agencies/</v>
      </c>
      <c r="B423" s="11" t="str">
        <f>IFERROR(__xludf.DUMMYFUNCTION("""COMPUTED_VALUE"""),"10 Best Answer Engine Optimization (AEO) Agencies (2026) - Cornerstone Content")</f>
        <v>10 Best Answer Engine Optimization (AEO) Agencies (2026) - Cornerstone Content</v>
      </c>
      <c r="C423" s="10" t="str">
        <f>IFERROR(__xludf.DUMMYFUNCTION("""COMPUTED_VALUE"""),"cornerstonecontent.com")</f>
        <v>cornerstonecontent.com</v>
      </c>
      <c r="D423" s="11" t="str">
        <f>IFERROR(__xludf.DUMMYFUNCTION("""COMPUTED_VALUE"""),"LISTICLE")</f>
        <v>LISTICLE</v>
      </c>
      <c r="E423" s="11" t="str">
        <f>IFERROR(__xludf.DUMMYFUNCTION("""COMPUTED_VALUE"""),"CORPORATE")</f>
        <v>CORPORATE</v>
      </c>
      <c r="F423" s="11" t="str">
        <f>IFERROR(__xludf.DUMMYFUNCTION("""COMPUTED_VALUE"""),"Listicle")</f>
        <v>Listicle</v>
      </c>
      <c r="G423" s="11" t="b">
        <f>IFERROR(__xludf.DUMMYFUNCTION("""COMPUTED_VALUE"""),FALSE)</f>
        <v>0</v>
      </c>
      <c r="H423" s="11" t="str">
        <f>IFERROR(__xludf.DUMMYFUNCTION("""COMPUTED_VALUE"""),"Omniscient Digital, Marcel Digital, First Page Sage, Single Grain, RevenueZen, Avenue Z, Animalz")</f>
        <v>Omniscient Digital, Marcel Digital, First Page Sage, Single Grain, RevenueZen, Avenue Z, Animalz</v>
      </c>
      <c r="I423" s="11">
        <f>IFERROR(__xludf.DUMMYFUNCTION("""COMPUTED_VALUE"""),2.0)</f>
        <v>2</v>
      </c>
      <c r="J423" s="11">
        <f>IFERROR(__xludf.DUMMYFUNCTION("""COMPUTED_VALUE"""),0.0)</f>
        <v>0</v>
      </c>
      <c r="K423" s="11">
        <f>IFERROR(__xludf.DUMMYFUNCTION("""COMPUTED_VALUE"""),0.0)</f>
        <v>0</v>
      </c>
    </row>
    <row r="424" ht="15.75" customHeight="1">
      <c r="A424" s="10" t="str">
        <f>IFERROR(__xludf.DUMMYFUNCTION("""COMPUTED_VALUE"""),"https://www.darkroomagency.com/observatory/top-ai-marketing-agencies-for-growth-in-2025-a-shortlist-that-actually-helps-you-choose")</f>
        <v>https://www.darkroomagency.com/observatory/top-ai-marketing-agencies-for-growth-in-2025-a-shortlist-that-actually-helps-you-choose</v>
      </c>
      <c r="B424" s="11" t="str">
        <f>IFERROR(__xludf.DUMMYFUNCTION("""COMPUTED_VALUE"""),"Top AI Marketing Agencies for Growth in 2025")</f>
        <v>Top AI Marketing Agencies for Growth in 2025</v>
      </c>
      <c r="C424" s="10" t="str">
        <f>IFERROR(__xludf.DUMMYFUNCTION("""COMPUTED_VALUE"""),"darkroomagency.com")</f>
        <v>darkroomagency.com</v>
      </c>
      <c r="D424" s="11" t="str">
        <f>IFERROR(__xludf.DUMMYFUNCTION("""COMPUTED_VALUE"""),"LISTICLE")</f>
        <v>LISTICLE</v>
      </c>
      <c r="E424" s="11" t="str">
        <f>IFERROR(__xludf.DUMMYFUNCTION("""COMPUTED_VALUE"""),"COMPETITOR")</f>
        <v>COMPETITOR</v>
      </c>
      <c r="F424" s="11" t="str">
        <f>IFERROR(__xludf.DUMMYFUNCTION("""COMPUTED_VALUE"""),"Listicle")</f>
        <v>Listicle</v>
      </c>
      <c r="G424" s="11" t="b">
        <f>IFERROR(__xludf.DUMMYFUNCTION("""COMPUTED_VALUE"""),FALSE)</f>
        <v>0</v>
      </c>
      <c r="H424" s="11" t="str">
        <f>IFERROR(__xludf.DUMMYFUNCTION("""COMPUTED_VALUE"""),"Darkroom, WPP, Accenture Song, Publicis Sapient, Superside, Droga5")</f>
        <v>Darkroom, WPP, Accenture Song, Publicis Sapient, Superside, Droga5</v>
      </c>
      <c r="I424" s="11">
        <f>IFERROR(__xludf.DUMMYFUNCTION("""COMPUTED_VALUE"""),2.0)</f>
        <v>2</v>
      </c>
      <c r="J424" s="11">
        <f>IFERROR(__xludf.DUMMYFUNCTION("""COMPUTED_VALUE"""),0.0)</f>
        <v>0</v>
      </c>
      <c r="K424" s="11">
        <f>IFERROR(__xludf.DUMMYFUNCTION("""COMPUTED_VALUE"""),0.0)</f>
        <v>0</v>
      </c>
    </row>
    <row r="425" ht="15.75" customHeight="1">
      <c r="A425" s="10" t="str">
        <f>IFERROR(__xludf.DUMMYFUNCTION("""COMPUTED_VALUE"""),"https://www.designrush.com/agency/digital-marketing/analytics?page=2")</f>
        <v>https://www.designrush.com/agency/digital-marketing/analytics?page=2</v>
      </c>
      <c r="B425" s="11" t="str">
        <f>IFERROR(__xludf.DUMMYFUNCTION("""COMPUTED_VALUE"""),"Top Marketing Analytics Agencies in 2026 - Page 2")</f>
        <v>Top Marketing Analytics Agencies in 2026 - Page 2</v>
      </c>
      <c r="C425" s="10" t="str">
        <f>IFERROR(__xludf.DUMMYFUNCTION("""COMPUTED_VALUE"""),"designrush.com")</f>
        <v>designrush.com</v>
      </c>
      <c r="D425" s="11" t="str">
        <f>IFERROR(__xludf.DUMMYFUNCTION("""COMPUTED_VALUE"""),"LISTICLE")</f>
        <v>LISTICLE</v>
      </c>
      <c r="E425" s="11" t="str">
        <f>IFERROR(__xludf.DUMMYFUNCTION("""COMPUTED_VALUE"""),"CORPORATE")</f>
        <v>CORPORATE</v>
      </c>
      <c r="F425" s="11" t="str">
        <f>IFERROR(__xludf.DUMMYFUNCTION("""COMPUTED_VALUE"""),"Listicle")</f>
        <v>Listicle</v>
      </c>
      <c r="G425" s="11" t="b">
        <f>IFERROR(__xludf.DUMMYFUNCTION("""COMPUTED_VALUE"""),FALSE)</f>
        <v>0</v>
      </c>
      <c r="H425" s="11" t="str">
        <f>IFERROR(__xludf.DUMMYFUNCTION("""COMPUTED_VALUE"""),"Ruler Analytics, Amsive, Intero Digital, Ignite Visibility")</f>
        <v>Ruler Analytics, Amsive, Intero Digital, Ignite Visibility</v>
      </c>
      <c r="I425" s="11">
        <f>IFERROR(__xludf.DUMMYFUNCTION("""COMPUTED_VALUE"""),2.0)</f>
        <v>2</v>
      </c>
      <c r="J425" s="11">
        <f>IFERROR(__xludf.DUMMYFUNCTION("""COMPUTED_VALUE"""),0.0)</f>
        <v>0</v>
      </c>
      <c r="K425" s="11">
        <f>IFERROR(__xludf.DUMMYFUNCTION("""COMPUTED_VALUE"""),0.0)</f>
        <v>0</v>
      </c>
    </row>
    <row r="426" ht="15.75" customHeight="1">
      <c r="A426" s="10" t="str">
        <f>IFERROR(__xludf.DUMMYFUNCTION("""COMPUTED_VALUE"""),"https://www.digipims.com/social-media-marketing-agencies-in-usa/")</f>
        <v>https://www.digipims.com/social-media-marketing-agencies-in-usa/</v>
      </c>
      <c r="B426" s="11" t="str">
        <f>IFERROR(__xludf.DUMMYFUNCTION("""COMPUTED_VALUE"""),"Best Social Media Agencies in USA for Business Growth (updated 2026 )")</f>
        <v>Best Social Media Agencies in USA for Business Growth (updated 2026 )</v>
      </c>
      <c r="C426" s="10" t="str">
        <f>IFERROR(__xludf.DUMMYFUNCTION("""COMPUTED_VALUE"""),"digipims.com")</f>
        <v>digipims.com</v>
      </c>
      <c r="D426" s="11" t="str">
        <f>IFERROR(__xludf.DUMMYFUNCTION("""COMPUTED_VALUE"""),"LISTICLE")</f>
        <v>LISTICLE</v>
      </c>
      <c r="E426" s="11" t="str">
        <f>IFERROR(__xludf.DUMMYFUNCTION("""COMPUTED_VALUE"""),"INSTITUTIONAL")</f>
        <v>INSTITUTIONAL</v>
      </c>
      <c r="F426" s="11" t="str">
        <f>IFERROR(__xludf.DUMMYFUNCTION("""COMPUTED_VALUE"""),"Listicle")</f>
        <v>Listicle</v>
      </c>
      <c r="G426" s="11" t="b">
        <f>IFERROR(__xludf.DUMMYFUNCTION("""COMPUTED_VALUE"""),FALSE)</f>
        <v>0</v>
      </c>
      <c r="H426" s="11" t="str">
        <f>IFERROR(__xludf.DUMMYFUNCTION("""COMPUTED_VALUE"""),"VaynerMedia, Amsive, Thrive Internet Marketing Agency")</f>
        <v>VaynerMedia, Amsive, Thrive Internet Marketing Agency</v>
      </c>
      <c r="I426" s="11">
        <f>IFERROR(__xludf.DUMMYFUNCTION("""COMPUTED_VALUE"""),2.0)</f>
        <v>2</v>
      </c>
      <c r="J426" s="11">
        <f>IFERROR(__xludf.DUMMYFUNCTION("""COMPUTED_VALUE"""),0.0)</f>
        <v>0</v>
      </c>
      <c r="K426" s="11">
        <f>IFERROR(__xludf.DUMMYFUNCTION("""COMPUTED_VALUE"""),1.0)</f>
        <v>1</v>
      </c>
    </row>
    <row r="427" ht="15.75" customHeight="1">
      <c r="A427" s="10" t="str">
        <f>IFERROR(__xludf.DUMMYFUNCTION("""COMPUTED_VALUE"""),"https://digitalagencynetwork.com/best-ai-agents-for-digital-marketing/")</f>
        <v>https://digitalagencynetwork.com/best-ai-agents-for-digital-marketing/</v>
      </c>
      <c r="B427" s="11" t="str">
        <f>IFERROR(__xludf.DUMMYFUNCTION("""COMPUTED_VALUE"""),"Best AI Agents for Digital Marketing: The Ultimate Guide for 2026")</f>
        <v>Best AI Agents for Digital Marketing: The Ultimate Guide for 2026</v>
      </c>
      <c r="C427" s="10" t="str">
        <f>IFERROR(__xludf.DUMMYFUNCTION("""COMPUTED_VALUE"""),"digitalagencynetwork.com")</f>
        <v>digitalagencynetwork.com</v>
      </c>
      <c r="D427" s="11" t="str">
        <f>IFERROR(__xludf.DUMMYFUNCTION("""COMPUTED_VALUE"""),"LISTICLE")</f>
        <v>LISTICLE</v>
      </c>
      <c r="E427" s="11" t="str">
        <f>IFERROR(__xludf.DUMMYFUNCTION("""COMPUTED_VALUE"""),"REFERENCE")</f>
        <v>REFERENCE</v>
      </c>
      <c r="F427" s="11" t="str">
        <f>IFERROR(__xludf.DUMMYFUNCTION("""COMPUTED_VALUE"""),"Listicle")</f>
        <v>Listicle</v>
      </c>
      <c r="G427" s="11" t="b">
        <f>IFERROR(__xludf.DUMMYFUNCTION("""COMPUTED_VALUE"""),FALSE)</f>
        <v>0</v>
      </c>
      <c r="H427" s="11" t="str">
        <f>IFERROR(__xludf.DUMMYFUNCTION("""COMPUTED_VALUE"""),"IBM")</f>
        <v>IBM</v>
      </c>
      <c r="I427" s="11">
        <f>IFERROR(__xludf.DUMMYFUNCTION("""COMPUTED_VALUE"""),2.0)</f>
        <v>2</v>
      </c>
      <c r="J427" s="11">
        <f>IFERROR(__xludf.DUMMYFUNCTION("""COMPUTED_VALUE"""),0.0)</f>
        <v>0</v>
      </c>
      <c r="K427" s="11">
        <f>IFERROR(__xludf.DUMMYFUNCTION("""COMPUTED_VALUE"""),1.5)</f>
        <v>1.5</v>
      </c>
    </row>
    <row r="428" ht="15.75" customHeight="1">
      <c r="A428" s="10" t="str">
        <f>IFERROR(__xludf.DUMMYFUNCTION("""COMPUTED_VALUE"""),"https://www.digitalrhinos.com/saas-marketing-agency/")</f>
        <v>https://www.digitalrhinos.com/saas-marketing-agency/</v>
      </c>
      <c r="B428" s="11" t="str">
        <f>IFERROR(__xludf.DUMMYFUNCTION("""COMPUTED_VALUE"""),"Top 25 SaaS Marketing Agencies (2025)")</f>
        <v>Top 25 SaaS Marketing Agencies (2025)</v>
      </c>
      <c r="C428" s="10" t="str">
        <f>IFERROR(__xludf.DUMMYFUNCTION("""COMPUTED_VALUE"""),"digitalrhinos.com")</f>
        <v>digitalrhinos.com</v>
      </c>
      <c r="D428" s="11" t="str">
        <f>IFERROR(__xludf.DUMMYFUNCTION("""COMPUTED_VALUE"""),"LISTICLE")</f>
        <v>LISTICLE</v>
      </c>
      <c r="E428" s="11" t="str">
        <f>IFERROR(__xludf.DUMMYFUNCTION("""COMPUTED_VALUE"""),"CORPORATE")</f>
        <v>CORPORATE</v>
      </c>
      <c r="F428" s="11" t="str">
        <f>IFERROR(__xludf.DUMMYFUNCTION("""COMPUTED_VALUE"""),"Listicle")</f>
        <v>Listicle</v>
      </c>
      <c r="G428" s="11" t="b">
        <f>IFERROR(__xludf.DUMMYFUNCTION("""COMPUTED_VALUE"""),FALSE)</f>
        <v>0</v>
      </c>
      <c r="H428" s="11" t="str">
        <f>IFERROR(__xludf.DUMMYFUNCTION("""COMPUTED_VALUE"""),"Directive, Single Grain, Refine Labs, Animalz, KlientBoost, Disruptive Advertising, Hey Digital, NoGood, Siege Media, Clutch")</f>
        <v>Directive, Single Grain, Refine Labs, Animalz, KlientBoost, Disruptive Advertising, Hey Digital, NoGood, Siege Media, Clutch</v>
      </c>
      <c r="I428" s="11">
        <f>IFERROR(__xludf.DUMMYFUNCTION("""COMPUTED_VALUE"""),2.0)</f>
        <v>2</v>
      </c>
      <c r="J428" s="11">
        <f>IFERROR(__xludf.DUMMYFUNCTION("""COMPUTED_VALUE"""),0.0)</f>
        <v>0</v>
      </c>
      <c r="K428" s="11">
        <f>IFERROR(__xludf.DUMMYFUNCTION("""COMPUTED_VALUE"""),1.0)</f>
        <v>1</v>
      </c>
    </row>
    <row r="429" ht="15.75" customHeight="1">
      <c r="A429" s="10" t="str">
        <f>IFERROR(__xludf.DUMMYFUNCTION("""COMPUTED_VALUE"""),"https://directiveconsulting.com/blog/10-ai-marketing-agencies-outperforming-the-market/")</f>
        <v>https://directiveconsulting.com/blog/10-ai-marketing-agencies-outperforming-the-market/</v>
      </c>
      <c r="B429" s="11" t="str">
        <f>IFERROR(__xludf.DUMMYFUNCTION("""COMPUTED_VALUE"""),"10 B2B Marketing Agencies Using Proprietary AI to Outperform the Market - Directive")</f>
        <v>10 B2B Marketing Agencies Using Proprietary AI to Outperform the Market - Directive</v>
      </c>
      <c r="C429" s="10" t="str">
        <f>IFERROR(__xludf.DUMMYFUNCTION("""COMPUTED_VALUE"""),"directiveconsulting.com")</f>
        <v>directiveconsulting.com</v>
      </c>
      <c r="D429" s="11" t="str">
        <f>IFERROR(__xludf.DUMMYFUNCTION("""COMPUTED_VALUE"""),"LISTICLE")</f>
        <v>LISTICLE</v>
      </c>
      <c r="E429" s="11" t="str">
        <f>IFERROR(__xludf.DUMMYFUNCTION("""COMPUTED_VALUE"""),"COMPETITOR")</f>
        <v>COMPETITOR</v>
      </c>
      <c r="F429" s="11" t="str">
        <f>IFERROR(__xludf.DUMMYFUNCTION("""COMPUTED_VALUE"""),"Listicle")</f>
        <v>Listicle</v>
      </c>
      <c r="G429" s="11" t="b">
        <f>IFERROR(__xludf.DUMMYFUNCTION("""COMPUTED_VALUE"""),FALSE)</f>
        <v>0</v>
      </c>
      <c r="H429" s="11" t="str">
        <f>IFERROR(__xludf.DUMMYFUNCTION("""COMPUTED_VALUE"""),"Directive, NoGood, Single Grain, Measured, IBM, Clutch")</f>
        <v>Directive, NoGood, Single Grain, Measured, IBM, Clutch</v>
      </c>
      <c r="I429" s="11">
        <f>IFERROR(__xludf.DUMMYFUNCTION("""COMPUTED_VALUE"""),2.0)</f>
        <v>2</v>
      </c>
      <c r="J429" s="11">
        <f>IFERROR(__xludf.DUMMYFUNCTION("""COMPUTED_VALUE"""),0.0)</f>
        <v>0</v>
      </c>
      <c r="K429" s="11">
        <f>IFERROR(__xludf.DUMMYFUNCTION("""COMPUTED_VALUE"""),1.5)</f>
        <v>1.5</v>
      </c>
    </row>
    <row r="430" ht="15.75" customHeight="1">
      <c r="A430" s="10" t="str">
        <f>IFERROR(__xludf.DUMMYFUNCTION("""COMPUTED_VALUE"""),"https://directiveconsulting.com/blog/top-25-b2b-enterprise-marketing-agencies/")</f>
        <v>https://directiveconsulting.com/blog/top-25-b2b-enterprise-marketing-agencies/</v>
      </c>
      <c r="B430" s="11" t="str">
        <f>IFERROR(__xludf.DUMMYFUNCTION("""COMPUTED_VALUE"""),"25 Best Enterprise Marketing Agencies For B2B - Directive")</f>
        <v>25 Best Enterprise Marketing Agencies For B2B - Directive</v>
      </c>
      <c r="C430" s="10" t="str">
        <f>IFERROR(__xludf.DUMMYFUNCTION("""COMPUTED_VALUE"""),"directiveconsulting.com")</f>
        <v>directiveconsulting.com</v>
      </c>
      <c r="D430" s="11" t="str">
        <f>IFERROR(__xludf.DUMMYFUNCTION("""COMPUTED_VALUE"""),"LISTICLE")</f>
        <v>LISTICLE</v>
      </c>
      <c r="E430" s="11" t="str">
        <f>IFERROR(__xludf.DUMMYFUNCTION("""COMPUTED_VALUE"""),"COMPETITOR")</f>
        <v>COMPETITOR</v>
      </c>
      <c r="F430" s="11" t="str">
        <f>IFERROR(__xludf.DUMMYFUNCTION("""COMPUTED_VALUE"""),"Listicle")</f>
        <v>Listicle</v>
      </c>
      <c r="G430" s="11" t="b">
        <f>IFERROR(__xludf.DUMMYFUNCTION("""COMPUTED_VALUE"""),FALSE)</f>
        <v>0</v>
      </c>
      <c r="H430" s="11" t="str">
        <f>IFERROR(__xludf.DUMMYFUNCTION("""COMPUTED_VALUE"""),"Directive, Merkle, Accenture Song, Deloitte Digital, Wpromote, iProspect, Dentsu, Ogilvy, Publicis Sapient, Brainlabs, McKinsey, Bain &amp; Company, BCG, PwC, Slalom, Monks, VML, R/GA, Momentum, TransUnion, IBM, Clutch")</f>
        <v>Directive, Merkle, Accenture Song, Deloitte Digital, Wpromote, iProspect, Dentsu, Ogilvy, Publicis Sapient, Brainlabs, McKinsey, Bain &amp; Company, BCG, PwC, Slalom, Monks, VML, R/GA, Momentum, TransUnion, IBM, Clutch</v>
      </c>
      <c r="I430" s="11">
        <f>IFERROR(__xludf.DUMMYFUNCTION("""COMPUTED_VALUE"""),2.0)</f>
        <v>2</v>
      </c>
      <c r="J430" s="11">
        <f>IFERROR(__xludf.DUMMYFUNCTION("""COMPUTED_VALUE"""),0.0)</f>
        <v>0</v>
      </c>
      <c r="K430" s="11">
        <f>IFERROR(__xludf.DUMMYFUNCTION("""COMPUTED_VALUE"""),1.5)</f>
        <v>1.5</v>
      </c>
    </row>
    <row r="431" ht="15.75" customHeight="1">
      <c r="A431" s="10" t="str">
        <f>IFERROR(__xludf.DUMMYFUNCTION("""COMPUTED_VALUE"""),"https://directiveconsulting.com/uk/blog/25-best-paid-media-agencies-that-turn-ad-spend-into-revenue/")</f>
        <v>https://directiveconsulting.com/uk/blog/25-best-paid-media-agencies-that-turn-ad-spend-into-revenue/</v>
      </c>
      <c r="B431" s="11" t="str">
        <f>IFERROR(__xludf.DUMMYFUNCTION("""COMPUTED_VALUE"""),"25 Best Paid Media Agencies For B2B - Directive")</f>
        <v>25 Best Paid Media Agencies For B2B - Directive</v>
      </c>
      <c r="C431" s="10" t="str">
        <f>IFERROR(__xludf.DUMMYFUNCTION("""COMPUTED_VALUE"""),"directiveconsulting.com")</f>
        <v>directiveconsulting.com</v>
      </c>
      <c r="D431" s="11" t="str">
        <f>IFERROR(__xludf.DUMMYFUNCTION("""COMPUTED_VALUE"""),"LISTICLE")</f>
        <v>LISTICLE</v>
      </c>
      <c r="E431" s="11" t="str">
        <f>IFERROR(__xludf.DUMMYFUNCTION("""COMPUTED_VALUE"""),"COMPETITOR")</f>
        <v>COMPETITOR</v>
      </c>
      <c r="F431" s="11" t="str">
        <f>IFERROR(__xludf.DUMMYFUNCTION("""COMPUTED_VALUE"""),"Listicle")</f>
        <v>Listicle</v>
      </c>
      <c r="G431" s="11" t="b">
        <f>IFERROR(__xludf.DUMMYFUNCTION("""COMPUTED_VALUE"""),FALSE)</f>
        <v>0</v>
      </c>
      <c r="H431" s="11" t="str">
        <f>IFERROR(__xludf.DUMMYFUNCTION("""COMPUTED_VALUE"""),"Directive, Jellyfish, Brainlabs, DEPT, Wpromote, Merkle, Seer Interactive, WebFX, KlientBoost, HawkSEM, Silverback Strategies, Disruptive Advertising, IBM, TransUnion, Dentsu, Clutch")</f>
        <v>Directive, Jellyfish, Brainlabs, DEPT, Wpromote, Merkle, Seer Interactive, WebFX, KlientBoost, HawkSEM, Silverback Strategies, Disruptive Advertising, IBM, TransUnion, Dentsu, Clutch</v>
      </c>
      <c r="I431" s="11">
        <f>IFERROR(__xludf.DUMMYFUNCTION("""COMPUTED_VALUE"""),2.0)</f>
        <v>2</v>
      </c>
      <c r="J431" s="11">
        <f>IFERROR(__xludf.DUMMYFUNCTION("""COMPUTED_VALUE"""),0.0)</f>
        <v>0</v>
      </c>
      <c r="K431" s="11">
        <f>IFERROR(__xludf.DUMMYFUNCTION("""COMPUTED_VALUE"""),0.5)</f>
        <v>0.5</v>
      </c>
    </row>
    <row r="432" ht="15.75" customHeight="1">
      <c r="A432" s="10" t="str">
        <f>IFERROR(__xludf.DUMMYFUNCTION("""COMPUTED_VALUE"""),"https://dmcinsider.com/dmcompanies/best-marketing-analytics-companies-in-the-usa/")</f>
        <v>https://dmcinsider.com/dmcompanies/best-marketing-analytics-companies-in-the-usa/</v>
      </c>
      <c r="B432" s="11" t="str">
        <f>IFERROR(__xludf.DUMMYFUNCTION("""COMPUTED_VALUE"""),"Best Marketing Analytics Companies in the USA - Digital Marketing Companies Insider")</f>
        <v>Best Marketing Analytics Companies in the USA - Digital Marketing Companies Insider</v>
      </c>
      <c r="C432" s="10" t="str">
        <f>IFERROR(__xludf.DUMMYFUNCTION("""COMPUTED_VALUE"""),"dmcinsider.com")</f>
        <v>dmcinsider.com</v>
      </c>
      <c r="D432" s="11" t="str">
        <f>IFERROR(__xludf.DUMMYFUNCTION("""COMPUTED_VALUE"""),"LISTICLE")</f>
        <v>LISTICLE</v>
      </c>
      <c r="E432" s="11" t="str">
        <f>IFERROR(__xludf.DUMMYFUNCTION("""COMPUTED_VALUE"""),"REFERENCE")</f>
        <v>REFERENCE</v>
      </c>
      <c r="F432" s="11" t="str">
        <f>IFERROR(__xludf.DUMMYFUNCTION("""COMPUTED_VALUE"""),"Listicle")</f>
        <v>Listicle</v>
      </c>
      <c r="G432" s="11" t="b">
        <f>IFERROR(__xludf.DUMMYFUNCTION("""COMPUTED_VALUE"""),FALSE)</f>
        <v>0</v>
      </c>
      <c r="H432" s="11" t="str">
        <f>IFERROR(__xludf.DUMMYFUNCTION("""COMPUTED_VALUE"""),"Nielsen, Deloitte Digital, Epsilon, Merkle, Accenture Song, Neustar, TransUnion, Bounteous, Rockerbox, LatentView Analytics, InfoTrust")</f>
        <v>Nielsen, Deloitte Digital, Epsilon, Merkle, Accenture Song, Neustar, TransUnion, Bounteous, Rockerbox, LatentView Analytics, InfoTrust</v>
      </c>
      <c r="I432" s="11">
        <f>IFERROR(__xludf.DUMMYFUNCTION("""COMPUTED_VALUE"""),2.0)</f>
        <v>2</v>
      </c>
      <c r="J432" s="11">
        <f>IFERROR(__xludf.DUMMYFUNCTION("""COMPUTED_VALUE"""),0.0)</f>
        <v>0</v>
      </c>
      <c r="K432" s="11">
        <f>IFERROR(__xludf.DUMMYFUNCTION("""COMPUTED_VALUE"""),2.5)</f>
        <v>2.5</v>
      </c>
    </row>
    <row r="433" ht="15.75" customHeight="1">
      <c r="A433" s="10" t="str">
        <f>IFERROR(__xludf.DUMMYFUNCTION("""COMPUTED_VALUE"""),"https://www.embarque.io/post/generative-engine-optimization-agency")</f>
        <v>https://www.embarque.io/post/generative-engine-optimization-agency</v>
      </c>
      <c r="B433" s="11" t="str">
        <f>IFERROR(__xludf.DUMMYFUNCTION("""COMPUTED_VALUE"""),"Top 40 Generative Engine Optimization (GEO) Agencies in 2025 (+Top 7 Picks) | Embarque")</f>
        <v>Top 40 Generative Engine Optimization (GEO) Agencies in 2025 (+Top 7 Picks) | Embarque</v>
      </c>
      <c r="C433" s="10" t="str">
        <f>IFERROR(__xludf.DUMMYFUNCTION("""COMPUTED_VALUE"""),"embarque.io")</f>
        <v>embarque.io</v>
      </c>
      <c r="D433" s="11" t="str">
        <f>IFERROR(__xludf.DUMMYFUNCTION("""COMPUTED_VALUE"""),"LISTICLE")</f>
        <v>LISTICLE</v>
      </c>
      <c r="E433" s="11" t="str">
        <f>IFERROR(__xludf.DUMMYFUNCTION("""COMPUTED_VALUE"""),"CORPORATE")</f>
        <v>CORPORATE</v>
      </c>
      <c r="F433" s="11" t="str">
        <f>IFERROR(__xludf.DUMMYFUNCTION("""COMPUTED_VALUE"""),"Listicle")</f>
        <v>Listicle</v>
      </c>
      <c r="G433" s="11" t="b">
        <f>IFERROR(__xludf.DUMMYFUNCTION("""COMPUTED_VALUE"""),FALSE)</f>
        <v>0</v>
      </c>
      <c r="H433" s="11" t="str">
        <f>IFERROR(__xludf.DUMMYFUNCTION("""COMPUTED_VALUE"""),"First Page Sage, iPullRank, Intero Digital, NoGood, Omniscient Digital, RevenueZen")</f>
        <v>First Page Sage, iPullRank, Intero Digital, NoGood, Omniscient Digital, RevenueZen</v>
      </c>
      <c r="I433" s="11">
        <f>IFERROR(__xludf.DUMMYFUNCTION("""COMPUTED_VALUE"""),2.0)</f>
        <v>2</v>
      </c>
      <c r="J433" s="11">
        <f>IFERROR(__xludf.DUMMYFUNCTION("""COMPUTED_VALUE"""),0.0)</f>
        <v>0</v>
      </c>
      <c r="K433" s="11">
        <f>IFERROR(__xludf.DUMMYFUNCTION("""COMPUTED_VALUE"""),0.0)</f>
        <v>0</v>
      </c>
    </row>
    <row r="434" ht="15.75" customHeight="1">
      <c r="A434" s="10" t="str">
        <f>IFERROR(__xludf.DUMMYFUNCTION("""COMPUTED_VALUE"""),"https://www.enzuzo.com/blog/best-performance-marketing-agencies")</f>
        <v>https://www.enzuzo.com/blog/best-performance-marketing-agencies</v>
      </c>
      <c r="B434" s="11" t="str">
        <f>IFERROR(__xludf.DUMMYFUNCTION("""COMPUTED_VALUE"""),"9 Top Performance Marketing Agencies [2024 Review]")</f>
        <v>9 Top Performance Marketing Agencies [2024 Review]</v>
      </c>
      <c r="C434" s="10" t="str">
        <f>IFERROR(__xludf.DUMMYFUNCTION("""COMPUTED_VALUE"""),"enzuzo.com")</f>
        <v>enzuzo.com</v>
      </c>
      <c r="D434" s="11" t="str">
        <f>IFERROR(__xludf.DUMMYFUNCTION("""COMPUTED_VALUE"""),"LISTICLE")</f>
        <v>LISTICLE</v>
      </c>
      <c r="E434" s="11" t="str">
        <f>IFERROR(__xludf.DUMMYFUNCTION("""COMPUTED_VALUE"""),"CORPORATE")</f>
        <v>CORPORATE</v>
      </c>
      <c r="F434" s="11" t="str">
        <f>IFERROR(__xludf.DUMMYFUNCTION("""COMPUTED_VALUE"""),"Listicle")</f>
        <v>Listicle</v>
      </c>
      <c r="G434" s="11" t="b">
        <f>IFERROR(__xludf.DUMMYFUNCTION("""COMPUTED_VALUE"""),FALSE)</f>
        <v>0</v>
      </c>
      <c r="H434" s="11" t="str">
        <f>IFERROR(__xludf.DUMMYFUNCTION("""COMPUTED_VALUE"""),"MuteSix, Amsive, Clutch")</f>
        <v>MuteSix, Amsive, Clutch</v>
      </c>
      <c r="I434" s="11">
        <f>IFERROR(__xludf.DUMMYFUNCTION("""COMPUTED_VALUE"""),2.0)</f>
        <v>2</v>
      </c>
      <c r="J434" s="11">
        <f>IFERROR(__xludf.DUMMYFUNCTION("""COMPUTED_VALUE"""),0.0)</f>
        <v>0</v>
      </c>
      <c r="K434" s="11">
        <f>IFERROR(__xludf.DUMMYFUNCTION("""COMPUTED_VALUE"""),0.0)</f>
        <v>0</v>
      </c>
    </row>
    <row r="435" ht="15.75" customHeight="1">
      <c r="A435" s="10" t="str">
        <f>IFERROR(__xludf.DUMMYFUNCTION("""COMPUTED_VALUE"""),"https://evolveamz.com/ai-search/best-ai-search-optimization-agencies-ecommerce-2026/")</f>
        <v>https://evolveamz.com/ai-search/best-ai-search-optimization-agencies-ecommerce-2026/</v>
      </c>
      <c r="B435" s="11" t="str">
        <f>IFERROR(__xludf.DUMMYFUNCTION("""COMPUTED_VALUE"""),"Best AI Search Optimization Agencies for Ecommerce 2026 | Evolve Media Agency")</f>
        <v>Best AI Search Optimization Agencies for Ecommerce 2026 | Evolve Media Agency</v>
      </c>
      <c r="C435" s="10" t="str">
        <f>IFERROR(__xludf.DUMMYFUNCTION("""COMPUTED_VALUE"""),"evolveamz.com")</f>
        <v>evolveamz.com</v>
      </c>
      <c r="D435" s="11" t="str">
        <f>IFERROR(__xludf.DUMMYFUNCTION("""COMPUTED_VALUE"""),"LISTICLE")</f>
        <v>LISTICLE</v>
      </c>
      <c r="E435" s="11" t="str">
        <f>IFERROR(__xludf.DUMMYFUNCTION("""COMPUTED_VALUE"""),"CORPORATE")</f>
        <v>CORPORATE</v>
      </c>
      <c r="F435" s="11" t="str">
        <f>IFERROR(__xludf.DUMMYFUNCTION("""COMPUTED_VALUE"""),"Listicle")</f>
        <v>Listicle</v>
      </c>
      <c r="G435" s="11" t="b">
        <f>IFERROR(__xludf.DUMMYFUNCTION("""COMPUTED_VALUE"""),FALSE)</f>
        <v>0</v>
      </c>
      <c r="H435" s="11" t="str">
        <f>IFERROR(__xludf.DUMMYFUNCTION("""COMPUTED_VALUE"""),"Animalz, Siege Media, Single Grain, NP Digital")</f>
        <v>Animalz, Siege Media, Single Grain, NP Digital</v>
      </c>
      <c r="I435" s="11">
        <f>IFERROR(__xludf.DUMMYFUNCTION("""COMPUTED_VALUE"""),2.0)</f>
        <v>2</v>
      </c>
      <c r="J435" s="11">
        <f>IFERROR(__xludf.DUMMYFUNCTION("""COMPUTED_VALUE"""),0.0)</f>
        <v>0</v>
      </c>
      <c r="K435" s="11">
        <f>IFERROR(__xludf.DUMMYFUNCTION("""COMPUTED_VALUE"""),0.0)</f>
        <v>0</v>
      </c>
    </row>
    <row r="436" ht="15.75" customHeight="1">
      <c r="A436" s="10" t="str">
        <f>IFERROR(__xludf.DUMMYFUNCTION("""COMPUTED_VALUE"""),"https://www.fieldtrip.agency/post/best-creative-agencies-for-global-brands")</f>
        <v>https://www.fieldtrip.agency/post/best-creative-agencies-for-global-brands</v>
      </c>
      <c r="B436" s="11" t="str">
        <f>IFERROR(__xludf.DUMMYFUNCTION("""COMPUTED_VALUE"""),"Top 14 Creative Agencies Powering Global Branding This Year")</f>
        <v>Top 14 Creative Agencies Powering Global Branding This Year</v>
      </c>
      <c r="C436" s="11" t="str">
        <f>IFERROR(__xludf.DUMMYFUNCTION("""COMPUTED_VALUE"""),"fieldtrip.agency")</f>
        <v>fieldtrip.agency</v>
      </c>
      <c r="D436" s="11" t="str">
        <f>IFERROR(__xludf.DUMMYFUNCTION("""COMPUTED_VALUE"""),"LISTICLE")</f>
        <v>LISTICLE</v>
      </c>
      <c r="E436" s="11" t="str">
        <f>IFERROR(__xludf.DUMMYFUNCTION("""COMPUTED_VALUE"""),"CORPORATE")</f>
        <v>CORPORATE</v>
      </c>
      <c r="F436" s="11" t="str">
        <f>IFERROR(__xludf.DUMMYFUNCTION("""COMPUTED_VALUE"""),"Listicle")</f>
        <v>Listicle</v>
      </c>
      <c r="G436" s="11" t="b">
        <f>IFERROR(__xludf.DUMMYFUNCTION("""COMPUTED_VALUE"""),FALSE)</f>
        <v>0</v>
      </c>
      <c r="H436" s="11" t="str">
        <f>IFERROR(__xludf.DUMMYFUNCTION("""COMPUTED_VALUE"""),"inBeat, Dentsu, R/GA, Nielsen")</f>
        <v>inBeat, Dentsu, R/GA, Nielsen</v>
      </c>
      <c r="I436" s="11">
        <f>IFERROR(__xludf.DUMMYFUNCTION("""COMPUTED_VALUE"""),2.0)</f>
        <v>2</v>
      </c>
      <c r="J436" s="11">
        <f>IFERROR(__xludf.DUMMYFUNCTION("""COMPUTED_VALUE"""),0.0)</f>
        <v>0</v>
      </c>
      <c r="K436" s="11">
        <f>IFERROR(__xludf.DUMMYFUNCTION("""COMPUTED_VALUE"""),1.0)</f>
        <v>1</v>
      </c>
    </row>
    <row r="437" ht="15.75" customHeight="1">
      <c r="A437" s="10" t="str">
        <f>IFERROR(__xludf.DUMMYFUNCTION("""COMPUTED_VALUE"""),"https://www.fieldtrip.agency/post/top-geo-agencies")</f>
        <v>https://www.fieldtrip.agency/post/top-geo-agencies</v>
      </c>
      <c r="B437" s="11" t="str">
        <f>IFERROR(__xludf.DUMMYFUNCTION("""COMPUTED_VALUE"""),"Top Generative Engine Optimization (GEO) Agencies for Brands in AI Search")</f>
        <v>Top Generative Engine Optimization (GEO) Agencies for Brands in AI Search</v>
      </c>
      <c r="C437" s="11" t="str">
        <f>IFERROR(__xludf.DUMMYFUNCTION("""COMPUTED_VALUE"""),"fieldtrip.agency")</f>
        <v>fieldtrip.agency</v>
      </c>
      <c r="D437" s="11" t="str">
        <f>IFERROR(__xludf.DUMMYFUNCTION("""COMPUTED_VALUE"""),"LISTICLE")</f>
        <v>LISTICLE</v>
      </c>
      <c r="E437" s="11" t="str">
        <f>IFERROR(__xludf.DUMMYFUNCTION("""COMPUTED_VALUE"""),"CORPORATE")</f>
        <v>CORPORATE</v>
      </c>
      <c r="F437" s="11" t="str">
        <f>IFERROR(__xludf.DUMMYFUNCTION("""COMPUTED_VALUE"""),"Listicle")</f>
        <v>Listicle</v>
      </c>
      <c r="G437" s="11" t="b">
        <f>IFERROR(__xludf.DUMMYFUNCTION("""COMPUTED_VALUE"""),FALSE)</f>
        <v>0</v>
      </c>
      <c r="H437" s="11" t="str">
        <f>IFERROR(__xludf.DUMMYFUNCTION("""COMPUTED_VALUE"""),"Clutch, First Page Sage, Siege Media, TransUnion, WebFX, iPullRank, NP Digital, Major Tom, Intero Digital, Omniscient Digital, Measured, Graphite, inBeat")</f>
        <v>Clutch, First Page Sage, Siege Media, TransUnion, WebFX, iPullRank, NP Digital, Major Tom, Intero Digital, Omniscient Digital, Measured, Graphite, inBeat</v>
      </c>
      <c r="I437" s="11">
        <f>IFERROR(__xludf.DUMMYFUNCTION("""COMPUTED_VALUE"""),2.0)</f>
        <v>2</v>
      </c>
      <c r="J437" s="11">
        <f>IFERROR(__xludf.DUMMYFUNCTION("""COMPUTED_VALUE"""),0.0)</f>
        <v>0</v>
      </c>
      <c r="K437" s="11">
        <f>IFERROR(__xludf.DUMMYFUNCTION("""COMPUTED_VALUE"""),0.5)</f>
        <v>0.5</v>
      </c>
    </row>
    <row r="438" ht="15.75" customHeight="1">
      <c r="A438" s="10" t="str">
        <f>IFERROR(__xludf.DUMMYFUNCTION("""COMPUTED_VALUE"""),"https://finance.yahoo.com/sectors/technology/articles/top-10-branding-agencies-u-125000853.html")</f>
        <v>https://finance.yahoo.com/sectors/technology/articles/top-10-branding-agencies-u-125000853.html</v>
      </c>
      <c r="B438" s="11" t="str">
        <f>IFERROR(__xludf.DUMMYFUNCTION("""COMPUTED_VALUE"""),"Top 10 Branding Agencies in the U.S., Ranked by DesignRush for April 2026")</f>
        <v>Top 10 Branding Agencies in the U.S., Ranked by DesignRush for April 2026</v>
      </c>
      <c r="C438" s="10" t="str">
        <f>IFERROR(__xludf.DUMMYFUNCTION("""COMPUTED_VALUE"""),"yahoo.com")</f>
        <v>yahoo.com</v>
      </c>
      <c r="D438" s="11" t="str">
        <f>IFERROR(__xludf.DUMMYFUNCTION("""COMPUTED_VALUE"""),"LISTICLE")</f>
        <v>LISTICLE</v>
      </c>
      <c r="E438" s="11" t="str">
        <f>IFERROR(__xludf.DUMMYFUNCTION("""COMPUTED_VALUE"""),"OTHER")</f>
        <v>OTHER</v>
      </c>
      <c r="F438" s="11" t="str">
        <f>IFERROR(__xludf.DUMMYFUNCTION("""COMPUTED_VALUE"""),"Listicle")</f>
        <v>Listicle</v>
      </c>
      <c r="G438" s="11" t="b">
        <f>IFERROR(__xludf.DUMMYFUNCTION("""COMPUTED_VALUE"""),FALSE)</f>
        <v>0</v>
      </c>
      <c r="H438" s="11" t="str">
        <f>IFERROR(__xludf.DUMMYFUNCTION("""COMPUTED_VALUE"""),"Funnel Boost Media, Clay")</f>
        <v>Funnel Boost Media, Clay</v>
      </c>
      <c r="I438" s="11">
        <f>IFERROR(__xludf.DUMMYFUNCTION("""COMPUTED_VALUE"""),2.0)</f>
        <v>2</v>
      </c>
      <c r="J438" s="11">
        <f>IFERROR(__xludf.DUMMYFUNCTION("""COMPUTED_VALUE"""),0.0)</f>
        <v>0</v>
      </c>
      <c r="K438" s="11">
        <f>IFERROR(__xludf.DUMMYFUNCTION("""COMPUTED_VALUE"""),0.0)</f>
        <v>0</v>
      </c>
    </row>
    <row r="439" ht="15.75" customHeight="1">
      <c r="A439" s="10" t="str">
        <f>IFERROR(__xludf.DUMMYFUNCTION("""COMPUTED_VALUE"""),"https://firstpagesage.com/seo-blog/the-top-seo-agencies-for-ai-companies/")</f>
        <v>https://firstpagesage.com/seo-blog/the-top-seo-agencies-for-ai-companies/</v>
      </c>
      <c r="B439" s="11" t="str">
        <f>IFERROR(__xludf.DUMMYFUNCTION("""COMPUTED_VALUE"""),"The Top SEO Agencies for AI Companies in 2026 – First Page Sage")</f>
        <v>The Top SEO Agencies for AI Companies in 2026 – First Page Sage</v>
      </c>
      <c r="C439" s="10" t="str">
        <f>IFERROR(__xludf.DUMMYFUNCTION("""COMPUTED_VALUE"""),"firstpagesage.com")</f>
        <v>firstpagesage.com</v>
      </c>
      <c r="D439" s="11" t="str">
        <f>IFERROR(__xludf.DUMMYFUNCTION("""COMPUTED_VALUE"""),"LISTICLE")</f>
        <v>LISTICLE</v>
      </c>
      <c r="E439" s="11" t="str">
        <f>IFERROR(__xludf.DUMMYFUNCTION("""COMPUTED_VALUE"""),"COMPETITOR")</f>
        <v>COMPETITOR</v>
      </c>
      <c r="F439" s="11" t="str">
        <f>IFERROR(__xludf.DUMMYFUNCTION("""COMPUTED_VALUE"""),"Listicle")</f>
        <v>Listicle</v>
      </c>
      <c r="G439" s="11" t="b">
        <f>IFERROR(__xludf.DUMMYFUNCTION("""COMPUTED_VALUE"""),FALSE)</f>
        <v>0</v>
      </c>
      <c r="H439" s="11" t="str">
        <f>IFERROR(__xludf.DUMMYFUNCTION("""COMPUTED_VALUE"""),"First Page Sage, Directive, Clay")</f>
        <v>First Page Sage, Directive, Clay</v>
      </c>
      <c r="I439" s="11">
        <f>IFERROR(__xludf.DUMMYFUNCTION("""COMPUTED_VALUE"""),2.0)</f>
        <v>2</v>
      </c>
      <c r="J439" s="11">
        <f>IFERROR(__xludf.DUMMYFUNCTION("""COMPUTED_VALUE"""),0.0)</f>
        <v>0</v>
      </c>
      <c r="K439" s="11">
        <f>IFERROR(__xludf.DUMMYFUNCTION("""COMPUTED_VALUE"""),1.5)</f>
        <v>1.5</v>
      </c>
    </row>
    <row r="440" ht="15.75" customHeight="1">
      <c r="A440" s="10" t="str">
        <f>IFERROR(__xludf.DUMMYFUNCTION("""COMPUTED_VALUE"""),"https://flypix.ai/geospatial-companies-in-the-usa/#:~:text=Tech%20Maven%20Geospatial%20stands%20at%20the%20forefront,of%20spatial%20data%20processing%20and%20conversion%20services.")</f>
        <v>https://flypix.ai/geospatial-companies-in-the-usa/#:~:text=Tech%20Maven%20Geospatial%20stands%20at%20the%20forefront,of%20spatial%20data%20processing%20and%20conversion%20services.</v>
      </c>
      <c r="B440" s="11" t="str">
        <f>IFERROR(__xludf.DUMMYFUNCTION("""COMPUTED_VALUE"""),"16 Best Geospatial Companies in the USA (2026)")</f>
        <v>16 Best Geospatial Companies in the USA (2026)</v>
      </c>
      <c r="C440" s="10" t="str">
        <f>IFERROR(__xludf.DUMMYFUNCTION("""COMPUTED_VALUE"""),"flypix.ai")</f>
        <v>flypix.ai</v>
      </c>
      <c r="D440" s="11" t="str">
        <f>IFERROR(__xludf.DUMMYFUNCTION("""COMPUTED_VALUE"""),"LISTICLE")</f>
        <v>LISTICLE</v>
      </c>
      <c r="E440" s="11" t="str">
        <f>IFERROR(__xludf.DUMMYFUNCTION("""COMPUTED_VALUE"""),"CORPORATE")</f>
        <v>CORPORATE</v>
      </c>
      <c r="F440" s="11" t="str">
        <f>IFERROR(__xludf.DUMMYFUNCTION("""COMPUTED_VALUE"""),"Listicle")</f>
        <v>Listicle</v>
      </c>
      <c r="G440" s="11" t="b">
        <f>IFERROR(__xludf.DUMMYFUNCTION("""COMPUTED_VALUE"""),FALSE)</f>
        <v>0</v>
      </c>
      <c r="H440" s="11" t="str">
        <f>IFERROR(__xludf.DUMMYFUNCTION("""COMPUTED_VALUE"""),"Anomaly, IBM")</f>
        <v>Anomaly, IBM</v>
      </c>
      <c r="I440" s="11">
        <f>IFERROR(__xludf.DUMMYFUNCTION("""COMPUTED_VALUE"""),2.0)</f>
        <v>2</v>
      </c>
      <c r="J440" s="11">
        <f>IFERROR(__xludf.DUMMYFUNCTION("""COMPUTED_VALUE"""),0.0)</f>
        <v>0</v>
      </c>
      <c r="K440" s="11">
        <f>IFERROR(__xludf.DUMMYFUNCTION("""COMPUTED_VALUE"""),1.0)</f>
        <v>1</v>
      </c>
    </row>
    <row r="441" ht="15.75" customHeight="1">
      <c r="A441" s="10" t="str">
        <f>IFERROR(__xludf.DUMMYFUNCTION("""COMPUTED_VALUE"""),"https://www.forrester.com/blogs/picking-an-agency-to-maximize-the-value-of-your-first-party-data/")</f>
        <v>https://www.forrester.com/blogs/picking-an-agency-to-maximize-the-value-of-your-first-party-data/</v>
      </c>
      <c r="B441" s="11" t="str">
        <f>IFERROR(__xludf.DUMMYFUNCTION("""COMPUTED_VALUE"""),"Picking An Agency To Maximize The Value Of Your First-Party Data")</f>
        <v>Picking An Agency To Maximize The Value Of Your First-Party Data</v>
      </c>
      <c r="C441" s="10" t="str">
        <f>IFERROR(__xludf.DUMMYFUNCTION("""COMPUTED_VALUE"""),"forrester.com")</f>
        <v>forrester.com</v>
      </c>
      <c r="D441" s="11" t="str">
        <f>IFERROR(__xludf.DUMMYFUNCTION("""COMPUTED_VALUE"""),"LISTICLE")</f>
        <v>LISTICLE</v>
      </c>
      <c r="E441" s="11" t="str">
        <f>IFERROR(__xludf.DUMMYFUNCTION("""COMPUTED_VALUE"""),"CORPORATE")</f>
        <v>CORPORATE</v>
      </c>
      <c r="F441" s="11" t="str">
        <f>IFERROR(__xludf.DUMMYFUNCTION("""COMPUTED_VALUE"""),"Listicle")</f>
        <v>Listicle</v>
      </c>
      <c r="G441" s="11" t="b">
        <f>IFERROR(__xludf.DUMMYFUNCTION("""COMPUTED_VALUE"""),FALSE)</f>
        <v>0</v>
      </c>
      <c r="H441" s="11"/>
      <c r="I441" s="11">
        <f>IFERROR(__xludf.DUMMYFUNCTION("""COMPUTED_VALUE"""),2.0)</f>
        <v>2</v>
      </c>
      <c r="J441" s="11">
        <f>IFERROR(__xludf.DUMMYFUNCTION("""COMPUTED_VALUE"""),0.0)</f>
        <v>0</v>
      </c>
      <c r="K441" s="11">
        <f>IFERROR(__xludf.DUMMYFUNCTION("""COMPUTED_VALUE"""),1.5)</f>
        <v>1.5</v>
      </c>
    </row>
    <row r="442" ht="15.75" customHeight="1">
      <c r="A442" s="10" t="str">
        <f>IFERROR(__xludf.DUMMYFUNCTION("""COMPUTED_VALUE"""),"https://fuelonline.com/best-agencies/best-new-york-digital-marketing-agencies/")</f>
        <v>https://fuelonline.com/best-agencies/best-new-york-digital-marketing-agencies/</v>
      </c>
      <c r="B442" s="11" t="str">
        <f>IFERROR(__xludf.DUMMYFUNCTION("""COMPUTED_VALUE"""),"12 Best New York Digital Marketing Agencies 2026 - Fuel Online Digital Marketing Agency SEO Services")</f>
        <v>12 Best New York Digital Marketing Agencies 2026 - Fuel Online Digital Marketing Agency SEO Services</v>
      </c>
      <c r="C442" s="10" t="str">
        <f>IFERROR(__xludf.DUMMYFUNCTION("""COMPUTED_VALUE"""),"fuelonline.com")</f>
        <v>fuelonline.com</v>
      </c>
      <c r="D442" s="11" t="str">
        <f>IFERROR(__xludf.DUMMYFUNCTION("""COMPUTED_VALUE"""),"LISTICLE")</f>
        <v>LISTICLE</v>
      </c>
      <c r="E442" s="11" t="str">
        <f>IFERROR(__xludf.DUMMYFUNCTION("""COMPUTED_VALUE"""),"CORPORATE")</f>
        <v>CORPORATE</v>
      </c>
      <c r="F442" s="11" t="str">
        <f>IFERROR(__xludf.DUMMYFUNCTION("""COMPUTED_VALUE"""),"Listicle")</f>
        <v>Listicle</v>
      </c>
      <c r="G442" s="11" t="b">
        <f>IFERROR(__xludf.DUMMYFUNCTION("""COMPUTED_VALUE"""),FALSE)</f>
        <v>0</v>
      </c>
      <c r="H442" s="11" t="str">
        <f>IFERROR(__xludf.DUMMYFUNCTION("""COMPUTED_VALUE"""),"Dentsu, VaynerMedia, Jellyfish, Tinuiti, Huge, iPullRank, R/GA, Droga5, SmartSites")</f>
        <v>Dentsu, VaynerMedia, Jellyfish, Tinuiti, Huge, iPullRank, R/GA, Droga5, SmartSites</v>
      </c>
      <c r="I442" s="11">
        <f>IFERROR(__xludf.DUMMYFUNCTION("""COMPUTED_VALUE"""),2.0)</f>
        <v>2</v>
      </c>
      <c r="J442" s="11">
        <f>IFERROR(__xludf.DUMMYFUNCTION("""COMPUTED_VALUE"""),0.0)</f>
        <v>0</v>
      </c>
      <c r="K442" s="11">
        <f>IFERROR(__xludf.DUMMYFUNCTION("""COMPUTED_VALUE"""),1.0)</f>
        <v>1</v>
      </c>
    </row>
    <row r="443" ht="15.75" customHeight="1">
      <c r="A443" s="10" t="str">
        <f>IFERROR(__xludf.DUMMYFUNCTION("""COMPUTED_VALUE"""),"https://fuelonline.com/best-agencies/top-20-ppc-agencies-in-the-united-states-ranked-for-2026/")</f>
        <v>https://fuelonline.com/best-agencies/top-20-ppc-agencies-in-the-united-states-ranked-for-2026/</v>
      </c>
      <c r="B443" s="11" t="str">
        <f>IFERROR(__xludf.DUMMYFUNCTION("""COMPUTED_VALUE"""),"Top 20 PPC Agencies In The U.S. For 2026 Ranked")</f>
        <v>Top 20 PPC Agencies In The U.S. For 2026 Ranked</v>
      </c>
      <c r="C443" s="10" t="str">
        <f>IFERROR(__xludf.DUMMYFUNCTION("""COMPUTED_VALUE"""),"fuelonline.com")</f>
        <v>fuelonline.com</v>
      </c>
      <c r="D443" s="11" t="str">
        <f>IFERROR(__xludf.DUMMYFUNCTION("""COMPUTED_VALUE"""),"LISTICLE")</f>
        <v>LISTICLE</v>
      </c>
      <c r="E443" s="11" t="str">
        <f>IFERROR(__xludf.DUMMYFUNCTION("""COMPUTED_VALUE"""),"CORPORATE")</f>
        <v>CORPORATE</v>
      </c>
      <c r="F443" s="11" t="str">
        <f>IFERROR(__xludf.DUMMYFUNCTION("""COMPUTED_VALUE"""),"Listicle")</f>
        <v>Listicle</v>
      </c>
      <c r="G443" s="11" t="b">
        <f>IFERROR(__xludf.DUMMYFUNCTION("""COMPUTED_VALUE"""),FALSE)</f>
        <v>0</v>
      </c>
      <c r="H443" s="11" t="str">
        <f>IFERROR(__xludf.DUMMYFUNCTION("""COMPUTED_VALUE"""),"KlientBoost, Disruptive Advertising, Ignite Visibility, WebFX, Directive, Single Grain, SmartSites, Power Digital, Seer Interactive, AdVenture Media, HawkSEM")</f>
        <v>KlientBoost, Disruptive Advertising, Ignite Visibility, WebFX, Directive, Single Grain, SmartSites, Power Digital, Seer Interactive, AdVenture Media, HawkSEM</v>
      </c>
      <c r="I443" s="11">
        <f>IFERROR(__xludf.DUMMYFUNCTION("""COMPUTED_VALUE"""),2.0)</f>
        <v>2</v>
      </c>
      <c r="J443" s="11">
        <f>IFERROR(__xludf.DUMMYFUNCTION("""COMPUTED_VALUE"""),0.0)</f>
        <v>0</v>
      </c>
      <c r="K443" s="11">
        <f>IFERROR(__xludf.DUMMYFUNCTION("""COMPUTED_VALUE"""),1.0)</f>
        <v>1</v>
      </c>
    </row>
    <row r="444" ht="15.75" customHeight="1">
      <c r="A444" s="10" t="str">
        <f>IFERROR(__xludf.DUMMYFUNCTION("""COMPUTED_VALUE"""),"https://www.g-co.agency/insights/top-enterprise-digital-marketing-agencies-to-work-with#:~:text=8.%20Monsoon%20Agency.%20This%20enterprise%20digital%20marketing,seo%20marketing%20company%20and%20strategic%20growth%20partner.")</f>
        <v>https://www.g-co.agency/insights/top-enterprise-digital-marketing-agencies-to-work-with#:~:text=8.%20Monsoon%20Agency.%20This%20enterprise%20digital%20marketing,seo%20marketing%20company%20and%20strategic%20growth%20partner.</v>
      </c>
      <c r="B444" s="11" t="str">
        <f>IFERROR(__xludf.DUMMYFUNCTION("""COMPUTED_VALUE"""),"Top Enterprise Digital Marketing Agencies to Work With - July 2026 | G&amp;amp;CO.")</f>
        <v>Top Enterprise Digital Marketing Agencies to Work With - July 2026 | G&amp;amp;CO.</v>
      </c>
      <c r="C444" s="11" t="str">
        <f>IFERROR(__xludf.DUMMYFUNCTION("""COMPUTED_VALUE"""),"g-co.agency")</f>
        <v>g-co.agency</v>
      </c>
      <c r="D444" s="11" t="str">
        <f>IFERROR(__xludf.DUMMYFUNCTION("""COMPUTED_VALUE"""),"LISTICLE")</f>
        <v>LISTICLE</v>
      </c>
      <c r="E444" s="11" t="str">
        <f>IFERROR(__xludf.DUMMYFUNCTION("""COMPUTED_VALUE"""),"CORPORATE")</f>
        <v>CORPORATE</v>
      </c>
      <c r="F444" s="11" t="str">
        <f>IFERROR(__xludf.DUMMYFUNCTION("""COMPUTED_VALUE"""),"Listicle")</f>
        <v>Listicle</v>
      </c>
      <c r="G444" s="11" t="b">
        <f>IFERROR(__xludf.DUMMYFUNCTION("""COMPUTED_VALUE"""),FALSE)</f>
        <v>0</v>
      </c>
      <c r="H444" s="11" t="str">
        <f>IFERROR(__xludf.DUMMYFUNCTION("""COMPUTED_VALUE"""),"First Page Sage, LYFE Marketing, Power Digital")</f>
        <v>First Page Sage, LYFE Marketing, Power Digital</v>
      </c>
      <c r="I444" s="11">
        <f>IFERROR(__xludf.DUMMYFUNCTION("""COMPUTED_VALUE"""),2.0)</f>
        <v>2</v>
      </c>
      <c r="J444" s="11">
        <f>IFERROR(__xludf.DUMMYFUNCTION("""COMPUTED_VALUE"""),0.0)</f>
        <v>0</v>
      </c>
      <c r="K444" s="11">
        <f>IFERROR(__xludf.DUMMYFUNCTION("""COMPUTED_VALUE"""),1.0)</f>
        <v>1</v>
      </c>
    </row>
    <row r="445" ht="15.75" customHeight="1">
      <c r="A445" s="10" t="str">
        <f>IFERROR(__xludf.DUMMYFUNCTION("""COMPUTED_VALUE"""),"https://www.geovate.com/blog/generative-engine-optimization-geo-agencies")</f>
        <v>https://www.geovate.com/blog/generative-engine-optimization-geo-agencies</v>
      </c>
      <c r="B445" s="11" t="str">
        <f>IFERROR(__xludf.DUMMYFUNCTION("""COMPUTED_VALUE"""),"Best Generative Engine Optimization (GEO) Agencies")</f>
        <v>Best Generative Engine Optimization (GEO) Agencies</v>
      </c>
      <c r="C445" s="10" t="str">
        <f>IFERROR(__xludf.DUMMYFUNCTION("""COMPUTED_VALUE"""),"geovate.com")</f>
        <v>geovate.com</v>
      </c>
      <c r="D445" s="11" t="str">
        <f>IFERROR(__xludf.DUMMYFUNCTION("""COMPUTED_VALUE"""),"LISTICLE")</f>
        <v>LISTICLE</v>
      </c>
      <c r="E445" s="11" t="str">
        <f>IFERROR(__xludf.DUMMYFUNCTION("""COMPUTED_VALUE"""),"CORPORATE")</f>
        <v>CORPORATE</v>
      </c>
      <c r="F445" s="11" t="str">
        <f>IFERROR(__xludf.DUMMYFUNCTION("""COMPUTED_VALUE"""),"Listicle")</f>
        <v>Listicle</v>
      </c>
      <c r="G445" s="11" t="b">
        <f>IFERROR(__xludf.DUMMYFUNCTION("""COMPUTED_VALUE"""),FALSE)</f>
        <v>0</v>
      </c>
      <c r="H445" s="11" t="str">
        <f>IFERROR(__xludf.DUMMYFUNCTION("""COMPUTED_VALUE"""),"Omniscient Digital, iPullRank")</f>
        <v>Omniscient Digital, iPullRank</v>
      </c>
      <c r="I445" s="11">
        <f>IFERROR(__xludf.DUMMYFUNCTION("""COMPUTED_VALUE"""),2.0)</f>
        <v>2</v>
      </c>
      <c r="J445" s="11">
        <f>IFERROR(__xludf.DUMMYFUNCTION("""COMPUTED_VALUE"""),0.0)</f>
        <v>0</v>
      </c>
      <c r="K445" s="11">
        <f>IFERROR(__xludf.DUMMYFUNCTION("""COMPUTED_VALUE"""),0.0)</f>
        <v>0</v>
      </c>
    </row>
    <row r="446" ht="15.75" customHeight="1">
      <c r="A446" s="10" t="str">
        <f>IFERROR(__xludf.DUMMYFUNCTION("""COMPUTED_VALUE"""),"https://www.geovate.com/blog/top-answer-engine-optimization-aeo-agencies")</f>
        <v>https://www.geovate.com/blog/top-answer-engine-optimization-aeo-agencies</v>
      </c>
      <c r="B446" s="11" t="str">
        <f>IFERROR(__xludf.DUMMYFUNCTION("""COMPUTED_VALUE"""),"Top Answer Engine Optimization (AEO) Agencies")</f>
        <v>Top Answer Engine Optimization (AEO) Agencies</v>
      </c>
      <c r="C446" s="10" t="str">
        <f>IFERROR(__xludf.DUMMYFUNCTION("""COMPUTED_VALUE"""),"geovate.com")</f>
        <v>geovate.com</v>
      </c>
      <c r="D446" s="11" t="str">
        <f>IFERROR(__xludf.DUMMYFUNCTION("""COMPUTED_VALUE"""),"LISTICLE")</f>
        <v>LISTICLE</v>
      </c>
      <c r="E446" s="11" t="str">
        <f>IFERROR(__xludf.DUMMYFUNCTION("""COMPUTED_VALUE"""),"CORPORATE")</f>
        <v>CORPORATE</v>
      </c>
      <c r="F446" s="11" t="str">
        <f>IFERROR(__xludf.DUMMYFUNCTION("""COMPUTED_VALUE"""),"Listicle")</f>
        <v>Listicle</v>
      </c>
      <c r="G446" s="11" t="b">
        <f>IFERROR(__xludf.DUMMYFUNCTION("""COMPUTED_VALUE"""),FALSE)</f>
        <v>0</v>
      </c>
      <c r="H446" s="11" t="str">
        <f>IFERROR(__xludf.DUMMYFUNCTION("""COMPUTED_VALUE"""),"Avenue Z, First Page Sage, Siege Media, NoGood")</f>
        <v>Avenue Z, First Page Sage, Siege Media, NoGood</v>
      </c>
      <c r="I446" s="11">
        <f>IFERROR(__xludf.DUMMYFUNCTION("""COMPUTED_VALUE"""),2.0)</f>
        <v>2</v>
      </c>
      <c r="J446" s="11">
        <f>IFERROR(__xludf.DUMMYFUNCTION("""COMPUTED_VALUE"""),0.0)</f>
        <v>0</v>
      </c>
      <c r="K446" s="11">
        <f>IFERROR(__xludf.DUMMYFUNCTION("""COMPUTED_VALUE"""),0.0)</f>
        <v>0</v>
      </c>
    </row>
    <row r="447" ht="15.75" customHeight="1">
      <c r="A447" s="10" t="str">
        <f>IFERROR(__xludf.DUMMYFUNCTION("""COMPUTED_VALUE"""),"https://gracker.ai/news/top-10-ai-seo-agencies-digital-marketing-firms-for-2026")</f>
        <v>https://gracker.ai/news/top-10-ai-seo-agencies-digital-marketing-firms-for-2026</v>
      </c>
      <c r="B447" s="11" t="str">
        <f>IFERROR(__xludf.DUMMYFUNCTION("""COMPUTED_VALUE"""),"Top 12 AI SEO Agencies &amp;amp; Digital Marketing Firms for 2026 | Cybersecurity News &amp;amp; Threat Intelligence")</f>
        <v>Top 12 AI SEO Agencies &amp;amp; Digital Marketing Firms for 2026 | Cybersecurity News &amp;amp; Threat Intelligence</v>
      </c>
      <c r="C447" s="10" t="str">
        <f>IFERROR(__xludf.DUMMYFUNCTION("""COMPUTED_VALUE"""),"gracker.ai")</f>
        <v>gracker.ai</v>
      </c>
      <c r="D447" s="11" t="str">
        <f>IFERROR(__xludf.DUMMYFUNCTION("""COMPUTED_VALUE"""),"LISTICLE")</f>
        <v>LISTICLE</v>
      </c>
      <c r="E447" s="11" t="str">
        <f>IFERROR(__xludf.DUMMYFUNCTION("""COMPUTED_VALUE"""),"CORPORATE")</f>
        <v>CORPORATE</v>
      </c>
      <c r="F447" s="11" t="str">
        <f>IFERROR(__xludf.DUMMYFUNCTION("""COMPUTED_VALUE"""),"Listicle")</f>
        <v>Listicle</v>
      </c>
      <c r="G447" s="11" t="b">
        <f>IFERROR(__xludf.DUMMYFUNCTION("""COMPUTED_VALUE"""),FALSE)</f>
        <v>0</v>
      </c>
      <c r="H447" s="11" t="str">
        <f>IFERROR(__xludf.DUMMYFUNCTION("""COMPUTED_VALUE"""),"NoGood, Avenue Z, Daydream, Single Grain, Clay")</f>
        <v>NoGood, Avenue Z, Daydream, Single Grain, Clay</v>
      </c>
      <c r="I447" s="11">
        <f>IFERROR(__xludf.DUMMYFUNCTION("""COMPUTED_VALUE"""),2.0)</f>
        <v>2</v>
      </c>
      <c r="J447" s="11">
        <f>IFERROR(__xludf.DUMMYFUNCTION("""COMPUTED_VALUE"""),0.0)</f>
        <v>0</v>
      </c>
      <c r="K447" s="11">
        <f>IFERROR(__xludf.DUMMYFUNCTION("""COMPUTED_VALUE"""),1.0)</f>
        <v>1</v>
      </c>
    </row>
    <row r="448" ht="15.75" customHeight="1">
      <c r="A448" s="10" t="str">
        <f>IFERROR(__xludf.DUMMYFUNCTION("""COMPUTED_VALUE"""),"https://www.heydigital.co/blog/best-saas-paid-social-agencies#:~:text=Hey%20Digital%20is%20a%20B2B%20SaaS%20performance,funnel.%20How%20Hey%20Digital%20approaches%20paid%20social.")</f>
        <v>https://www.heydigital.co/blog/best-saas-paid-social-agencies#:~:text=Hey%20Digital%20is%20a%20B2B%20SaaS%20performance,funnel.%20How%20Hey%20Digital%20approaches%20paid%20social.</v>
      </c>
      <c r="B448" s="11" t="str">
        <f>IFERROR(__xludf.DUMMYFUNCTION("""COMPUTED_VALUE"""),"The 10 Best SaaS Paid Social Agencies in 2026 | Hey Digital")</f>
        <v>The 10 Best SaaS Paid Social Agencies in 2026 | Hey Digital</v>
      </c>
      <c r="C448" s="10" t="str">
        <f>IFERROR(__xludf.DUMMYFUNCTION("""COMPUTED_VALUE"""),"heydigital.co")</f>
        <v>heydigital.co</v>
      </c>
      <c r="D448" s="11" t="str">
        <f>IFERROR(__xludf.DUMMYFUNCTION("""COMPUTED_VALUE"""),"LISTICLE")</f>
        <v>LISTICLE</v>
      </c>
      <c r="E448" s="11" t="str">
        <f>IFERROR(__xludf.DUMMYFUNCTION("""COMPUTED_VALUE"""),"COMPETITOR")</f>
        <v>COMPETITOR</v>
      </c>
      <c r="F448" s="11" t="str">
        <f>IFERROR(__xludf.DUMMYFUNCTION("""COMPUTED_VALUE"""),"Listicle")</f>
        <v>Listicle</v>
      </c>
      <c r="G448" s="11" t="b">
        <f>IFERROR(__xludf.DUMMYFUNCTION("""COMPUTED_VALUE"""),FALSE)</f>
        <v>0</v>
      </c>
      <c r="H448" s="11" t="str">
        <f>IFERROR(__xludf.DUMMYFUNCTION("""COMPUTED_VALUE"""),"Hey Digital, Refine Labs, NoGood, Directive")</f>
        <v>Hey Digital, Refine Labs, NoGood, Directive</v>
      </c>
      <c r="I448" s="11">
        <f>IFERROR(__xludf.DUMMYFUNCTION("""COMPUTED_VALUE"""),2.0)</f>
        <v>2</v>
      </c>
      <c r="J448" s="11">
        <f>IFERROR(__xludf.DUMMYFUNCTION("""COMPUTED_VALUE"""),0.0)</f>
        <v>0</v>
      </c>
      <c r="K448" s="11">
        <f>IFERROR(__xludf.DUMMYFUNCTION("""COMPUTED_VALUE"""),3.0)</f>
        <v>3</v>
      </c>
    </row>
    <row r="449" ht="15.75" customHeight="1">
      <c r="A449" s="10" t="str">
        <f>IFERROR(__xludf.DUMMYFUNCTION("""COMPUTED_VALUE"""),"https://icoda.io/ai/best-ai-marketing-agencies-in-the-usa/")</f>
        <v>https://icoda.io/ai/best-ai-marketing-agencies-in-the-usa/</v>
      </c>
      <c r="B449" s="11" t="str">
        <f>IFERROR(__xludf.DUMMYFUNCTION("""COMPUTED_VALUE"""),"Top 10 Leading AI Marketing Agencies in the USA for 2026")</f>
        <v>Top 10 Leading AI Marketing Agencies in the USA for 2026</v>
      </c>
      <c r="C449" s="10" t="str">
        <f>IFERROR(__xludf.DUMMYFUNCTION("""COMPUTED_VALUE"""),"icoda.io")</f>
        <v>icoda.io</v>
      </c>
      <c r="D449" s="11" t="str">
        <f>IFERROR(__xludf.DUMMYFUNCTION("""COMPUTED_VALUE"""),"LISTICLE")</f>
        <v>LISTICLE</v>
      </c>
      <c r="E449" s="11" t="str">
        <f>IFERROR(__xludf.DUMMYFUNCTION("""COMPUTED_VALUE"""),"CORPORATE")</f>
        <v>CORPORATE</v>
      </c>
      <c r="F449" s="11" t="str">
        <f>IFERROR(__xludf.DUMMYFUNCTION("""COMPUTED_VALUE"""),"Listicle")</f>
        <v>Listicle</v>
      </c>
      <c r="G449" s="11" t="b">
        <f>IFERROR(__xludf.DUMMYFUNCTION("""COMPUTED_VALUE"""),FALSE)</f>
        <v>0</v>
      </c>
      <c r="H449" s="11" t="str">
        <f>IFERROR(__xludf.DUMMYFUNCTION("""COMPUTED_VALUE"""),"Single Grain, Clutch")</f>
        <v>Single Grain, Clutch</v>
      </c>
      <c r="I449" s="11">
        <f>IFERROR(__xludf.DUMMYFUNCTION("""COMPUTED_VALUE"""),2.0)</f>
        <v>2</v>
      </c>
      <c r="J449" s="11">
        <f>IFERROR(__xludf.DUMMYFUNCTION("""COMPUTED_VALUE"""),0.0)</f>
        <v>0</v>
      </c>
      <c r="K449" s="11">
        <f>IFERROR(__xludf.DUMMYFUNCTION("""COMPUTED_VALUE"""),0.0)</f>
        <v>0</v>
      </c>
    </row>
    <row r="450" ht="15.75" customHeight="1">
      <c r="A450" s="10" t="str">
        <f>IFERROR(__xludf.DUMMYFUNCTION("""COMPUTED_VALUE"""),"https://inbeat.agency/blog/top-paid-media-agencies-in-nyc#:~:text=After%20careful%20search%20and%20analysis,York%2C%20NY%2010004%2C%20United%20States")</f>
        <v>https://inbeat.agency/blog/top-paid-media-agencies-in-nyc#:~:text=After%20careful%20search%20and%20analysis,York%2C%20NY%2010004%2C%20United%20States</v>
      </c>
      <c r="B450" s="11" t="str">
        <f>IFERROR(__xludf.DUMMYFUNCTION("""COMPUTED_VALUE"""),"Top 14 Paid Media Agencies in NYC for 2026 - inBeat Agency")</f>
        <v>Top 14 Paid Media Agencies in NYC for 2026 - inBeat Agency</v>
      </c>
      <c r="C450" s="11" t="str">
        <f>IFERROR(__xludf.DUMMYFUNCTION("""COMPUTED_VALUE"""),"inbeat.agency")</f>
        <v>inbeat.agency</v>
      </c>
      <c r="D450" s="11" t="str">
        <f>IFERROR(__xludf.DUMMYFUNCTION("""COMPUTED_VALUE"""),"LISTICLE")</f>
        <v>LISTICLE</v>
      </c>
      <c r="E450" s="11" t="str">
        <f>IFERROR(__xludf.DUMMYFUNCTION("""COMPUTED_VALUE"""),"COMPETITOR")</f>
        <v>COMPETITOR</v>
      </c>
      <c r="F450" s="11" t="str">
        <f>IFERROR(__xludf.DUMMYFUNCTION("""COMPUTED_VALUE"""),"Listicle")</f>
        <v>Listicle</v>
      </c>
      <c r="G450" s="11" t="b">
        <f>IFERROR(__xludf.DUMMYFUNCTION("""COMPUTED_VALUE"""),FALSE)</f>
        <v>0</v>
      </c>
      <c r="H450" s="11" t="str">
        <f>IFERROR(__xludf.DUMMYFUNCTION("""COMPUTED_VALUE"""),"inBeat, Nielsen, Brighter Click, Disruptive Advertising, Avenue Z, Measured, BCG, Clutch, Power Digital")</f>
        <v>inBeat, Nielsen, Brighter Click, Disruptive Advertising, Avenue Z, Measured, BCG, Clutch, Power Digital</v>
      </c>
      <c r="I450" s="11">
        <f>IFERROR(__xludf.DUMMYFUNCTION("""COMPUTED_VALUE"""),2.0)</f>
        <v>2</v>
      </c>
      <c r="J450" s="11">
        <f>IFERROR(__xludf.DUMMYFUNCTION("""COMPUTED_VALUE"""),0.0)</f>
        <v>0</v>
      </c>
      <c r="K450" s="11">
        <f>IFERROR(__xludf.DUMMYFUNCTION("""COMPUTED_VALUE"""),2.0)</f>
        <v>2</v>
      </c>
    </row>
    <row r="451" ht="15.75" customHeight="1">
      <c r="A451" s="10" t="str">
        <f>IFERROR(__xludf.DUMMYFUNCTION("""COMPUTED_VALUE"""),"https://indatalabs.com/blog/ai-consulting-companies-in-usa#:~:text=Slalom%20is%20a%20modern%20consulting,clients%20as%20AI%20systems%20evolve.")</f>
        <v>https://indatalabs.com/blog/ai-consulting-companies-in-usa#:~:text=Slalom%20is%20a%20modern%20consulting,clients%20as%20AI%20systems%20evolve.</v>
      </c>
      <c r="B451" s="11" t="str">
        <f>IFERROR(__xludf.DUMMYFUNCTION("""COMPUTED_VALUE"""),"Top AI Consulting Companies in the USA | InData Labs Blog")</f>
        <v>Top AI Consulting Companies in the USA | InData Labs Blog</v>
      </c>
      <c r="C451" s="10" t="str">
        <f>IFERROR(__xludf.DUMMYFUNCTION("""COMPUTED_VALUE"""),"indatalabs.com")</f>
        <v>indatalabs.com</v>
      </c>
      <c r="D451" s="11" t="str">
        <f>IFERROR(__xludf.DUMMYFUNCTION("""COMPUTED_VALUE"""),"LISTICLE")</f>
        <v>LISTICLE</v>
      </c>
      <c r="E451" s="11" t="str">
        <f>IFERROR(__xludf.DUMMYFUNCTION("""COMPUTED_VALUE"""),"CORPORATE")</f>
        <v>CORPORATE</v>
      </c>
      <c r="F451" s="11" t="str">
        <f>IFERROR(__xludf.DUMMYFUNCTION("""COMPUTED_VALUE"""),"Listicle")</f>
        <v>Listicle</v>
      </c>
      <c r="G451" s="11" t="b">
        <f>IFERROR(__xludf.DUMMYFUNCTION("""COMPUTED_VALUE"""),FALSE)</f>
        <v>0</v>
      </c>
      <c r="H451" s="11" t="str">
        <f>IFERROR(__xludf.DUMMYFUNCTION("""COMPUTED_VALUE"""),"IBM, McKinsey, QuantumBlack, Fractal Analytics, Slalom, Clutch")</f>
        <v>IBM, McKinsey, QuantumBlack, Fractal Analytics, Slalom, Clutch</v>
      </c>
      <c r="I451" s="11">
        <f>IFERROR(__xludf.DUMMYFUNCTION("""COMPUTED_VALUE"""),2.0)</f>
        <v>2</v>
      </c>
      <c r="J451" s="11">
        <f>IFERROR(__xludf.DUMMYFUNCTION("""COMPUTED_VALUE"""),0.0)</f>
        <v>0</v>
      </c>
      <c r="K451" s="11">
        <f>IFERROR(__xludf.DUMMYFUNCTION("""COMPUTED_VALUE"""),1.5)</f>
        <v>1.5</v>
      </c>
    </row>
    <row r="452" ht="15.75" customHeight="1">
      <c r="A452" s="10" t="str">
        <f>IFERROR(__xludf.DUMMYFUNCTION("""COMPUTED_VALUE"""),"https://indatalabs.com/blog/data-analytics-companies-in-usa#:~:text=InData%20Labs%20occupies%20a%20distinct%20position%20in,data%20environment%2C%20business%20model%2C%20and%20growth%20objectives.")</f>
        <v>https://indatalabs.com/blog/data-analytics-companies-in-usa#:~:text=InData%20Labs%20occupies%20a%20distinct%20position%20in,data%20environment%2C%20business%20model%2C%20and%20growth%20objectives.</v>
      </c>
      <c r="B452" s="11" t="str">
        <f>IFERROR(__xludf.DUMMYFUNCTION("""COMPUTED_VALUE"""),"Best Data Analytics Companies in the USA — 2026 Guide")</f>
        <v>Best Data Analytics Companies in the USA — 2026 Guide</v>
      </c>
      <c r="C452" s="10" t="str">
        <f>IFERROR(__xludf.DUMMYFUNCTION("""COMPUTED_VALUE"""),"indatalabs.com")</f>
        <v>indatalabs.com</v>
      </c>
      <c r="D452" s="11" t="str">
        <f>IFERROR(__xludf.DUMMYFUNCTION("""COMPUTED_VALUE"""),"LISTICLE")</f>
        <v>LISTICLE</v>
      </c>
      <c r="E452" s="11" t="str">
        <f>IFERROR(__xludf.DUMMYFUNCTION("""COMPUTED_VALUE"""),"CORPORATE")</f>
        <v>CORPORATE</v>
      </c>
      <c r="F452" s="11" t="str">
        <f>IFERROR(__xludf.DUMMYFUNCTION("""COMPUTED_VALUE"""),"Listicle")</f>
        <v>Listicle</v>
      </c>
      <c r="G452" s="11" t="b">
        <f>IFERROR(__xludf.DUMMYFUNCTION("""COMPUTED_VALUE"""),FALSE)</f>
        <v>0</v>
      </c>
      <c r="H452" s="11" t="str">
        <f>IFERROR(__xludf.DUMMYFUNCTION("""COMPUTED_VALUE"""),"McKinsey, IBM, Clutch")</f>
        <v>McKinsey, IBM, Clutch</v>
      </c>
      <c r="I452" s="11">
        <f>IFERROR(__xludf.DUMMYFUNCTION("""COMPUTED_VALUE"""),2.0)</f>
        <v>2</v>
      </c>
      <c r="J452" s="11">
        <f>IFERROR(__xludf.DUMMYFUNCTION("""COMPUTED_VALUE"""),0.0)</f>
        <v>0</v>
      </c>
      <c r="K452" s="11">
        <f>IFERROR(__xludf.DUMMYFUNCTION("""COMPUTED_VALUE"""),1.0)</f>
        <v>1</v>
      </c>
    </row>
    <row r="453" ht="15.75" customHeight="1">
      <c r="A453" s="10" t="str">
        <f>IFERROR(__xludf.DUMMYFUNCTION("""COMPUTED_VALUE"""),"https://ingestlabs.com/top-digital-ad-agencies/")</f>
        <v>https://ingestlabs.com/top-digital-ad-agencies/</v>
      </c>
      <c r="B453" s="11" t="str">
        <f>IFERROR(__xludf.DUMMYFUNCTION("""COMPUTED_VALUE"""),"Top 20 Digital Marketing and Advertising Agencies in the World 2024 | Ingest Labs")</f>
        <v>Top 20 Digital Marketing and Advertising Agencies in the World 2024 | Ingest Labs</v>
      </c>
      <c r="C453" s="10" t="str">
        <f>IFERROR(__xludf.DUMMYFUNCTION("""COMPUTED_VALUE"""),"ingestlabs.com")</f>
        <v>ingestlabs.com</v>
      </c>
      <c r="D453" s="11" t="str">
        <f>IFERROR(__xludf.DUMMYFUNCTION("""COMPUTED_VALUE"""),"LISTICLE")</f>
        <v>LISTICLE</v>
      </c>
      <c r="E453" s="11" t="str">
        <f>IFERROR(__xludf.DUMMYFUNCTION("""COMPUTED_VALUE"""),"CORPORATE")</f>
        <v>CORPORATE</v>
      </c>
      <c r="F453" s="11" t="str">
        <f>IFERROR(__xludf.DUMMYFUNCTION("""COMPUTED_VALUE"""),"Listicle")</f>
        <v>Listicle</v>
      </c>
      <c r="G453" s="11" t="b">
        <f>IFERROR(__xludf.DUMMYFUNCTION("""COMPUTED_VALUE"""),FALSE)</f>
        <v>0</v>
      </c>
      <c r="H453" s="11" t="str">
        <f>IFERROR(__xludf.DUMMYFUNCTION("""COMPUTED_VALUE"""),"First Page Sage, Clutch, Metric Theory, Epsilon, Ogilvy, IBM, Dentsu, BBDO, Thrive Internet Marketing Agency, Disruptive Advertising, WebFX, KlientBoost")</f>
        <v>First Page Sage, Clutch, Metric Theory, Epsilon, Ogilvy, IBM, Dentsu, BBDO, Thrive Internet Marketing Agency, Disruptive Advertising, WebFX, KlientBoost</v>
      </c>
      <c r="I453" s="11">
        <f>IFERROR(__xludf.DUMMYFUNCTION("""COMPUTED_VALUE"""),2.0)</f>
        <v>2</v>
      </c>
      <c r="J453" s="11">
        <f>IFERROR(__xludf.DUMMYFUNCTION("""COMPUTED_VALUE"""),0.0)</f>
        <v>0</v>
      </c>
      <c r="K453" s="11">
        <f>IFERROR(__xludf.DUMMYFUNCTION("""COMPUTED_VALUE"""),1.0)</f>
        <v>1</v>
      </c>
    </row>
    <row r="454" ht="15.75" customHeight="1">
      <c r="A454" s="10" t="str">
        <f>IFERROR(__xludf.DUMMYFUNCTION("""COMPUTED_VALUE"""),"https://www.intuz.com/blog/top-ai-consulting-companies-in-usa")</f>
        <v>https://www.intuz.com/blog/top-ai-consulting-companies-in-usa</v>
      </c>
      <c r="B454" s="11" t="str">
        <f>IFERROR(__xludf.DUMMYFUNCTION("""COMPUTED_VALUE"""),"Top 9 AI Consulting Companies in USA for Enterprises \[2026\]")</f>
        <v>Top 9 AI Consulting Companies in USA for Enterprises \[2026\]</v>
      </c>
      <c r="C454" s="10" t="str">
        <f>IFERROR(__xludf.DUMMYFUNCTION("""COMPUTED_VALUE"""),"intuz.com")</f>
        <v>intuz.com</v>
      </c>
      <c r="D454" s="11" t="str">
        <f>IFERROR(__xludf.DUMMYFUNCTION("""COMPUTED_VALUE"""),"LISTICLE")</f>
        <v>LISTICLE</v>
      </c>
      <c r="E454" s="11" t="str">
        <f>IFERROR(__xludf.DUMMYFUNCTION("""COMPUTED_VALUE"""),"CORPORATE")</f>
        <v>CORPORATE</v>
      </c>
      <c r="F454" s="11" t="str">
        <f>IFERROR(__xludf.DUMMYFUNCTION("""COMPUTED_VALUE"""),"Listicle")</f>
        <v>Listicle</v>
      </c>
      <c r="G454" s="11" t="b">
        <f>IFERROR(__xludf.DUMMYFUNCTION("""COMPUTED_VALUE"""),FALSE)</f>
        <v>0</v>
      </c>
      <c r="H454" s="11" t="str">
        <f>IFERROR(__xludf.DUMMYFUNCTION("""COMPUTED_VALUE"""),"McKinsey, Clutch, Anomaly")</f>
        <v>McKinsey, Clutch, Anomaly</v>
      </c>
      <c r="I454" s="11">
        <f>IFERROR(__xludf.DUMMYFUNCTION("""COMPUTED_VALUE"""),2.0)</f>
        <v>2</v>
      </c>
      <c r="J454" s="11">
        <f>IFERROR(__xludf.DUMMYFUNCTION("""COMPUTED_VALUE"""),0.0)</f>
        <v>0</v>
      </c>
      <c r="K454" s="11">
        <f>IFERROR(__xludf.DUMMYFUNCTION("""COMPUTED_VALUE"""),0.0)</f>
        <v>0</v>
      </c>
    </row>
    <row r="455" ht="15.75" customHeight="1">
      <c r="A455" s="10" t="str">
        <f>IFERROR(__xludf.DUMMYFUNCTION("""COMPUTED_VALUE"""),"https://lengreo.com/best-google-ads-agencies-2025/")</f>
        <v>https://lengreo.com/best-google-ads-agencies-2025/</v>
      </c>
      <c r="B455" s="11" t="str">
        <f>IFERROR(__xludf.DUMMYFUNCTION("""COMPUTED_VALUE"""),"Top 16 Google Ads Companies for Smarter Campaigns (2026)")</f>
        <v>Top 16 Google Ads Companies for Smarter Campaigns (2026)</v>
      </c>
      <c r="C455" s="10" t="str">
        <f>IFERROR(__xludf.DUMMYFUNCTION("""COMPUTED_VALUE"""),"lengreo.com")</f>
        <v>lengreo.com</v>
      </c>
      <c r="D455" s="11" t="str">
        <f>IFERROR(__xludf.DUMMYFUNCTION("""COMPUTED_VALUE"""),"LISTICLE")</f>
        <v>LISTICLE</v>
      </c>
      <c r="E455" s="11" t="str">
        <f>IFERROR(__xludf.DUMMYFUNCTION("""COMPUTED_VALUE"""),"CORPORATE")</f>
        <v>CORPORATE</v>
      </c>
      <c r="F455" s="11" t="str">
        <f>IFERROR(__xludf.DUMMYFUNCTION("""COMPUTED_VALUE"""),"Listicle")</f>
        <v>Listicle</v>
      </c>
      <c r="G455" s="11" t="b">
        <f>IFERROR(__xludf.DUMMYFUNCTION("""COMPUTED_VALUE"""),FALSE)</f>
        <v>0</v>
      </c>
      <c r="H455" s="11" t="str">
        <f>IFERROR(__xludf.DUMMYFUNCTION("""COMPUTED_VALUE"""),"Clutch, WebFX, Disruptive Advertising, KlientBoost, Directive, SmartSites, Ignite Visibility, Thrive Internet Marketing Agency, Power Digital, Single Grain, NP Digital, Brainlabs, Searchbloom, Funnel Boost Media")</f>
        <v>Clutch, WebFX, Disruptive Advertising, KlientBoost, Directive, SmartSites, Ignite Visibility, Thrive Internet Marketing Agency, Power Digital, Single Grain, NP Digital, Brainlabs, Searchbloom, Funnel Boost Media</v>
      </c>
      <c r="I455" s="11">
        <f>IFERROR(__xludf.DUMMYFUNCTION("""COMPUTED_VALUE"""),2.0)</f>
        <v>2</v>
      </c>
      <c r="J455" s="11">
        <f>IFERROR(__xludf.DUMMYFUNCTION("""COMPUTED_VALUE"""),0.0)</f>
        <v>0</v>
      </c>
      <c r="K455" s="11">
        <f>IFERROR(__xludf.DUMMYFUNCTION("""COMPUTED_VALUE"""),0.0)</f>
        <v>0</v>
      </c>
    </row>
    <row r="456" ht="15.75" customHeight="1">
      <c r="A456" s="10" t="str">
        <f>IFERROR(__xludf.DUMMYFUNCTION("""COMPUTED_VALUE"""),"https://lengreo.com/best-us-agencies-for-meta-ads/")</f>
        <v>https://lengreo.com/best-us-agencies-for-meta-ads/</v>
      </c>
      <c r="B456" s="11" t="str">
        <f>IFERROR(__xludf.DUMMYFUNCTION("""COMPUTED_VALUE"""),"Top 15 Meta Ads Companies Defining Success in the US Market (2026)")</f>
        <v>Top 15 Meta Ads Companies Defining Success in the US Market (2026)</v>
      </c>
      <c r="C456" s="10" t="str">
        <f>IFERROR(__xludf.DUMMYFUNCTION("""COMPUTED_VALUE"""),"lengreo.com")</f>
        <v>lengreo.com</v>
      </c>
      <c r="D456" s="11" t="str">
        <f>IFERROR(__xludf.DUMMYFUNCTION("""COMPUTED_VALUE"""),"LISTICLE")</f>
        <v>LISTICLE</v>
      </c>
      <c r="E456" s="11" t="str">
        <f>IFERROR(__xludf.DUMMYFUNCTION("""COMPUTED_VALUE"""),"CORPORATE")</f>
        <v>CORPORATE</v>
      </c>
      <c r="F456" s="11" t="str">
        <f>IFERROR(__xludf.DUMMYFUNCTION("""COMPUTED_VALUE"""),"Listicle")</f>
        <v>Listicle</v>
      </c>
      <c r="G456" s="11" t="b">
        <f>IFERROR(__xludf.DUMMYFUNCTION("""COMPUTED_VALUE"""),FALSE)</f>
        <v>0</v>
      </c>
      <c r="H456" s="11" t="str">
        <f>IFERROR(__xludf.DUMMYFUNCTION("""COMPUTED_VALUE"""),"Clutch, Disruptive Advertising, LYFE Marketing, KlientBoost, WebFX, Silverback Strategies, Ignite Visibility, Sociallyin, Thrive Internet Marketing Agency, Metric Theory, Monks")</f>
        <v>Clutch, Disruptive Advertising, LYFE Marketing, KlientBoost, WebFX, Silverback Strategies, Ignite Visibility, Sociallyin, Thrive Internet Marketing Agency, Metric Theory, Monks</v>
      </c>
      <c r="I456" s="11">
        <f>IFERROR(__xludf.DUMMYFUNCTION("""COMPUTED_VALUE"""),2.0)</f>
        <v>2</v>
      </c>
      <c r="J456" s="11">
        <f>IFERROR(__xludf.DUMMYFUNCTION("""COMPUTED_VALUE"""),0.0)</f>
        <v>0</v>
      </c>
      <c r="K456" s="11">
        <f>IFERROR(__xludf.DUMMYFUNCTION("""COMPUTED_VALUE"""),0.5)</f>
        <v>0.5</v>
      </c>
    </row>
    <row r="457" ht="15.75" customHeight="1">
      <c r="A457" s="10" t="str">
        <f>IFERROR(__xludf.DUMMYFUNCTION("""COMPUTED_VALUE"""),"https://lifesight.io/blog/best-unified-marketing-measurement-tools/")</f>
        <v>https://lifesight.io/blog/best-unified-marketing-measurement-tools/</v>
      </c>
      <c r="B457" s="11" t="str">
        <f>IFERROR(__xludf.DUMMYFUNCTION("""COMPUTED_VALUE"""),"6 Best Unified Marketing Measurement Tools in 2026 Compared")</f>
        <v>6 Best Unified Marketing Measurement Tools in 2026 Compared</v>
      </c>
      <c r="C457" s="10" t="str">
        <f>IFERROR(__xludf.DUMMYFUNCTION("""COMPUTED_VALUE"""),"lifesight.io")</f>
        <v>lifesight.io</v>
      </c>
      <c r="D457" s="11" t="str">
        <f>IFERROR(__xludf.DUMMYFUNCTION("""COMPUTED_VALUE"""),"LISTICLE")</f>
        <v>LISTICLE</v>
      </c>
      <c r="E457" s="11" t="str">
        <f>IFERROR(__xludf.DUMMYFUNCTION("""COMPUTED_VALUE"""),"COMPETITOR")</f>
        <v>COMPETITOR</v>
      </c>
      <c r="F457" s="11" t="str">
        <f>IFERROR(__xludf.DUMMYFUNCTION("""COMPUTED_VALUE"""),"Listicle")</f>
        <v>Listicle</v>
      </c>
      <c r="G457" s="11" t="b">
        <f>IFERROR(__xludf.DUMMYFUNCTION("""COMPUTED_VALUE"""),FALSE)</f>
        <v>0</v>
      </c>
      <c r="H457" s="11" t="str">
        <f>IFERROR(__xludf.DUMMYFUNCTION("""COMPUTED_VALUE"""),"LifeSight, Measured, Haus, LiftLab, Recast, Rockerbox, Northbeam")</f>
        <v>LifeSight, Measured, Haus, LiftLab, Recast, Rockerbox, Northbeam</v>
      </c>
      <c r="I457" s="11">
        <f>IFERROR(__xludf.DUMMYFUNCTION("""COMPUTED_VALUE"""),2.0)</f>
        <v>2</v>
      </c>
      <c r="J457" s="11">
        <f>IFERROR(__xludf.DUMMYFUNCTION("""COMPUTED_VALUE"""),0.0)</f>
        <v>0</v>
      </c>
      <c r="K457" s="11">
        <f>IFERROR(__xludf.DUMMYFUNCTION("""COMPUTED_VALUE"""),3.0)</f>
        <v>3</v>
      </c>
    </row>
    <row r="458" ht="15.75" customHeight="1">
      <c r="A458" s="10" t="str">
        <f>IFERROR(__xludf.DUMMYFUNCTION("""COMPUTED_VALUE"""),"https://www.m8l.com/blog/top-10-answer-engine-optimization-aeo-agencies")</f>
        <v>https://www.m8l.com/blog/top-10-answer-engine-optimization-aeo-agencies</v>
      </c>
      <c r="B458" s="11" t="str">
        <f>IFERROR(__xludf.DUMMYFUNCTION("""COMPUTED_VALUE"""),"Top 10 Answer Engine Optimization (AEO) Agencies of 2025 | Meaningful, m8l")</f>
        <v>Top 10 Answer Engine Optimization (AEO) Agencies of 2025 | Meaningful, m8l</v>
      </c>
      <c r="C458" s="10" t="str">
        <f>IFERROR(__xludf.DUMMYFUNCTION("""COMPUTED_VALUE"""),"m8l.com")</f>
        <v>m8l.com</v>
      </c>
      <c r="D458" s="11" t="str">
        <f>IFERROR(__xludf.DUMMYFUNCTION("""COMPUTED_VALUE"""),"LISTICLE")</f>
        <v>LISTICLE</v>
      </c>
      <c r="E458" s="11" t="str">
        <f>IFERROR(__xludf.DUMMYFUNCTION("""COMPUTED_VALUE"""),"CORPORATE")</f>
        <v>CORPORATE</v>
      </c>
      <c r="F458" s="11" t="str">
        <f>IFERROR(__xludf.DUMMYFUNCTION("""COMPUTED_VALUE"""),"Listicle")</f>
        <v>Listicle</v>
      </c>
      <c r="G458" s="11" t="b">
        <f>IFERROR(__xludf.DUMMYFUNCTION("""COMPUTED_VALUE"""),FALSE)</f>
        <v>0</v>
      </c>
      <c r="H458" s="11" t="str">
        <f>IFERROR(__xludf.DUMMYFUNCTION("""COMPUTED_VALUE"""),"Avenue Z, First Page Sage, Siege Media, NoGood")</f>
        <v>Avenue Z, First Page Sage, Siege Media, NoGood</v>
      </c>
      <c r="I458" s="11">
        <f>IFERROR(__xludf.DUMMYFUNCTION("""COMPUTED_VALUE"""),2.0)</f>
        <v>2</v>
      </c>
      <c r="J458" s="11">
        <f>IFERROR(__xludf.DUMMYFUNCTION("""COMPUTED_VALUE"""),0.0)</f>
        <v>0</v>
      </c>
      <c r="K458" s="11">
        <f>IFERROR(__xludf.DUMMYFUNCTION("""COMPUTED_VALUE"""),0.0)</f>
        <v>0</v>
      </c>
    </row>
    <row r="459" ht="15.75" customHeight="1">
      <c r="A459" s="10" t="str">
        <f>IFERROR(__xludf.DUMMYFUNCTION("""COMPUTED_VALUE"""),"https://marketerhire.com/blog/display-advertising-agency")</f>
        <v>https://marketerhire.com/blog/display-advertising-agency</v>
      </c>
      <c r="B459" s="11" t="str">
        <f>IFERROR(__xludf.DUMMYFUNCTION("""COMPUTED_VALUE"""),"10 Top Display Advertising Agencies to Lower CPMs and Lift Conversions")</f>
        <v>10 Top Display Advertising Agencies to Lower CPMs and Lift Conversions</v>
      </c>
      <c r="C459" s="10" t="str">
        <f>IFERROR(__xludf.DUMMYFUNCTION("""COMPUTED_VALUE"""),"marketerhire.com")</f>
        <v>marketerhire.com</v>
      </c>
      <c r="D459" s="11" t="str">
        <f>IFERROR(__xludf.DUMMYFUNCTION("""COMPUTED_VALUE"""),"LISTICLE")</f>
        <v>LISTICLE</v>
      </c>
      <c r="E459" s="11" t="str">
        <f>IFERROR(__xludf.DUMMYFUNCTION("""COMPUTED_VALUE"""),"CORPORATE")</f>
        <v>CORPORATE</v>
      </c>
      <c r="F459" s="11" t="str">
        <f>IFERROR(__xludf.DUMMYFUNCTION("""COMPUTED_VALUE"""),"Listicle")</f>
        <v>Listicle</v>
      </c>
      <c r="G459" s="11" t="b">
        <f>IFERROR(__xludf.DUMMYFUNCTION("""COMPUTED_VALUE"""),FALSE)</f>
        <v>0</v>
      </c>
      <c r="H459" s="11" t="str">
        <f>IFERROR(__xludf.DUMMYFUNCTION("""COMPUTED_VALUE"""),"MuteSix, Measured, Single Grain, Momentum, inBeat")</f>
        <v>MuteSix, Measured, Single Grain, Momentum, inBeat</v>
      </c>
      <c r="I459" s="11">
        <f>IFERROR(__xludf.DUMMYFUNCTION("""COMPUTED_VALUE"""),2.0)</f>
        <v>2</v>
      </c>
      <c r="J459" s="11">
        <f>IFERROR(__xludf.DUMMYFUNCTION("""COMPUTED_VALUE"""),0.0)</f>
        <v>0</v>
      </c>
      <c r="K459" s="11">
        <f>IFERROR(__xludf.DUMMYFUNCTION("""COMPUTED_VALUE"""),0.5)</f>
        <v>0.5</v>
      </c>
    </row>
    <row r="460" ht="15.75" customHeight="1">
      <c r="A460" s="10" t="str">
        <f>IFERROR(__xludf.DUMMYFUNCTION("""COMPUTED_VALUE"""),"https://marketerhire.com/blog/fractional-marketing-agency")</f>
        <v>https://marketerhire.com/blog/fractional-marketing-agency</v>
      </c>
      <c r="B460" s="11" t="str">
        <f>IFERROR(__xludf.DUMMYFUNCTION("""COMPUTED_VALUE"""),"7 Best Fractional Marketing Agencies in 2025")</f>
        <v>7 Best Fractional Marketing Agencies in 2025</v>
      </c>
      <c r="C460" s="10" t="str">
        <f>IFERROR(__xludf.DUMMYFUNCTION("""COMPUTED_VALUE"""),"marketerhire.com")</f>
        <v>marketerhire.com</v>
      </c>
      <c r="D460" s="11" t="str">
        <f>IFERROR(__xludf.DUMMYFUNCTION("""COMPUTED_VALUE"""),"LISTICLE")</f>
        <v>LISTICLE</v>
      </c>
      <c r="E460" s="11" t="str">
        <f>IFERROR(__xludf.DUMMYFUNCTION("""COMPUTED_VALUE"""),"CORPORATE")</f>
        <v>CORPORATE</v>
      </c>
      <c r="F460" s="11" t="str">
        <f>IFERROR(__xludf.DUMMYFUNCTION("""COMPUTED_VALUE"""),"Listicle")</f>
        <v>Listicle</v>
      </c>
      <c r="G460" s="11" t="b">
        <f>IFERROR(__xludf.DUMMYFUNCTION("""COMPUTED_VALUE"""),FALSE)</f>
        <v>0</v>
      </c>
      <c r="H460" s="11" t="str">
        <f>IFERROR(__xludf.DUMMYFUNCTION("""COMPUTED_VALUE"""),"Right Side Up, Digital Authority Partners")</f>
        <v>Right Side Up, Digital Authority Partners</v>
      </c>
      <c r="I460" s="11">
        <f>IFERROR(__xludf.DUMMYFUNCTION("""COMPUTED_VALUE"""),2.0)</f>
        <v>2</v>
      </c>
      <c r="J460" s="11">
        <f>IFERROR(__xludf.DUMMYFUNCTION("""COMPUTED_VALUE"""),0.0)</f>
        <v>0</v>
      </c>
      <c r="K460" s="11">
        <f>IFERROR(__xludf.DUMMYFUNCTION("""COMPUTED_VALUE"""),1.0)</f>
        <v>1</v>
      </c>
    </row>
    <row r="461" ht="15.75" customHeight="1">
      <c r="A461" s="10" t="str">
        <f>IFERROR(__xludf.DUMMYFUNCTION("""COMPUTED_VALUE"""),"https://marketing-attribution-and-consulting.martechoutlook.com/vendors/top-marketing-attribution-and-consulting-services.html")</f>
        <v>https://marketing-attribution-and-consulting.martechoutlook.com/vendors/top-marketing-attribution-and-consulting-services.html</v>
      </c>
      <c r="B461" s="11" t="str">
        <f>IFERROR(__xludf.DUMMYFUNCTION("""COMPUTED_VALUE"""),"Top Marketing Attribution and Consulting Services")</f>
        <v>Top Marketing Attribution and Consulting Services</v>
      </c>
      <c r="C461" s="10" t="str">
        <f>IFERROR(__xludf.DUMMYFUNCTION("""COMPUTED_VALUE"""),"martechoutlook.com")</f>
        <v>martechoutlook.com</v>
      </c>
      <c r="D461" s="11" t="str">
        <f>IFERROR(__xludf.DUMMYFUNCTION("""COMPUTED_VALUE"""),"LISTICLE")</f>
        <v>LISTICLE</v>
      </c>
      <c r="E461" s="11" t="str">
        <f>IFERROR(__xludf.DUMMYFUNCTION("""COMPUTED_VALUE"""),"EDITORIAL")</f>
        <v>EDITORIAL</v>
      </c>
      <c r="F461" s="11" t="str">
        <f>IFERROR(__xludf.DUMMYFUNCTION("""COMPUTED_VALUE"""),"Listicle")</f>
        <v>Listicle</v>
      </c>
      <c r="G461" s="11" t="b">
        <f>IFERROR(__xludf.DUMMYFUNCTION("""COMPUTED_VALUE"""),FALSE)</f>
        <v>0</v>
      </c>
      <c r="H461" s="11" t="str">
        <f>IFERROR(__xludf.DUMMYFUNCTION("""COMPUTED_VALUE"""),"LiftLab")</f>
        <v>LiftLab</v>
      </c>
      <c r="I461" s="11">
        <f>IFERROR(__xludf.DUMMYFUNCTION("""COMPUTED_VALUE"""),2.0)</f>
        <v>2</v>
      </c>
      <c r="J461" s="11">
        <f>IFERROR(__xludf.DUMMYFUNCTION("""COMPUTED_VALUE"""),0.0)</f>
        <v>0</v>
      </c>
      <c r="K461" s="11">
        <f>IFERROR(__xludf.DUMMYFUNCTION("""COMPUTED_VALUE"""),0.0)</f>
        <v>0</v>
      </c>
    </row>
    <row r="462" ht="15.75" customHeight="1">
      <c r="A462" s="10" t="str">
        <f>IFERROR(__xludf.DUMMYFUNCTION("""COMPUTED_VALUE"""),"https://marketingltb.com/blog/agency/best-enterprise-digital-marketing-agencies/")</f>
        <v>https://marketingltb.com/blog/agency/best-enterprise-digital-marketing-agencies/</v>
      </c>
      <c r="B462" s="11" t="str">
        <f>IFERROR(__xludf.DUMMYFUNCTION("""COMPUTED_VALUE"""),"10 Best Enterprise Digital Marketing Agencies in 2026 - Marketing LTB")</f>
        <v>10 Best Enterprise Digital Marketing Agencies in 2026 - Marketing LTB</v>
      </c>
      <c r="C462" s="10" t="str">
        <f>IFERROR(__xludf.DUMMYFUNCTION("""COMPUTED_VALUE"""),"marketingltb.com")</f>
        <v>marketingltb.com</v>
      </c>
      <c r="D462" s="11" t="str">
        <f>IFERROR(__xludf.DUMMYFUNCTION("""COMPUTED_VALUE"""),"LISTICLE")</f>
        <v>LISTICLE</v>
      </c>
      <c r="E462" s="11" t="str">
        <f>IFERROR(__xludf.DUMMYFUNCTION("""COMPUTED_VALUE"""),"CORPORATE")</f>
        <v>CORPORATE</v>
      </c>
      <c r="F462" s="11" t="str">
        <f>IFERROR(__xludf.DUMMYFUNCTION("""COMPUTED_VALUE"""),"Listicle")</f>
        <v>Listicle</v>
      </c>
      <c r="G462" s="11" t="b">
        <f>IFERROR(__xludf.DUMMYFUNCTION("""COMPUTED_VALUE"""),FALSE)</f>
        <v>0</v>
      </c>
      <c r="H462" s="11" t="str">
        <f>IFERROR(__xludf.DUMMYFUNCTION("""COMPUTED_VALUE"""),"Accenture Song, WPP, Merkle, Dentsu, Brainlabs, Tinuiti, Jellyfish, Wpromote, VML, iProspect, Clutch")</f>
        <v>Accenture Song, WPP, Merkle, Dentsu, Brainlabs, Tinuiti, Jellyfish, Wpromote, VML, iProspect, Clutch</v>
      </c>
      <c r="I462" s="11">
        <f>IFERROR(__xludf.DUMMYFUNCTION("""COMPUTED_VALUE"""),2.0)</f>
        <v>2</v>
      </c>
      <c r="J462" s="11">
        <f>IFERROR(__xludf.DUMMYFUNCTION("""COMPUTED_VALUE"""),0.0)</f>
        <v>0</v>
      </c>
      <c r="K462" s="11">
        <f>IFERROR(__xludf.DUMMYFUNCTION("""COMPUTED_VALUE"""),1.0)</f>
        <v>1</v>
      </c>
    </row>
    <row r="463" ht="15.75" customHeight="1">
      <c r="A463" s="10" t="str">
        <f>IFERROR(__xludf.DUMMYFUNCTION("""COMPUTED_VALUE"""),"https://www.marksourced.com/p/top-7-b2b-generative-engine-optimization-geo-consultancies-in-2025")</f>
        <v>https://www.marksourced.com/p/top-7-b2b-generative-engine-optimization-geo-consultancies-in-2025</v>
      </c>
      <c r="B463" s="11" t="str">
        <f>IFERROR(__xludf.DUMMYFUNCTION("""COMPUTED_VALUE"""),"Top 7 B2B Generative Engine Optimization (GEO) Consultancies in 2025")</f>
        <v>Top 7 B2B Generative Engine Optimization (GEO) Consultancies in 2025</v>
      </c>
      <c r="C463" s="10" t="str">
        <f>IFERROR(__xludf.DUMMYFUNCTION("""COMPUTED_VALUE"""),"marksourced.com")</f>
        <v>marksourced.com</v>
      </c>
      <c r="D463" s="11" t="str">
        <f>IFERROR(__xludf.DUMMYFUNCTION("""COMPUTED_VALUE"""),"LISTICLE")</f>
        <v>LISTICLE</v>
      </c>
      <c r="E463" s="11" t="str">
        <f>IFERROR(__xludf.DUMMYFUNCTION("""COMPUTED_VALUE"""),"CORPORATE")</f>
        <v>CORPORATE</v>
      </c>
      <c r="F463" s="11" t="str">
        <f>IFERROR(__xludf.DUMMYFUNCTION("""COMPUTED_VALUE"""),"Listicle")</f>
        <v>Listicle</v>
      </c>
      <c r="G463" s="11" t="b">
        <f>IFERROR(__xludf.DUMMYFUNCTION("""COMPUTED_VALUE"""),FALSE)</f>
        <v>0</v>
      </c>
      <c r="H463" s="11" t="str">
        <f>IFERROR(__xludf.DUMMYFUNCTION("""COMPUTED_VALUE"""),"Siege Media, NoGood, First Page Sage, Go Fish Digital, Intero Digital")</f>
        <v>Siege Media, NoGood, First Page Sage, Go Fish Digital, Intero Digital</v>
      </c>
      <c r="I463" s="11">
        <f>IFERROR(__xludf.DUMMYFUNCTION("""COMPUTED_VALUE"""),2.0)</f>
        <v>2</v>
      </c>
      <c r="J463" s="11">
        <f>IFERROR(__xludf.DUMMYFUNCTION("""COMPUTED_VALUE"""),0.0)</f>
        <v>0</v>
      </c>
      <c r="K463" s="11">
        <f>IFERROR(__xludf.DUMMYFUNCTION("""COMPUTED_VALUE"""),0.0)</f>
        <v>0</v>
      </c>
    </row>
    <row r="464" ht="15.75" customHeight="1">
      <c r="A464" s="10" t="str">
        <f>IFERROR(__xludf.DUMMYFUNCTION("""COMPUTED_VALUE"""),"https://www.marksourced.com/p/top-8-b2b-generative-engine-optimization-geo-agencies-in-2025")</f>
        <v>https://www.marksourced.com/p/top-8-b2b-generative-engine-optimization-geo-agencies-in-2025</v>
      </c>
      <c r="B464" s="11" t="str">
        <f>IFERROR(__xludf.DUMMYFUNCTION("""COMPUTED_VALUE"""),"Top 8 B2B Generative Engine Optimization (GEO) Agencies in 2025")</f>
        <v>Top 8 B2B Generative Engine Optimization (GEO) Agencies in 2025</v>
      </c>
      <c r="C464" s="10" t="str">
        <f>IFERROR(__xludf.DUMMYFUNCTION("""COMPUTED_VALUE"""),"marksourced.com")</f>
        <v>marksourced.com</v>
      </c>
      <c r="D464" s="11" t="str">
        <f>IFERROR(__xludf.DUMMYFUNCTION("""COMPUTED_VALUE"""),"LISTICLE")</f>
        <v>LISTICLE</v>
      </c>
      <c r="E464" s="11" t="str">
        <f>IFERROR(__xludf.DUMMYFUNCTION("""COMPUTED_VALUE"""),"CORPORATE")</f>
        <v>CORPORATE</v>
      </c>
      <c r="F464" s="11" t="str">
        <f>IFERROR(__xludf.DUMMYFUNCTION("""COMPUTED_VALUE"""),"Listicle")</f>
        <v>Listicle</v>
      </c>
      <c r="G464" s="11" t="b">
        <f>IFERROR(__xludf.DUMMYFUNCTION("""COMPUTED_VALUE"""),FALSE)</f>
        <v>0</v>
      </c>
      <c r="H464" s="11" t="str">
        <f>IFERROR(__xludf.DUMMYFUNCTION("""COMPUTED_VALUE"""),"Siege Media, First Page Sage, Go Fish Digital, Ignite Visibility, NoGood")</f>
        <v>Siege Media, First Page Sage, Go Fish Digital, Ignite Visibility, NoGood</v>
      </c>
      <c r="I464" s="11">
        <f>IFERROR(__xludf.DUMMYFUNCTION("""COMPUTED_VALUE"""),2.0)</f>
        <v>2</v>
      </c>
      <c r="J464" s="11">
        <f>IFERROR(__xludf.DUMMYFUNCTION("""COMPUTED_VALUE"""),0.0)</f>
        <v>0</v>
      </c>
      <c r="K464" s="11">
        <f>IFERROR(__xludf.DUMMYFUNCTION("""COMPUTED_VALUE"""),1.0)</f>
        <v>1</v>
      </c>
    </row>
    <row r="465" ht="15.75" customHeight="1">
      <c r="A465" s="10" t="str">
        <f>IFERROR(__xludf.DUMMYFUNCTION("""COMPUTED_VALUE"""),"https://www.maximuslabs.ai/answer-engine-optimizations/best-aeo-agencies")</f>
        <v>https://www.maximuslabs.ai/answer-engine-optimizations/best-aeo-agencies</v>
      </c>
      <c r="B465" s="11" t="str">
        <f>IFERROR(__xludf.DUMMYFUNCTION("""COMPUTED_VALUE"""),"Top 10 AEO/GEO Agencies 2025, Metrics Evaluated: Pricing, Portfolio &amp;amp; Reviews")</f>
        <v>Top 10 AEO/GEO Agencies 2025, Metrics Evaluated: Pricing, Portfolio &amp;amp; Reviews</v>
      </c>
      <c r="C465" s="10" t="str">
        <f>IFERROR(__xludf.DUMMYFUNCTION("""COMPUTED_VALUE"""),"maximuslabs.ai")</f>
        <v>maximuslabs.ai</v>
      </c>
      <c r="D465" s="11" t="str">
        <f>IFERROR(__xludf.DUMMYFUNCTION("""COMPUTED_VALUE"""),"LISTICLE")</f>
        <v>LISTICLE</v>
      </c>
      <c r="E465" s="11" t="str">
        <f>IFERROR(__xludf.DUMMYFUNCTION("""COMPUTED_VALUE"""),"CORPORATE")</f>
        <v>CORPORATE</v>
      </c>
      <c r="F465" s="11" t="str">
        <f>IFERROR(__xludf.DUMMYFUNCTION("""COMPUTED_VALUE"""),"Listicle")</f>
        <v>Listicle</v>
      </c>
      <c r="G465" s="11" t="b">
        <f>IFERROR(__xludf.DUMMYFUNCTION("""COMPUTED_VALUE"""),FALSE)</f>
        <v>0</v>
      </c>
      <c r="H465" s="11" t="str">
        <f>IFERROR(__xludf.DUMMYFUNCTION("""COMPUTED_VALUE"""),"Victorious, WebFX, Elit-Web, Intero Digital, Ignite Visibility, Clutch, Measured")</f>
        <v>Victorious, WebFX, Elit-Web, Intero Digital, Ignite Visibility, Clutch, Measured</v>
      </c>
      <c r="I465" s="11">
        <f>IFERROR(__xludf.DUMMYFUNCTION("""COMPUTED_VALUE"""),2.0)</f>
        <v>2</v>
      </c>
      <c r="J465" s="11">
        <f>IFERROR(__xludf.DUMMYFUNCTION("""COMPUTED_VALUE"""),0.0)</f>
        <v>0</v>
      </c>
      <c r="K465" s="11">
        <f>IFERROR(__xludf.DUMMYFUNCTION("""COMPUTED_VALUE"""),1.0)</f>
        <v>1</v>
      </c>
    </row>
    <row r="466" ht="15.75" customHeight="1">
      <c r="A466" s="10" t="str">
        <f>IFERROR(__xludf.DUMMYFUNCTION("""COMPUTED_VALUE"""),"https://www.maximuslabs.ai/answer-engine-optimizations/enterprise-aeo-agencies")</f>
        <v>https://www.maximuslabs.ai/answer-engine-optimizations/enterprise-aeo-agencies</v>
      </c>
      <c r="B466" s="11" t="str">
        <f>IFERROR(__xludf.DUMMYFUNCTION("""COMPUTED_VALUE"""),"Top 10 Enterprise AEO/GEO Agencies in 2025: Pricing &amp;amp; ROI Compared")</f>
        <v>Top 10 Enterprise AEO/GEO Agencies in 2025: Pricing &amp;amp; ROI Compared</v>
      </c>
      <c r="C466" s="10" t="str">
        <f>IFERROR(__xludf.DUMMYFUNCTION("""COMPUTED_VALUE"""),"maximuslabs.ai")</f>
        <v>maximuslabs.ai</v>
      </c>
      <c r="D466" s="11" t="str">
        <f>IFERROR(__xludf.DUMMYFUNCTION("""COMPUTED_VALUE"""),"LISTICLE")</f>
        <v>LISTICLE</v>
      </c>
      <c r="E466" s="11" t="str">
        <f>IFERROR(__xludf.DUMMYFUNCTION("""COMPUTED_VALUE"""),"CORPORATE")</f>
        <v>CORPORATE</v>
      </c>
      <c r="F466" s="11" t="str">
        <f>IFERROR(__xludf.DUMMYFUNCTION("""COMPUTED_VALUE"""),"Listicle")</f>
        <v>Listicle</v>
      </c>
      <c r="G466" s="11" t="b">
        <f>IFERROR(__xludf.DUMMYFUNCTION("""COMPUTED_VALUE"""),FALSE)</f>
        <v>0</v>
      </c>
      <c r="H466" s="11" t="str">
        <f>IFERROR(__xludf.DUMMYFUNCTION("""COMPUTED_VALUE"""),"Victorious, iPullRank, Amsive, Single Grain, First Page Sage, Intero Digital, NoGood, Clutch, Momentum")</f>
        <v>Victorious, iPullRank, Amsive, Single Grain, First Page Sage, Intero Digital, NoGood, Clutch, Momentum</v>
      </c>
      <c r="I466" s="11">
        <f>IFERROR(__xludf.DUMMYFUNCTION("""COMPUTED_VALUE"""),2.0)</f>
        <v>2</v>
      </c>
      <c r="J466" s="11">
        <f>IFERROR(__xludf.DUMMYFUNCTION("""COMPUTED_VALUE"""),0.0)</f>
        <v>0</v>
      </c>
      <c r="K466" s="11">
        <f>IFERROR(__xludf.DUMMYFUNCTION("""COMPUTED_VALUE"""),0.0)</f>
        <v>0</v>
      </c>
    </row>
    <row r="467" ht="15.75" customHeight="1">
      <c r="A467" s="10" t="str">
        <f>IFERROR(__xludf.DUMMYFUNCTION("""COMPUTED_VALUE"""),"https://www.measured.com/faq/top-11-best-media-mix-modeling-companies-software-for-2026/")</f>
        <v>https://www.measured.com/faq/top-11-best-media-mix-modeling-companies-software-for-2026/</v>
      </c>
      <c r="B467" s="11" t="str">
        <f>IFERROR(__xludf.DUMMYFUNCTION("""COMPUTED_VALUE"""),"Top 11 Best Media Mix Modeling Companies &amp;amp; Software for 2026 | Measured®")</f>
        <v>Top 11 Best Media Mix Modeling Companies &amp;amp; Software for 2026 | Measured®</v>
      </c>
      <c r="C467" s="10" t="str">
        <f>IFERROR(__xludf.DUMMYFUNCTION("""COMPUTED_VALUE"""),"measured.com")</f>
        <v>measured.com</v>
      </c>
      <c r="D467" s="11" t="str">
        <f>IFERROR(__xludf.DUMMYFUNCTION("""COMPUTED_VALUE"""),"LISTICLE")</f>
        <v>LISTICLE</v>
      </c>
      <c r="E467" s="11" t="str">
        <f>IFERROR(__xludf.DUMMYFUNCTION("""COMPUTED_VALUE"""),"COMPETITOR")</f>
        <v>COMPETITOR</v>
      </c>
      <c r="F467" s="11" t="str">
        <f>IFERROR(__xludf.DUMMYFUNCTION("""COMPUTED_VALUE"""),"Listicle")</f>
        <v>Listicle</v>
      </c>
      <c r="G467" s="11" t="b">
        <f>IFERROR(__xludf.DUMMYFUNCTION("""COMPUTED_VALUE"""),FALSE)</f>
        <v>0</v>
      </c>
      <c r="H467" s="11" t="str">
        <f>IFERROR(__xludf.DUMMYFUNCTION("""COMPUTED_VALUE"""),"Measured, Clay, Nielsen, Analytic Partners, Kantar, Neustar, TransUnion, Gain Theory, WPP, Recast, Anomaly, Haus, Rockerbox")</f>
        <v>Measured, Clay, Nielsen, Analytic Partners, Kantar, Neustar, TransUnion, Gain Theory, WPP, Recast, Anomaly, Haus, Rockerbox</v>
      </c>
      <c r="I467" s="11">
        <f>IFERROR(__xludf.DUMMYFUNCTION("""COMPUTED_VALUE"""),2.0)</f>
        <v>2</v>
      </c>
      <c r="J467" s="11">
        <f>IFERROR(__xludf.DUMMYFUNCTION("""COMPUTED_VALUE"""),0.0)</f>
        <v>0</v>
      </c>
      <c r="K467" s="11">
        <f>IFERROR(__xludf.DUMMYFUNCTION("""COMPUTED_VALUE"""),2.0)</f>
        <v>2</v>
      </c>
    </row>
    <row r="468" ht="15.75" customHeight="1">
      <c r="A468" s="10" t="str">
        <f>IFERROR(__xludf.DUMMYFUNCTION("""COMPUTED_VALUE"""),"https://mountainstoseamedia.com/10-essential-marketing-analytics-agencies-for-a-data-driven-lead-generation-strategy/#:~:text=Intero%20Digital%20offers%20a%20full%20suite%20of,always%20aligned%20with%20their%20lead%20generation%20objectives.")</f>
        <v>https://mountainstoseamedia.com/10-essential-marketing-analytics-agencies-for-a-data-driven-lead-generation-strategy/#:~:text=Intero%20Digital%20offers%20a%20full%20suite%20of,always%20aligned%20with%20their%20lead%20generation%20objectives.</v>
      </c>
      <c r="B468" s="11" t="str">
        <f>IFERROR(__xludf.DUMMYFUNCTION("""COMPUTED_VALUE"""),"10 Agencies for a Data-Driven Marketing Strategy for Lead Generation")</f>
        <v>10 Agencies for a Data-Driven Marketing Strategy for Lead Generation</v>
      </c>
      <c r="C468" s="10" t="str">
        <f>IFERROR(__xludf.DUMMYFUNCTION("""COMPUTED_VALUE"""),"mountainstoseamedia.com")</f>
        <v>mountainstoseamedia.com</v>
      </c>
      <c r="D468" s="11" t="str">
        <f>IFERROR(__xludf.DUMMYFUNCTION("""COMPUTED_VALUE"""),"LISTICLE")</f>
        <v>LISTICLE</v>
      </c>
      <c r="E468" s="11" t="str">
        <f>IFERROR(__xludf.DUMMYFUNCTION("""COMPUTED_VALUE"""),"CORPORATE")</f>
        <v>CORPORATE</v>
      </c>
      <c r="F468" s="11" t="str">
        <f>IFERROR(__xludf.DUMMYFUNCTION("""COMPUTED_VALUE"""),"Listicle")</f>
        <v>Listicle</v>
      </c>
      <c r="G468" s="11" t="b">
        <f>IFERROR(__xludf.DUMMYFUNCTION("""COMPUTED_VALUE"""),FALSE)</f>
        <v>0</v>
      </c>
      <c r="H468" s="11" t="str">
        <f>IFERROR(__xludf.DUMMYFUNCTION("""COMPUTED_VALUE"""),"Ignite Visibility, Intero Digital, Measured")</f>
        <v>Ignite Visibility, Intero Digital, Measured</v>
      </c>
      <c r="I468" s="11">
        <f>IFERROR(__xludf.DUMMYFUNCTION("""COMPUTED_VALUE"""),2.0)</f>
        <v>2</v>
      </c>
      <c r="J468" s="11">
        <f>IFERROR(__xludf.DUMMYFUNCTION("""COMPUTED_VALUE"""),0.0)</f>
        <v>0</v>
      </c>
      <c r="K468" s="11">
        <f>IFERROR(__xludf.DUMMYFUNCTION("""COMPUTED_VALUE"""),1.5)</f>
        <v>1.5</v>
      </c>
    </row>
    <row r="469" ht="15.75" customHeight="1">
      <c r="A469" s="10" t="str">
        <f>IFERROR(__xludf.DUMMYFUNCTION("""COMPUTED_VALUE"""),"https://www.munro.agency/top-marketing-data-science-agencies/")</f>
        <v>https://www.munro.agency/top-marketing-data-science-agencies/</v>
      </c>
      <c r="B469" s="11" t="str">
        <f>IFERROR(__xludf.DUMMYFUNCTION("""COMPUTED_VALUE"""),"Top 17 Marketing Data Science Agencies")</f>
        <v>Top 17 Marketing Data Science Agencies</v>
      </c>
      <c r="C469" s="11" t="str">
        <f>IFERROR(__xludf.DUMMYFUNCTION("""COMPUTED_VALUE"""),"munro.agency")</f>
        <v>munro.agency</v>
      </c>
      <c r="D469" s="11" t="str">
        <f>IFERROR(__xludf.DUMMYFUNCTION("""COMPUTED_VALUE"""),"LISTICLE")</f>
        <v>LISTICLE</v>
      </c>
      <c r="E469" s="11" t="str">
        <f>IFERROR(__xludf.DUMMYFUNCTION("""COMPUTED_VALUE"""),"CORPORATE")</f>
        <v>CORPORATE</v>
      </c>
      <c r="F469" s="11" t="str">
        <f>IFERROR(__xludf.DUMMYFUNCTION("""COMPUTED_VALUE"""),"Listicle")</f>
        <v>Listicle</v>
      </c>
      <c r="G469" s="11" t="b">
        <f>IFERROR(__xludf.DUMMYFUNCTION("""COMPUTED_VALUE"""),FALSE)</f>
        <v>0</v>
      </c>
      <c r="H469" s="11" t="str">
        <f>IFERROR(__xludf.DUMMYFUNCTION("""COMPUTED_VALUE"""),"Measured, Artefact, BCG, McKinsey, LatentView Analytics, PwC, Publicis Sapient, Merkle, Fractal Analytics, Analytic Partners")</f>
        <v>Measured, Artefact, BCG, McKinsey, LatentView Analytics, PwC, Publicis Sapient, Merkle, Fractal Analytics, Analytic Partners</v>
      </c>
      <c r="I469" s="11">
        <f>IFERROR(__xludf.DUMMYFUNCTION("""COMPUTED_VALUE"""),2.0)</f>
        <v>2</v>
      </c>
      <c r="J469" s="11">
        <f>IFERROR(__xludf.DUMMYFUNCTION("""COMPUTED_VALUE"""),0.0)</f>
        <v>0</v>
      </c>
      <c r="K469" s="11">
        <f>IFERROR(__xludf.DUMMYFUNCTION("""COMPUTED_VALUE"""),1.0)</f>
        <v>1</v>
      </c>
    </row>
    <row r="470" ht="15.75" customHeight="1">
      <c r="A470" s="10" t="str">
        <f>IFERROR(__xludf.DUMMYFUNCTION("""COMPUTED_VALUE"""),"https://www.munro.agency/top-paid-media-agencies/")</f>
        <v>https://www.munro.agency/top-paid-media-agencies/</v>
      </c>
      <c r="B470" s="11" t="str">
        <f>IFERROR(__xludf.DUMMYFUNCTION("""COMPUTED_VALUE"""),"Top 10 Paid Media Agencies for 2026")</f>
        <v>Top 10 Paid Media Agencies for 2026</v>
      </c>
      <c r="C470" s="11" t="str">
        <f>IFERROR(__xludf.DUMMYFUNCTION("""COMPUTED_VALUE"""),"munro.agency")</f>
        <v>munro.agency</v>
      </c>
      <c r="D470" s="11" t="str">
        <f>IFERROR(__xludf.DUMMYFUNCTION("""COMPUTED_VALUE"""),"LISTICLE")</f>
        <v>LISTICLE</v>
      </c>
      <c r="E470" s="11" t="str">
        <f>IFERROR(__xludf.DUMMYFUNCTION("""COMPUTED_VALUE"""),"CORPORATE")</f>
        <v>CORPORATE</v>
      </c>
      <c r="F470" s="11" t="str">
        <f>IFERROR(__xludf.DUMMYFUNCTION("""COMPUTED_VALUE"""),"Listicle")</f>
        <v>Listicle</v>
      </c>
      <c r="G470" s="11" t="b">
        <f>IFERROR(__xludf.DUMMYFUNCTION("""COMPUTED_VALUE"""),FALSE)</f>
        <v>0</v>
      </c>
      <c r="H470" s="11" t="str">
        <f>IFERROR(__xludf.DUMMYFUNCTION("""COMPUTED_VALUE"""),"inBeat, Power Digital")</f>
        <v>inBeat, Power Digital</v>
      </c>
      <c r="I470" s="11">
        <f>IFERROR(__xludf.DUMMYFUNCTION("""COMPUTED_VALUE"""),2.0)</f>
        <v>2</v>
      </c>
      <c r="J470" s="11">
        <f>IFERROR(__xludf.DUMMYFUNCTION("""COMPUTED_VALUE"""),0.0)</f>
        <v>0</v>
      </c>
      <c r="K470" s="11">
        <f>IFERROR(__xludf.DUMMYFUNCTION("""COMPUTED_VALUE"""),1.0)</f>
        <v>1</v>
      </c>
    </row>
    <row r="471" ht="15.75" customHeight="1">
      <c r="A471" s="10" t="str">
        <f>IFERROR(__xludf.DUMMYFUNCTION("""COMPUTED_VALUE"""),"https://www.munro.agency/top-sem-agencies/")</f>
        <v>https://www.munro.agency/top-sem-agencies/</v>
      </c>
      <c r="B471" s="11" t="str">
        <f>IFERROR(__xludf.DUMMYFUNCTION("""COMPUTED_VALUE"""),"Top 15 SEM Agencies")</f>
        <v>Top 15 SEM Agencies</v>
      </c>
      <c r="C471" s="11" t="str">
        <f>IFERROR(__xludf.DUMMYFUNCTION("""COMPUTED_VALUE"""),"munro.agency")</f>
        <v>munro.agency</v>
      </c>
      <c r="D471" s="11" t="str">
        <f>IFERROR(__xludf.DUMMYFUNCTION("""COMPUTED_VALUE"""),"LISTICLE")</f>
        <v>LISTICLE</v>
      </c>
      <c r="E471" s="11" t="str">
        <f>IFERROR(__xludf.DUMMYFUNCTION("""COMPUTED_VALUE"""),"CORPORATE")</f>
        <v>CORPORATE</v>
      </c>
      <c r="F471" s="11" t="str">
        <f>IFERROR(__xludf.DUMMYFUNCTION("""COMPUTED_VALUE"""),"Listicle")</f>
        <v>Listicle</v>
      </c>
      <c r="G471" s="11" t="b">
        <f>IFERROR(__xludf.DUMMYFUNCTION("""COMPUTED_VALUE"""),FALSE)</f>
        <v>0</v>
      </c>
      <c r="H471" s="11" t="str">
        <f>IFERROR(__xludf.DUMMYFUNCTION("""COMPUTED_VALUE"""),"HawkSEM, Disruptive Advertising, Jellyfish, DEPT, Ignite Visibility, KlientBoost, Brainlabs, Tinuiti, Metric Theory, Seer Interactive, Merkle")</f>
        <v>HawkSEM, Disruptive Advertising, Jellyfish, DEPT, Ignite Visibility, KlientBoost, Brainlabs, Tinuiti, Metric Theory, Seer Interactive, Merkle</v>
      </c>
      <c r="I471" s="11">
        <f>IFERROR(__xludf.DUMMYFUNCTION("""COMPUTED_VALUE"""),2.0)</f>
        <v>2</v>
      </c>
      <c r="J471" s="11">
        <f>IFERROR(__xludf.DUMMYFUNCTION("""COMPUTED_VALUE"""),0.0)</f>
        <v>0</v>
      </c>
      <c r="K471" s="11">
        <f>IFERROR(__xludf.DUMMYFUNCTION("""COMPUTED_VALUE"""),0.5)</f>
        <v>0.5</v>
      </c>
    </row>
    <row r="472" ht="15.75" customHeight="1">
      <c r="A472" s="10" t="str">
        <f>IFERROR(__xludf.DUMMYFUNCTION("""COMPUTED_VALUE"""),"https://nectivdigital.com/blog/the-best-generative-engine-optimization-agencies-of-2025")</f>
        <v>https://nectivdigital.com/blog/the-best-generative-engine-optimization-agencies-of-2025</v>
      </c>
      <c r="B472" s="11" t="str">
        <f>IFERROR(__xludf.DUMMYFUNCTION("""COMPUTED_VALUE"""),"The Best Generative Engine Optimization Agencies Of 2025 - Nectiv | Nectiv")</f>
        <v>The Best Generative Engine Optimization Agencies Of 2025 - Nectiv | Nectiv</v>
      </c>
      <c r="C472" s="10" t="str">
        <f>IFERROR(__xludf.DUMMYFUNCTION("""COMPUTED_VALUE"""),"nectivdigital.com")</f>
        <v>nectivdigital.com</v>
      </c>
      <c r="D472" s="11" t="str">
        <f>IFERROR(__xludf.DUMMYFUNCTION("""COMPUTED_VALUE"""),"LISTICLE")</f>
        <v>LISTICLE</v>
      </c>
      <c r="E472" s="11" t="str">
        <f>IFERROR(__xludf.DUMMYFUNCTION("""COMPUTED_VALUE"""),"CORPORATE")</f>
        <v>CORPORATE</v>
      </c>
      <c r="F472" s="11" t="str">
        <f>IFERROR(__xludf.DUMMYFUNCTION("""COMPUTED_VALUE"""),"Listicle")</f>
        <v>Listicle</v>
      </c>
      <c r="G472" s="11" t="b">
        <f>IFERROR(__xludf.DUMMYFUNCTION("""COMPUTED_VALUE"""),FALSE)</f>
        <v>0</v>
      </c>
      <c r="H472" s="11" t="str">
        <f>IFERROR(__xludf.DUMMYFUNCTION("""COMPUTED_VALUE"""),"Go Fish Digital, iPullRank, Siege Media, Ignite Visibility, Huge")</f>
        <v>Go Fish Digital, iPullRank, Siege Media, Ignite Visibility, Huge</v>
      </c>
      <c r="I472" s="11">
        <f>IFERROR(__xludf.DUMMYFUNCTION("""COMPUTED_VALUE"""),2.0)</f>
        <v>2</v>
      </c>
      <c r="J472" s="11">
        <f>IFERROR(__xludf.DUMMYFUNCTION("""COMPUTED_VALUE"""),0.0)</f>
        <v>0</v>
      </c>
      <c r="K472" s="11">
        <f>IFERROR(__xludf.DUMMYFUNCTION("""COMPUTED_VALUE"""),0.0)</f>
        <v>0</v>
      </c>
    </row>
    <row r="473" ht="15.75" customHeight="1">
      <c r="A473" s="10" t="str">
        <f>IFERROR(__xludf.DUMMYFUNCTION("""COMPUTED_VALUE"""),"https://www.neuralcapital.ai/articles/top-10-ai-marketing-and-advertising-companies")</f>
        <v>https://www.neuralcapital.ai/articles/top-10-ai-marketing-and-advertising-companies</v>
      </c>
      <c r="B473" s="11" t="str">
        <f>IFERROR(__xludf.DUMMYFUNCTION("""COMPUTED_VALUE"""),"Top 10 AI Marketing &amp;amp; Advertising Companies | NeuralCapital.ai")</f>
        <v>Top 10 AI Marketing &amp;amp; Advertising Companies | NeuralCapital.ai</v>
      </c>
      <c r="C473" s="10" t="str">
        <f>IFERROR(__xludf.DUMMYFUNCTION("""COMPUTED_VALUE"""),"neuralcapital.ai")</f>
        <v>neuralcapital.ai</v>
      </c>
      <c r="D473" s="11" t="str">
        <f>IFERROR(__xludf.DUMMYFUNCTION("""COMPUTED_VALUE"""),"LISTICLE")</f>
        <v>LISTICLE</v>
      </c>
      <c r="E473" s="11" t="str">
        <f>IFERROR(__xludf.DUMMYFUNCTION("""COMPUTED_VALUE"""),"EDITORIAL")</f>
        <v>EDITORIAL</v>
      </c>
      <c r="F473" s="11" t="str">
        <f>IFERROR(__xludf.DUMMYFUNCTION("""COMPUTED_VALUE"""),"Listicle")</f>
        <v>Listicle</v>
      </c>
      <c r="G473" s="11" t="b">
        <f>IFERROR(__xludf.DUMMYFUNCTION("""COMPUTED_VALUE"""),FALSE)</f>
        <v>0</v>
      </c>
      <c r="H473" s="11" t="str">
        <f>IFERROR(__xludf.DUMMYFUNCTION("""COMPUTED_VALUE"""),"Momentum, Optimist")</f>
        <v>Momentum, Optimist</v>
      </c>
      <c r="I473" s="11">
        <f>IFERROR(__xludf.DUMMYFUNCTION("""COMPUTED_VALUE"""),2.0)</f>
        <v>2</v>
      </c>
      <c r="J473" s="11">
        <f>IFERROR(__xludf.DUMMYFUNCTION("""COMPUTED_VALUE"""),0.0)</f>
        <v>0</v>
      </c>
      <c r="K473" s="11">
        <f>IFERROR(__xludf.DUMMYFUNCTION("""COMPUTED_VALUE"""),0.0)</f>
        <v>0</v>
      </c>
    </row>
    <row r="474" ht="15.75" customHeight="1">
      <c r="A474" s="10" t="str">
        <f>IFERROR(__xludf.DUMMYFUNCTION("""COMPUTED_VALUE"""),"https://newengen.com/insights/top-outdoor-marketing-agencies/")</f>
        <v>https://newengen.com/insights/top-outdoor-marketing-agencies/</v>
      </c>
      <c r="B474" s="11" t="str">
        <f>IFERROR(__xludf.DUMMYFUNCTION("""COMPUTED_VALUE"""),"Top Outdoor Marketing Agencies for 2026")</f>
        <v>Top Outdoor Marketing Agencies for 2026</v>
      </c>
      <c r="C474" s="10" t="str">
        <f>IFERROR(__xludf.DUMMYFUNCTION("""COMPUTED_VALUE"""),"newengen.com")</f>
        <v>newengen.com</v>
      </c>
      <c r="D474" s="11" t="str">
        <f>IFERROR(__xludf.DUMMYFUNCTION("""COMPUTED_VALUE"""),"LISTICLE")</f>
        <v>LISTICLE</v>
      </c>
      <c r="E474" s="11" t="str">
        <f>IFERROR(__xludf.DUMMYFUNCTION("""COMPUTED_VALUE"""),"COMPETITOR")</f>
        <v>COMPETITOR</v>
      </c>
      <c r="F474" s="11" t="str">
        <f>IFERROR(__xludf.DUMMYFUNCTION("""COMPUTED_VALUE"""),"Listicle")</f>
        <v>Listicle</v>
      </c>
      <c r="G474" s="11" t="b">
        <f>IFERROR(__xludf.DUMMYFUNCTION("""COMPUTED_VALUE"""),FALSE)</f>
        <v>0</v>
      </c>
      <c r="H474" s="11" t="str">
        <f>IFERROR(__xludf.DUMMYFUNCTION("""COMPUTED_VALUE"""),"New Engen, Power Digital, Tinuiti, Wpromote, Measured, TransUnion")</f>
        <v>New Engen, Power Digital, Tinuiti, Wpromote, Measured, TransUnion</v>
      </c>
      <c r="I474" s="11">
        <f>IFERROR(__xludf.DUMMYFUNCTION("""COMPUTED_VALUE"""),2.0)</f>
        <v>2</v>
      </c>
      <c r="J474" s="11">
        <f>IFERROR(__xludf.DUMMYFUNCTION("""COMPUTED_VALUE"""),0.0)</f>
        <v>0</v>
      </c>
      <c r="K474" s="11">
        <f>IFERROR(__xludf.DUMMYFUNCTION("""COMPUTED_VALUE"""),1.0)</f>
        <v>1</v>
      </c>
    </row>
    <row r="475" ht="15.75" customHeight="1">
      <c r="A475" s="10" t="str">
        <f>IFERROR(__xludf.DUMMYFUNCTION("""COMPUTED_VALUE"""),"https://news.marketersmedia.com/13-best-generative-engine-optimization-geo-agencies-for-usa-brands-in-2026-multi-engine-coverage-edition/89193560")</f>
        <v>https://news.marketersmedia.com/13-best-generative-engine-optimization-geo-agencies-for-usa-brands-in-2026-multi-engine-coverage-edition/89193560</v>
      </c>
      <c r="B475" s="11" t="str">
        <f>IFERROR(__xludf.DUMMYFUNCTION("""COMPUTED_VALUE"""),"13 Best Generative Engine Optimization (GEO) Agencies for USA Brands in 2026: Multi-Engine Coverage Edition")</f>
        <v>13 Best Generative Engine Optimization (GEO) Agencies for USA Brands in 2026: Multi-Engine Coverage Edition</v>
      </c>
      <c r="C475" s="10" t="str">
        <f>IFERROR(__xludf.DUMMYFUNCTION("""COMPUTED_VALUE"""),"marketersmedia.com")</f>
        <v>marketersmedia.com</v>
      </c>
      <c r="D475" s="11" t="str">
        <f>IFERROR(__xludf.DUMMYFUNCTION("""COMPUTED_VALUE"""),"LISTICLE")</f>
        <v>LISTICLE</v>
      </c>
      <c r="E475" s="11" t="str">
        <f>IFERROR(__xludf.DUMMYFUNCTION("""COMPUTED_VALUE"""),"CORPORATE")</f>
        <v>CORPORATE</v>
      </c>
      <c r="F475" s="11" t="str">
        <f>IFERROR(__xludf.DUMMYFUNCTION("""COMPUTED_VALUE"""),"Listicle")</f>
        <v>Listicle</v>
      </c>
      <c r="G475" s="11" t="b">
        <f>IFERROR(__xludf.DUMMYFUNCTION("""COMPUTED_VALUE"""),FALSE)</f>
        <v>0</v>
      </c>
      <c r="H475" s="11" t="str">
        <f>IFERROR(__xludf.DUMMYFUNCTION("""COMPUTED_VALUE"""),"iPullRank, Go Fish Digital, Omniscient Digital, Avenue Z, Intero Digital, Single Grain, Victorious")</f>
        <v>iPullRank, Go Fish Digital, Omniscient Digital, Avenue Z, Intero Digital, Single Grain, Victorious</v>
      </c>
      <c r="I475" s="11">
        <f>IFERROR(__xludf.DUMMYFUNCTION("""COMPUTED_VALUE"""),2.0)</f>
        <v>2</v>
      </c>
      <c r="J475" s="11">
        <f>IFERROR(__xludf.DUMMYFUNCTION("""COMPUTED_VALUE"""),0.0)</f>
        <v>0</v>
      </c>
      <c r="K475" s="11">
        <f>IFERROR(__xludf.DUMMYFUNCTION("""COMPUTED_VALUE"""),0.0)</f>
        <v>0</v>
      </c>
    </row>
    <row r="476" ht="15.75" customHeight="1">
      <c r="A476" s="10" t="str">
        <f>IFERROR(__xludf.DUMMYFUNCTION("""COMPUTED_VALUE"""),"https://nexusexpertresearch.co/blog/best-artificial-intelligence-strategy-consulting-market-leaders/")</f>
        <v>https://nexusexpertresearch.co/blog/best-artificial-intelligence-strategy-consulting-market-leaders/</v>
      </c>
      <c r="B476" s="11" t="str">
        <f>IFERROR(__xludf.DUMMYFUNCTION("""COMPUTED_VALUE"""),"Top Artificial Intelligence Strategy Consulting Market Leaders")</f>
        <v>Top Artificial Intelligence Strategy Consulting Market Leaders</v>
      </c>
      <c r="C476" s="10" t="str">
        <f>IFERROR(__xludf.DUMMYFUNCTION("""COMPUTED_VALUE"""),"nexusexpertresearch.co")</f>
        <v>nexusexpertresearch.co</v>
      </c>
      <c r="D476" s="11" t="str">
        <f>IFERROR(__xludf.DUMMYFUNCTION("""COMPUTED_VALUE"""),"LISTICLE")</f>
        <v>LISTICLE</v>
      </c>
      <c r="E476" s="11" t="str">
        <f>IFERROR(__xludf.DUMMYFUNCTION("""COMPUTED_VALUE"""),"CORPORATE")</f>
        <v>CORPORATE</v>
      </c>
      <c r="F476" s="11" t="str">
        <f>IFERROR(__xludf.DUMMYFUNCTION("""COMPUTED_VALUE"""),"Listicle")</f>
        <v>Listicle</v>
      </c>
      <c r="G476" s="11" t="b">
        <f>IFERROR(__xludf.DUMMYFUNCTION("""COMPUTED_VALUE"""),FALSE)</f>
        <v>0</v>
      </c>
      <c r="H476" s="11" t="str">
        <f>IFERROR(__xludf.DUMMYFUNCTION("""COMPUTED_VALUE"""),"McKinsey, BCG, PwC, QuantumBlack, IBM")</f>
        <v>McKinsey, BCG, PwC, QuantumBlack, IBM</v>
      </c>
      <c r="I476" s="11">
        <f>IFERROR(__xludf.DUMMYFUNCTION("""COMPUTED_VALUE"""),2.0)</f>
        <v>2</v>
      </c>
      <c r="J476" s="11">
        <f>IFERROR(__xludf.DUMMYFUNCTION("""COMPUTED_VALUE"""),0.0)</f>
        <v>0</v>
      </c>
      <c r="K476" s="11">
        <f>IFERROR(__xludf.DUMMYFUNCTION("""COMPUTED_VALUE"""),1.0)</f>
        <v>1</v>
      </c>
    </row>
    <row r="477" ht="15.75" customHeight="1">
      <c r="A477" s="10" t="str">
        <f>IFERROR(__xludf.DUMMYFUNCTION("""COMPUTED_VALUE"""),"https://www.phable.io/top-branding-agencies/top-branding-agencies-in-new-york-2025-icons-of-creative-excellence")</f>
        <v>https://www.phable.io/top-branding-agencies/top-branding-agencies-in-new-york-2025-icons-of-creative-excellence</v>
      </c>
      <c r="B477" s="11" t="str">
        <f>IFERROR(__xludf.DUMMYFUNCTION("""COMPUTED_VALUE"""),"Top Branding Agencies in New York (2025) | Icons of Creative Excellence — Branding And Content Marketing For Technology")</f>
        <v>Top Branding Agencies in New York (2025) | Icons of Creative Excellence — Branding And Content Marketing For Technology</v>
      </c>
      <c r="C477" s="10" t="str">
        <f>IFERROR(__xludf.DUMMYFUNCTION("""COMPUTED_VALUE"""),"phable.io")</f>
        <v>phable.io</v>
      </c>
      <c r="D477" s="11" t="str">
        <f>IFERROR(__xludf.DUMMYFUNCTION("""COMPUTED_VALUE"""),"LISTICLE")</f>
        <v>LISTICLE</v>
      </c>
      <c r="E477" s="11" t="str">
        <f>IFERROR(__xludf.DUMMYFUNCTION("""COMPUTED_VALUE"""),"CORPORATE")</f>
        <v>CORPORATE</v>
      </c>
      <c r="F477" s="11" t="str">
        <f>IFERROR(__xludf.DUMMYFUNCTION("""COMPUTED_VALUE"""),"Listicle")</f>
        <v>Listicle</v>
      </c>
      <c r="G477" s="11" t="b">
        <f>IFERROR(__xludf.DUMMYFUNCTION("""COMPUTED_VALUE"""),FALSE)</f>
        <v>0</v>
      </c>
      <c r="H477" s="11" t="str">
        <f>IFERROR(__xludf.DUMMYFUNCTION("""COMPUTED_VALUE"""),"Pentagram, Wolff Olins, R/GA, Huge, BBDO")</f>
        <v>Pentagram, Wolff Olins, R/GA, Huge, BBDO</v>
      </c>
      <c r="I477" s="11">
        <f>IFERROR(__xludf.DUMMYFUNCTION("""COMPUTED_VALUE"""),2.0)</f>
        <v>2</v>
      </c>
      <c r="J477" s="11">
        <f>IFERROR(__xludf.DUMMYFUNCTION("""COMPUTED_VALUE"""),0.0)</f>
        <v>0</v>
      </c>
      <c r="K477" s="11">
        <f>IFERROR(__xludf.DUMMYFUNCTION("""COMPUTED_VALUE"""),1.0)</f>
        <v>1</v>
      </c>
    </row>
    <row r="478" ht="15.75" customHeight="1">
      <c r="A478" s="10" t="str">
        <f>IFERROR(__xludf.DUMMYFUNCTION("""COMPUTED_VALUE"""),"https://phosailabs.com/blog/best-ai-implementation-firms-marketing-agencies")</f>
        <v>https://phosailabs.com/blog/best-ai-implementation-firms-marketing-agencies</v>
      </c>
      <c r="B478" s="11" t="str">
        <f>IFERROR(__xludf.DUMMYFUNCTION("""COMPUTED_VALUE"""),"Best AI Implementation Firms for Marketing Agencies in 2026")</f>
        <v>Best AI Implementation Firms for Marketing Agencies in 2026</v>
      </c>
      <c r="C478" s="10" t="str">
        <f>IFERROR(__xludf.DUMMYFUNCTION("""COMPUTED_VALUE"""),"phosailabs.com")</f>
        <v>phosailabs.com</v>
      </c>
      <c r="D478" s="11" t="str">
        <f>IFERROR(__xludf.DUMMYFUNCTION("""COMPUTED_VALUE"""),"LISTICLE")</f>
        <v>LISTICLE</v>
      </c>
      <c r="E478" s="11" t="str">
        <f>IFERROR(__xludf.DUMMYFUNCTION("""COMPUTED_VALUE"""),"CORPORATE")</f>
        <v>CORPORATE</v>
      </c>
      <c r="F478" s="11" t="str">
        <f>IFERROR(__xludf.DUMMYFUNCTION("""COMPUTED_VALUE"""),"Listicle")</f>
        <v>Listicle</v>
      </c>
      <c r="G478" s="11" t="b">
        <f>IFERROR(__xludf.DUMMYFUNCTION("""COMPUTED_VALUE"""),FALSE)</f>
        <v>0</v>
      </c>
      <c r="H478" s="11" t="str">
        <f>IFERROR(__xludf.DUMMYFUNCTION("""COMPUTED_VALUE"""),"Measured")</f>
        <v>Measured</v>
      </c>
      <c r="I478" s="11">
        <f>IFERROR(__xludf.DUMMYFUNCTION("""COMPUTED_VALUE"""),2.0)</f>
        <v>2</v>
      </c>
      <c r="J478" s="11">
        <f>IFERROR(__xludf.DUMMYFUNCTION("""COMPUTED_VALUE"""),0.0)</f>
        <v>0</v>
      </c>
      <c r="K478" s="11">
        <f>IFERROR(__xludf.DUMMYFUNCTION("""COMPUTED_VALUE"""),1.5)</f>
        <v>1.5</v>
      </c>
    </row>
    <row r="479" ht="15.75" customHeight="1">
      <c r="A479" s="10" t="str">
        <f>IFERROR(__xludf.DUMMYFUNCTION("""COMPUTED_VALUE"""),"https://prometheusagency.co/insights/best-ai-agency-for-mid-market-manufacturers")</f>
        <v>https://prometheusagency.co/insights/best-ai-agency-for-mid-market-manufacturers</v>
      </c>
      <c r="B479" s="11" t="str">
        <f>IFERROR(__xludf.DUMMYFUNCTION("""COMPUTED_VALUE"""),"Best AI Agency for Mid-Market Manufacturers 2026")</f>
        <v>Best AI Agency for Mid-Market Manufacturers 2026</v>
      </c>
      <c r="C479" s="10" t="str">
        <f>IFERROR(__xludf.DUMMYFUNCTION("""COMPUTED_VALUE"""),"prometheusagency.co")</f>
        <v>prometheusagency.co</v>
      </c>
      <c r="D479" s="11" t="str">
        <f>IFERROR(__xludf.DUMMYFUNCTION("""COMPUTED_VALUE"""),"LISTICLE")</f>
        <v>LISTICLE</v>
      </c>
      <c r="E479" s="11" t="str">
        <f>IFERROR(__xludf.DUMMYFUNCTION("""COMPUTED_VALUE"""),"CORPORATE")</f>
        <v>CORPORATE</v>
      </c>
      <c r="F479" s="11" t="str">
        <f>IFERROR(__xludf.DUMMYFUNCTION("""COMPUTED_VALUE"""),"Listicle")</f>
        <v>Listicle</v>
      </c>
      <c r="G479" s="11" t="b">
        <f>IFERROR(__xludf.DUMMYFUNCTION("""COMPUTED_VALUE"""),FALSE)</f>
        <v>0</v>
      </c>
      <c r="H479" s="11" t="str">
        <f>IFERROR(__xludf.DUMMYFUNCTION("""COMPUTED_VALUE"""),"Measured, Anomaly, Momentum, Directive")</f>
        <v>Measured, Anomaly, Momentum, Directive</v>
      </c>
      <c r="I479" s="11">
        <f>IFERROR(__xludf.DUMMYFUNCTION("""COMPUTED_VALUE"""),2.0)</f>
        <v>2</v>
      </c>
      <c r="J479" s="11">
        <f>IFERROR(__xludf.DUMMYFUNCTION("""COMPUTED_VALUE"""),0.0)</f>
        <v>0</v>
      </c>
      <c r="K479" s="11">
        <f>IFERROR(__xludf.DUMMYFUNCTION("""COMPUTED_VALUE"""),1.0)</f>
        <v>1</v>
      </c>
    </row>
    <row r="480" ht="15.75" customHeight="1">
      <c r="A480" s="10" t="str">
        <f>IFERROR(__xludf.DUMMYFUNCTION("""COMPUTED_VALUE"""),"https://www.resultfirst.com/blog/ai-seo/best-ai-seo-agencies/")</f>
        <v>https://www.resultfirst.com/blog/ai-seo/best-ai-seo-agencies/</v>
      </c>
      <c r="B480" s="11" t="str">
        <f>IFERROR(__xludf.DUMMYFUNCTION("""COMPUTED_VALUE"""),"Top 8 AI SEO Agencies to Consider in 2026 | ResultFirst")</f>
        <v>Top 8 AI SEO Agencies to Consider in 2026 | ResultFirst</v>
      </c>
      <c r="C480" s="10" t="str">
        <f>IFERROR(__xludf.DUMMYFUNCTION("""COMPUTED_VALUE"""),"resultfirst.com")</f>
        <v>resultfirst.com</v>
      </c>
      <c r="D480" s="11" t="str">
        <f>IFERROR(__xludf.DUMMYFUNCTION("""COMPUTED_VALUE"""),"LISTICLE")</f>
        <v>LISTICLE</v>
      </c>
      <c r="E480" s="11" t="str">
        <f>IFERROR(__xludf.DUMMYFUNCTION("""COMPUTED_VALUE"""),"OTHER")</f>
        <v>OTHER</v>
      </c>
      <c r="F480" s="11" t="str">
        <f>IFERROR(__xludf.DUMMYFUNCTION("""COMPUTED_VALUE"""),"Listicle")</f>
        <v>Listicle</v>
      </c>
      <c r="G480" s="11" t="b">
        <f>IFERROR(__xludf.DUMMYFUNCTION("""COMPUTED_VALUE"""),FALSE)</f>
        <v>0</v>
      </c>
      <c r="H480" s="11" t="str">
        <f>IFERROR(__xludf.DUMMYFUNCTION("""COMPUTED_VALUE"""),"RevenueZen, Omniscient Digital, iPullRank, Siege Media")</f>
        <v>RevenueZen, Omniscient Digital, iPullRank, Siege Media</v>
      </c>
      <c r="I480" s="11">
        <f>IFERROR(__xludf.DUMMYFUNCTION("""COMPUTED_VALUE"""),2.0)</f>
        <v>2</v>
      </c>
      <c r="J480" s="11">
        <f>IFERROR(__xludf.DUMMYFUNCTION("""COMPUTED_VALUE"""),0.0)</f>
        <v>0</v>
      </c>
      <c r="K480" s="11">
        <f>IFERROR(__xludf.DUMMYFUNCTION("""COMPUTED_VALUE"""),1.0)</f>
        <v>1</v>
      </c>
    </row>
    <row r="481" ht="15.75" customHeight="1">
      <c r="A481" s="10" t="str">
        <f>IFERROR(__xludf.DUMMYFUNCTION("""COMPUTED_VALUE"""),"https://revenuezen2.rssing.com/chan-77317245/article73.html?nocache=0")</f>
        <v>https://revenuezen2.rssing.com/chan-77317245/article73.html?nocache=0</v>
      </c>
      <c r="B481" s="11" t="str">
        <f>IFERROR(__xludf.DUMMYFUNCTION("""COMPUTED_VALUE"""),"Top Answer Engine Optimization Agencies (AEO) In 2025")</f>
        <v>Top Answer Engine Optimization Agencies (AEO) In 2025</v>
      </c>
      <c r="C481" s="10" t="str">
        <f>IFERROR(__xludf.DUMMYFUNCTION("""COMPUTED_VALUE"""),"rssing.com")</f>
        <v>rssing.com</v>
      </c>
      <c r="D481" s="11" t="str">
        <f>IFERROR(__xludf.DUMMYFUNCTION("""COMPUTED_VALUE"""),"LISTICLE")</f>
        <v>LISTICLE</v>
      </c>
      <c r="E481" s="11" t="str">
        <f>IFERROR(__xludf.DUMMYFUNCTION("""COMPUTED_VALUE"""),"UGC")</f>
        <v>UGC</v>
      </c>
      <c r="F481" s="11" t="str">
        <f>IFERROR(__xludf.DUMMYFUNCTION("""COMPUTED_VALUE"""),"Listicle")</f>
        <v>Listicle</v>
      </c>
      <c r="G481" s="11" t="b">
        <f>IFERROR(__xludf.DUMMYFUNCTION("""COMPUTED_VALUE"""),FALSE)</f>
        <v>0</v>
      </c>
      <c r="H481" s="11" t="str">
        <f>IFERROR(__xludf.DUMMYFUNCTION("""COMPUTED_VALUE"""),"RevenueZen, Omniscient Digital, iPullRank, WebFX, First Page Sage, Huge")</f>
        <v>RevenueZen, Omniscient Digital, iPullRank, WebFX, First Page Sage, Huge</v>
      </c>
      <c r="I481" s="11">
        <f>IFERROR(__xludf.DUMMYFUNCTION("""COMPUTED_VALUE"""),2.0)</f>
        <v>2</v>
      </c>
      <c r="J481" s="11">
        <f>IFERROR(__xludf.DUMMYFUNCTION("""COMPUTED_VALUE"""),0.0)</f>
        <v>0</v>
      </c>
      <c r="K481" s="11">
        <f>IFERROR(__xludf.DUMMYFUNCTION("""COMPUTED_VALUE"""),4.0)</f>
        <v>4</v>
      </c>
    </row>
    <row r="482" ht="15.75" customHeight="1">
      <c r="A482" s="10" t="str">
        <f>IFERROR(__xludf.DUMMYFUNCTION("""COMPUTED_VALUE"""),"https://www.revsure.ai/blog/best-marketing-attribution-software")</f>
        <v>https://www.revsure.ai/blog/best-marketing-attribution-software</v>
      </c>
      <c r="B482" s="11" t="str">
        <f>IFERROR(__xludf.DUMMYFUNCTION("""COMPUTED_VALUE"""),"Rethinking Account Research in the Age of AI Agents | RevSure Blog")</f>
        <v>Rethinking Account Research in the Age of AI Agents | RevSure Blog</v>
      </c>
      <c r="C482" s="10" t="str">
        <f>IFERROR(__xludf.DUMMYFUNCTION("""COMPUTED_VALUE"""),"revsure.ai")</f>
        <v>revsure.ai</v>
      </c>
      <c r="D482" s="11" t="str">
        <f>IFERROR(__xludf.DUMMYFUNCTION("""COMPUTED_VALUE"""),"LISTICLE")</f>
        <v>LISTICLE</v>
      </c>
      <c r="E482" s="11" t="str">
        <f>IFERROR(__xludf.DUMMYFUNCTION("""COMPUTED_VALUE"""),"CORPORATE")</f>
        <v>CORPORATE</v>
      </c>
      <c r="F482" s="11" t="str">
        <f>IFERROR(__xludf.DUMMYFUNCTION("""COMPUTED_VALUE"""),"Listicle")</f>
        <v>Listicle</v>
      </c>
      <c r="G482" s="11" t="b">
        <f>IFERROR(__xludf.DUMMYFUNCTION("""COMPUTED_VALUE"""),FALSE)</f>
        <v>0</v>
      </c>
      <c r="H482" s="11" t="str">
        <f>IFERROR(__xludf.DUMMYFUNCTION("""COMPUTED_VALUE"""),"HockeyStack, Ruler Analytics, Momentum")</f>
        <v>HockeyStack, Ruler Analytics, Momentum</v>
      </c>
      <c r="I482" s="11">
        <f>IFERROR(__xludf.DUMMYFUNCTION("""COMPUTED_VALUE"""),2.0)</f>
        <v>2</v>
      </c>
      <c r="J482" s="11">
        <f>IFERROR(__xludf.DUMMYFUNCTION("""COMPUTED_VALUE"""),0.0)</f>
        <v>0</v>
      </c>
      <c r="K482" s="11">
        <f>IFERROR(__xludf.DUMMYFUNCTION("""COMPUTED_VALUE"""),1.0)</f>
        <v>1</v>
      </c>
    </row>
    <row r="483" ht="15.75" customHeight="1">
      <c r="A483" s="10" t="str">
        <f>IFERROR(__xludf.DUMMYFUNCTION("""COMPUTED_VALUE"""),"https://rhblake.com/best-generative-engine-optimization-geo-agencies-2025-edition/")</f>
        <v>https://rhblake.com/best-generative-engine-optimization-geo-agencies-2025-edition/</v>
      </c>
      <c r="B483" s="11" t="str">
        <f>IFERROR(__xludf.DUMMYFUNCTION("""COMPUTED_VALUE"""),"Best Generative Engine Optimization (GEO) Agencies — 2025 Edition")</f>
        <v>Best Generative Engine Optimization (GEO) Agencies — 2025 Edition</v>
      </c>
      <c r="C483" s="10" t="str">
        <f>IFERROR(__xludf.DUMMYFUNCTION("""COMPUTED_VALUE"""),"rhblake.com")</f>
        <v>rhblake.com</v>
      </c>
      <c r="D483" s="11" t="str">
        <f>IFERROR(__xludf.DUMMYFUNCTION("""COMPUTED_VALUE"""),"LISTICLE")</f>
        <v>LISTICLE</v>
      </c>
      <c r="E483" s="11" t="str">
        <f>IFERROR(__xludf.DUMMYFUNCTION("""COMPUTED_VALUE"""),"CORPORATE")</f>
        <v>CORPORATE</v>
      </c>
      <c r="F483" s="11" t="str">
        <f>IFERROR(__xludf.DUMMYFUNCTION("""COMPUTED_VALUE"""),"Listicle")</f>
        <v>Listicle</v>
      </c>
      <c r="G483" s="11" t="b">
        <f>IFERROR(__xludf.DUMMYFUNCTION("""COMPUTED_VALUE"""),FALSE)</f>
        <v>0</v>
      </c>
      <c r="H483" s="11" t="str">
        <f>IFERROR(__xludf.DUMMYFUNCTION("""COMPUTED_VALUE"""),"Avenue Z, First Page Sage, Ignite Visibility, Intero Digital, iPullRank, NoGood, Omniscient Digital, WebFX")</f>
        <v>Avenue Z, First Page Sage, Ignite Visibility, Intero Digital, iPullRank, NoGood, Omniscient Digital, WebFX</v>
      </c>
      <c r="I483" s="11">
        <f>IFERROR(__xludf.DUMMYFUNCTION("""COMPUTED_VALUE"""),2.0)</f>
        <v>2</v>
      </c>
      <c r="J483" s="11">
        <f>IFERROR(__xludf.DUMMYFUNCTION("""COMPUTED_VALUE"""),0.0)</f>
        <v>0</v>
      </c>
      <c r="K483" s="11">
        <f>IFERROR(__xludf.DUMMYFUNCTION("""COMPUTED_VALUE"""),2.0)</f>
        <v>2</v>
      </c>
    </row>
    <row r="484" ht="15.75" customHeight="1">
      <c r="A484" s="10" t="str">
        <f>IFERROR(__xludf.DUMMYFUNCTION("""COMPUTED_VALUE"""),"https://rocketium.ai/academy/all/ai-tools-scaling-creative-production")</f>
        <v>https://rocketium.ai/academy/all/ai-tools-scaling-creative-production</v>
      </c>
      <c r="B484" s="11" t="str">
        <f>IFERROR(__xludf.DUMMYFUNCTION("""COMPUTED_VALUE"""),"Top 6 AI tools for scaling creative production in 2026")</f>
        <v>Top 6 AI tools for scaling creative production in 2026</v>
      </c>
      <c r="C484" s="10" t="str">
        <f>IFERROR(__xludf.DUMMYFUNCTION("""COMPUTED_VALUE"""),"rocketium.ai")</f>
        <v>rocketium.ai</v>
      </c>
      <c r="D484" s="11" t="str">
        <f>IFERROR(__xludf.DUMMYFUNCTION("""COMPUTED_VALUE"""),"LISTICLE")</f>
        <v>LISTICLE</v>
      </c>
      <c r="E484" s="11" t="str">
        <f>IFERROR(__xludf.DUMMYFUNCTION("""COMPUTED_VALUE"""),"CORPORATE")</f>
        <v>CORPORATE</v>
      </c>
      <c r="F484" s="11" t="str">
        <f>IFERROR(__xludf.DUMMYFUNCTION("""COMPUTED_VALUE"""),"Listicle")</f>
        <v>Listicle</v>
      </c>
      <c r="G484" s="11" t="b">
        <f>IFERROR(__xludf.DUMMYFUNCTION("""COMPUTED_VALUE"""),FALSE)</f>
        <v>0</v>
      </c>
      <c r="H484" s="11" t="str">
        <f>IFERROR(__xludf.DUMMYFUNCTION("""COMPUTED_VALUE"""),"Superside")</f>
        <v>Superside</v>
      </c>
      <c r="I484" s="11">
        <f>IFERROR(__xludf.DUMMYFUNCTION("""COMPUTED_VALUE"""),2.0)</f>
        <v>2</v>
      </c>
      <c r="J484" s="11">
        <f>IFERROR(__xludf.DUMMYFUNCTION("""COMPUTED_VALUE"""),0.0)</f>
        <v>0</v>
      </c>
      <c r="K484" s="11">
        <f>IFERROR(__xludf.DUMMYFUNCTION("""COMPUTED_VALUE"""),0.5)</f>
        <v>0.5</v>
      </c>
    </row>
    <row r="485" ht="15.75" customHeight="1">
      <c r="A485" s="10" t="str">
        <f>IFERROR(__xludf.DUMMYFUNCTION("""COMPUTED_VALUE"""),"https://www.rocktherankings.com/best-geo-agency/")</f>
        <v>https://www.rocktherankings.com/best-geo-agency/</v>
      </c>
      <c r="B485" s="11" t="str">
        <f>IFERROR(__xludf.DUMMYFUNCTION("""COMPUTED_VALUE"""),"Top 13 GEO Agencies for B2B SaaS for Q3 2026")</f>
        <v>Top 13 GEO Agencies for B2B SaaS for Q3 2026</v>
      </c>
      <c r="C485" s="10" t="str">
        <f>IFERROR(__xludf.DUMMYFUNCTION("""COMPUTED_VALUE"""),"rocktherankings.com")</f>
        <v>rocktherankings.com</v>
      </c>
      <c r="D485" s="11" t="str">
        <f>IFERROR(__xludf.DUMMYFUNCTION("""COMPUTED_VALUE"""),"LISTICLE")</f>
        <v>LISTICLE</v>
      </c>
      <c r="E485" s="11" t="str">
        <f>IFERROR(__xludf.DUMMYFUNCTION("""COMPUTED_VALUE"""),"OTHER")</f>
        <v>OTHER</v>
      </c>
      <c r="F485" s="11" t="str">
        <f>IFERROR(__xludf.DUMMYFUNCTION("""COMPUTED_VALUE"""),"Listicle")</f>
        <v>Listicle</v>
      </c>
      <c r="G485" s="11" t="b">
        <f>IFERROR(__xludf.DUMMYFUNCTION("""COMPUTED_VALUE"""),FALSE)</f>
        <v>0</v>
      </c>
      <c r="H485" s="11" t="str">
        <f>IFERROR(__xludf.DUMMYFUNCTION("""COMPUTED_VALUE"""),"First Page Sage, The SEO Works, Directive, Animalz, Siege Media, RevenueZen, Victorious, Clutch")</f>
        <v>First Page Sage, The SEO Works, Directive, Animalz, Siege Media, RevenueZen, Victorious, Clutch</v>
      </c>
      <c r="I485" s="11">
        <f>IFERROR(__xludf.DUMMYFUNCTION("""COMPUTED_VALUE"""),2.0)</f>
        <v>2</v>
      </c>
      <c r="J485" s="11">
        <f>IFERROR(__xludf.DUMMYFUNCTION("""COMPUTED_VALUE"""),0.0)</f>
        <v>0</v>
      </c>
      <c r="K485" s="11">
        <f>IFERROR(__xludf.DUMMYFUNCTION("""COMPUTED_VALUE"""),1.5)</f>
        <v>1.5</v>
      </c>
    </row>
    <row r="486" ht="15.75" customHeight="1">
      <c r="A486" s="10" t="str">
        <f>IFERROR(__xludf.DUMMYFUNCTION("""COMPUTED_VALUE"""),"https://www.saas-hackers.com/top/b2b-saas-enterprise-agencies")</f>
        <v>https://www.saas-hackers.com/top/b2b-saas-enterprise-agencies</v>
      </c>
      <c r="B486" s="11" t="str">
        <f>IFERROR(__xludf.DUMMYFUNCTION("""COMPUTED_VALUE"""),"Top B2B SaaS Enterprise Marketing Agencies | SaaS Hackers")</f>
        <v>Top B2B SaaS Enterprise Marketing Agencies | SaaS Hackers</v>
      </c>
      <c r="C486" s="10" t="str">
        <f>IFERROR(__xludf.DUMMYFUNCTION("""COMPUTED_VALUE"""),"saas-hackers.com")</f>
        <v>saas-hackers.com</v>
      </c>
      <c r="D486" s="11" t="str">
        <f>IFERROR(__xludf.DUMMYFUNCTION("""COMPUTED_VALUE"""),"LISTICLE")</f>
        <v>LISTICLE</v>
      </c>
      <c r="E486" s="11" t="str">
        <f>IFERROR(__xludf.DUMMYFUNCTION("""COMPUTED_VALUE"""),"REFERENCE")</f>
        <v>REFERENCE</v>
      </c>
      <c r="F486" s="11" t="str">
        <f>IFERROR(__xludf.DUMMYFUNCTION("""COMPUTED_VALUE"""),"Listicle")</f>
        <v>Listicle</v>
      </c>
      <c r="G486" s="11" t="b">
        <f>IFERROR(__xludf.DUMMYFUNCTION("""COMPUTED_VALUE"""),FALSE)</f>
        <v>0</v>
      </c>
      <c r="H486" s="11" t="str">
        <f>IFERROR(__xludf.DUMMYFUNCTION("""COMPUTED_VALUE"""),"Metric Theory, Merkle, Tinuiti, Seer Interactive, Silverback Strategies, Measured, Dentsu")</f>
        <v>Metric Theory, Merkle, Tinuiti, Seer Interactive, Silverback Strategies, Measured, Dentsu</v>
      </c>
      <c r="I486" s="11">
        <f>IFERROR(__xludf.DUMMYFUNCTION("""COMPUTED_VALUE"""),2.0)</f>
        <v>2</v>
      </c>
      <c r="J486" s="11">
        <f>IFERROR(__xludf.DUMMYFUNCTION("""COMPUTED_VALUE"""),0.0)</f>
        <v>0</v>
      </c>
      <c r="K486" s="11">
        <f>IFERROR(__xludf.DUMMYFUNCTION("""COMPUTED_VALUE"""),1.0)</f>
        <v>1</v>
      </c>
    </row>
    <row r="487" ht="15.75" customHeight="1">
      <c r="A487" s="10" t="str">
        <f>IFERROR(__xludf.DUMMYFUNCTION("""COMPUTED_VALUE"""),"https://semnexus.com/best-aeo-agencies-in-the-us-for-2026/")</f>
        <v>https://semnexus.com/best-aeo-agencies-in-the-us-for-2026/</v>
      </c>
      <c r="B487" s="11" t="str">
        <f>IFERROR(__xludf.DUMMYFUNCTION("""COMPUTED_VALUE"""),"Best AEO Agencies in the US for 2026 | SEM Nexus")</f>
        <v>Best AEO Agencies in the US for 2026 | SEM Nexus</v>
      </c>
      <c r="C487" s="10" t="str">
        <f>IFERROR(__xludf.DUMMYFUNCTION("""COMPUTED_VALUE"""),"semnexus.com")</f>
        <v>semnexus.com</v>
      </c>
      <c r="D487" s="11" t="str">
        <f>IFERROR(__xludf.DUMMYFUNCTION("""COMPUTED_VALUE"""),"LISTICLE")</f>
        <v>LISTICLE</v>
      </c>
      <c r="E487" s="11" t="str">
        <f>IFERROR(__xludf.DUMMYFUNCTION("""COMPUTED_VALUE"""),"OTHER")</f>
        <v>OTHER</v>
      </c>
      <c r="F487" s="11" t="str">
        <f>IFERROR(__xludf.DUMMYFUNCTION("""COMPUTED_VALUE"""),"Listicle")</f>
        <v>Listicle</v>
      </c>
      <c r="G487" s="11" t="b">
        <f>IFERROR(__xludf.DUMMYFUNCTION("""COMPUTED_VALUE"""),FALSE)</f>
        <v>0</v>
      </c>
      <c r="H487" s="11" t="str">
        <f>IFERROR(__xludf.DUMMYFUNCTION("""COMPUTED_VALUE"""),"Ignite Visibility, WebFX, Thrive Internet Marketing Agency")</f>
        <v>Ignite Visibility, WebFX, Thrive Internet Marketing Agency</v>
      </c>
      <c r="I487" s="11">
        <f>IFERROR(__xludf.DUMMYFUNCTION("""COMPUTED_VALUE"""),2.0)</f>
        <v>2</v>
      </c>
      <c r="J487" s="11">
        <f>IFERROR(__xludf.DUMMYFUNCTION("""COMPUTED_VALUE"""),0.0)</f>
        <v>0</v>
      </c>
      <c r="K487" s="11">
        <f>IFERROR(__xludf.DUMMYFUNCTION("""COMPUTED_VALUE"""),0.5)</f>
        <v>0.5</v>
      </c>
    </row>
    <row r="488" ht="15.75" customHeight="1">
      <c r="A488" s="10" t="str">
        <f>IFERROR(__xludf.DUMMYFUNCTION("""COMPUTED_VALUE"""),"https://www.seo.com/ai/companies/")</f>
        <v>https://www.seo.com/ai/companies/</v>
      </c>
      <c r="B488" s="11" t="str">
        <f>IFERROR(__xludf.DUMMYFUNCTION("""COMPUTED_VALUE"""),"The Top AEO Companies for Boosting AI Search Visibility")</f>
        <v>The Top AEO Companies for Boosting AI Search Visibility</v>
      </c>
      <c r="C488" s="10" t="str">
        <f>IFERROR(__xludf.DUMMYFUNCTION("""COMPUTED_VALUE"""),"seo.com")</f>
        <v>seo.com</v>
      </c>
      <c r="D488" s="11" t="str">
        <f>IFERROR(__xludf.DUMMYFUNCTION("""COMPUTED_VALUE"""),"LISTICLE")</f>
        <v>LISTICLE</v>
      </c>
      <c r="E488" s="11" t="str">
        <f>IFERROR(__xludf.DUMMYFUNCTION("""COMPUTED_VALUE"""),"CORPORATE")</f>
        <v>CORPORATE</v>
      </c>
      <c r="F488" s="11" t="str">
        <f>IFERROR(__xludf.DUMMYFUNCTION("""COMPUTED_VALUE"""),"Listicle")</f>
        <v>Listicle</v>
      </c>
      <c r="G488" s="11" t="b">
        <f>IFERROR(__xludf.DUMMYFUNCTION("""COMPUTED_VALUE"""),FALSE)</f>
        <v>0</v>
      </c>
      <c r="H488" s="11" t="str">
        <f>IFERROR(__xludf.DUMMYFUNCTION("""COMPUTED_VALUE"""),"WebFX, Clutch, Victorious, Intero Digital, Elit-Web")</f>
        <v>WebFX, Clutch, Victorious, Intero Digital, Elit-Web</v>
      </c>
      <c r="I488" s="11">
        <f>IFERROR(__xludf.DUMMYFUNCTION("""COMPUTED_VALUE"""),2.0)</f>
        <v>2</v>
      </c>
      <c r="J488" s="11">
        <f>IFERROR(__xludf.DUMMYFUNCTION("""COMPUTED_VALUE"""),0.0)</f>
        <v>0</v>
      </c>
      <c r="K488" s="11">
        <f>IFERROR(__xludf.DUMMYFUNCTION("""COMPUTED_VALUE"""),0.0)</f>
        <v>0</v>
      </c>
    </row>
    <row r="489" ht="15.75" customHeight="1">
      <c r="A489" s="10" t="str">
        <f>IFERROR(__xludf.DUMMYFUNCTION("""COMPUTED_VALUE"""),"https://www.seodiscovery.com/blog/best-digital-marketing-companies-in-usa/")</f>
        <v>https://www.seodiscovery.com/blog/best-digital-marketing-companies-in-usa/</v>
      </c>
      <c r="B489" s="11" t="str">
        <f>IFERROR(__xludf.DUMMYFUNCTION("""COMPUTED_VALUE"""),"Best Digital Marketing Companies in USA (2026 Edition)")</f>
        <v>Best Digital Marketing Companies in USA (2026 Edition)</v>
      </c>
      <c r="C489" s="10" t="str">
        <f>IFERROR(__xludf.DUMMYFUNCTION("""COMPUTED_VALUE"""),"seodiscovery.com")</f>
        <v>seodiscovery.com</v>
      </c>
      <c r="D489" s="11" t="str">
        <f>IFERROR(__xludf.DUMMYFUNCTION("""COMPUTED_VALUE"""),"LISTICLE")</f>
        <v>LISTICLE</v>
      </c>
      <c r="E489" s="11" t="str">
        <f>IFERROR(__xludf.DUMMYFUNCTION("""COMPUTED_VALUE"""),"CORPORATE")</f>
        <v>CORPORATE</v>
      </c>
      <c r="F489" s="11" t="str">
        <f>IFERROR(__xludf.DUMMYFUNCTION("""COMPUTED_VALUE"""),"Listicle")</f>
        <v>Listicle</v>
      </c>
      <c r="G489" s="11" t="b">
        <f>IFERROR(__xludf.DUMMYFUNCTION("""COMPUTED_VALUE"""),FALSE)</f>
        <v>0</v>
      </c>
      <c r="H489" s="11" t="str">
        <f>IFERROR(__xludf.DUMMYFUNCTION("""COMPUTED_VALUE"""),"WebFX, SmartSites, Funnel Boost Media, Searchbloom, Huge")</f>
        <v>WebFX, SmartSites, Funnel Boost Media, Searchbloom, Huge</v>
      </c>
      <c r="I489" s="11">
        <f>IFERROR(__xludf.DUMMYFUNCTION("""COMPUTED_VALUE"""),2.0)</f>
        <v>2</v>
      </c>
      <c r="J489" s="11">
        <f>IFERROR(__xludf.DUMMYFUNCTION("""COMPUTED_VALUE"""),0.0)</f>
        <v>0</v>
      </c>
      <c r="K489" s="11">
        <f>IFERROR(__xludf.DUMMYFUNCTION("""COMPUTED_VALUE"""),1.0)</f>
        <v>1</v>
      </c>
    </row>
    <row r="490" ht="15.75" customHeight="1">
      <c r="A490" s="10" t="str">
        <f>IFERROR(__xludf.DUMMYFUNCTION("""COMPUTED_VALUE"""),"https://shopiator.com/blog/best-google-ads-agencies-usa")</f>
        <v>https://shopiator.com/blog/best-google-ads-agencies-usa</v>
      </c>
      <c r="B490" s="11" t="str">
        <f>IFERROR(__xludf.DUMMYFUNCTION("""COMPUTED_VALUE"""),"15 Best Google Ads Agencies in the USA (2026). Ranked &amp;amp; Reviewed | Shopiator")</f>
        <v>15 Best Google Ads Agencies in the USA (2026). Ranked &amp;amp; Reviewed | Shopiator</v>
      </c>
      <c r="C490" s="10" t="str">
        <f>IFERROR(__xludf.DUMMYFUNCTION("""COMPUTED_VALUE"""),"shopiator.com")</f>
        <v>shopiator.com</v>
      </c>
      <c r="D490" s="11" t="str">
        <f>IFERROR(__xludf.DUMMYFUNCTION("""COMPUTED_VALUE"""),"LISTICLE")</f>
        <v>LISTICLE</v>
      </c>
      <c r="E490" s="11" t="str">
        <f>IFERROR(__xludf.DUMMYFUNCTION("""COMPUTED_VALUE"""),"CORPORATE")</f>
        <v>CORPORATE</v>
      </c>
      <c r="F490" s="11" t="str">
        <f>IFERROR(__xludf.DUMMYFUNCTION("""COMPUTED_VALUE"""),"Listicle")</f>
        <v>Listicle</v>
      </c>
      <c r="G490" s="11" t="b">
        <f>IFERROR(__xludf.DUMMYFUNCTION("""COMPUTED_VALUE"""),FALSE)</f>
        <v>0</v>
      </c>
      <c r="H490" s="11" t="str">
        <f>IFERROR(__xludf.DUMMYFUNCTION("""COMPUTED_VALUE"""),"SmartSites, LYFE Marketing, Tinuiti, Directive, WebFX, Disruptive Advertising, KlientBoost, Clutch, Ignite Visibility, Single Grain, HawkSEM, Searchbloom, Huge")</f>
        <v>SmartSites, LYFE Marketing, Tinuiti, Directive, WebFX, Disruptive Advertising, KlientBoost, Clutch, Ignite Visibility, Single Grain, HawkSEM, Searchbloom, Huge</v>
      </c>
      <c r="I490" s="11">
        <f>IFERROR(__xludf.DUMMYFUNCTION("""COMPUTED_VALUE"""),2.0)</f>
        <v>2</v>
      </c>
      <c r="J490" s="11">
        <f>IFERROR(__xludf.DUMMYFUNCTION("""COMPUTED_VALUE"""),0.0)</f>
        <v>0</v>
      </c>
      <c r="K490" s="11">
        <f>IFERROR(__xludf.DUMMYFUNCTION("""COMPUTED_VALUE"""),0.0)</f>
        <v>0</v>
      </c>
    </row>
    <row r="491" ht="15.75" customHeight="1">
      <c r="A491" s="10" t="str">
        <f>IFERROR(__xludf.DUMMYFUNCTION("""COMPUTED_VALUE"""),"https://www.silverbackstrategies.com/lists/best-ppc-agencies-in-the-us-ranked-reviewed/")</f>
        <v>https://www.silverbackstrategies.com/lists/best-ppc-agencies-in-the-us-ranked-reviewed/</v>
      </c>
      <c r="B491" s="11" t="str">
        <f>IFERROR(__xludf.DUMMYFUNCTION("""COMPUTED_VALUE"""),"Best PPC Agencies in the U.S. in 2026 (Ranked &amp;amp; Reviewed) | Silverback Strategies")</f>
        <v>Best PPC Agencies in the U.S. in 2026 (Ranked &amp;amp; Reviewed) | Silverback Strategies</v>
      </c>
      <c r="C491" s="10" t="str">
        <f>IFERROR(__xludf.DUMMYFUNCTION("""COMPUTED_VALUE"""),"silverbackstrategies.com")</f>
        <v>silverbackstrategies.com</v>
      </c>
      <c r="D491" s="11" t="str">
        <f>IFERROR(__xludf.DUMMYFUNCTION("""COMPUTED_VALUE"""),"LISTICLE")</f>
        <v>LISTICLE</v>
      </c>
      <c r="E491" s="11" t="str">
        <f>IFERROR(__xludf.DUMMYFUNCTION("""COMPUTED_VALUE"""),"COMPETITOR")</f>
        <v>COMPETITOR</v>
      </c>
      <c r="F491" s="11" t="str">
        <f>IFERROR(__xludf.DUMMYFUNCTION("""COMPUTED_VALUE"""),"Listicle")</f>
        <v>Listicle</v>
      </c>
      <c r="G491" s="11" t="b">
        <f>IFERROR(__xludf.DUMMYFUNCTION("""COMPUTED_VALUE"""),FALSE)</f>
        <v>0</v>
      </c>
      <c r="H491" s="11" t="str">
        <f>IFERROR(__xludf.DUMMYFUNCTION("""COMPUTED_VALUE"""),"Silverback Strategies, Measured, Clutch, Disruptive Advertising, Intero Digital, KlientBoost, Single Grain, HawkSEM")</f>
        <v>Silverback Strategies, Measured, Clutch, Disruptive Advertising, Intero Digital, KlientBoost, Single Grain, HawkSEM</v>
      </c>
      <c r="I491" s="11">
        <f>IFERROR(__xludf.DUMMYFUNCTION("""COMPUTED_VALUE"""),2.0)</f>
        <v>2</v>
      </c>
      <c r="J491" s="11">
        <f>IFERROR(__xludf.DUMMYFUNCTION("""COMPUTED_VALUE"""),0.0)</f>
        <v>0</v>
      </c>
      <c r="K491" s="11">
        <f>IFERROR(__xludf.DUMMYFUNCTION("""COMPUTED_VALUE"""),0.5)</f>
        <v>0.5</v>
      </c>
    </row>
    <row r="492" ht="15.75" customHeight="1">
      <c r="A492" s="10" t="str">
        <f>IFERROR(__xludf.DUMMYFUNCTION("""COMPUTED_VALUE"""),"https://silverspoonagency.com/best-performance-marketing-agencies/")</f>
        <v>https://silverspoonagency.com/best-performance-marketing-agencies/</v>
      </c>
      <c r="B492" s="11" t="str">
        <f>IFERROR(__xludf.DUMMYFUNCTION("""COMPUTED_VALUE"""),"7 Best Performance marketing agencies to Drive ROI in 2026")</f>
        <v>7 Best Performance marketing agencies to Drive ROI in 2026</v>
      </c>
      <c r="C492" s="10" t="str">
        <f>IFERROR(__xludf.DUMMYFUNCTION("""COMPUTED_VALUE"""),"silverspoonagency.com")</f>
        <v>silverspoonagency.com</v>
      </c>
      <c r="D492" s="11" t="str">
        <f>IFERROR(__xludf.DUMMYFUNCTION("""COMPUTED_VALUE"""),"LISTICLE")</f>
        <v>LISTICLE</v>
      </c>
      <c r="E492" s="11" t="str">
        <f>IFERROR(__xludf.DUMMYFUNCTION("""COMPUTED_VALUE"""),"CORPORATE")</f>
        <v>CORPORATE</v>
      </c>
      <c r="F492" s="11" t="str">
        <f>IFERROR(__xludf.DUMMYFUNCTION("""COMPUTED_VALUE"""),"Listicle")</f>
        <v>Listicle</v>
      </c>
      <c r="G492" s="11" t="b">
        <f>IFERROR(__xludf.DUMMYFUNCTION("""COMPUTED_VALUE"""),FALSE)</f>
        <v>0</v>
      </c>
      <c r="H492" s="11" t="str">
        <f>IFERROR(__xludf.DUMMYFUNCTION("""COMPUTED_VALUE"""),"Clutch")</f>
        <v>Clutch</v>
      </c>
      <c r="I492" s="11">
        <f>IFERROR(__xludf.DUMMYFUNCTION("""COMPUTED_VALUE"""),2.0)</f>
        <v>2</v>
      </c>
      <c r="J492" s="11">
        <f>IFERROR(__xludf.DUMMYFUNCTION("""COMPUTED_VALUE"""),0.0)</f>
        <v>0</v>
      </c>
      <c r="K492" s="11">
        <f>IFERROR(__xludf.DUMMYFUNCTION("""COMPUTED_VALUE"""),2.0)</f>
        <v>2</v>
      </c>
    </row>
    <row r="493" ht="15.75" customHeight="1">
      <c r="A493" s="10" t="str">
        <f>IFERROR(__xludf.DUMMYFUNCTION("""COMPUTED_VALUE"""),"https://www.superside.com/blog/marketing-design-services")</f>
        <v>https://www.superside.com/blog/marketing-design-services</v>
      </c>
      <c r="B493" s="11" t="str">
        <f>IFERROR(__xludf.DUMMYFUNCTION("""COMPUTED_VALUE"""),"13 Best Marketing Design Services for Enterprises in 2026")</f>
        <v>13 Best Marketing Design Services for Enterprises in 2026</v>
      </c>
      <c r="C493" s="10" t="str">
        <f>IFERROR(__xludf.DUMMYFUNCTION("""COMPUTED_VALUE"""),"superside.com")</f>
        <v>superside.com</v>
      </c>
      <c r="D493" s="11" t="str">
        <f>IFERROR(__xludf.DUMMYFUNCTION("""COMPUTED_VALUE"""),"LISTICLE")</f>
        <v>LISTICLE</v>
      </c>
      <c r="E493" s="11" t="str">
        <f>IFERROR(__xludf.DUMMYFUNCTION("""COMPUTED_VALUE"""),"COMPETITOR")</f>
        <v>COMPETITOR</v>
      </c>
      <c r="F493" s="11" t="str">
        <f>IFERROR(__xludf.DUMMYFUNCTION("""COMPUTED_VALUE"""),"Listicle")</f>
        <v>Listicle</v>
      </c>
      <c r="G493" s="11" t="b">
        <f>IFERROR(__xludf.DUMMYFUNCTION("""COMPUTED_VALUE"""),FALSE)</f>
        <v>0</v>
      </c>
      <c r="H493" s="11" t="str">
        <f>IFERROR(__xludf.DUMMYFUNCTION("""COMPUTED_VALUE"""),"Superside")</f>
        <v>Superside</v>
      </c>
      <c r="I493" s="11">
        <f>IFERROR(__xludf.DUMMYFUNCTION("""COMPUTED_VALUE"""),2.0)</f>
        <v>2</v>
      </c>
      <c r="J493" s="11">
        <f>IFERROR(__xludf.DUMMYFUNCTION("""COMPUTED_VALUE"""),0.0)</f>
        <v>0</v>
      </c>
      <c r="K493" s="11">
        <f>IFERROR(__xludf.DUMMYFUNCTION("""COMPUTED_VALUE"""),1.0)</f>
        <v>1</v>
      </c>
    </row>
    <row r="494" ht="15.75" customHeight="1">
      <c r="A494" s="10" t="str">
        <f>IFERROR(__xludf.DUMMYFUNCTION("""COMPUTED_VALUE"""),"https://www.thedrum.com/news/world-creative-rankings-the-most-awarded-us-ad-agencies-the-last-12-months")</f>
        <v>https://www.thedrum.com/news/world-creative-rankings-the-most-awarded-us-ad-agencies-the-last-12-months</v>
      </c>
      <c r="B494" s="11" t="str">
        <f>IFERROR(__xludf.DUMMYFUNCTION("""COMPUTED_VALUE"""),"The most-awarded US ad agencies of 2021 \| The Drum")</f>
        <v>The most-awarded US ad agencies of 2021 \| The Drum</v>
      </c>
      <c r="C494" s="10" t="str">
        <f>IFERROR(__xludf.DUMMYFUNCTION("""COMPUTED_VALUE"""),"thedrum.com")</f>
        <v>thedrum.com</v>
      </c>
      <c r="D494" s="11" t="str">
        <f>IFERROR(__xludf.DUMMYFUNCTION("""COMPUTED_VALUE"""),"LISTICLE")</f>
        <v>LISTICLE</v>
      </c>
      <c r="E494" s="11" t="str">
        <f>IFERROR(__xludf.DUMMYFUNCTION("""COMPUTED_VALUE"""),"EDITORIAL")</f>
        <v>EDITORIAL</v>
      </c>
      <c r="F494" s="11" t="str">
        <f>IFERROR(__xludf.DUMMYFUNCTION("""COMPUTED_VALUE"""),"Listicle")</f>
        <v>Listicle</v>
      </c>
      <c r="G494" s="11" t="b">
        <f>IFERROR(__xludf.DUMMYFUNCTION("""COMPUTED_VALUE"""),FALSE)</f>
        <v>0</v>
      </c>
      <c r="H494" s="11"/>
      <c r="I494" s="11">
        <f>IFERROR(__xludf.DUMMYFUNCTION("""COMPUTED_VALUE"""),2.0)</f>
        <v>2</v>
      </c>
      <c r="J494" s="11">
        <f>IFERROR(__xludf.DUMMYFUNCTION("""COMPUTED_VALUE"""),0.0)</f>
        <v>0</v>
      </c>
      <c r="K494" s="11">
        <f>IFERROR(__xludf.DUMMYFUNCTION("""COMPUTED_VALUE"""),0.0)</f>
        <v>0</v>
      </c>
    </row>
    <row r="495" ht="15.75" customHeight="1">
      <c r="A495" s="10" t="str">
        <f>IFERROR(__xludf.DUMMYFUNCTION("""COMPUTED_VALUE"""),"https://www.thedrum.com/news/world-creative-rankings-the-top-holding-companies-and-best-agency-networks-the")</f>
        <v>https://www.thedrum.com/news/world-creative-rankings-the-top-holding-companies-and-best-agency-networks-the</v>
      </c>
      <c r="B495" s="11" t="str">
        <f>IFERROR(__xludf.DUMMYFUNCTION("""COMPUTED_VALUE"""),"Advertising's most-awarded holding companies and agency networks of 2021 | The Drum")</f>
        <v>Advertising's most-awarded holding companies and agency networks of 2021 | The Drum</v>
      </c>
      <c r="C495" s="10" t="str">
        <f>IFERROR(__xludf.DUMMYFUNCTION("""COMPUTED_VALUE"""),"thedrum.com")</f>
        <v>thedrum.com</v>
      </c>
      <c r="D495" s="11" t="str">
        <f>IFERROR(__xludf.DUMMYFUNCTION("""COMPUTED_VALUE"""),"LISTICLE")</f>
        <v>LISTICLE</v>
      </c>
      <c r="E495" s="11" t="str">
        <f>IFERROR(__xludf.DUMMYFUNCTION("""COMPUTED_VALUE"""),"EDITORIAL")</f>
        <v>EDITORIAL</v>
      </c>
      <c r="F495" s="11" t="str">
        <f>IFERROR(__xludf.DUMMYFUNCTION("""COMPUTED_VALUE"""),"Listicle")</f>
        <v>Listicle</v>
      </c>
      <c r="G495" s="11" t="b">
        <f>IFERROR(__xludf.DUMMYFUNCTION("""COMPUTED_VALUE"""),FALSE)</f>
        <v>0</v>
      </c>
      <c r="H495" s="11" t="str">
        <f>IFERROR(__xludf.DUMMYFUNCTION("""COMPUTED_VALUE"""),"WPP, Publicis Groupe, Dentsu, Ogilvy, BBDO, VML, Wieden+Kennedy, R/GA, AKQA, 72andSunny, Digitas")</f>
        <v>WPP, Publicis Groupe, Dentsu, Ogilvy, BBDO, VML, Wieden+Kennedy, R/GA, AKQA, 72andSunny, Digitas</v>
      </c>
      <c r="I495" s="11">
        <f>IFERROR(__xludf.DUMMYFUNCTION("""COMPUTED_VALUE"""),2.0)</f>
        <v>2</v>
      </c>
      <c r="J495" s="11">
        <f>IFERROR(__xludf.DUMMYFUNCTION("""COMPUTED_VALUE"""),0.0)</f>
        <v>0</v>
      </c>
      <c r="K495" s="11">
        <f>IFERROR(__xludf.DUMMYFUNCTION("""COMPUTED_VALUE"""),0.0)</f>
        <v>0</v>
      </c>
    </row>
    <row r="496" ht="15.75" customHeight="1">
      <c r="A496" s="10" t="str">
        <f>IFERROR(__xludf.DUMMYFUNCTION("""COMPUTED_VALUE"""),"https://themarketingagency.ca/blog/top-creative-agencies-growth/")</f>
        <v>https://themarketingagency.ca/blog/top-creative-agencies-growth/</v>
      </c>
      <c r="B496" s="11" t="str">
        <f>IFERROR(__xludf.DUMMYFUNCTION("""COMPUTED_VALUE"""),"10 Top Creative Agencies for 2026")</f>
        <v>10 Top Creative Agencies for 2026</v>
      </c>
      <c r="C496" s="10" t="str">
        <f>IFERROR(__xludf.DUMMYFUNCTION("""COMPUTED_VALUE"""),"themarketingagency.ca")</f>
        <v>themarketingagency.ca</v>
      </c>
      <c r="D496" s="11" t="str">
        <f>IFERROR(__xludf.DUMMYFUNCTION("""COMPUTED_VALUE"""),"LISTICLE")</f>
        <v>LISTICLE</v>
      </c>
      <c r="E496" s="11" t="str">
        <f>IFERROR(__xludf.DUMMYFUNCTION("""COMPUTED_VALUE"""),"CORPORATE")</f>
        <v>CORPORATE</v>
      </c>
      <c r="F496" s="11" t="str">
        <f>IFERROR(__xludf.DUMMYFUNCTION("""COMPUTED_VALUE"""),"Listicle")</f>
        <v>Listicle</v>
      </c>
      <c r="G496" s="11" t="b">
        <f>IFERROR(__xludf.DUMMYFUNCTION("""COMPUTED_VALUE"""),FALSE)</f>
        <v>0</v>
      </c>
      <c r="H496" s="11" t="str">
        <f>IFERROR(__xludf.DUMMYFUNCTION("""COMPUTED_VALUE"""),"Superside, Wieden+Kennedy, VaynerMedia, Ogilvy, The Social Shepherd, DEPT, inBeat, Giant Spoon, Clutch, Momentum")</f>
        <v>Superside, Wieden+Kennedy, VaynerMedia, Ogilvy, The Social Shepherd, DEPT, inBeat, Giant Spoon, Clutch, Momentum</v>
      </c>
      <c r="I496" s="11">
        <f>IFERROR(__xludf.DUMMYFUNCTION("""COMPUTED_VALUE"""),2.0)</f>
        <v>2</v>
      </c>
      <c r="J496" s="11">
        <f>IFERROR(__xludf.DUMMYFUNCTION("""COMPUTED_VALUE"""),0.0)</f>
        <v>0</v>
      </c>
      <c r="K496" s="11">
        <f>IFERROR(__xludf.DUMMYFUNCTION("""COMPUTED_VALUE"""),1.0)</f>
        <v>1</v>
      </c>
    </row>
    <row r="497" ht="15.75" customHeight="1">
      <c r="A497" s="10" t="str">
        <f>IFERROR(__xludf.DUMMYFUNCTION("""COMPUTED_VALUE"""),"https://thriveagency.com/news/best-ai-seo-agencies/")</f>
        <v>https://thriveagency.com/news/best-ai-seo-agencies/</v>
      </c>
      <c r="B497" s="11" t="str">
        <f>IFERROR(__xludf.DUMMYFUNCTION("""COMPUTED_VALUE"""),"10 Best AI SEO Agencies in 2026 | Thrive Agency")</f>
        <v>10 Best AI SEO Agencies in 2026 | Thrive Agency</v>
      </c>
      <c r="C497" s="10" t="str">
        <f>IFERROR(__xludf.DUMMYFUNCTION("""COMPUTED_VALUE"""),"thriveagency.com")</f>
        <v>thriveagency.com</v>
      </c>
      <c r="D497" s="11" t="str">
        <f>IFERROR(__xludf.DUMMYFUNCTION("""COMPUTED_VALUE"""),"LISTICLE")</f>
        <v>LISTICLE</v>
      </c>
      <c r="E497" s="11" t="str">
        <f>IFERROR(__xludf.DUMMYFUNCTION("""COMPUTED_VALUE"""),"COMPETITOR")</f>
        <v>COMPETITOR</v>
      </c>
      <c r="F497" s="11" t="str">
        <f>IFERROR(__xludf.DUMMYFUNCTION("""COMPUTED_VALUE"""),"Listicle")</f>
        <v>Listicle</v>
      </c>
      <c r="G497" s="11" t="b">
        <f>IFERROR(__xludf.DUMMYFUNCTION("""COMPUTED_VALUE"""),FALSE)</f>
        <v>0</v>
      </c>
      <c r="H497" s="11" t="str">
        <f>IFERROR(__xludf.DUMMYFUNCTION("""COMPUTED_VALUE"""),"Thrive Internet Marketing Agency, Intero Digital, Victorious, Directive, Seer Interactive, Funnel Boost Media")</f>
        <v>Thrive Internet Marketing Agency, Intero Digital, Victorious, Directive, Seer Interactive, Funnel Boost Media</v>
      </c>
      <c r="I497" s="11">
        <f>IFERROR(__xludf.DUMMYFUNCTION("""COMPUTED_VALUE"""),2.0)</f>
        <v>2</v>
      </c>
      <c r="J497" s="11">
        <f>IFERROR(__xludf.DUMMYFUNCTION("""COMPUTED_VALUE"""),0.0)</f>
        <v>0</v>
      </c>
      <c r="K497" s="11">
        <f>IFERROR(__xludf.DUMMYFUNCTION("""COMPUTED_VALUE"""),1.0)</f>
        <v>1</v>
      </c>
    </row>
    <row r="498" ht="15.75" customHeight="1">
      <c r="A498" s="10" t="str">
        <f>IFERROR(__xludf.DUMMYFUNCTION("""COMPUTED_VALUE"""),"https://thriveagency.com/news/best-ppc-companies/")</f>
        <v>https://thriveagency.com/news/best-ppc-companies/</v>
      </c>
      <c r="B498" s="11" t="str">
        <f>IFERROR(__xludf.DUMMYFUNCTION("""COMPUTED_VALUE"""),"20 Best PPC Companies in 2026 | Thrive Agency")</f>
        <v>20 Best PPC Companies in 2026 | Thrive Agency</v>
      </c>
      <c r="C498" s="10" t="str">
        <f>IFERROR(__xludf.DUMMYFUNCTION("""COMPUTED_VALUE"""),"thriveagency.com")</f>
        <v>thriveagency.com</v>
      </c>
      <c r="D498" s="11" t="str">
        <f>IFERROR(__xludf.DUMMYFUNCTION("""COMPUTED_VALUE"""),"LISTICLE")</f>
        <v>LISTICLE</v>
      </c>
      <c r="E498" s="11" t="str">
        <f>IFERROR(__xludf.DUMMYFUNCTION("""COMPUTED_VALUE"""),"COMPETITOR")</f>
        <v>COMPETITOR</v>
      </c>
      <c r="F498" s="11" t="str">
        <f>IFERROR(__xludf.DUMMYFUNCTION("""COMPUTED_VALUE"""),"Listicle")</f>
        <v>Listicle</v>
      </c>
      <c r="G498" s="11" t="b">
        <f>IFERROR(__xludf.DUMMYFUNCTION("""COMPUTED_VALUE"""),FALSE)</f>
        <v>0</v>
      </c>
      <c r="H498" s="11" t="str">
        <f>IFERROR(__xludf.DUMMYFUNCTION("""COMPUTED_VALUE"""),"Thrive Internet Marketing Agency, Disruptive Advertising, Directive, Power Digital, KlientBoost, AdVenture Media, HawkSEM, Metric Theory, Monks, Measured")</f>
        <v>Thrive Internet Marketing Agency, Disruptive Advertising, Directive, Power Digital, KlientBoost, AdVenture Media, HawkSEM, Metric Theory, Monks, Measured</v>
      </c>
      <c r="I498" s="11">
        <f>IFERROR(__xludf.DUMMYFUNCTION("""COMPUTED_VALUE"""),2.0)</f>
        <v>2</v>
      </c>
      <c r="J498" s="11">
        <f>IFERROR(__xludf.DUMMYFUNCTION("""COMPUTED_VALUE"""),0.0)</f>
        <v>0</v>
      </c>
      <c r="K498" s="11">
        <f>IFERROR(__xludf.DUMMYFUNCTION("""COMPUTED_VALUE"""),3.5)</f>
        <v>3.5</v>
      </c>
    </row>
    <row r="499" ht="15.75" customHeight="1">
      <c r="A499" s="10" t="str">
        <f>IFERROR(__xludf.DUMMYFUNCTION("""COMPUTED_VALUE"""),"https://www.topbrandingagencies.io/top-branding-agencies-in-america")</f>
        <v>https://www.topbrandingagencies.io/top-branding-agencies-in-america</v>
      </c>
      <c r="B499" s="11" t="str">
        <f>IFERROR(__xludf.DUMMYFUNCTION("""COMPUTED_VALUE"""),"Top 10 Branding Agencies in the USA (2025) – Industry-Leading Firms Ranked — Top Branding Agencies")</f>
        <v>Top 10 Branding Agencies in the USA (2025) – Industry-Leading Firms Ranked — Top Branding Agencies</v>
      </c>
      <c r="C499" s="10" t="str">
        <f>IFERROR(__xludf.DUMMYFUNCTION("""COMPUTED_VALUE"""),"topbrandingagencies.io")</f>
        <v>topbrandingagencies.io</v>
      </c>
      <c r="D499" s="11" t="str">
        <f>IFERROR(__xludf.DUMMYFUNCTION("""COMPUTED_VALUE"""),"LISTICLE")</f>
        <v>LISTICLE</v>
      </c>
      <c r="E499" s="11" t="str">
        <f>IFERROR(__xludf.DUMMYFUNCTION("""COMPUTED_VALUE"""),"REFERENCE")</f>
        <v>REFERENCE</v>
      </c>
      <c r="F499" s="11" t="str">
        <f>IFERROR(__xludf.DUMMYFUNCTION("""COMPUTED_VALUE"""),"Listicle")</f>
        <v>Listicle</v>
      </c>
      <c r="G499" s="11" t="b">
        <f>IFERROR(__xludf.DUMMYFUNCTION("""COMPUTED_VALUE"""),FALSE)</f>
        <v>0</v>
      </c>
      <c r="H499" s="11" t="str">
        <f>IFERROR(__xludf.DUMMYFUNCTION("""COMPUTED_VALUE"""),"Wieden+Kennedy, Wolff Olins, Clay, BBDO, 72andSunny")</f>
        <v>Wieden+Kennedy, Wolff Olins, Clay, BBDO, 72andSunny</v>
      </c>
      <c r="I499" s="11">
        <f>IFERROR(__xludf.DUMMYFUNCTION("""COMPUTED_VALUE"""),2.0)</f>
        <v>2</v>
      </c>
      <c r="J499" s="11">
        <f>IFERROR(__xludf.DUMMYFUNCTION("""COMPUTED_VALUE"""),0.0)</f>
        <v>0</v>
      </c>
      <c r="K499" s="11">
        <f>IFERROR(__xludf.DUMMYFUNCTION("""COMPUTED_VALUE"""),0.0)</f>
        <v>0</v>
      </c>
    </row>
    <row r="500" ht="15.75" customHeight="1">
      <c r="A500" s="10" t="str">
        <f>IFERROR(__xludf.DUMMYFUNCTION("""COMPUTED_VALUE"""),"https://tryxlr8.ai/blogs/best-generative-engine-optimization-agencies#:~:text=XLR8%20AI%20offers%20extensive%20LLM,content%20creation%2C%20and%20page%20optimization.")</f>
        <v>https://tryxlr8.ai/blogs/best-generative-engine-optimization-agencies#:~:text=XLR8%20AI%20offers%20extensive%20LLM,content%20creation%2C%20and%20page%20optimization.</v>
      </c>
      <c r="B500" s="11" t="str">
        <f>IFERROR(__xludf.DUMMYFUNCTION("""COMPUTED_VALUE"""),"Best GEO Agencies 2026: 13 Ranked (One of Them Is Us — Here's Why) | XLR8 AI")</f>
        <v>Best GEO Agencies 2026: 13 Ranked (One of Them Is Us — Here's Why) | XLR8 AI</v>
      </c>
      <c r="C500" s="10" t="str">
        <f>IFERROR(__xludf.DUMMYFUNCTION("""COMPUTED_VALUE"""),"tryxlr8.ai")</f>
        <v>tryxlr8.ai</v>
      </c>
      <c r="D500" s="11" t="str">
        <f>IFERROR(__xludf.DUMMYFUNCTION("""COMPUTED_VALUE"""),"LISTICLE")</f>
        <v>LISTICLE</v>
      </c>
      <c r="E500" s="11" t="str">
        <f>IFERROR(__xludf.DUMMYFUNCTION("""COMPUTED_VALUE"""),"CORPORATE")</f>
        <v>CORPORATE</v>
      </c>
      <c r="F500" s="11" t="str">
        <f>IFERROR(__xludf.DUMMYFUNCTION("""COMPUTED_VALUE"""),"Listicle")</f>
        <v>Listicle</v>
      </c>
      <c r="G500" s="11" t="b">
        <f>IFERROR(__xludf.DUMMYFUNCTION("""COMPUTED_VALUE"""),FALSE)</f>
        <v>0</v>
      </c>
      <c r="H500" s="11" t="str">
        <f>IFERROR(__xludf.DUMMYFUNCTION("""COMPUTED_VALUE"""),"First Page Sage, Go Fish Digital, Omniscient Digital, Siege Media, iPullRank, WebFX, Directive, Graphite, Measured")</f>
        <v>First Page Sage, Go Fish Digital, Omniscient Digital, Siege Media, iPullRank, WebFX, Directive, Graphite, Measured</v>
      </c>
      <c r="I500" s="11">
        <f>IFERROR(__xludf.DUMMYFUNCTION("""COMPUTED_VALUE"""),2.0)</f>
        <v>2</v>
      </c>
      <c r="J500" s="11">
        <f>IFERROR(__xludf.DUMMYFUNCTION("""COMPUTED_VALUE"""),0.0)</f>
        <v>0</v>
      </c>
      <c r="K500" s="11">
        <f>IFERROR(__xludf.DUMMYFUNCTION("""COMPUTED_VALUE"""),1.0)</f>
        <v>1</v>
      </c>
    </row>
    <row r="501" ht="15.75" customHeight="1">
      <c r="A501" s="10" t="str">
        <f>IFERROR(__xludf.DUMMYFUNCTION("""COMPUTED_VALUE"""),"https://www.uforocks.com/blog/50-digital-marketing-agencies-in-the-us/")</f>
        <v>https://www.uforocks.com/blog/50-digital-marketing-agencies-in-the-us/</v>
      </c>
      <c r="B501" s="11" t="str">
        <f>IFERROR(__xludf.DUMMYFUNCTION("""COMPUTED_VALUE"""),"50 U.S-Based Digital Marketing Agencies")</f>
        <v>50 U.S-Based Digital Marketing Agencies</v>
      </c>
      <c r="C501" s="10" t="str">
        <f>IFERROR(__xludf.DUMMYFUNCTION("""COMPUTED_VALUE"""),"uforocks.com")</f>
        <v>uforocks.com</v>
      </c>
      <c r="D501" s="11" t="str">
        <f>IFERROR(__xludf.DUMMYFUNCTION("""COMPUTED_VALUE"""),"LISTICLE")</f>
        <v>LISTICLE</v>
      </c>
      <c r="E501" s="11" t="str">
        <f>IFERROR(__xludf.DUMMYFUNCTION("""COMPUTED_VALUE"""),"CORPORATE")</f>
        <v>CORPORATE</v>
      </c>
      <c r="F501" s="11" t="str">
        <f>IFERROR(__xludf.DUMMYFUNCTION("""COMPUTED_VALUE"""),"Listicle")</f>
        <v>Listicle</v>
      </c>
      <c r="G501" s="11" t="b">
        <f>IFERROR(__xludf.DUMMYFUNCTION("""COMPUTED_VALUE"""),FALSE)</f>
        <v>0</v>
      </c>
      <c r="H501" s="11" t="str">
        <f>IFERROR(__xludf.DUMMYFUNCTION("""COMPUTED_VALUE"""),"Clutch, WebFX, Ignite Visibility, Silverback Strategies, Dentsu, Merkle, Thrive Internet Marketing Agency, Disruptive Advertising, Directive, Wpromote, TransUnion, Noble Studios, Tinuiti, Clay, KlientBoost, Searchbloom, SmartSites, McKinsey, AdVenture Med"&amp;"ia, Amsive, NP Digital, Seer Interactive")</f>
        <v>Clutch, WebFX, Ignite Visibility, Silverback Strategies, Dentsu, Merkle, Thrive Internet Marketing Agency, Disruptive Advertising, Directive, Wpromote, TransUnion, Noble Studios, Tinuiti, Clay, KlientBoost, Searchbloom, SmartSites, McKinsey, AdVenture Media, Amsive, NP Digital, Seer Interactive</v>
      </c>
      <c r="I501" s="11">
        <f>IFERROR(__xludf.DUMMYFUNCTION("""COMPUTED_VALUE"""),2.0)</f>
        <v>2</v>
      </c>
      <c r="J501" s="11">
        <f>IFERROR(__xludf.DUMMYFUNCTION("""COMPUTED_VALUE"""),0.0)</f>
        <v>0</v>
      </c>
      <c r="K501" s="11">
        <f>IFERROR(__xludf.DUMMYFUNCTION("""COMPUTED_VALUE"""),0.0)</f>
        <v>0</v>
      </c>
    </row>
    <row r="502" ht="15.75" customHeight="1">
      <c r="A502" s="10" t="str">
        <f>IFERROR(__xludf.DUMMYFUNCTION("""COMPUTED_VALUE"""),"https://www.uforocks.com/blog/top-ai-seo-agencies-in-the-u-s/")</f>
        <v>https://www.uforocks.com/blog/top-ai-seo-agencies-in-the-u-s/</v>
      </c>
      <c r="B502" s="11" t="str">
        <f>IFERROR(__xludf.DUMMYFUNCTION("""COMPUTED_VALUE"""),"Top AI SEO Agencies in the U.S. - UFO Digital Marketing Agency")</f>
        <v>Top AI SEO Agencies in the U.S. - UFO Digital Marketing Agency</v>
      </c>
      <c r="C502" s="10" t="str">
        <f>IFERROR(__xludf.DUMMYFUNCTION("""COMPUTED_VALUE"""),"uforocks.com")</f>
        <v>uforocks.com</v>
      </c>
      <c r="D502" s="11" t="str">
        <f>IFERROR(__xludf.DUMMYFUNCTION("""COMPUTED_VALUE"""),"LISTICLE")</f>
        <v>LISTICLE</v>
      </c>
      <c r="E502" s="11" t="str">
        <f>IFERROR(__xludf.DUMMYFUNCTION("""COMPUTED_VALUE"""),"CORPORATE")</f>
        <v>CORPORATE</v>
      </c>
      <c r="F502" s="11" t="str">
        <f>IFERROR(__xludf.DUMMYFUNCTION("""COMPUTED_VALUE"""),"Listicle")</f>
        <v>Listicle</v>
      </c>
      <c r="G502" s="11" t="b">
        <f>IFERROR(__xludf.DUMMYFUNCTION("""COMPUTED_VALUE"""),FALSE)</f>
        <v>0</v>
      </c>
      <c r="H502" s="11" t="str">
        <f>IFERROR(__xludf.DUMMYFUNCTION("""COMPUTED_VALUE"""),"Omniscient Digital, iPullRank, First Page Sage, WebFX, NoGood, Siege Media, NP Digital, SmartSites, Clutch, Marcel Digital, Thrive Internet Marketing Agency, Seer Interactive, Directive")</f>
        <v>Omniscient Digital, iPullRank, First Page Sage, WebFX, NoGood, Siege Media, NP Digital, SmartSites, Clutch, Marcel Digital, Thrive Internet Marketing Agency, Seer Interactive, Directive</v>
      </c>
      <c r="I502" s="11">
        <f>IFERROR(__xludf.DUMMYFUNCTION("""COMPUTED_VALUE"""),2.0)</f>
        <v>2</v>
      </c>
      <c r="J502" s="11">
        <f>IFERROR(__xludf.DUMMYFUNCTION("""COMPUTED_VALUE"""),0.0)</f>
        <v>0</v>
      </c>
      <c r="K502" s="11">
        <f>IFERROR(__xludf.DUMMYFUNCTION("""COMPUTED_VALUE"""),0.5)</f>
        <v>0.5</v>
      </c>
    </row>
    <row r="503" ht="15.75" customHeight="1">
      <c r="A503" s="10" t="str">
        <f>IFERROR(__xludf.DUMMYFUNCTION("""COMPUTED_VALUE"""),"https://usanews.com/newsroom/top-digital-marketing-agencies-in-the-united-states")</f>
        <v>https://usanews.com/newsroom/top-digital-marketing-agencies-in-the-united-states</v>
      </c>
      <c r="B503" s="11" t="str">
        <f>IFERROR(__xludf.DUMMYFUNCTION("""COMPUTED_VALUE"""),"Top Digital Marketing Agencies in the United States | USA News")</f>
        <v>Top Digital Marketing Agencies in the United States | USA News</v>
      </c>
      <c r="C503" s="10" t="str">
        <f>IFERROR(__xludf.DUMMYFUNCTION("""COMPUTED_VALUE"""),"usanews.com")</f>
        <v>usanews.com</v>
      </c>
      <c r="D503" s="11" t="str">
        <f>IFERROR(__xludf.DUMMYFUNCTION("""COMPUTED_VALUE"""),"LISTICLE")</f>
        <v>LISTICLE</v>
      </c>
      <c r="E503" s="11" t="str">
        <f>IFERROR(__xludf.DUMMYFUNCTION("""COMPUTED_VALUE"""),"EDITORIAL")</f>
        <v>EDITORIAL</v>
      </c>
      <c r="F503" s="11" t="str">
        <f>IFERROR(__xludf.DUMMYFUNCTION("""COMPUTED_VALUE"""),"Listicle")</f>
        <v>Listicle</v>
      </c>
      <c r="G503" s="11" t="b">
        <f>IFERROR(__xludf.DUMMYFUNCTION("""COMPUTED_VALUE"""),FALSE)</f>
        <v>0</v>
      </c>
      <c r="H503" s="11" t="str">
        <f>IFERROR(__xludf.DUMMYFUNCTION("""COMPUTED_VALUE"""),"WebFX, Ignite Visibility, Disruptive Advertising, SmartSites")</f>
        <v>WebFX, Ignite Visibility, Disruptive Advertising, SmartSites</v>
      </c>
      <c r="I503" s="11">
        <f>IFERROR(__xludf.DUMMYFUNCTION("""COMPUTED_VALUE"""),2.0)</f>
        <v>2</v>
      </c>
      <c r="J503" s="11">
        <f>IFERROR(__xludf.DUMMYFUNCTION("""COMPUTED_VALUE"""),0.0)</f>
        <v>0</v>
      </c>
      <c r="K503" s="11">
        <f>IFERROR(__xludf.DUMMYFUNCTION("""COMPUTED_VALUE"""),0.0)</f>
        <v>0</v>
      </c>
    </row>
    <row r="504" ht="15.75" customHeight="1">
      <c r="A504" s="10" t="str">
        <f>IFERROR(__xludf.DUMMYFUNCTION("""COMPUTED_VALUE"""),"https://valasys.com/best-aeo-agencies-b2b-brands/")</f>
        <v>https://valasys.com/best-aeo-agencies-b2b-brands/</v>
      </c>
      <c r="B504" s="11" t="str">
        <f>IFERROR(__xludf.DUMMYFUNCTION("""COMPUTED_VALUE"""),"Best AEO Agencies for B2B Brands in 2026 | Top Picks Compared")</f>
        <v>Best AEO Agencies for B2B Brands in 2026 | Top Picks Compared</v>
      </c>
      <c r="C504" s="10" t="str">
        <f>IFERROR(__xludf.DUMMYFUNCTION("""COMPUTED_VALUE"""),"valasys.com")</f>
        <v>valasys.com</v>
      </c>
      <c r="D504" s="11" t="str">
        <f>IFERROR(__xludf.DUMMYFUNCTION("""COMPUTED_VALUE"""),"LISTICLE")</f>
        <v>LISTICLE</v>
      </c>
      <c r="E504" s="11" t="str">
        <f>IFERROR(__xludf.DUMMYFUNCTION("""COMPUTED_VALUE"""),"CORPORATE")</f>
        <v>CORPORATE</v>
      </c>
      <c r="F504" s="11" t="str">
        <f>IFERROR(__xludf.DUMMYFUNCTION("""COMPUTED_VALUE"""),"Listicle")</f>
        <v>Listicle</v>
      </c>
      <c r="G504" s="11" t="b">
        <f>IFERROR(__xludf.DUMMYFUNCTION("""COMPUTED_VALUE"""),FALSE)</f>
        <v>0</v>
      </c>
      <c r="H504" s="11" t="str">
        <f>IFERROR(__xludf.DUMMYFUNCTION("""COMPUTED_VALUE"""),"Thrive Internet Marketing Agency, Siege Media, First Page Sage, iPullRank, Single Grain, NoGood")</f>
        <v>Thrive Internet Marketing Agency, Siege Media, First Page Sage, iPullRank, Single Grain, NoGood</v>
      </c>
      <c r="I504" s="11">
        <f>IFERROR(__xludf.DUMMYFUNCTION("""COMPUTED_VALUE"""),2.0)</f>
        <v>2</v>
      </c>
      <c r="J504" s="11">
        <f>IFERROR(__xludf.DUMMYFUNCTION("""COMPUTED_VALUE"""),0.0)</f>
        <v>0</v>
      </c>
      <c r="K504" s="11">
        <f>IFERROR(__xludf.DUMMYFUNCTION("""COMPUTED_VALUE"""),1.0)</f>
        <v>1</v>
      </c>
    </row>
    <row r="505" ht="15.75" customHeight="1">
      <c r="A505" s="10" t="str">
        <f>IFERROR(__xludf.DUMMYFUNCTION("""COMPUTED_VALUE"""),"https://www.warroominc.com/blog/best-programmatic-advertising-agencies/#:~:text=Be%20sure%20to%20evaluate%20which%20would%20be,Advertising%3A%20%2D%20Fyber%3A%20%2D%20SmartyAds%3A%20%2D%20Choozel%3A")</f>
        <v>https://www.warroominc.com/blog/best-programmatic-advertising-agencies/#:~:text=Be%20sure%20to%20evaluate%20which%20would%20be,Advertising%3A%20%2D%20Fyber%3A%20%2D%20SmartyAds%3A%20%2D%20Choozel%3A</v>
      </c>
      <c r="B505" s="11" t="str">
        <f>IFERROR(__xludf.DUMMYFUNCTION("""COMPUTED_VALUE"""),"14 best programmatic advertising agencies &amp;amp; platforms (2025)")</f>
        <v>14 best programmatic advertising agencies &amp;amp; platforms (2025)</v>
      </c>
      <c r="C505" s="10" t="str">
        <f>IFERROR(__xludf.DUMMYFUNCTION("""COMPUTED_VALUE"""),"warroominc.com")</f>
        <v>warroominc.com</v>
      </c>
      <c r="D505" s="11" t="str">
        <f>IFERROR(__xludf.DUMMYFUNCTION("""COMPUTED_VALUE"""),"LISTICLE")</f>
        <v>LISTICLE</v>
      </c>
      <c r="E505" s="11" t="str">
        <f>IFERROR(__xludf.DUMMYFUNCTION("""COMPUTED_VALUE"""),"CORPORATE")</f>
        <v>CORPORATE</v>
      </c>
      <c r="F505" s="11" t="str">
        <f>IFERROR(__xludf.DUMMYFUNCTION("""COMPUTED_VALUE"""),"Listicle")</f>
        <v>Listicle</v>
      </c>
      <c r="G505" s="11" t="b">
        <f>IFERROR(__xludf.DUMMYFUNCTION("""COMPUTED_VALUE"""),FALSE)</f>
        <v>0</v>
      </c>
      <c r="H505" s="11" t="str">
        <f>IFERROR(__xludf.DUMMYFUNCTION("""COMPUTED_VALUE"""),"Disruptive Advertising")</f>
        <v>Disruptive Advertising</v>
      </c>
      <c r="I505" s="11">
        <f>IFERROR(__xludf.DUMMYFUNCTION("""COMPUTED_VALUE"""),2.0)</f>
        <v>2</v>
      </c>
      <c r="J505" s="11">
        <f>IFERROR(__xludf.DUMMYFUNCTION("""COMPUTED_VALUE"""),0.0)</f>
        <v>0</v>
      </c>
      <c r="K505" s="11">
        <f>IFERROR(__xludf.DUMMYFUNCTION("""COMPUTED_VALUE"""),1.0)</f>
        <v>1</v>
      </c>
    </row>
    <row r="506" ht="15.75" customHeight="1">
      <c r="A506" s="10" t="str">
        <f>IFERROR(__xludf.DUMMYFUNCTION("""COMPUTED_VALUE"""),"https://www.webfx.com/blog/ai/best-geo-agencies/")</f>
        <v>https://www.webfx.com/blog/ai/best-geo-agencies/</v>
      </c>
      <c r="B506" s="11" t="str">
        <f>IFERROR(__xludf.DUMMYFUNCTION("""COMPUTED_VALUE"""),"The Best GEO Agencies for AI Visibility in 2026")</f>
        <v>The Best GEO Agencies for AI Visibility in 2026</v>
      </c>
      <c r="C506" s="10" t="str">
        <f>IFERROR(__xludf.DUMMYFUNCTION("""COMPUTED_VALUE"""),"webfx.com")</f>
        <v>webfx.com</v>
      </c>
      <c r="D506" s="11" t="str">
        <f>IFERROR(__xludf.DUMMYFUNCTION("""COMPUTED_VALUE"""),"LISTICLE")</f>
        <v>LISTICLE</v>
      </c>
      <c r="E506" s="11" t="str">
        <f>IFERROR(__xludf.DUMMYFUNCTION("""COMPUTED_VALUE"""),"COMPETITOR")</f>
        <v>COMPETITOR</v>
      </c>
      <c r="F506" s="11" t="str">
        <f>IFERROR(__xludf.DUMMYFUNCTION("""COMPUTED_VALUE"""),"Listicle")</f>
        <v>Listicle</v>
      </c>
      <c r="G506" s="11" t="b">
        <f>IFERROR(__xludf.DUMMYFUNCTION("""COMPUTED_VALUE"""),FALSE)</f>
        <v>0</v>
      </c>
      <c r="H506" s="11" t="str">
        <f>IFERROR(__xludf.DUMMYFUNCTION("""COMPUTED_VALUE"""),"WebFX, Major Tom, The SEO Works, Clutch")</f>
        <v>WebFX, Major Tom, The SEO Works, Clutch</v>
      </c>
      <c r="I506" s="11">
        <f>IFERROR(__xludf.DUMMYFUNCTION("""COMPUTED_VALUE"""),2.0)</f>
        <v>2</v>
      </c>
      <c r="J506" s="11">
        <f>IFERROR(__xludf.DUMMYFUNCTION("""COMPUTED_VALUE"""),0.0)</f>
        <v>0</v>
      </c>
      <c r="K506" s="11">
        <f>IFERROR(__xludf.DUMMYFUNCTION("""COMPUTED_VALUE"""),2.0)</f>
        <v>2</v>
      </c>
    </row>
    <row r="507" ht="15.75" customHeight="1">
      <c r="A507" s="10" t="str">
        <f>IFERROR(__xludf.DUMMYFUNCTION("""COMPUTED_VALUE"""),"https://www.webfx.com/ppc/learn/google-partner-agency/")</f>
        <v>https://www.webfx.com/ppc/learn/google-partner-agency/</v>
      </c>
      <c r="B507" s="11" t="str">
        <f>IFERROR(__xludf.DUMMYFUNCTION("""COMPUTED_VALUE"""),"7 Benefits of Working with a Google Partner Agency")</f>
        <v>7 Benefits of Working with a Google Partner Agency</v>
      </c>
      <c r="C507" s="10" t="str">
        <f>IFERROR(__xludf.DUMMYFUNCTION("""COMPUTED_VALUE"""),"webfx.com")</f>
        <v>webfx.com</v>
      </c>
      <c r="D507" s="11" t="str">
        <f>IFERROR(__xludf.DUMMYFUNCTION("""COMPUTED_VALUE"""),"LISTICLE")</f>
        <v>LISTICLE</v>
      </c>
      <c r="E507" s="11" t="str">
        <f>IFERROR(__xludf.DUMMYFUNCTION("""COMPUTED_VALUE"""),"COMPETITOR")</f>
        <v>COMPETITOR</v>
      </c>
      <c r="F507" s="11" t="str">
        <f>IFERROR(__xludf.DUMMYFUNCTION("""COMPUTED_VALUE"""),"Listicle")</f>
        <v>Listicle</v>
      </c>
      <c r="G507" s="11" t="b">
        <f>IFERROR(__xludf.DUMMYFUNCTION("""COMPUTED_VALUE"""),FALSE)</f>
        <v>0</v>
      </c>
      <c r="H507" s="11" t="str">
        <f>IFERROR(__xludf.DUMMYFUNCTION("""COMPUTED_VALUE"""),"WebFX")</f>
        <v>WebFX</v>
      </c>
      <c r="I507" s="11">
        <f>IFERROR(__xludf.DUMMYFUNCTION("""COMPUTED_VALUE"""),2.0)</f>
        <v>2</v>
      </c>
      <c r="J507" s="11">
        <f>IFERROR(__xludf.DUMMYFUNCTION("""COMPUTED_VALUE"""),0.0)</f>
        <v>0</v>
      </c>
      <c r="K507" s="11">
        <f>IFERROR(__xludf.DUMMYFUNCTION("""COMPUTED_VALUE"""),1.0)</f>
        <v>1</v>
      </c>
    </row>
    <row r="508" ht="15.75" customHeight="1">
      <c r="A508" s="10" t="str">
        <f>IFERROR(__xludf.DUMMYFUNCTION("""COMPUTED_VALUE"""),"https://www.webtonic.io/blog/best-performance-marketing-agencies")</f>
        <v>https://www.webtonic.io/blog/best-performance-marketing-agencies</v>
      </c>
      <c r="B508" s="11" t="str">
        <f>IFERROR(__xludf.DUMMYFUNCTION("""COMPUTED_VALUE"""),"The 26 Best Performance Marketing Agencies for 2026")</f>
        <v>The 26 Best Performance Marketing Agencies for 2026</v>
      </c>
      <c r="C508" s="10" t="str">
        <f>IFERROR(__xludf.DUMMYFUNCTION("""COMPUTED_VALUE"""),"webtonic.io")</f>
        <v>webtonic.io</v>
      </c>
      <c r="D508" s="11" t="str">
        <f>IFERROR(__xludf.DUMMYFUNCTION("""COMPUTED_VALUE"""),"LISTICLE")</f>
        <v>LISTICLE</v>
      </c>
      <c r="E508" s="11" t="str">
        <f>IFERROR(__xludf.DUMMYFUNCTION("""COMPUTED_VALUE"""),"COMPETITOR")</f>
        <v>COMPETITOR</v>
      </c>
      <c r="F508" s="11" t="str">
        <f>IFERROR(__xludf.DUMMYFUNCTION("""COMPUTED_VALUE"""),"Listicle")</f>
        <v>Listicle</v>
      </c>
      <c r="G508" s="11" t="b">
        <f>IFERROR(__xludf.DUMMYFUNCTION("""COMPUTED_VALUE"""),TRUE)</f>
        <v>1</v>
      </c>
      <c r="H508" s="11" t="str">
        <f>IFERROR(__xludf.DUMMYFUNCTION("""COMPUTED_VALUE"""),"Web Tonic, Tinuiti, Hawke Media, NoGood, Metric Theory, Disruptive Advertising, Power Digital, MuteSix, Wpromote, TransUnion, Directive, SmartSites, KlientBoost, Single Grain, Jellyfish, Incubeta, Sociallyin")</f>
        <v>Web Tonic, Tinuiti, Hawke Media, NoGood, Metric Theory, Disruptive Advertising, Power Digital, MuteSix, Wpromote, TransUnion, Directive, SmartSites, KlientBoost, Single Grain, Jellyfish, Incubeta, Sociallyin</v>
      </c>
      <c r="I508" s="11">
        <f>IFERROR(__xludf.DUMMYFUNCTION("""COMPUTED_VALUE"""),2.0)</f>
        <v>2</v>
      </c>
      <c r="J508" s="11">
        <f>IFERROR(__xludf.DUMMYFUNCTION("""COMPUTED_VALUE"""),0.0)</f>
        <v>0</v>
      </c>
      <c r="K508" s="11">
        <f>IFERROR(__xludf.DUMMYFUNCTION("""COMPUTED_VALUE"""),0.0)</f>
        <v>0</v>
      </c>
    </row>
    <row r="509" ht="15.75" customHeight="1">
      <c r="A509" s="10" t="str">
        <f>IFERROR(__xludf.DUMMYFUNCTION("""COMPUTED_VALUE"""),"https://www.webtonic.io/blog/top-ai-marketing-agencies")</f>
        <v>https://www.webtonic.io/blog/top-ai-marketing-agencies</v>
      </c>
      <c r="B509" s="11" t="str">
        <f>IFERROR(__xludf.DUMMYFUNCTION("""COMPUTED_VALUE"""),"The 44 Best AI Marketing Agencies as of 2026")</f>
        <v>The 44 Best AI Marketing Agencies as of 2026</v>
      </c>
      <c r="C509" s="10" t="str">
        <f>IFERROR(__xludf.DUMMYFUNCTION("""COMPUTED_VALUE"""),"webtonic.io")</f>
        <v>webtonic.io</v>
      </c>
      <c r="D509" s="11" t="str">
        <f>IFERROR(__xludf.DUMMYFUNCTION("""COMPUTED_VALUE"""),"LISTICLE")</f>
        <v>LISTICLE</v>
      </c>
      <c r="E509" s="11" t="str">
        <f>IFERROR(__xludf.DUMMYFUNCTION("""COMPUTED_VALUE"""),"COMPETITOR")</f>
        <v>COMPETITOR</v>
      </c>
      <c r="F509" s="11" t="str">
        <f>IFERROR(__xludf.DUMMYFUNCTION("""COMPUTED_VALUE"""),"Listicle")</f>
        <v>Listicle</v>
      </c>
      <c r="G509" s="11" t="b">
        <f>IFERROR(__xludf.DUMMYFUNCTION("""COMPUTED_VALUE"""),FALSE)</f>
        <v>0</v>
      </c>
      <c r="H509" s="11" t="str">
        <f>IFERROR(__xludf.DUMMYFUNCTION("""COMPUTED_VALUE"""),"Web Tonic, Merkle, Wpromote, TransUnion, Jellyfish, Tinuiti, Dentsu, Monks, Huge, IBM, Anomaly, Ogilvy, PwC")</f>
        <v>Web Tonic, Merkle, Wpromote, TransUnion, Jellyfish, Tinuiti, Dentsu, Monks, Huge, IBM, Anomaly, Ogilvy, PwC</v>
      </c>
      <c r="I509" s="11">
        <f>IFERROR(__xludf.DUMMYFUNCTION("""COMPUTED_VALUE"""),2.0)</f>
        <v>2</v>
      </c>
      <c r="J509" s="11">
        <f>IFERROR(__xludf.DUMMYFUNCTION("""COMPUTED_VALUE"""),0.0)</f>
        <v>0</v>
      </c>
      <c r="K509" s="11">
        <f>IFERROR(__xludf.DUMMYFUNCTION("""COMPUTED_VALUE"""),0.0)</f>
        <v>0</v>
      </c>
    </row>
    <row r="510" ht="15.75" customHeight="1">
      <c r="A510" s="10" t="str">
        <f>IFERROR(__xludf.DUMMYFUNCTION("""COMPUTED_VALUE"""),"https://www.webtonic.io/blog/top-programmatic-advertising-agencies#:~:text=Industries%20Served%3A%20Consumer%20Goods%2C%20Automotive%2C%20Technology%2C%20Financial,and%20advanced%20attribution%20modelling.%20%2D%203.%20Essence.")</f>
        <v>https://www.webtonic.io/blog/top-programmatic-advertising-agencies#:~:text=Industries%20Served%3A%20Consumer%20Goods%2C%20Automotive%2C%20Technology%2C%20Financial,and%20advanced%20attribution%20modelling.%20%2D%203.%20Essence.</v>
      </c>
      <c r="B510" s="11" t="str">
        <f>IFERROR(__xludf.DUMMYFUNCTION("""COMPUTED_VALUE"""),"32 Top Programmatic Advertising Agencies for 2026")</f>
        <v>32 Top Programmatic Advertising Agencies for 2026</v>
      </c>
      <c r="C510" s="10" t="str">
        <f>IFERROR(__xludf.DUMMYFUNCTION("""COMPUTED_VALUE"""),"webtonic.io")</f>
        <v>webtonic.io</v>
      </c>
      <c r="D510" s="11" t="str">
        <f>IFERROR(__xludf.DUMMYFUNCTION("""COMPUTED_VALUE"""),"LISTICLE")</f>
        <v>LISTICLE</v>
      </c>
      <c r="E510" s="11" t="str">
        <f>IFERROR(__xludf.DUMMYFUNCTION("""COMPUTED_VALUE"""),"COMPETITOR")</f>
        <v>COMPETITOR</v>
      </c>
      <c r="F510" s="11" t="str">
        <f>IFERROR(__xludf.DUMMYFUNCTION("""COMPUTED_VALUE"""),"Listicle")</f>
        <v>Listicle</v>
      </c>
      <c r="G510" s="11" t="b">
        <f>IFERROR(__xludf.DUMMYFUNCTION("""COMPUTED_VALUE"""),FALSE)</f>
        <v>0</v>
      </c>
      <c r="H510" s="11" t="str">
        <f>IFERROR(__xludf.DUMMYFUNCTION("""COMPUTED_VALUE"""),"Web Tonic, GroupM")</f>
        <v>Web Tonic, GroupM</v>
      </c>
      <c r="I510" s="11">
        <f>IFERROR(__xludf.DUMMYFUNCTION("""COMPUTED_VALUE"""),2.0)</f>
        <v>2</v>
      </c>
      <c r="J510" s="11">
        <f>IFERROR(__xludf.DUMMYFUNCTION("""COMPUTED_VALUE"""),0.0)</f>
        <v>0</v>
      </c>
      <c r="K510" s="11">
        <f>IFERROR(__xludf.DUMMYFUNCTION("""COMPUTED_VALUE"""),3.0)</f>
        <v>3</v>
      </c>
    </row>
    <row r="511" ht="15.75" customHeight="1">
      <c r="A511" s="10" t="str">
        <f>IFERROR(__xludf.DUMMYFUNCTION("""COMPUTED_VALUE"""),"https://www.webtonic.io/blog/top-web-analytics-agencies")</f>
        <v>https://www.webtonic.io/blog/top-web-analytics-agencies</v>
      </c>
      <c r="B511" s="11" t="str">
        <f>IFERROR(__xludf.DUMMYFUNCTION("""COMPUTED_VALUE"""),"Top 46 Web Analytics Agencies (2026 Edition)")</f>
        <v>Top 46 Web Analytics Agencies (2026 Edition)</v>
      </c>
      <c r="C511" s="10" t="str">
        <f>IFERROR(__xludf.DUMMYFUNCTION("""COMPUTED_VALUE"""),"webtonic.io")</f>
        <v>webtonic.io</v>
      </c>
      <c r="D511" s="11" t="str">
        <f>IFERROR(__xludf.DUMMYFUNCTION("""COMPUTED_VALUE"""),"LISTICLE")</f>
        <v>LISTICLE</v>
      </c>
      <c r="E511" s="11" t="str">
        <f>IFERROR(__xludf.DUMMYFUNCTION("""COMPUTED_VALUE"""),"COMPETITOR")</f>
        <v>COMPETITOR</v>
      </c>
      <c r="F511" s="11" t="str">
        <f>IFERROR(__xludf.DUMMYFUNCTION("""COMPUTED_VALUE"""),"Listicle")</f>
        <v>Listicle</v>
      </c>
      <c r="G511" s="11" t="b">
        <f>IFERROR(__xludf.DUMMYFUNCTION("""COMPUTED_VALUE"""),FALSE)</f>
        <v>0</v>
      </c>
      <c r="H511" s="11" t="str">
        <f>IFERROR(__xludf.DUMMYFUNCTION("""COMPUTED_VALUE"""),"Web Tonic, Bounteous, InfoTrust, Adswerve, Cardinal Path, TransUnion, Seer Interactive, Metric Theory, IBM, Croud, Ogilvy, GroupM")</f>
        <v>Web Tonic, Bounteous, InfoTrust, Adswerve, Cardinal Path, TransUnion, Seer Interactive, Metric Theory, IBM, Croud, Ogilvy, GroupM</v>
      </c>
      <c r="I511" s="11">
        <f>IFERROR(__xludf.DUMMYFUNCTION("""COMPUTED_VALUE"""),2.0)</f>
        <v>2</v>
      </c>
      <c r="J511" s="11">
        <f>IFERROR(__xludf.DUMMYFUNCTION("""COMPUTED_VALUE"""),0.0)</f>
        <v>0</v>
      </c>
      <c r="K511" s="11">
        <f>IFERROR(__xludf.DUMMYFUNCTION("""COMPUTED_VALUE"""),1.0)</f>
        <v>1</v>
      </c>
    </row>
    <row r="512" ht="15.75" customHeight="1">
      <c r="A512" s="10" t="str">
        <f>IFERROR(__xludf.DUMMYFUNCTION("""COMPUTED_VALUE"""),"https://wildnetmarketing.agency/blog/top-digital-marketing-companies-list/")</f>
        <v>https://wildnetmarketing.agency/blog/top-digital-marketing-companies-list/</v>
      </c>
      <c r="B512" s="11" t="str">
        <f>IFERROR(__xludf.DUMMYFUNCTION("""COMPUTED_VALUE"""),"Top 10 Digital Marketing Companies in USA 2026")</f>
        <v>Top 10 Digital Marketing Companies in USA 2026</v>
      </c>
      <c r="C512" s="11" t="str">
        <f>IFERROR(__xludf.DUMMYFUNCTION("""COMPUTED_VALUE"""),"wildnetmarketing.agency")</f>
        <v>wildnetmarketing.agency</v>
      </c>
      <c r="D512" s="11" t="str">
        <f>IFERROR(__xludf.DUMMYFUNCTION("""COMPUTED_VALUE"""),"LISTICLE")</f>
        <v>LISTICLE</v>
      </c>
      <c r="E512" s="11" t="str">
        <f>IFERROR(__xludf.DUMMYFUNCTION("""COMPUTED_VALUE"""),"CORPORATE")</f>
        <v>CORPORATE</v>
      </c>
      <c r="F512" s="11" t="str">
        <f>IFERROR(__xludf.DUMMYFUNCTION("""COMPUTED_VALUE"""),"Listicle")</f>
        <v>Listicle</v>
      </c>
      <c r="G512" s="11" t="b">
        <f>IFERROR(__xludf.DUMMYFUNCTION("""COMPUTED_VALUE"""),FALSE)</f>
        <v>0</v>
      </c>
      <c r="H512" s="11" t="str">
        <f>IFERROR(__xludf.DUMMYFUNCTION("""COMPUTED_VALUE"""),"Ogilvy, Deloitte Digital, Digitas, VML, AKQA, Merkle, Accenture Song, Dentsu")</f>
        <v>Ogilvy, Deloitte Digital, Digitas, VML, AKQA, Merkle, Accenture Song, Dentsu</v>
      </c>
      <c r="I512" s="11">
        <f>IFERROR(__xludf.DUMMYFUNCTION("""COMPUTED_VALUE"""),2.0)</f>
        <v>2</v>
      </c>
      <c r="J512" s="11">
        <f>IFERROR(__xludf.DUMMYFUNCTION("""COMPUTED_VALUE"""),0.0)</f>
        <v>0</v>
      </c>
      <c r="K512" s="11">
        <f>IFERROR(__xludf.DUMMYFUNCTION("""COMPUTED_VALUE"""),0.0)</f>
        <v>0</v>
      </c>
    </row>
    <row r="513" ht="15.75" customHeight="1">
      <c r="A513" s="10" t="str">
        <f>IFERROR(__xludf.DUMMYFUNCTION("""COMPUTED_VALUE"""),"https://wolfable.com/best-creative-agencies/")</f>
        <v>https://wolfable.com/best-creative-agencies/</v>
      </c>
      <c r="B513" s="11" t="str">
        <f>IFERROR(__xludf.DUMMYFUNCTION("""COMPUTED_VALUE"""),"20 Best Creative Agencies in the World In 2026")</f>
        <v>20 Best Creative Agencies in the World In 2026</v>
      </c>
      <c r="C513" s="10" t="str">
        <f>IFERROR(__xludf.DUMMYFUNCTION("""COMPUTED_VALUE"""),"wolfable.com")</f>
        <v>wolfable.com</v>
      </c>
      <c r="D513" s="11" t="str">
        <f>IFERROR(__xludf.DUMMYFUNCTION("""COMPUTED_VALUE"""),"LISTICLE")</f>
        <v>LISTICLE</v>
      </c>
      <c r="E513" s="11" t="str">
        <f>IFERROR(__xludf.DUMMYFUNCTION("""COMPUTED_VALUE"""),"CORPORATE")</f>
        <v>CORPORATE</v>
      </c>
      <c r="F513" s="11" t="str">
        <f>IFERROR(__xludf.DUMMYFUNCTION("""COMPUTED_VALUE"""),"Listicle")</f>
        <v>Listicle</v>
      </c>
      <c r="G513" s="11" t="b">
        <f>IFERROR(__xludf.DUMMYFUNCTION("""COMPUTED_VALUE"""),FALSE)</f>
        <v>0</v>
      </c>
      <c r="H513" s="11" t="str">
        <f>IFERROR(__xludf.DUMMYFUNCTION("""COMPUTED_VALUE"""),"WPP, Ogilvy, VML, Wieden+Kennedy, Droga5, BBDO, AKQA, Anomaly, 72andSunny, Superside, The Social Shepherd, Momentum, Measured")</f>
        <v>WPP, Ogilvy, VML, Wieden+Kennedy, Droga5, BBDO, AKQA, Anomaly, 72andSunny, Superside, The Social Shepherd, Momentum, Measured</v>
      </c>
      <c r="I513" s="11">
        <f>IFERROR(__xludf.DUMMYFUNCTION("""COMPUTED_VALUE"""),2.0)</f>
        <v>2</v>
      </c>
      <c r="J513" s="11">
        <f>IFERROR(__xludf.DUMMYFUNCTION("""COMPUTED_VALUE"""),0.0)</f>
        <v>0</v>
      </c>
      <c r="K513" s="11">
        <f>IFERROR(__xludf.DUMMYFUNCTION("""COMPUTED_VALUE"""),1.0)</f>
        <v>1</v>
      </c>
    </row>
    <row r="514" ht="15.75" customHeight="1">
      <c r="A514" s="10" t="str">
        <f>IFERROR(__xludf.DUMMYFUNCTION("""COMPUTED_VALUE"""),"https://worldmetrics.org/service/creative-marketing/")</f>
        <v>https://worldmetrics.org/service/creative-marketing/</v>
      </c>
      <c r="B514" s="11" t="str">
        <f>IFERROR(__xludf.DUMMYFUNCTION("""COMPUTED_VALUE"""),"Top 10 Best Creative Marketing Services: 2026 Comparison")</f>
        <v>Top 10 Best Creative Marketing Services: 2026 Comparison</v>
      </c>
      <c r="C514" s="10" t="str">
        <f>IFERROR(__xludf.DUMMYFUNCTION("""COMPUTED_VALUE"""),"worldmetrics.org")</f>
        <v>worldmetrics.org</v>
      </c>
      <c r="D514" s="11" t="str">
        <f>IFERROR(__xludf.DUMMYFUNCTION("""COMPUTED_VALUE"""),"LISTICLE")</f>
        <v>LISTICLE</v>
      </c>
      <c r="E514" s="11" t="str">
        <f>IFERROR(__xludf.DUMMYFUNCTION("""COMPUTED_VALUE"""),"REFERENCE")</f>
        <v>REFERENCE</v>
      </c>
      <c r="F514" s="11" t="str">
        <f>IFERROR(__xludf.DUMMYFUNCTION("""COMPUTED_VALUE"""),"Listicle")</f>
        <v>Listicle</v>
      </c>
      <c r="G514" s="11" t="b">
        <f>IFERROR(__xludf.DUMMYFUNCTION("""COMPUTED_VALUE"""),FALSE)</f>
        <v>0</v>
      </c>
      <c r="H514" s="11" t="str">
        <f>IFERROR(__xludf.DUMMYFUNCTION("""COMPUTED_VALUE"""),"WPP, Publicis Groupe, Publicis Sapient, Dentsu, Accenture Song, Ogilvy, R/GA, Disruptive Advertising, Clutch")</f>
        <v>WPP, Publicis Groupe, Publicis Sapient, Dentsu, Accenture Song, Ogilvy, R/GA, Disruptive Advertising, Clutch</v>
      </c>
      <c r="I514" s="11">
        <f>IFERROR(__xludf.DUMMYFUNCTION("""COMPUTED_VALUE"""),2.0)</f>
        <v>2</v>
      </c>
      <c r="J514" s="11">
        <f>IFERROR(__xludf.DUMMYFUNCTION("""COMPUTED_VALUE"""),0.0)</f>
        <v>0</v>
      </c>
      <c r="K514" s="11">
        <f>IFERROR(__xludf.DUMMYFUNCTION("""COMPUTED_VALUE"""),0.0)</f>
        <v>0</v>
      </c>
    </row>
    <row r="515" ht="15.75" customHeight="1">
      <c r="A515" s="10" t="str">
        <f>IFERROR(__xludf.DUMMYFUNCTION("""COMPUTED_VALUE"""),"https://worldmetrics.org/service/full-digital-marketing/")</f>
        <v>https://worldmetrics.org/service/full-digital-marketing/</v>
      </c>
      <c r="B515" s="11" t="str">
        <f>IFERROR(__xludf.DUMMYFUNCTION("""COMPUTED_VALUE"""),"Best Full Digital Marketing Services (2026)")</f>
        <v>Best Full Digital Marketing Services (2026)</v>
      </c>
      <c r="C515" s="10" t="str">
        <f>IFERROR(__xludf.DUMMYFUNCTION("""COMPUTED_VALUE"""),"worldmetrics.org")</f>
        <v>worldmetrics.org</v>
      </c>
      <c r="D515" s="11" t="str">
        <f>IFERROR(__xludf.DUMMYFUNCTION("""COMPUTED_VALUE"""),"LISTICLE")</f>
        <v>LISTICLE</v>
      </c>
      <c r="E515" s="11" t="str">
        <f>IFERROR(__xludf.DUMMYFUNCTION("""COMPUTED_VALUE"""),"REFERENCE")</f>
        <v>REFERENCE</v>
      </c>
      <c r="F515" s="11" t="str">
        <f>IFERROR(__xludf.DUMMYFUNCTION("""COMPUTED_VALUE"""),"Listicle")</f>
        <v>Listicle</v>
      </c>
      <c r="G515" s="11" t="b">
        <f>IFERROR(__xludf.DUMMYFUNCTION("""COMPUTED_VALUE"""),FALSE)</f>
        <v>0</v>
      </c>
      <c r="H515" s="11" t="str">
        <f>IFERROR(__xludf.DUMMYFUNCTION("""COMPUTED_VALUE"""),"WPP, Accenture Song, Dentsu, Publicis Groupe, Merkle, iProspect, Ignite Visibility, Clutch")</f>
        <v>WPP, Accenture Song, Dentsu, Publicis Groupe, Merkle, iProspect, Ignite Visibility, Clutch</v>
      </c>
      <c r="I515" s="11">
        <f>IFERROR(__xludf.DUMMYFUNCTION("""COMPUTED_VALUE"""),2.0)</f>
        <v>2</v>
      </c>
      <c r="J515" s="11">
        <f>IFERROR(__xludf.DUMMYFUNCTION("""COMPUTED_VALUE"""),0.0)</f>
        <v>0</v>
      </c>
      <c r="K515" s="11">
        <f>IFERROR(__xludf.DUMMYFUNCTION("""COMPUTED_VALUE"""),1.0)</f>
        <v>1</v>
      </c>
    </row>
    <row r="516" ht="15.75" customHeight="1">
      <c r="A516" s="10" t="str">
        <f>IFERROR(__xludf.DUMMYFUNCTION("""COMPUTED_VALUE"""),"https://xchange.avixa.org/posts/top-10-digital-marketing-companies-in-the-usa-for-2026#:~:text=Personalized%20client%20support.%20%2D%203.%20WebFX.%20WebFX,management.%20Data%2Ddriven%20campaign%20execution.%20Strong%20analytics%20capabilities.")</f>
        <v>https://xchange.avixa.org/posts/top-10-digital-marketing-companies-in-the-usa-for-2026#:~:text=Personalized%20client%20support.%20%2D%203.%20WebFX.%20WebFX,management.%20Data%2Ddriven%20campaign%20execution.%20Strong%20analytics%20capabilities.</v>
      </c>
      <c r="B516" s="11" t="str">
        <f>IFERROR(__xludf.DUMMYFUNCTION("""COMPUTED_VALUE"""),"Top 10 Digital Marketing Companies in the USA for 2026 | AVIXA Xchange")</f>
        <v>Top 10 Digital Marketing Companies in the USA for 2026 | AVIXA Xchange</v>
      </c>
      <c r="C516" s="10" t="str">
        <f>IFERROR(__xludf.DUMMYFUNCTION("""COMPUTED_VALUE"""),"avixa.org")</f>
        <v>avixa.org</v>
      </c>
      <c r="D516" s="11" t="str">
        <f>IFERROR(__xludf.DUMMYFUNCTION("""COMPUTED_VALUE"""),"LISTICLE")</f>
        <v>LISTICLE</v>
      </c>
      <c r="E516" s="11" t="str">
        <f>IFERROR(__xludf.DUMMYFUNCTION("""COMPUTED_VALUE"""),"INSTITUTIONAL")</f>
        <v>INSTITUTIONAL</v>
      </c>
      <c r="F516" s="11" t="str">
        <f>IFERROR(__xludf.DUMMYFUNCTION("""COMPUTED_VALUE"""),"Listicle")</f>
        <v>Listicle</v>
      </c>
      <c r="G516" s="11" t="b">
        <f>IFERROR(__xludf.DUMMYFUNCTION("""COMPUTED_VALUE"""),FALSE)</f>
        <v>0</v>
      </c>
      <c r="H516" s="11" t="str">
        <f>IFERROR(__xludf.DUMMYFUNCTION("""COMPUTED_VALUE"""),"Clutch, WebFX, Ignite Visibility, Thrive Internet Marketing Agency, SmartSites, Disruptive Advertising")</f>
        <v>Clutch, WebFX, Ignite Visibility, Thrive Internet Marketing Agency, SmartSites, Disruptive Advertising</v>
      </c>
      <c r="I516" s="11">
        <f>IFERROR(__xludf.DUMMYFUNCTION("""COMPUTED_VALUE"""),2.0)</f>
        <v>2</v>
      </c>
      <c r="J516" s="11">
        <f>IFERROR(__xludf.DUMMYFUNCTION("""COMPUTED_VALUE"""),0.0)</f>
        <v>0</v>
      </c>
      <c r="K516" s="11">
        <f>IFERROR(__xludf.DUMMYFUNCTION("""COMPUTED_VALUE"""),1.5)</f>
        <v>1.5</v>
      </c>
    </row>
    <row r="517" ht="15.75" customHeight="1">
      <c r="A517" s="10" t="str">
        <f>IFERROR(__xludf.DUMMYFUNCTION("""COMPUTED_VALUE"""),"https://www.youtube.com/watch?v=OR58Odpst7Q")</f>
        <v>https://www.youtube.com/watch?v=OR58Odpst7Q</v>
      </c>
      <c r="B517" s="11" t="str">
        <f>IFERROR(__xludf.DUMMYFUNCTION("""COMPUTED_VALUE"""),"Top 12 Digital Marketing Agencies to Hire in 2026")</f>
        <v>Top 12 Digital Marketing Agencies to Hire in 2026</v>
      </c>
      <c r="C517" s="10" t="str">
        <f>IFERROR(__xludf.DUMMYFUNCTION("""COMPUTED_VALUE"""),"youtube.com")</f>
        <v>youtube.com</v>
      </c>
      <c r="D517" s="11" t="str">
        <f>IFERROR(__xludf.DUMMYFUNCTION("""COMPUTED_VALUE"""),"LISTICLE")</f>
        <v>LISTICLE</v>
      </c>
      <c r="E517" s="11" t="str">
        <f>IFERROR(__xludf.DUMMYFUNCTION("""COMPUTED_VALUE"""),"UGC")</f>
        <v>UGC</v>
      </c>
      <c r="F517" s="11" t="str">
        <f>IFERROR(__xludf.DUMMYFUNCTION("""COMPUTED_VALUE"""),"Listicle")</f>
        <v>Listicle</v>
      </c>
      <c r="G517" s="11" t="b">
        <f>IFERROR(__xludf.DUMMYFUNCTION("""COMPUTED_VALUE"""),FALSE)</f>
        <v>0</v>
      </c>
      <c r="H517" s="11" t="str">
        <f>IFERROR(__xludf.DUMMYFUNCTION("""COMPUTED_VALUE"""),"Disruptive Advertising, Amsive, Sociallyin")</f>
        <v>Disruptive Advertising, Amsive, Sociallyin</v>
      </c>
      <c r="I517" s="11">
        <f>IFERROR(__xludf.DUMMYFUNCTION("""COMPUTED_VALUE"""),2.0)</f>
        <v>2</v>
      </c>
      <c r="J517" s="11">
        <f>IFERROR(__xludf.DUMMYFUNCTION("""COMPUTED_VALUE"""),0.0)</f>
        <v>0</v>
      </c>
      <c r="K517" s="11">
        <f>IFERROR(__xludf.DUMMYFUNCTION("""COMPUTED_VALUE"""),1.0)</f>
        <v>1</v>
      </c>
    </row>
    <row r="518" ht="15.75" customHeight="1">
      <c r="A518" s="10" t="str">
        <f>IFERROR(__xludf.DUMMYFUNCTION("""COMPUTED_VALUE"""),"https://zipdo.co/service/advertising-and-marketing/")</f>
        <v>https://zipdo.co/service/advertising-and-marketing/</v>
      </c>
      <c r="B518" s="11" t="str">
        <f>IFERROR(__xludf.DUMMYFUNCTION("""COMPUTED_VALUE"""),"Best Advertising And Marketing Services (2026)")</f>
        <v>Best Advertising And Marketing Services (2026)</v>
      </c>
      <c r="C518" s="10" t="str">
        <f>IFERROR(__xludf.DUMMYFUNCTION("""COMPUTED_VALUE"""),"zipdo.co")</f>
        <v>zipdo.co</v>
      </c>
      <c r="D518" s="11" t="str">
        <f>IFERROR(__xludf.DUMMYFUNCTION("""COMPUTED_VALUE"""),"LISTICLE")</f>
        <v>LISTICLE</v>
      </c>
      <c r="E518" s="11" t="str">
        <f>IFERROR(__xludf.DUMMYFUNCTION("""COMPUTED_VALUE"""),"REFERENCE")</f>
        <v>REFERENCE</v>
      </c>
      <c r="F518" s="11" t="str">
        <f>IFERROR(__xludf.DUMMYFUNCTION("""COMPUTED_VALUE"""),"Listicle")</f>
        <v>Listicle</v>
      </c>
      <c r="G518" s="11" t="b">
        <f>IFERROR(__xludf.DUMMYFUNCTION("""COMPUTED_VALUE"""),FALSE)</f>
        <v>0</v>
      </c>
      <c r="H518" s="11" t="str">
        <f>IFERROR(__xludf.DUMMYFUNCTION("""COMPUTED_VALUE"""),"WPP, Dentsu, Omnicom Media Group, Publicis Groupe, Accenture Song, Croud, Ignite Visibility, Disruptive Advertising, Clutch")</f>
        <v>WPP, Dentsu, Omnicom Media Group, Publicis Groupe, Accenture Song, Croud, Ignite Visibility, Disruptive Advertising, Clutch</v>
      </c>
      <c r="I518" s="11">
        <f>IFERROR(__xludf.DUMMYFUNCTION("""COMPUTED_VALUE"""),2.0)</f>
        <v>2</v>
      </c>
      <c r="J518" s="11">
        <f>IFERROR(__xludf.DUMMYFUNCTION("""COMPUTED_VALUE"""),0.0)</f>
        <v>0</v>
      </c>
      <c r="K518" s="11">
        <f>IFERROR(__xludf.DUMMYFUNCTION("""COMPUTED_VALUE"""),0.0)</f>
        <v>0</v>
      </c>
    </row>
    <row r="519" ht="15.75" customHeight="1">
      <c r="A519" s="10" t="str">
        <f>IFERROR(__xludf.DUMMYFUNCTION("""COMPUTED_VALUE"""),"https://zipdo.co/service/agency-digital-marketing/")</f>
        <v>https://zipdo.co/service/agency-digital-marketing/</v>
      </c>
      <c r="B519" s="11" t="str">
        <f>IFERROR(__xludf.DUMMYFUNCTION("""COMPUTED_VALUE"""),"Top 10 Best Agency Digital Marketing Services | 2026 Edition")</f>
        <v>Top 10 Best Agency Digital Marketing Services | 2026 Edition</v>
      </c>
      <c r="C519" s="10" t="str">
        <f>IFERROR(__xludf.DUMMYFUNCTION("""COMPUTED_VALUE"""),"zipdo.co")</f>
        <v>zipdo.co</v>
      </c>
      <c r="D519" s="11" t="str">
        <f>IFERROR(__xludf.DUMMYFUNCTION("""COMPUTED_VALUE"""),"LISTICLE")</f>
        <v>LISTICLE</v>
      </c>
      <c r="E519" s="11" t="str">
        <f>IFERROR(__xludf.DUMMYFUNCTION("""COMPUTED_VALUE"""),"REFERENCE")</f>
        <v>REFERENCE</v>
      </c>
      <c r="F519" s="11" t="str">
        <f>IFERROR(__xludf.DUMMYFUNCTION("""COMPUTED_VALUE"""),"Listicle")</f>
        <v>Listicle</v>
      </c>
      <c r="G519" s="11" t="b">
        <f>IFERROR(__xludf.DUMMYFUNCTION("""COMPUTED_VALUE"""),FALSE)</f>
        <v>0</v>
      </c>
      <c r="H519" s="11" t="str">
        <f>IFERROR(__xludf.DUMMYFUNCTION("""COMPUTED_VALUE"""),"Dentsu, Publicis Groupe, WPP, Merkle, iProspect, VML, Ignite Visibility, Clutch")</f>
        <v>Dentsu, Publicis Groupe, WPP, Merkle, iProspect, VML, Ignite Visibility, Clutch</v>
      </c>
      <c r="I519" s="11">
        <f>IFERROR(__xludf.DUMMYFUNCTION("""COMPUTED_VALUE"""),2.0)</f>
        <v>2</v>
      </c>
      <c r="J519" s="11">
        <f>IFERROR(__xludf.DUMMYFUNCTION("""COMPUTED_VALUE"""),0.0)</f>
        <v>0</v>
      </c>
      <c r="K519" s="11">
        <f>IFERROR(__xludf.DUMMYFUNCTION("""COMPUTED_VALUE"""),1.0)</f>
        <v>1</v>
      </c>
    </row>
    <row r="520" ht="15.75" customHeight="1">
      <c r="A520" s="10" t="str">
        <f>IFERROR(__xludf.DUMMYFUNCTION("""COMPUTED_VALUE"""),"https://zipdo.co/service/marketing-attribution/")</f>
        <v>https://zipdo.co/service/marketing-attribution/</v>
      </c>
      <c r="B520" s="11" t="str">
        <f>IFERROR(__xludf.DUMMYFUNCTION("""COMPUTED_VALUE"""),"Top 10 Best Marketing Attribution Services | Top Picks 2026")</f>
        <v>Top 10 Best Marketing Attribution Services | Top Picks 2026</v>
      </c>
      <c r="C520" s="10" t="str">
        <f>IFERROR(__xludf.DUMMYFUNCTION("""COMPUTED_VALUE"""),"zipdo.co")</f>
        <v>zipdo.co</v>
      </c>
      <c r="D520" s="11" t="str">
        <f>IFERROR(__xludf.DUMMYFUNCTION("""COMPUTED_VALUE"""),"LISTICLE")</f>
        <v>LISTICLE</v>
      </c>
      <c r="E520" s="11" t="str">
        <f>IFERROR(__xludf.DUMMYFUNCTION("""COMPUTED_VALUE"""),"REFERENCE")</f>
        <v>REFERENCE</v>
      </c>
      <c r="F520" s="11" t="str">
        <f>IFERROR(__xludf.DUMMYFUNCTION("""COMPUTED_VALUE"""),"Listicle")</f>
        <v>Listicle</v>
      </c>
      <c r="G520" s="11" t="b">
        <f>IFERROR(__xludf.DUMMYFUNCTION("""COMPUTED_VALUE"""),FALSE)</f>
        <v>0</v>
      </c>
      <c r="H520" s="11" t="str">
        <f>IFERROR(__xludf.DUMMYFUNCTION("""COMPUTED_VALUE"""),"Northbeam, Merkle, Wpromote, PwC, Bounteous, Clutch")</f>
        <v>Northbeam, Merkle, Wpromote, PwC, Bounteous, Clutch</v>
      </c>
      <c r="I520" s="11">
        <f>IFERROR(__xludf.DUMMYFUNCTION("""COMPUTED_VALUE"""),2.0)</f>
        <v>2</v>
      </c>
      <c r="J520" s="11">
        <f>IFERROR(__xludf.DUMMYFUNCTION("""COMPUTED_VALUE"""),0.0)</f>
        <v>0</v>
      </c>
      <c r="K520" s="11">
        <f>IFERROR(__xludf.DUMMYFUNCTION("""COMPUTED_VALUE"""),0.0)</f>
        <v>0</v>
      </c>
    </row>
    <row r="521" ht="15.75" customHeight="1">
      <c r="A521" s="10" t="str">
        <f>IFERROR(__xludf.DUMMYFUNCTION("""COMPUTED_VALUE"""),"https://www.20northmarketing.com/blog/best-marketing-agencies-atlanta")</f>
        <v>https://www.20northmarketing.com/blog/best-marketing-agencies-atlanta</v>
      </c>
      <c r="B521" s="11" t="str">
        <f>IFERROR(__xludf.DUMMYFUNCTION("""COMPUTED_VALUE"""),"Best Marketing Agencies in Atlanta | Atlanta Digital Marketing | 20North")</f>
        <v>Best Marketing Agencies in Atlanta | Atlanta Digital Marketing | 20North</v>
      </c>
      <c r="C521" s="10" t="str">
        <f>IFERROR(__xludf.DUMMYFUNCTION("""COMPUTED_VALUE"""),"20northmarketing.com")</f>
        <v>20northmarketing.com</v>
      </c>
      <c r="D521" s="11" t="str">
        <f>IFERROR(__xludf.DUMMYFUNCTION("""COMPUTED_VALUE"""),"LISTICLE")</f>
        <v>LISTICLE</v>
      </c>
      <c r="E521" s="11" t="str">
        <f>IFERROR(__xludf.DUMMYFUNCTION("""COMPUTED_VALUE"""),"CORPORATE")</f>
        <v>CORPORATE</v>
      </c>
      <c r="F521" s="11" t="str">
        <f>IFERROR(__xludf.DUMMYFUNCTION("""COMPUTED_VALUE"""),"Listicle")</f>
        <v>Listicle</v>
      </c>
      <c r="G521" s="11" t="b">
        <f>IFERROR(__xludf.DUMMYFUNCTION("""COMPUTED_VALUE"""),FALSE)</f>
        <v>0</v>
      </c>
      <c r="H521" s="11"/>
      <c r="I521" s="11">
        <f>IFERROR(__xludf.DUMMYFUNCTION("""COMPUTED_VALUE"""),1.0)</f>
        <v>1</v>
      </c>
      <c r="J521" s="11">
        <f>IFERROR(__xludf.DUMMYFUNCTION("""COMPUTED_VALUE"""),0.0)</f>
        <v>0</v>
      </c>
      <c r="K521" s="11">
        <f>IFERROR(__xludf.DUMMYFUNCTION("""COMPUTED_VALUE"""),0.0)</f>
        <v>0</v>
      </c>
    </row>
    <row r="522" ht="15.75" customHeight="1">
      <c r="A522" s="10" t="str">
        <f>IFERROR(__xludf.DUMMYFUNCTION("""COMPUTED_VALUE"""),"https://7span.com/blog/branding-agencies")</f>
        <v>https://7span.com/blog/branding-agencies</v>
      </c>
      <c r="B522" s="11" t="str">
        <f>IFERROR(__xludf.DUMMYFUNCTION("""COMPUTED_VALUE"""),"Top 11 Creative Branding Agencies in 2025 | 7Span")</f>
        <v>Top 11 Creative Branding Agencies in 2025 | 7Span</v>
      </c>
      <c r="C522" s="10" t="str">
        <f>IFERROR(__xludf.DUMMYFUNCTION("""COMPUTED_VALUE"""),"7span.com")</f>
        <v>7span.com</v>
      </c>
      <c r="D522" s="11" t="str">
        <f>IFERROR(__xludf.DUMMYFUNCTION("""COMPUTED_VALUE"""),"LISTICLE")</f>
        <v>LISTICLE</v>
      </c>
      <c r="E522" s="11" t="str">
        <f>IFERROR(__xludf.DUMMYFUNCTION("""COMPUTED_VALUE"""),"CORPORATE")</f>
        <v>CORPORATE</v>
      </c>
      <c r="F522" s="11" t="str">
        <f>IFERROR(__xludf.DUMMYFUNCTION("""COMPUTED_VALUE"""),"Listicle")</f>
        <v>Listicle</v>
      </c>
      <c r="G522" s="11" t="b">
        <f>IFERROR(__xludf.DUMMYFUNCTION("""COMPUTED_VALUE"""),FALSE)</f>
        <v>0</v>
      </c>
      <c r="H522" s="11" t="str">
        <f>IFERROR(__xludf.DUMMYFUNCTION("""COMPUTED_VALUE"""),"Clay")</f>
        <v>Clay</v>
      </c>
      <c r="I522" s="11">
        <f>IFERROR(__xludf.DUMMYFUNCTION("""COMPUTED_VALUE"""),1.0)</f>
        <v>1</v>
      </c>
      <c r="J522" s="11">
        <f>IFERROR(__xludf.DUMMYFUNCTION("""COMPUTED_VALUE"""),0.0)</f>
        <v>0</v>
      </c>
      <c r="K522" s="11">
        <f>IFERROR(__xludf.DUMMYFUNCTION("""COMPUTED_VALUE"""),0.0)</f>
        <v>0</v>
      </c>
    </row>
    <row r="523" ht="15.75" customHeight="1">
      <c r="A523" s="10" t="str">
        <f>IFERROR(__xludf.DUMMYFUNCTION("""COMPUTED_VALUE"""),"https://www.abbacustechnologies.com/top-ai-consulting-firms-in-2026/")</f>
        <v>https://www.abbacustechnologies.com/top-ai-consulting-firms-in-2026/</v>
      </c>
      <c r="B523" s="11" t="str">
        <f>IFERROR(__xludf.DUMMYFUNCTION("""COMPUTED_VALUE"""),"Top AI Consulting Firms in 2026")</f>
        <v>Top AI Consulting Firms in 2026</v>
      </c>
      <c r="C523" s="10" t="str">
        <f>IFERROR(__xludf.DUMMYFUNCTION("""COMPUTED_VALUE"""),"abbacustechnologies.com")</f>
        <v>abbacustechnologies.com</v>
      </c>
      <c r="D523" s="11" t="str">
        <f>IFERROR(__xludf.DUMMYFUNCTION("""COMPUTED_VALUE"""),"LISTICLE")</f>
        <v>LISTICLE</v>
      </c>
      <c r="E523" s="11" t="str">
        <f>IFERROR(__xludf.DUMMYFUNCTION("""COMPUTED_VALUE"""),"CORPORATE")</f>
        <v>CORPORATE</v>
      </c>
      <c r="F523" s="11" t="str">
        <f>IFERROR(__xludf.DUMMYFUNCTION("""COMPUTED_VALUE"""),"Listicle")</f>
        <v>Listicle</v>
      </c>
      <c r="G523" s="11" t="b">
        <f>IFERROR(__xludf.DUMMYFUNCTION("""COMPUTED_VALUE"""),FALSE)</f>
        <v>0</v>
      </c>
      <c r="H523" s="11" t="str">
        <f>IFERROR(__xludf.DUMMYFUNCTION("""COMPUTED_VALUE"""),"IBM, McKinsey, Anomaly")</f>
        <v>IBM, McKinsey, Anomaly</v>
      </c>
      <c r="I523" s="11">
        <f>IFERROR(__xludf.DUMMYFUNCTION("""COMPUTED_VALUE"""),1.0)</f>
        <v>1</v>
      </c>
      <c r="J523" s="11">
        <f>IFERROR(__xludf.DUMMYFUNCTION("""COMPUTED_VALUE"""),0.0)</f>
        <v>0</v>
      </c>
      <c r="K523" s="11">
        <f>IFERROR(__xludf.DUMMYFUNCTION("""COMPUTED_VALUE"""),1.0)</f>
        <v>1</v>
      </c>
    </row>
    <row r="524" ht="15.75" customHeight="1">
      <c r="A524" s="10" t="str">
        <f>IFERROR(__xludf.DUMMYFUNCTION("""COMPUTED_VALUE"""),"https://www.abbacustechnologies.com/top-ai-development-companies-in-dubai/")</f>
        <v>https://www.abbacustechnologies.com/top-ai-development-companies-in-dubai/</v>
      </c>
      <c r="B524" s="11" t="str">
        <f>IFERROR(__xludf.DUMMYFUNCTION("""COMPUTED_VALUE"""),"Top AI Development Companies in Dubai")</f>
        <v>Top AI Development Companies in Dubai</v>
      </c>
      <c r="C524" s="10" t="str">
        <f>IFERROR(__xludf.DUMMYFUNCTION("""COMPUTED_VALUE"""),"abbacustechnologies.com")</f>
        <v>abbacustechnologies.com</v>
      </c>
      <c r="D524" s="11" t="str">
        <f>IFERROR(__xludf.DUMMYFUNCTION("""COMPUTED_VALUE"""),"LISTICLE")</f>
        <v>LISTICLE</v>
      </c>
      <c r="E524" s="11" t="str">
        <f>IFERROR(__xludf.DUMMYFUNCTION("""COMPUTED_VALUE"""),"CORPORATE")</f>
        <v>CORPORATE</v>
      </c>
      <c r="F524" s="11" t="str">
        <f>IFERROR(__xludf.DUMMYFUNCTION("""COMPUTED_VALUE"""),"Listicle")</f>
        <v>Listicle</v>
      </c>
      <c r="G524" s="11" t="b">
        <f>IFERROR(__xludf.DUMMYFUNCTION("""COMPUTED_VALUE"""),FALSE)</f>
        <v>0</v>
      </c>
      <c r="H524" s="11" t="str">
        <f>IFERROR(__xludf.DUMMYFUNCTION("""COMPUTED_VALUE"""),"IBM, Measured")</f>
        <v>IBM, Measured</v>
      </c>
      <c r="I524" s="11">
        <f>IFERROR(__xludf.DUMMYFUNCTION("""COMPUTED_VALUE"""),1.0)</f>
        <v>1</v>
      </c>
      <c r="J524" s="11">
        <f>IFERROR(__xludf.DUMMYFUNCTION("""COMPUTED_VALUE"""),0.0)</f>
        <v>0</v>
      </c>
      <c r="K524" s="11">
        <f>IFERROR(__xludf.DUMMYFUNCTION("""COMPUTED_VALUE"""),1.0)</f>
        <v>1</v>
      </c>
    </row>
    <row r="525" ht="15.75" customHeight="1">
      <c r="A525" s="10" t="str">
        <f>IFERROR(__xludf.DUMMYFUNCTION("""COMPUTED_VALUE"""),"https://www.abetheagency.com/blog/best-b2b-social-media-agencies-for-paid-social-2026")</f>
        <v>https://www.abetheagency.com/blog/best-b2b-social-media-agencies-for-paid-social-2026</v>
      </c>
      <c r="B525" s="11" t="str">
        <f>IFERROR(__xludf.DUMMYFUNCTION("""COMPUTED_VALUE"""),"25 Best B2B Social Media Agencies for Paid Social (2026)")</f>
        <v>25 Best B2B Social Media Agencies for Paid Social (2026)</v>
      </c>
      <c r="C525" s="10" t="str">
        <f>IFERROR(__xludf.DUMMYFUNCTION("""COMPUTED_VALUE"""),"abetheagency.com")</f>
        <v>abetheagency.com</v>
      </c>
      <c r="D525" s="11" t="str">
        <f>IFERROR(__xludf.DUMMYFUNCTION("""COMPUTED_VALUE"""),"LISTICLE")</f>
        <v>LISTICLE</v>
      </c>
      <c r="E525" s="11" t="str">
        <f>IFERROR(__xludf.DUMMYFUNCTION("""COMPUTED_VALUE"""),"CORPORATE")</f>
        <v>CORPORATE</v>
      </c>
      <c r="F525" s="11" t="str">
        <f>IFERROR(__xludf.DUMMYFUNCTION("""COMPUTED_VALUE"""),"Listicle")</f>
        <v>Listicle</v>
      </c>
      <c r="G525" s="11" t="b">
        <f>IFERROR(__xludf.DUMMYFUNCTION("""COMPUTED_VALUE"""),FALSE)</f>
        <v>0</v>
      </c>
      <c r="H525" s="11" t="str">
        <f>IFERROR(__xludf.DUMMYFUNCTION("""COMPUTED_VALUE"""),"Clutch, WebFX, NinjaPromo, Directive, Disruptive Advertising, Viral Nation, Acadia, NoGood, inBeat, Avenue Z, Measured, Darkroom")</f>
        <v>Clutch, WebFX, NinjaPromo, Directive, Disruptive Advertising, Viral Nation, Acadia, NoGood, inBeat, Avenue Z, Measured, Darkroom</v>
      </c>
      <c r="I525" s="11">
        <f>IFERROR(__xludf.DUMMYFUNCTION("""COMPUTED_VALUE"""),1.0)</f>
        <v>1</v>
      </c>
      <c r="J525" s="11">
        <f>IFERROR(__xludf.DUMMYFUNCTION("""COMPUTED_VALUE"""),0.0)</f>
        <v>0</v>
      </c>
      <c r="K525" s="11">
        <f>IFERROR(__xludf.DUMMYFUNCTION("""COMPUTED_VALUE"""),0.0)</f>
        <v>0</v>
      </c>
    </row>
    <row r="526" ht="15.75" customHeight="1">
      <c r="A526" s="10" t="str">
        <f>IFERROR(__xludf.DUMMYFUNCTION("""COMPUTED_VALUE"""),"https://www.adasight.com/blog/top-marketing-attribution-tools")</f>
        <v>https://www.adasight.com/blog/top-marketing-attribution-tools</v>
      </c>
      <c r="B526" s="11" t="str">
        <f>IFERROR(__xludf.DUMMYFUNCTION("""COMPUTED_VALUE"""),"30 Digital Marketing Attribution Tools &amp;amp; Software for 2026 (Pros &amp;amp; Cons)")</f>
        <v>30 Digital Marketing Attribution Tools &amp;amp; Software for 2026 (Pros &amp;amp; Cons)</v>
      </c>
      <c r="C526" s="10" t="str">
        <f>IFERROR(__xludf.DUMMYFUNCTION("""COMPUTED_VALUE"""),"adasight.com")</f>
        <v>adasight.com</v>
      </c>
      <c r="D526" s="11" t="str">
        <f>IFERROR(__xludf.DUMMYFUNCTION("""COMPUTED_VALUE"""),"LISTICLE")</f>
        <v>LISTICLE</v>
      </c>
      <c r="E526" s="11" t="str">
        <f>IFERROR(__xludf.DUMMYFUNCTION("""COMPUTED_VALUE"""),"CORPORATE")</f>
        <v>CORPORATE</v>
      </c>
      <c r="F526" s="11" t="str">
        <f>IFERROR(__xludf.DUMMYFUNCTION("""COMPUTED_VALUE"""),"Listicle")</f>
        <v>Listicle</v>
      </c>
      <c r="G526" s="11" t="b">
        <f>IFERROR(__xludf.DUMMYFUNCTION("""COMPUTED_VALUE"""),FALSE)</f>
        <v>0</v>
      </c>
      <c r="H526" s="11" t="str">
        <f>IFERROR(__xludf.DUMMYFUNCTION("""COMPUTED_VALUE"""),"Ruler Analytics, Kantar, SegmentStream, Cometly, Rockerbox")</f>
        <v>Ruler Analytics, Kantar, SegmentStream, Cometly, Rockerbox</v>
      </c>
      <c r="I526" s="11">
        <f>IFERROR(__xludf.DUMMYFUNCTION("""COMPUTED_VALUE"""),1.0)</f>
        <v>1</v>
      </c>
      <c r="J526" s="11">
        <f>IFERROR(__xludf.DUMMYFUNCTION("""COMPUTED_VALUE"""),0.0)</f>
        <v>0</v>
      </c>
      <c r="K526" s="11">
        <f>IFERROR(__xludf.DUMMYFUNCTION("""COMPUTED_VALUE"""),0.0)</f>
        <v>0</v>
      </c>
    </row>
    <row r="527" ht="15.75" customHeight="1">
      <c r="A527" s="10" t="str">
        <f>IFERROR(__xludf.DUMMYFUNCTION("""COMPUTED_VALUE"""),"https://www.addwebsolution.com/blog/ai-marketing-agencies")</f>
        <v>https://www.addwebsolution.com/blog/ai-marketing-agencies</v>
      </c>
      <c r="B527" s="11" t="str">
        <f>IFERROR(__xludf.DUMMYFUNCTION("""COMPUTED_VALUE"""),"Top 10 AI Marketing Agencies that Elevate Your Brand for 2025")</f>
        <v>Top 10 AI Marketing Agencies that Elevate Your Brand for 2025</v>
      </c>
      <c r="C527" s="10" t="str">
        <f>IFERROR(__xludf.DUMMYFUNCTION("""COMPUTED_VALUE"""),"addwebsolution.com")</f>
        <v>addwebsolution.com</v>
      </c>
      <c r="D527" s="11" t="str">
        <f>IFERROR(__xludf.DUMMYFUNCTION("""COMPUTED_VALUE"""),"LISTICLE")</f>
        <v>LISTICLE</v>
      </c>
      <c r="E527" s="11" t="str">
        <f>IFERROR(__xludf.DUMMYFUNCTION("""COMPUTED_VALUE"""),"CORPORATE")</f>
        <v>CORPORATE</v>
      </c>
      <c r="F527" s="11" t="str">
        <f>IFERROR(__xludf.DUMMYFUNCTION("""COMPUTED_VALUE"""),"Listicle")</f>
        <v>Listicle</v>
      </c>
      <c r="G527" s="11" t="b">
        <f>IFERROR(__xludf.DUMMYFUNCTION("""COMPUTED_VALUE"""),FALSE)</f>
        <v>0</v>
      </c>
      <c r="H527" s="11" t="str">
        <f>IFERROR(__xludf.DUMMYFUNCTION("""COMPUTED_VALUE"""),"Single Grain, NoGood, Major Tom, SmartSites, Clutch")</f>
        <v>Single Grain, NoGood, Major Tom, SmartSites, Clutch</v>
      </c>
      <c r="I527" s="11">
        <f>IFERROR(__xludf.DUMMYFUNCTION("""COMPUTED_VALUE"""),1.0)</f>
        <v>1</v>
      </c>
      <c r="J527" s="11">
        <f>IFERROR(__xludf.DUMMYFUNCTION("""COMPUTED_VALUE"""),0.0)</f>
        <v>0</v>
      </c>
      <c r="K527" s="11">
        <f>IFERROR(__xludf.DUMMYFUNCTION("""COMPUTED_VALUE"""),1.0)</f>
        <v>1</v>
      </c>
    </row>
    <row r="528" ht="15.75" customHeight="1">
      <c r="A528" s="10" t="str">
        <f>IFERROR(__xludf.DUMMYFUNCTION("""COMPUTED_VALUE"""),"https://adspyder.io/blog/top-25-global-ad-agencies/")</f>
        <v>https://adspyder.io/blog/top-25-global-ad-agencies/</v>
      </c>
      <c r="B528" s="11" t="str">
        <f>IFERROR(__xludf.DUMMYFUNCTION("""COMPUTED_VALUE"""),"Top 25 Global Ad Agencies in July 2026 | Ranking &amp;amp; Revenue")</f>
        <v>Top 25 Global Ad Agencies in July 2026 | Ranking &amp;amp; Revenue</v>
      </c>
      <c r="C528" s="10" t="str">
        <f>IFERROR(__xludf.DUMMYFUNCTION("""COMPUTED_VALUE"""),"adspyder.io")</f>
        <v>adspyder.io</v>
      </c>
      <c r="D528" s="11" t="str">
        <f>IFERROR(__xludf.DUMMYFUNCTION("""COMPUTED_VALUE"""),"LISTICLE")</f>
        <v>LISTICLE</v>
      </c>
      <c r="E528" s="11" t="str">
        <f>IFERROR(__xludf.DUMMYFUNCTION("""COMPUTED_VALUE"""),"CORPORATE")</f>
        <v>CORPORATE</v>
      </c>
      <c r="F528" s="11" t="str">
        <f>IFERROR(__xludf.DUMMYFUNCTION("""COMPUTED_VALUE"""),"Listicle")</f>
        <v>Listicle</v>
      </c>
      <c r="G528" s="11" t="b">
        <f>IFERROR(__xludf.DUMMYFUNCTION("""COMPUTED_VALUE"""),FALSE)</f>
        <v>0</v>
      </c>
      <c r="H528" s="11" t="str">
        <f>IFERROR(__xludf.DUMMYFUNCTION("""COMPUTED_VALUE"""),"Publicis Groupe, WPP, Ogilvy, Accenture Song, Dentsu, Epsilon, Merkle, BBDO, Droga5, PwC, Publicis Sapient, iProspect, VML, Anomaly, 72andSunny, Wieden+Kennedy, R/GA, Measured")</f>
        <v>Publicis Groupe, WPP, Ogilvy, Accenture Song, Dentsu, Epsilon, Merkle, BBDO, Droga5, PwC, Publicis Sapient, iProspect, VML, Anomaly, 72andSunny, Wieden+Kennedy, R/GA, Measured</v>
      </c>
      <c r="I528" s="11">
        <f>IFERROR(__xludf.DUMMYFUNCTION("""COMPUTED_VALUE"""),1.0)</f>
        <v>1</v>
      </c>
      <c r="J528" s="11">
        <f>IFERROR(__xludf.DUMMYFUNCTION("""COMPUTED_VALUE"""),0.0)</f>
        <v>0</v>
      </c>
      <c r="K528" s="11">
        <f>IFERROR(__xludf.DUMMYFUNCTION("""COMPUTED_VALUE"""),2.0)</f>
        <v>2</v>
      </c>
    </row>
    <row r="529" ht="15.75" customHeight="1">
      <c r="A529" s="10" t="str">
        <f>IFERROR(__xludf.DUMMYFUNCTION("""COMPUTED_VALUE"""),"https://adzooma.com/blog/top-10-advertising-agencies-in-the-uk/")</f>
        <v>https://adzooma.com/blog/top-10-advertising-agencies-in-the-uk/</v>
      </c>
      <c r="B529" s="11" t="str">
        <f>IFERROR(__xludf.DUMMYFUNCTION("""COMPUTED_VALUE"""),"Top 10 Advertising Agencies In The UK | Adzooma")</f>
        <v>Top 10 Advertising Agencies In The UK | Adzooma</v>
      </c>
      <c r="C529" s="10" t="str">
        <f>IFERROR(__xludf.DUMMYFUNCTION("""COMPUTED_VALUE"""),"adzooma.com")</f>
        <v>adzooma.com</v>
      </c>
      <c r="D529" s="11" t="str">
        <f>IFERROR(__xludf.DUMMYFUNCTION("""COMPUTED_VALUE"""),"LISTICLE")</f>
        <v>LISTICLE</v>
      </c>
      <c r="E529" s="11" t="str">
        <f>IFERROR(__xludf.DUMMYFUNCTION("""COMPUTED_VALUE"""),"CORPORATE")</f>
        <v>CORPORATE</v>
      </c>
      <c r="F529" s="11" t="str">
        <f>IFERROR(__xludf.DUMMYFUNCTION("""COMPUTED_VALUE"""),"Listicle")</f>
        <v>Listicle</v>
      </c>
      <c r="G529" s="11" t="b">
        <f>IFERROR(__xludf.DUMMYFUNCTION("""COMPUTED_VALUE"""),FALSE)</f>
        <v>0</v>
      </c>
      <c r="H529" s="11" t="str">
        <f>IFERROR(__xludf.DUMMYFUNCTION("""COMPUTED_VALUE"""),"Ogilvy, VML")</f>
        <v>Ogilvy, VML</v>
      </c>
      <c r="I529" s="11">
        <f>IFERROR(__xludf.DUMMYFUNCTION("""COMPUTED_VALUE"""),1.0)</f>
        <v>1</v>
      </c>
      <c r="J529" s="11">
        <f>IFERROR(__xludf.DUMMYFUNCTION("""COMPUTED_VALUE"""),0.0)</f>
        <v>0</v>
      </c>
      <c r="K529" s="11">
        <f>IFERROR(__xludf.DUMMYFUNCTION("""COMPUTED_VALUE"""),0.0)</f>
        <v>0</v>
      </c>
    </row>
    <row r="530" ht="15.75" customHeight="1">
      <c r="A530" s="10" t="str">
        <f>IFERROR(__xludf.DUMMYFUNCTION("""COMPUTED_VALUE"""),"https://www.agencyspotter.com/top/media-planning-and-strategy-agencies")</f>
        <v>https://www.agencyspotter.com/top/media-planning-and-strategy-agencies</v>
      </c>
      <c r="B530" s="11" t="str">
        <f>IFERROR(__xludf.DUMMYFUNCTION("""COMPUTED_VALUE"""),"Top 10 Media Planning &amp;amp; Strategy Agencies Report | Agency Spotter")</f>
        <v>Top 10 Media Planning &amp;amp; Strategy Agencies Report | Agency Spotter</v>
      </c>
      <c r="C530" s="10" t="str">
        <f>IFERROR(__xludf.DUMMYFUNCTION("""COMPUTED_VALUE"""),"agencyspotter.com")</f>
        <v>agencyspotter.com</v>
      </c>
      <c r="D530" s="11" t="str">
        <f>IFERROR(__xludf.DUMMYFUNCTION("""COMPUTED_VALUE"""),"LISTICLE")</f>
        <v>LISTICLE</v>
      </c>
      <c r="E530" s="11" t="str">
        <f>IFERROR(__xludf.DUMMYFUNCTION("""COMPUTED_VALUE"""),"REFERENCE")</f>
        <v>REFERENCE</v>
      </c>
      <c r="F530" s="11" t="str">
        <f>IFERROR(__xludf.DUMMYFUNCTION("""COMPUTED_VALUE"""),"Listicle")</f>
        <v>Listicle</v>
      </c>
      <c r="G530" s="11" t="b">
        <f>IFERROR(__xludf.DUMMYFUNCTION("""COMPUTED_VALUE"""),FALSE)</f>
        <v>0</v>
      </c>
      <c r="H530" s="11"/>
      <c r="I530" s="11">
        <f>IFERROR(__xludf.DUMMYFUNCTION("""COMPUTED_VALUE"""),1.0)</f>
        <v>1</v>
      </c>
      <c r="J530" s="11">
        <f>IFERROR(__xludf.DUMMYFUNCTION("""COMPUTED_VALUE"""),0.0)</f>
        <v>0</v>
      </c>
      <c r="K530" s="11">
        <f>IFERROR(__xludf.DUMMYFUNCTION("""COMPUTED_VALUE"""),0.0)</f>
        <v>0</v>
      </c>
    </row>
    <row r="531" ht="15.75" customHeight="1">
      <c r="A531" s="10" t="str">
        <f>IFERROR(__xludf.DUMMYFUNCTION("""COMPUTED_VALUE"""),"https://aiagents4cfo.com/the-cfos-ai-playbook-10-vendors-rebuilding-finance-in-2026/")</f>
        <v>https://aiagents4cfo.com/the-cfos-ai-playbook-10-vendors-rebuilding-finance-in-2026/</v>
      </c>
      <c r="B531" s="11" t="str">
        <f>IFERROR(__xludf.DUMMYFUNCTION("""COMPUTED_VALUE"""),"The CFO’s AI Playbook: 10 Vendors Rebuilding Finance in 2026 - AI Agents for CFO")</f>
        <v>The CFO’s AI Playbook: 10 Vendors Rebuilding Finance in 2026 - AI Agents for CFO</v>
      </c>
      <c r="C531" s="10" t="str">
        <f>IFERROR(__xludf.DUMMYFUNCTION("""COMPUTED_VALUE"""),"aiagents4cfo.com")</f>
        <v>aiagents4cfo.com</v>
      </c>
      <c r="D531" s="11" t="str">
        <f>IFERROR(__xludf.DUMMYFUNCTION("""COMPUTED_VALUE"""),"LISTICLE")</f>
        <v>LISTICLE</v>
      </c>
      <c r="E531" s="11" t="str">
        <f>IFERROR(__xludf.DUMMYFUNCTION("""COMPUTED_VALUE"""),"CORPORATE")</f>
        <v>CORPORATE</v>
      </c>
      <c r="F531" s="11" t="str">
        <f>IFERROR(__xludf.DUMMYFUNCTION("""COMPUTED_VALUE"""),"Listicle")</f>
        <v>Listicle</v>
      </c>
      <c r="G531" s="11" t="b">
        <f>IFERROR(__xludf.DUMMYFUNCTION("""COMPUTED_VALUE"""),FALSE)</f>
        <v>0</v>
      </c>
      <c r="H531" s="11" t="str">
        <f>IFERROR(__xludf.DUMMYFUNCTION("""COMPUTED_VALUE"""),"IBM, McKinsey, QuantumBlack, Anomaly, Measured")</f>
        <v>IBM, McKinsey, QuantumBlack, Anomaly, Measured</v>
      </c>
      <c r="I531" s="11">
        <f>IFERROR(__xludf.DUMMYFUNCTION("""COMPUTED_VALUE"""),1.0)</f>
        <v>1</v>
      </c>
      <c r="J531" s="11">
        <f>IFERROR(__xludf.DUMMYFUNCTION("""COMPUTED_VALUE"""),0.0)</f>
        <v>0</v>
      </c>
      <c r="K531" s="11">
        <f>IFERROR(__xludf.DUMMYFUNCTION("""COMPUTED_VALUE"""),1.0)</f>
        <v>1</v>
      </c>
    </row>
    <row r="532" ht="15.75" customHeight="1">
      <c r="A532" s="10" t="str">
        <f>IFERROR(__xludf.DUMMYFUNCTION("""COMPUTED_VALUE"""),"https://www.aikenhouse.com/post/8-top-ai-consulting-companies-to-consider-2026-review-comparison")</f>
        <v>https://www.aikenhouse.com/post/8-top-ai-consulting-companies-to-consider-2026-review-comparison</v>
      </c>
      <c r="B532" s="11" t="str">
        <f>IFERROR(__xludf.DUMMYFUNCTION("""COMPUTED_VALUE"""),"8 Top AI Consulting Companies to Consider: 2026 Review + Comparison | Aiken House Blog")</f>
        <v>8 Top AI Consulting Companies to Consider: 2026 Review + Comparison | Aiken House Blog</v>
      </c>
      <c r="C532" s="10" t="str">
        <f>IFERROR(__xludf.DUMMYFUNCTION("""COMPUTED_VALUE"""),"aikenhouse.com")</f>
        <v>aikenhouse.com</v>
      </c>
      <c r="D532" s="11" t="str">
        <f>IFERROR(__xludf.DUMMYFUNCTION("""COMPUTED_VALUE"""),"LISTICLE")</f>
        <v>LISTICLE</v>
      </c>
      <c r="E532" s="11" t="str">
        <f>IFERROR(__xludf.DUMMYFUNCTION("""COMPUTED_VALUE"""),"CORPORATE")</f>
        <v>CORPORATE</v>
      </c>
      <c r="F532" s="11" t="str">
        <f>IFERROR(__xludf.DUMMYFUNCTION("""COMPUTED_VALUE"""),"Listicle")</f>
        <v>Listicle</v>
      </c>
      <c r="G532" s="11" t="b">
        <f>IFERROR(__xludf.DUMMYFUNCTION("""COMPUTED_VALUE"""),FALSE)</f>
        <v>0</v>
      </c>
      <c r="H532" s="11" t="str">
        <f>IFERROR(__xludf.DUMMYFUNCTION("""COMPUTED_VALUE"""),"McKinsey, QuantumBlack, IBM, BCG, Anomaly, Merkle")</f>
        <v>McKinsey, QuantumBlack, IBM, BCG, Anomaly, Merkle</v>
      </c>
      <c r="I532" s="11">
        <f>IFERROR(__xludf.DUMMYFUNCTION("""COMPUTED_VALUE"""),1.0)</f>
        <v>1</v>
      </c>
      <c r="J532" s="11">
        <f>IFERROR(__xludf.DUMMYFUNCTION("""COMPUTED_VALUE"""),0.0)</f>
        <v>0</v>
      </c>
      <c r="K532" s="11">
        <f>IFERROR(__xludf.DUMMYFUNCTION("""COMPUTED_VALUE"""),1.0)</f>
        <v>1</v>
      </c>
    </row>
    <row r="533" ht="15.75" customHeight="1">
      <c r="A533" s="10" t="str">
        <f>IFERROR(__xludf.DUMMYFUNCTION("""COMPUTED_VALUE"""),"https://www.airpost.ai/blog/best-performance-marketing-agencies")</f>
        <v>https://www.airpost.ai/blog/best-performance-marketing-agencies</v>
      </c>
      <c r="B533" s="11" t="str">
        <f>IFERROR(__xludf.DUMMYFUNCTION("""COMPUTED_VALUE"""),"8 Best performance marketing agencies in 2026")</f>
        <v>8 Best performance marketing agencies in 2026</v>
      </c>
      <c r="C533" s="10" t="str">
        <f>IFERROR(__xludf.DUMMYFUNCTION("""COMPUTED_VALUE"""),"airpost.ai")</f>
        <v>airpost.ai</v>
      </c>
      <c r="D533" s="11" t="str">
        <f>IFERROR(__xludf.DUMMYFUNCTION("""COMPUTED_VALUE"""),"LISTICLE")</f>
        <v>LISTICLE</v>
      </c>
      <c r="E533" s="11" t="str">
        <f>IFERROR(__xludf.DUMMYFUNCTION("""COMPUTED_VALUE"""),"CORPORATE")</f>
        <v>CORPORATE</v>
      </c>
      <c r="F533" s="11" t="str">
        <f>IFERROR(__xludf.DUMMYFUNCTION("""COMPUTED_VALUE"""),"Listicle")</f>
        <v>Listicle</v>
      </c>
      <c r="G533" s="11" t="b">
        <f>IFERROR(__xludf.DUMMYFUNCTION("""COMPUTED_VALUE"""),FALSE)</f>
        <v>0</v>
      </c>
      <c r="H533" s="11" t="str">
        <f>IFERROR(__xludf.DUMMYFUNCTION("""COMPUTED_VALUE"""),"Tinuiti, Power Digital, Jellyfish, Brandtech, AKQA, WPP, MuteSix, Dentsu, Common Thread Collective, Disruptive Advertising")</f>
        <v>Tinuiti, Power Digital, Jellyfish, Brandtech, AKQA, WPP, MuteSix, Dentsu, Common Thread Collective, Disruptive Advertising</v>
      </c>
      <c r="I533" s="11">
        <f>IFERROR(__xludf.DUMMYFUNCTION("""COMPUTED_VALUE"""),1.0)</f>
        <v>1</v>
      </c>
      <c r="J533" s="11">
        <f>IFERROR(__xludf.DUMMYFUNCTION("""COMPUTED_VALUE"""),0.0)</f>
        <v>0</v>
      </c>
      <c r="K533" s="11">
        <f>IFERROR(__xludf.DUMMYFUNCTION("""COMPUTED_VALUE"""),1.0)</f>
        <v>1</v>
      </c>
    </row>
    <row r="534" ht="15.75" customHeight="1">
      <c r="A534" s="10" t="str">
        <f>IFERROR(__xludf.DUMMYFUNCTION("""COMPUTED_VALUE"""),"https://aisera.com/blog/ai-agent-development-companies-and-platforms/")</f>
        <v>https://aisera.com/blog/ai-agent-development-companies-and-platforms/</v>
      </c>
      <c r="B534" s="11" t="str">
        <f>IFERROR(__xludf.DUMMYFUNCTION("""COMPUTED_VALUE"""),"Top 10 AI Agent Development Companies and Platforms")</f>
        <v>Top 10 AI Agent Development Companies and Platforms</v>
      </c>
      <c r="C534" s="10" t="str">
        <f>IFERROR(__xludf.DUMMYFUNCTION("""COMPUTED_VALUE"""),"aisera.com")</f>
        <v>aisera.com</v>
      </c>
      <c r="D534" s="11" t="str">
        <f>IFERROR(__xludf.DUMMYFUNCTION("""COMPUTED_VALUE"""),"LISTICLE")</f>
        <v>LISTICLE</v>
      </c>
      <c r="E534" s="11" t="str">
        <f>IFERROR(__xludf.DUMMYFUNCTION("""COMPUTED_VALUE"""),"CORPORATE")</f>
        <v>CORPORATE</v>
      </c>
      <c r="F534" s="11" t="str">
        <f>IFERROR(__xludf.DUMMYFUNCTION("""COMPUTED_VALUE"""),"Listicle")</f>
        <v>Listicle</v>
      </c>
      <c r="G534" s="11" t="b">
        <f>IFERROR(__xludf.DUMMYFUNCTION("""COMPUTED_VALUE"""),FALSE)</f>
        <v>0</v>
      </c>
      <c r="H534" s="11" t="str">
        <f>IFERROR(__xludf.DUMMYFUNCTION("""COMPUTED_VALUE"""),"IBM, Anomaly")</f>
        <v>IBM, Anomaly</v>
      </c>
      <c r="I534" s="11">
        <f>IFERROR(__xludf.DUMMYFUNCTION("""COMPUTED_VALUE"""),1.0)</f>
        <v>1</v>
      </c>
      <c r="J534" s="11">
        <f>IFERROR(__xludf.DUMMYFUNCTION("""COMPUTED_VALUE"""),0.0)</f>
        <v>0</v>
      </c>
      <c r="K534" s="11">
        <f>IFERROR(__xludf.DUMMYFUNCTION("""COMPUTED_VALUE"""),1.0)</f>
        <v>1</v>
      </c>
    </row>
    <row r="535" ht="15.75" customHeight="1">
      <c r="A535" s="10" t="str">
        <f>IFERROR(__xludf.DUMMYFUNCTION("""COMPUTED_VALUE"""),"https://aisuperior.com/geospatial-companies-in-the-usa/#:~:text=FlyPix%20AI%20is%20one%20of%20the%20geospatial,and%20aerial%20imagery%20through%20a%20no%2Dcode%20interface.")</f>
        <v>https://aisuperior.com/geospatial-companies-in-the-usa/#:~:text=FlyPix%20AI%20is%20one%20of%20the%20geospatial,and%20aerial%20imagery%20through%20a%20no%2Dcode%20interface.</v>
      </c>
      <c r="B535" s="11" t="str">
        <f>IFERROR(__xludf.DUMMYFUNCTION("""COMPUTED_VALUE"""),"Geospatial Companies in the USA: Leaders in Mapping and Spatial Data Solutions")</f>
        <v>Geospatial Companies in the USA: Leaders in Mapping and Spatial Data Solutions</v>
      </c>
      <c r="C535" s="10" t="str">
        <f>IFERROR(__xludf.DUMMYFUNCTION("""COMPUTED_VALUE"""),"aisuperior.com")</f>
        <v>aisuperior.com</v>
      </c>
      <c r="D535" s="11" t="str">
        <f>IFERROR(__xludf.DUMMYFUNCTION("""COMPUTED_VALUE"""),"LISTICLE")</f>
        <v>LISTICLE</v>
      </c>
      <c r="E535" s="11" t="str">
        <f>IFERROR(__xludf.DUMMYFUNCTION("""COMPUTED_VALUE"""),"OTHER")</f>
        <v>OTHER</v>
      </c>
      <c r="F535" s="11" t="str">
        <f>IFERROR(__xludf.DUMMYFUNCTION("""COMPUTED_VALUE"""),"Listicle")</f>
        <v>Listicle</v>
      </c>
      <c r="G535" s="11" t="b">
        <f>IFERROR(__xludf.DUMMYFUNCTION("""COMPUTED_VALUE"""),FALSE)</f>
        <v>0</v>
      </c>
      <c r="H535" s="11" t="str">
        <f>IFERROR(__xludf.DUMMYFUNCTION("""COMPUTED_VALUE"""),"Anomaly")</f>
        <v>Anomaly</v>
      </c>
      <c r="I535" s="11">
        <f>IFERROR(__xludf.DUMMYFUNCTION("""COMPUTED_VALUE"""),1.0)</f>
        <v>1</v>
      </c>
      <c r="J535" s="11">
        <f>IFERROR(__xludf.DUMMYFUNCTION("""COMPUTED_VALUE"""),0.0)</f>
        <v>0</v>
      </c>
      <c r="K535" s="11">
        <f>IFERROR(__xludf.DUMMYFUNCTION("""COMPUTED_VALUE"""),4.0)</f>
        <v>4</v>
      </c>
    </row>
    <row r="536" ht="15.75" customHeight="1">
      <c r="A536" s="10" t="str">
        <f>IFERROR(__xludf.DUMMYFUNCTION("""COMPUTED_VALUE"""),"https://ajelix.com/ai/best-ai-agents/")</f>
        <v>https://ajelix.com/ai/best-ai-agents/</v>
      </c>
      <c r="B536" s="11" t="str">
        <f>IFERROR(__xludf.DUMMYFUNCTION("""COMPUTED_VALUE"""),"The 8 Best AI Agents in 2026 (Reviewed By Our Team) - Ajelix")</f>
        <v>The 8 Best AI Agents in 2026 (Reviewed By Our Team) - Ajelix</v>
      </c>
      <c r="C536" s="10" t="str">
        <f>IFERROR(__xludf.DUMMYFUNCTION("""COMPUTED_VALUE"""),"ajelix.com")</f>
        <v>ajelix.com</v>
      </c>
      <c r="D536" s="11" t="str">
        <f>IFERROR(__xludf.DUMMYFUNCTION("""COMPUTED_VALUE"""),"LISTICLE")</f>
        <v>LISTICLE</v>
      </c>
      <c r="E536" s="11" t="str">
        <f>IFERROR(__xludf.DUMMYFUNCTION("""COMPUTED_VALUE"""),"UGC")</f>
        <v>UGC</v>
      </c>
      <c r="F536" s="11" t="str">
        <f>IFERROR(__xludf.DUMMYFUNCTION("""COMPUTED_VALUE"""),"Listicle")</f>
        <v>Listicle</v>
      </c>
      <c r="G536" s="11" t="b">
        <f>IFERROR(__xludf.DUMMYFUNCTION("""COMPUTED_VALUE"""),FALSE)</f>
        <v>0</v>
      </c>
      <c r="H536" s="11"/>
      <c r="I536" s="11">
        <f>IFERROR(__xludf.DUMMYFUNCTION("""COMPUTED_VALUE"""),1.0)</f>
        <v>1</v>
      </c>
      <c r="J536" s="11">
        <f>IFERROR(__xludf.DUMMYFUNCTION("""COMPUTED_VALUE"""),0.0)</f>
        <v>0</v>
      </c>
      <c r="K536" s="11">
        <f>IFERROR(__xludf.DUMMYFUNCTION("""COMPUTED_VALUE"""),1.0)</f>
        <v>1</v>
      </c>
    </row>
    <row r="537" ht="15.75" customHeight="1">
      <c r="A537" s="10" t="str">
        <f>IFERROR(__xludf.DUMMYFUNCTION("""COMPUTED_VALUE"""),"https://algoscale.com/blog/top-business-intelligence-consulting-companies/")</f>
        <v>https://algoscale.com/blog/top-business-intelligence-consulting-companies/</v>
      </c>
      <c r="B537" s="11" t="str">
        <f>IFERROR(__xludf.DUMMYFUNCTION("""COMPUTED_VALUE"""),"Top 15 Business Intelligence Consulting Companies in May 2026")</f>
        <v>Top 15 Business Intelligence Consulting Companies in May 2026</v>
      </c>
      <c r="C537" s="10" t="str">
        <f>IFERROR(__xludf.DUMMYFUNCTION("""COMPUTED_VALUE"""),"algoscale.com")</f>
        <v>algoscale.com</v>
      </c>
      <c r="D537" s="11" t="str">
        <f>IFERROR(__xludf.DUMMYFUNCTION("""COMPUTED_VALUE"""),"LISTICLE")</f>
        <v>LISTICLE</v>
      </c>
      <c r="E537" s="11" t="str">
        <f>IFERROR(__xludf.DUMMYFUNCTION("""COMPUTED_VALUE"""),"CORPORATE")</f>
        <v>CORPORATE</v>
      </c>
      <c r="F537" s="11" t="str">
        <f>IFERROR(__xludf.DUMMYFUNCTION("""COMPUTED_VALUE"""),"Listicle")</f>
        <v>Listicle</v>
      </c>
      <c r="G537" s="11" t="b">
        <f>IFERROR(__xludf.DUMMYFUNCTION("""COMPUTED_VALUE"""),FALSE)</f>
        <v>0</v>
      </c>
      <c r="H537" s="11" t="str">
        <f>IFERROR(__xludf.DUMMYFUNCTION("""COMPUTED_VALUE"""),"IBM, PwC, Anomaly, Slalom, Fractal Analytics")</f>
        <v>IBM, PwC, Anomaly, Slalom, Fractal Analytics</v>
      </c>
      <c r="I537" s="11">
        <f>IFERROR(__xludf.DUMMYFUNCTION("""COMPUTED_VALUE"""),1.0)</f>
        <v>1</v>
      </c>
      <c r="J537" s="11">
        <f>IFERROR(__xludf.DUMMYFUNCTION("""COMPUTED_VALUE"""),0.0)</f>
        <v>0</v>
      </c>
      <c r="K537" s="11">
        <f>IFERROR(__xludf.DUMMYFUNCTION("""COMPUTED_VALUE"""),1.0)</f>
        <v>1</v>
      </c>
    </row>
    <row r="538" ht="15.75" customHeight="1">
      <c r="A538" s="10" t="str">
        <f>IFERROR(__xludf.DUMMYFUNCTION("""COMPUTED_VALUE"""),"https://alignedagency.io/best-ai-marketing-agencies-for-2026/")</f>
        <v>https://alignedagency.io/best-ai-marketing-agencies-for-2026/</v>
      </c>
      <c r="B538" s="11" t="str">
        <f>IFERROR(__xludf.DUMMYFUNCTION("""COMPUTED_VALUE"""),"Best AI Marketing Agencies for 2026 - Aligned Agency")</f>
        <v>Best AI Marketing Agencies for 2026 - Aligned Agency</v>
      </c>
      <c r="C538" s="10" t="str">
        <f>IFERROR(__xludf.DUMMYFUNCTION("""COMPUTED_VALUE"""),"alignedagency.io")</f>
        <v>alignedagency.io</v>
      </c>
      <c r="D538" s="11" t="str">
        <f>IFERROR(__xludf.DUMMYFUNCTION("""COMPUTED_VALUE"""),"LISTICLE")</f>
        <v>LISTICLE</v>
      </c>
      <c r="E538" s="11" t="str">
        <f>IFERROR(__xludf.DUMMYFUNCTION("""COMPUTED_VALUE"""),"CORPORATE")</f>
        <v>CORPORATE</v>
      </c>
      <c r="F538" s="11" t="str">
        <f>IFERROR(__xludf.DUMMYFUNCTION("""COMPUTED_VALUE"""),"Listicle")</f>
        <v>Listicle</v>
      </c>
      <c r="G538" s="11" t="b">
        <f>IFERROR(__xludf.DUMMYFUNCTION("""COMPUTED_VALUE"""),FALSE)</f>
        <v>0</v>
      </c>
      <c r="H538" s="11" t="str">
        <f>IFERROR(__xludf.DUMMYFUNCTION("""COMPUTED_VALUE"""),"NoGood, Single Grain, inBeat, Keenfolks, SmartSites, Omniscient Digital, Tinuiti, Viral Nation, Momentum")</f>
        <v>NoGood, Single Grain, inBeat, Keenfolks, SmartSites, Omniscient Digital, Tinuiti, Viral Nation, Momentum</v>
      </c>
      <c r="I538" s="11">
        <f>IFERROR(__xludf.DUMMYFUNCTION("""COMPUTED_VALUE"""),1.0)</f>
        <v>1</v>
      </c>
      <c r="J538" s="11">
        <f>IFERROR(__xludf.DUMMYFUNCTION("""COMPUTED_VALUE"""),0.0)</f>
        <v>0</v>
      </c>
      <c r="K538" s="11">
        <f>IFERROR(__xludf.DUMMYFUNCTION("""COMPUTED_VALUE"""),0.0)</f>
        <v>0</v>
      </c>
    </row>
    <row r="539" ht="15.75" customHeight="1">
      <c r="A539" s="10" t="str">
        <f>IFERROR(__xludf.DUMMYFUNCTION("""COMPUTED_VALUE"""),"https://amworldgroup.com/best/ai-marketing-agencies")</f>
        <v>https://amworldgroup.com/best/ai-marketing-agencies</v>
      </c>
      <c r="B539" s="11" t="str">
        <f>IFERROR(__xludf.DUMMYFUNCTION("""COMPUTED_VALUE"""),"Best AI Marketing Agencies 2026 | Top 8 Reviewed | AMW®")</f>
        <v>Best AI Marketing Agencies 2026 | Top 8 Reviewed | AMW®</v>
      </c>
      <c r="C539" s="10" t="str">
        <f>IFERROR(__xludf.DUMMYFUNCTION("""COMPUTED_VALUE"""),"amworldgroup.com")</f>
        <v>amworldgroup.com</v>
      </c>
      <c r="D539" s="11" t="str">
        <f>IFERROR(__xludf.DUMMYFUNCTION("""COMPUTED_VALUE"""),"LISTICLE")</f>
        <v>LISTICLE</v>
      </c>
      <c r="E539" s="11" t="str">
        <f>IFERROR(__xludf.DUMMYFUNCTION("""COMPUTED_VALUE"""),"CORPORATE")</f>
        <v>CORPORATE</v>
      </c>
      <c r="F539" s="11" t="str">
        <f>IFERROR(__xludf.DUMMYFUNCTION("""COMPUTED_VALUE"""),"Listicle")</f>
        <v>Listicle</v>
      </c>
      <c r="G539" s="11" t="b">
        <f>IFERROR(__xludf.DUMMYFUNCTION("""COMPUTED_VALUE"""),FALSE)</f>
        <v>0</v>
      </c>
      <c r="H539" s="11" t="str">
        <f>IFERROR(__xludf.DUMMYFUNCTION("""COMPUTED_VALUE"""),"Clutch")</f>
        <v>Clutch</v>
      </c>
      <c r="I539" s="11">
        <f>IFERROR(__xludf.DUMMYFUNCTION("""COMPUTED_VALUE"""),1.0)</f>
        <v>1</v>
      </c>
      <c r="J539" s="11">
        <f>IFERROR(__xludf.DUMMYFUNCTION("""COMPUTED_VALUE"""),0.0)</f>
        <v>0</v>
      </c>
      <c r="K539" s="11">
        <f>IFERROR(__xludf.DUMMYFUNCTION("""COMPUTED_VALUE"""),0.0)</f>
        <v>0</v>
      </c>
    </row>
    <row r="540" ht="15.75" customHeight="1">
      <c r="A540" s="10" t="str">
        <f>IFERROR(__xludf.DUMMYFUNCTION("""COMPUTED_VALUE"""),"https://www.analyticsinsight.net/amp/story/digital-marketing/top-aeo-agencies-in-usa-best-2026-picks-for-ai-search-optimization")</f>
        <v>https://www.analyticsinsight.net/amp/story/digital-marketing/top-aeo-agencies-in-usa-best-2026-picks-for-ai-search-optimization</v>
      </c>
      <c r="B540" s="11" t="str">
        <f>IFERROR(__xludf.DUMMYFUNCTION("""COMPUTED_VALUE"""),"Top AEO Agencies in the USA in 2026 for AI Search Growth")</f>
        <v>Top AEO Agencies in the USA in 2026 for AI Search Growth</v>
      </c>
      <c r="C540" s="10" t="str">
        <f>IFERROR(__xludf.DUMMYFUNCTION("""COMPUTED_VALUE"""),"analyticsinsight.net")</f>
        <v>analyticsinsight.net</v>
      </c>
      <c r="D540" s="11" t="str">
        <f>IFERROR(__xludf.DUMMYFUNCTION("""COMPUTED_VALUE"""),"LISTICLE")</f>
        <v>LISTICLE</v>
      </c>
      <c r="E540" s="11" t="str">
        <f>IFERROR(__xludf.DUMMYFUNCTION("""COMPUTED_VALUE"""),"EDITORIAL")</f>
        <v>EDITORIAL</v>
      </c>
      <c r="F540" s="11" t="str">
        <f>IFERROR(__xludf.DUMMYFUNCTION("""COMPUTED_VALUE"""),"Listicle")</f>
        <v>Listicle</v>
      </c>
      <c r="G540" s="11" t="b">
        <f>IFERROR(__xludf.DUMMYFUNCTION("""COMPUTED_VALUE"""),FALSE)</f>
        <v>0</v>
      </c>
      <c r="H540" s="11" t="str">
        <f>IFERROR(__xludf.DUMMYFUNCTION("""COMPUTED_VALUE"""),"WebFX, First Page Sage, RevenueZen, Siege Media, NoGood, iPullRank")</f>
        <v>WebFX, First Page Sage, RevenueZen, Siege Media, NoGood, iPullRank</v>
      </c>
      <c r="I540" s="11">
        <f>IFERROR(__xludf.DUMMYFUNCTION("""COMPUTED_VALUE"""),1.0)</f>
        <v>1</v>
      </c>
      <c r="J540" s="11">
        <f>IFERROR(__xludf.DUMMYFUNCTION("""COMPUTED_VALUE"""),0.0)</f>
        <v>0</v>
      </c>
      <c r="K540" s="11">
        <f>IFERROR(__xludf.DUMMYFUNCTION("""COMPUTED_VALUE"""),0.0)</f>
        <v>0</v>
      </c>
    </row>
    <row r="541" ht="15.75" customHeight="1">
      <c r="A541" s="10" t="str">
        <f>IFERROR(__xludf.DUMMYFUNCTION("""COMPUTED_VALUE"""),"https://www.anml.com/blog/best-b2b-web-design-agencies-in-2026")</f>
        <v>https://www.anml.com/blog/best-b2b-web-design-agencies-in-2026</v>
      </c>
      <c r="B541" s="11" t="str">
        <f>IFERROR(__xludf.DUMMYFUNCTION("""COMPUTED_VALUE"""),"10 Best B2B Web Design Agencies in 2026 | ANML")</f>
        <v>10 Best B2B Web Design Agencies in 2026 | ANML</v>
      </c>
      <c r="C541" s="10" t="str">
        <f>IFERROR(__xludf.DUMMYFUNCTION("""COMPUTED_VALUE"""),"anml.com")</f>
        <v>anml.com</v>
      </c>
      <c r="D541" s="11" t="str">
        <f>IFERROR(__xludf.DUMMYFUNCTION("""COMPUTED_VALUE"""),"LISTICLE")</f>
        <v>LISTICLE</v>
      </c>
      <c r="E541" s="11" t="str">
        <f>IFERROR(__xludf.DUMMYFUNCTION("""COMPUTED_VALUE"""),"CORPORATE")</f>
        <v>CORPORATE</v>
      </c>
      <c r="F541" s="11" t="str">
        <f>IFERROR(__xludf.DUMMYFUNCTION("""COMPUTED_VALUE"""),"Listicle")</f>
        <v>Listicle</v>
      </c>
      <c r="G541" s="11" t="b">
        <f>IFERROR(__xludf.DUMMYFUNCTION("""COMPUTED_VALUE"""),FALSE)</f>
        <v>0</v>
      </c>
      <c r="H541" s="11" t="str">
        <f>IFERROR(__xludf.DUMMYFUNCTION("""COMPUTED_VALUE"""),"R/GA, DEPT, Huge, Monks, Pentagram, Clutch")</f>
        <v>R/GA, DEPT, Huge, Monks, Pentagram, Clutch</v>
      </c>
      <c r="I541" s="11">
        <f>IFERROR(__xludf.DUMMYFUNCTION("""COMPUTED_VALUE"""),1.0)</f>
        <v>1</v>
      </c>
      <c r="J541" s="11">
        <f>IFERROR(__xludf.DUMMYFUNCTION("""COMPUTED_VALUE"""),0.0)</f>
        <v>0</v>
      </c>
      <c r="K541" s="11">
        <f>IFERROR(__xludf.DUMMYFUNCTION("""COMPUTED_VALUE"""),1.0)</f>
        <v>1</v>
      </c>
    </row>
    <row r="542" ht="15.75" customHeight="1">
      <c r="A542" s="10" t="str">
        <f>IFERROR(__xludf.DUMMYFUNCTION("""COMPUTED_VALUE"""),"https://www.answermaniac.ai/best-geo-agencies")</f>
        <v>https://www.answermaniac.ai/best-geo-agencies</v>
      </c>
      <c r="B542" s="11" t="str">
        <f>IFERROR(__xludf.DUMMYFUNCTION("""COMPUTED_VALUE"""),"11 Best Generative Engine Optimization (GEO) Agencies [2026] | AnswerManiac")</f>
        <v>11 Best Generative Engine Optimization (GEO) Agencies [2026] | AnswerManiac</v>
      </c>
      <c r="C542" s="10" t="str">
        <f>IFERROR(__xludf.DUMMYFUNCTION("""COMPUTED_VALUE"""),"answermaniac.ai")</f>
        <v>answermaniac.ai</v>
      </c>
      <c r="D542" s="11" t="str">
        <f>IFERROR(__xludf.DUMMYFUNCTION("""COMPUTED_VALUE"""),"LISTICLE")</f>
        <v>LISTICLE</v>
      </c>
      <c r="E542" s="11" t="str">
        <f>IFERROR(__xludf.DUMMYFUNCTION("""COMPUTED_VALUE"""),"CORPORATE")</f>
        <v>CORPORATE</v>
      </c>
      <c r="F542" s="11" t="str">
        <f>IFERROR(__xludf.DUMMYFUNCTION("""COMPUTED_VALUE"""),"Listicle")</f>
        <v>Listicle</v>
      </c>
      <c r="G542" s="11" t="b">
        <f>IFERROR(__xludf.DUMMYFUNCTION("""COMPUTED_VALUE"""),FALSE)</f>
        <v>0</v>
      </c>
      <c r="H542" s="11" t="str">
        <f>IFERROR(__xludf.DUMMYFUNCTION("""COMPUTED_VALUE"""),"Intero Digital, Measured")</f>
        <v>Intero Digital, Measured</v>
      </c>
      <c r="I542" s="11">
        <f>IFERROR(__xludf.DUMMYFUNCTION("""COMPUTED_VALUE"""),1.0)</f>
        <v>1</v>
      </c>
      <c r="J542" s="11">
        <f>IFERROR(__xludf.DUMMYFUNCTION("""COMPUTED_VALUE"""),0.0)</f>
        <v>0</v>
      </c>
      <c r="K542" s="11">
        <f>IFERROR(__xludf.DUMMYFUNCTION("""COMPUTED_VALUE"""),1.0)</f>
        <v>1</v>
      </c>
    </row>
    <row r="543" ht="15.75" customHeight="1">
      <c r="A543" s="10" t="str">
        <f>IFERROR(__xludf.DUMMYFUNCTION("""COMPUTED_VALUE"""),"https://appkod.com/blogs/paid-media-agencies-us/")</f>
        <v>https://appkod.com/blogs/paid-media-agencies-us/</v>
      </c>
      <c r="B543" s="11" t="str">
        <f>IFERROR(__xludf.DUMMYFUNCTION("""COMPUTED_VALUE"""),"Top 17 Paid Media Agencies in the U.S. (2025) -")</f>
        <v>Top 17 Paid Media Agencies in the U.S. (2025) -</v>
      </c>
      <c r="C543" s="10" t="str">
        <f>IFERROR(__xludf.DUMMYFUNCTION("""COMPUTED_VALUE"""),"appkod.com")</f>
        <v>appkod.com</v>
      </c>
      <c r="D543" s="11" t="str">
        <f>IFERROR(__xludf.DUMMYFUNCTION("""COMPUTED_VALUE"""),"LISTICLE")</f>
        <v>LISTICLE</v>
      </c>
      <c r="E543" s="11" t="str">
        <f>IFERROR(__xludf.DUMMYFUNCTION("""COMPUTED_VALUE"""),"CORPORATE")</f>
        <v>CORPORATE</v>
      </c>
      <c r="F543" s="11" t="str">
        <f>IFERROR(__xludf.DUMMYFUNCTION("""COMPUTED_VALUE"""),"Listicle")</f>
        <v>Listicle</v>
      </c>
      <c r="G543" s="11" t="b">
        <f>IFERROR(__xludf.DUMMYFUNCTION("""COMPUTED_VALUE"""),FALSE)</f>
        <v>0</v>
      </c>
      <c r="H543" s="11" t="str">
        <f>IFERROR(__xludf.DUMMYFUNCTION("""COMPUTED_VALUE"""),"The Social Shepherd, Marcel Digital, IBM")</f>
        <v>The Social Shepherd, Marcel Digital, IBM</v>
      </c>
      <c r="I543" s="11">
        <f>IFERROR(__xludf.DUMMYFUNCTION("""COMPUTED_VALUE"""),1.0)</f>
        <v>1</v>
      </c>
      <c r="J543" s="11">
        <f>IFERROR(__xludf.DUMMYFUNCTION("""COMPUTED_VALUE"""),0.0)</f>
        <v>0</v>
      </c>
      <c r="K543" s="11">
        <f>IFERROR(__xludf.DUMMYFUNCTION("""COMPUTED_VALUE"""),0.0)</f>
        <v>0</v>
      </c>
    </row>
    <row r="544" ht="15.75" customHeight="1">
      <c r="A544" s="10" t="str">
        <f>IFERROR(__xludf.DUMMYFUNCTION("""COMPUTED_VALUE"""),"https://www.askneedle.com/blog/best-ai-marketing-tools")</f>
        <v>https://www.askneedle.com/blog/best-ai-marketing-tools</v>
      </c>
      <c r="B544" s="11" t="str">
        <f>IFERROR(__xludf.DUMMYFUNCTION("""COMPUTED_VALUE"""),"12 Best AI Marketing Tools for DTC Brands in 2026")</f>
        <v>12 Best AI Marketing Tools for DTC Brands in 2026</v>
      </c>
      <c r="C544" s="10" t="str">
        <f>IFERROR(__xludf.DUMMYFUNCTION("""COMPUTED_VALUE"""),"askneedle.com")</f>
        <v>askneedle.com</v>
      </c>
      <c r="D544" s="11" t="str">
        <f>IFERROR(__xludf.DUMMYFUNCTION("""COMPUTED_VALUE"""),"LISTICLE")</f>
        <v>LISTICLE</v>
      </c>
      <c r="E544" s="11" t="str">
        <f>IFERROR(__xludf.DUMMYFUNCTION("""COMPUTED_VALUE"""),"CORPORATE")</f>
        <v>CORPORATE</v>
      </c>
      <c r="F544" s="11" t="str">
        <f>IFERROR(__xludf.DUMMYFUNCTION("""COMPUTED_VALUE"""),"Listicle")</f>
        <v>Listicle</v>
      </c>
      <c r="G544" s="11" t="b">
        <f>IFERROR(__xludf.DUMMYFUNCTION("""COMPUTED_VALUE"""),FALSE)</f>
        <v>0</v>
      </c>
      <c r="H544" s="11" t="str">
        <f>IFERROR(__xludf.DUMMYFUNCTION("""COMPUTED_VALUE"""),"Huge, McKinsey, PwC")</f>
        <v>Huge, McKinsey, PwC</v>
      </c>
      <c r="I544" s="11">
        <f>IFERROR(__xludf.DUMMYFUNCTION("""COMPUTED_VALUE"""),1.0)</f>
        <v>1</v>
      </c>
      <c r="J544" s="11">
        <f>IFERROR(__xludf.DUMMYFUNCTION("""COMPUTED_VALUE"""),0.0)</f>
        <v>0</v>
      </c>
      <c r="K544" s="11">
        <f>IFERROR(__xludf.DUMMYFUNCTION("""COMPUTED_VALUE"""),1.0)</f>
        <v>1</v>
      </c>
    </row>
    <row r="545" ht="15.75" customHeight="1">
      <c r="A545" s="10" t="str">
        <f>IFERROR(__xludf.DUMMYFUNCTION("""COMPUTED_VALUE"""),"https://athenahq.ai/articles/best-ai-seo-tools")</f>
        <v>https://athenahq.ai/articles/best-ai-seo-tools</v>
      </c>
      <c r="B545" s="11" t="str">
        <f>IFERROR(__xludf.DUMMYFUNCTION("""COMPUTED_VALUE"""),"8 Best AI SEO Tools for 2026 (Tested Firsthand) | Action on AI Search")</f>
        <v>8 Best AI SEO Tools for 2026 (Tested Firsthand) | Action on AI Search</v>
      </c>
      <c r="C545" s="10" t="str">
        <f>IFERROR(__xludf.DUMMYFUNCTION("""COMPUTED_VALUE"""),"athenahq.ai")</f>
        <v>athenahq.ai</v>
      </c>
      <c r="D545" s="11" t="str">
        <f>IFERROR(__xludf.DUMMYFUNCTION("""COMPUTED_VALUE"""),"LISTICLE")</f>
        <v>LISTICLE</v>
      </c>
      <c r="E545" s="11" t="str">
        <f>IFERROR(__xludf.DUMMYFUNCTION("""COMPUTED_VALUE"""),"CORPORATE")</f>
        <v>CORPORATE</v>
      </c>
      <c r="F545" s="11" t="str">
        <f>IFERROR(__xludf.DUMMYFUNCTION("""COMPUTED_VALUE"""),"Listicle")</f>
        <v>Listicle</v>
      </c>
      <c r="G545" s="11" t="b">
        <f>IFERROR(__xludf.DUMMYFUNCTION("""COMPUTED_VALUE"""),FALSE)</f>
        <v>0</v>
      </c>
      <c r="H545" s="11"/>
      <c r="I545" s="11">
        <f>IFERROR(__xludf.DUMMYFUNCTION("""COMPUTED_VALUE"""),1.0)</f>
        <v>1</v>
      </c>
      <c r="J545" s="11">
        <f>IFERROR(__xludf.DUMMYFUNCTION("""COMPUTED_VALUE"""),0.0)</f>
        <v>0</v>
      </c>
      <c r="K545" s="11">
        <f>IFERROR(__xludf.DUMMYFUNCTION("""COMPUTED_VALUE"""),1.0)</f>
        <v>1</v>
      </c>
    </row>
    <row r="546" ht="15.75" customHeight="1">
      <c r="A546" s="10" t="str">
        <f>IFERROR(__xludf.DUMMYFUNCTION("""COMPUTED_VALUE"""),"https://avenuez.com/blog/top-dtc-marketing-agencies-in-the-usa/")</f>
        <v>https://avenuez.com/blog/top-dtc-marketing-agencies-in-the-usa/</v>
      </c>
      <c r="B546" s="11" t="str">
        <f>IFERROR(__xludf.DUMMYFUNCTION("""COMPUTED_VALUE"""),"Top DTC Marketing Agencies in the U.S. - Avenue Z")</f>
        <v>Top DTC Marketing Agencies in the U.S. - Avenue Z</v>
      </c>
      <c r="C546" s="10" t="str">
        <f>IFERROR(__xludf.DUMMYFUNCTION("""COMPUTED_VALUE"""),"avenuez.com")</f>
        <v>avenuez.com</v>
      </c>
      <c r="D546" s="11" t="str">
        <f>IFERROR(__xludf.DUMMYFUNCTION("""COMPUTED_VALUE"""),"LISTICLE")</f>
        <v>LISTICLE</v>
      </c>
      <c r="E546" s="11" t="str">
        <f>IFERROR(__xludf.DUMMYFUNCTION("""COMPUTED_VALUE"""),"COMPETITOR")</f>
        <v>COMPETITOR</v>
      </c>
      <c r="F546" s="11" t="str">
        <f>IFERROR(__xludf.DUMMYFUNCTION("""COMPUTED_VALUE"""),"Listicle")</f>
        <v>Listicle</v>
      </c>
      <c r="G546" s="11" t="b">
        <f>IFERROR(__xludf.DUMMYFUNCTION("""COMPUTED_VALUE"""),FALSE)</f>
        <v>0</v>
      </c>
      <c r="H546" s="11" t="str">
        <f>IFERROR(__xludf.DUMMYFUNCTION("""COMPUTED_VALUE"""),"Avenue Z, Common Thread Collective, Tinuiti, Power Digital, Momentum")</f>
        <v>Avenue Z, Common Thread Collective, Tinuiti, Power Digital, Momentum</v>
      </c>
      <c r="I546" s="11">
        <f>IFERROR(__xludf.DUMMYFUNCTION("""COMPUTED_VALUE"""),1.0)</f>
        <v>1</v>
      </c>
      <c r="J546" s="11">
        <f>IFERROR(__xludf.DUMMYFUNCTION("""COMPUTED_VALUE"""),0.0)</f>
        <v>0</v>
      </c>
      <c r="K546" s="11">
        <f>IFERROR(__xludf.DUMMYFUNCTION("""COMPUTED_VALUE"""),1.0)</f>
        <v>1</v>
      </c>
    </row>
    <row r="547" ht="15.75" customHeight="1">
      <c r="A547" s="10" t="str">
        <f>IFERROR(__xludf.DUMMYFUNCTION("""COMPUTED_VALUE"""),"https://avenuez.com/blog/top-social-media-advertising-agencies-in-the-usa/")</f>
        <v>https://avenuez.com/blog/top-social-media-advertising-agencies-in-the-usa/</v>
      </c>
      <c r="B547" s="11" t="str">
        <f>IFERROR(__xludf.DUMMYFUNCTION("""COMPUTED_VALUE"""),"Top Social Media Advertising Agencies in the U.S. - Avenue Z")</f>
        <v>Top Social Media Advertising Agencies in the U.S. - Avenue Z</v>
      </c>
      <c r="C547" s="10" t="str">
        <f>IFERROR(__xludf.DUMMYFUNCTION("""COMPUTED_VALUE"""),"avenuez.com")</f>
        <v>avenuez.com</v>
      </c>
      <c r="D547" s="11" t="str">
        <f>IFERROR(__xludf.DUMMYFUNCTION("""COMPUTED_VALUE"""),"LISTICLE")</f>
        <v>LISTICLE</v>
      </c>
      <c r="E547" s="11" t="str">
        <f>IFERROR(__xludf.DUMMYFUNCTION("""COMPUTED_VALUE"""),"COMPETITOR")</f>
        <v>COMPETITOR</v>
      </c>
      <c r="F547" s="11" t="str">
        <f>IFERROR(__xludf.DUMMYFUNCTION("""COMPUTED_VALUE"""),"Listicle")</f>
        <v>Listicle</v>
      </c>
      <c r="G547" s="11" t="b">
        <f>IFERROR(__xludf.DUMMYFUNCTION("""COMPUTED_VALUE"""),FALSE)</f>
        <v>0</v>
      </c>
      <c r="H547" s="11" t="str">
        <f>IFERROR(__xludf.DUMMYFUNCTION("""COMPUTED_VALUE"""),"Avenue Z, Disruptive Advertising, inBeat, LYFE Marketing")</f>
        <v>Avenue Z, Disruptive Advertising, inBeat, LYFE Marketing</v>
      </c>
      <c r="I547" s="11">
        <f>IFERROR(__xludf.DUMMYFUNCTION("""COMPUTED_VALUE"""),1.0)</f>
        <v>1</v>
      </c>
      <c r="J547" s="11">
        <f>IFERROR(__xludf.DUMMYFUNCTION("""COMPUTED_VALUE"""),0.0)</f>
        <v>0</v>
      </c>
      <c r="K547" s="11">
        <f>IFERROR(__xludf.DUMMYFUNCTION("""COMPUTED_VALUE"""),0.0)</f>
        <v>0</v>
      </c>
    </row>
    <row r="548" ht="15.75" customHeight="1">
      <c r="A548" s="10" t="str">
        <f>IFERROR(__xludf.DUMMYFUNCTION("""COMPUTED_VALUE"""),"https://avenuez.com/blog/top-wellness-marketing-agencies/")</f>
        <v>https://avenuez.com/blog/top-wellness-marketing-agencies/</v>
      </c>
      <c r="B548" s="11" t="str">
        <f>IFERROR(__xludf.DUMMYFUNCTION("""COMPUTED_VALUE"""),"Top Wellness Marketing Agencies of 2025 - Avenue Z")</f>
        <v>Top Wellness Marketing Agencies of 2025 - Avenue Z</v>
      </c>
      <c r="C548" s="10" t="str">
        <f>IFERROR(__xludf.DUMMYFUNCTION("""COMPUTED_VALUE"""),"avenuez.com")</f>
        <v>avenuez.com</v>
      </c>
      <c r="D548" s="11" t="str">
        <f>IFERROR(__xludf.DUMMYFUNCTION("""COMPUTED_VALUE"""),"LISTICLE")</f>
        <v>LISTICLE</v>
      </c>
      <c r="E548" s="11" t="str">
        <f>IFERROR(__xludf.DUMMYFUNCTION("""COMPUTED_VALUE"""),"COMPETITOR")</f>
        <v>COMPETITOR</v>
      </c>
      <c r="F548" s="11" t="str">
        <f>IFERROR(__xludf.DUMMYFUNCTION("""COMPUTED_VALUE"""),"Listicle")</f>
        <v>Listicle</v>
      </c>
      <c r="G548" s="11" t="b">
        <f>IFERROR(__xludf.DUMMYFUNCTION("""COMPUTED_VALUE"""),FALSE)</f>
        <v>0</v>
      </c>
      <c r="H548" s="11" t="str">
        <f>IFERROR(__xludf.DUMMYFUNCTION("""COMPUTED_VALUE"""),"Avenue Z, Momentum, Hawke Media, VaynerMedia, Power Digital")</f>
        <v>Avenue Z, Momentum, Hawke Media, VaynerMedia, Power Digital</v>
      </c>
      <c r="I548" s="11">
        <f>IFERROR(__xludf.DUMMYFUNCTION("""COMPUTED_VALUE"""),1.0)</f>
        <v>1</v>
      </c>
      <c r="J548" s="11">
        <f>IFERROR(__xludf.DUMMYFUNCTION("""COMPUTED_VALUE"""),0.0)</f>
        <v>0</v>
      </c>
      <c r="K548" s="11">
        <f>IFERROR(__xludf.DUMMYFUNCTION("""COMPUTED_VALUE"""),1.0)</f>
        <v>1</v>
      </c>
    </row>
    <row r="549" ht="15.75" customHeight="1">
      <c r="A549" s="10" t="str">
        <f>IFERROR(__xludf.DUMMYFUNCTION("""COMPUTED_VALUE"""),"https://www.awesomic.com/blog/full-service-creative-agencies")</f>
        <v>https://www.awesomic.com/blog/full-service-creative-agencies</v>
      </c>
      <c r="B549" s="11" t="str">
        <f>IFERROR(__xludf.DUMMYFUNCTION("""COMPUTED_VALUE"""),"Best Full Service Creative Agencies in 2026: Top Picks for Fast, Affordable Work")</f>
        <v>Best Full Service Creative Agencies in 2026: Top Picks for Fast, Affordable Work</v>
      </c>
      <c r="C549" s="10" t="str">
        <f>IFERROR(__xludf.DUMMYFUNCTION("""COMPUTED_VALUE"""),"awesomic.com")</f>
        <v>awesomic.com</v>
      </c>
      <c r="D549" s="11" t="str">
        <f>IFERROR(__xludf.DUMMYFUNCTION("""COMPUTED_VALUE"""),"LISTICLE")</f>
        <v>LISTICLE</v>
      </c>
      <c r="E549" s="11" t="str">
        <f>IFERROR(__xludf.DUMMYFUNCTION("""COMPUTED_VALUE"""),"CORPORATE")</f>
        <v>CORPORATE</v>
      </c>
      <c r="F549" s="11" t="str">
        <f>IFERROR(__xludf.DUMMYFUNCTION("""COMPUTED_VALUE"""),"Listicle")</f>
        <v>Listicle</v>
      </c>
      <c r="G549" s="11" t="b">
        <f>IFERROR(__xludf.DUMMYFUNCTION("""COMPUTED_VALUE"""),FALSE)</f>
        <v>0</v>
      </c>
      <c r="H549" s="11" t="str">
        <f>IFERROR(__xludf.DUMMYFUNCTION("""COMPUTED_VALUE"""),"Droga5, Ogilvy, Wieden+Kennedy, VaynerMedia, Pentagram, BBDO, Accenture Song, Huge, Momentum")</f>
        <v>Droga5, Ogilvy, Wieden+Kennedy, VaynerMedia, Pentagram, BBDO, Accenture Song, Huge, Momentum</v>
      </c>
      <c r="I549" s="11">
        <f>IFERROR(__xludf.DUMMYFUNCTION("""COMPUTED_VALUE"""),1.0)</f>
        <v>1</v>
      </c>
      <c r="J549" s="11">
        <f>IFERROR(__xludf.DUMMYFUNCTION("""COMPUTED_VALUE"""),0.0)</f>
        <v>0</v>
      </c>
      <c r="K549" s="11">
        <f>IFERROR(__xludf.DUMMYFUNCTION("""COMPUTED_VALUE"""),1.0)</f>
        <v>1</v>
      </c>
    </row>
    <row r="550" ht="15.75" customHeight="1">
      <c r="A550" s="10" t="str">
        <f>IFERROR(__xludf.DUMMYFUNCTION("""COMPUTED_VALUE"""),"https://awisee.com/ru/blog/paid-social-media-agencies/")</f>
        <v>https://awisee.com/ru/blog/paid-social-media-agencies/</v>
      </c>
      <c r="B550" s="11" t="str">
        <f>IFERROR(__xludf.DUMMYFUNCTION("""COMPUTED_VALUE"""),"Best Paid Social Media Agencies for 2025 – Full Guide")</f>
        <v>Best Paid Social Media Agencies for 2025 – Full Guide</v>
      </c>
      <c r="C550" s="10" t="str">
        <f>IFERROR(__xludf.DUMMYFUNCTION("""COMPUTED_VALUE"""),"awisee.com")</f>
        <v>awisee.com</v>
      </c>
      <c r="D550" s="11" t="str">
        <f>IFERROR(__xludf.DUMMYFUNCTION("""COMPUTED_VALUE"""),"LISTICLE")</f>
        <v>LISTICLE</v>
      </c>
      <c r="E550" s="11" t="str">
        <f>IFERROR(__xludf.DUMMYFUNCTION("""COMPUTED_VALUE"""),"OTHER")</f>
        <v>OTHER</v>
      </c>
      <c r="F550" s="11" t="str">
        <f>IFERROR(__xludf.DUMMYFUNCTION("""COMPUTED_VALUE"""),"Listicle")</f>
        <v>Listicle</v>
      </c>
      <c r="G550" s="11" t="b">
        <f>IFERROR(__xludf.DUMMYFUNCTION("""COMPUTED_VALUE"""),FALSE)</f>
        <v>0</v>
      </c>
      <c r="H550" s="11" t="str">
        <f>IFERROR(__xludf.DUMMYFUNCTION("""COMPUTED_VALUE"""),"VaynerMedia, Power Digital")</f>
        <v>VaynerMedia, Power Digital</v>
      </c>
      <c r="I550" s="11">
        <f>IFERROR(__xludf.DUMMYFUNCTION("""COMPUTED_VALUE"""),1.0)</f>
        <v>1</v>
      </c>
      <c r="J550" s="11">
        <f>IFERROR(__xludf.DUMMYFUNCTION("""COMPUTED_VALUE"""),0.0)</f>
        <v>0</v>
      </c>
      <c r="K550" s="11">
        <f>IFERROR(__xludf.DUMMYFUNCTION("""COMPUTED_VALUE"""),0.0)</f>
        <v>0</v>
      </c>
    </row>
    <row r="551" ht="15.75" customHeight="1">
      <c r="A551" s="10" t="str">
        <f>IFERROR(__xludf.DUMMYFUNCTION("""COMPUTED_VALUE"""),"https://www.awwwards.com/the-10-best-agencies-in-new-york-city.html")</f>
        <v>https://www.awwwards.com/the-10-best-agencies-in-new-york-city.html</v>
      </c>
      <c r="B551" s="11" t="str">
        <f>IFERROR(__xludf.DUMMYFUNCTION("""COMPUTED_VALUE"""),"The 10 Best Agencies in New York City")</f>
        <v>The 10 Best Agencies in New York City</v>
      </c>
      <c r="C551" s="10" t="str">
        <f>IFERROR(__xludf.DUMMYFUNCTION("""COMPUTED_VALUE"""),"awwwards.com")</f>
        <v>awwwards.com</v>
      </c>
      <c r="D551" s="11" t="str">
        <f>IFERROR(__xludf.DUMMYFUNCTION("""COMPUTED_VALUE"""),"LISTICLE")</f>
        <v>LISTICLE</v>
      </c>
      <c r="E551" s="11" t="str">
        <f>IFERROR(__xludf.DUMMYFUNCTION("""COMPUTED_VALUE"""),"EDITORIAL")</f>
        <v>EDITORIAL</v>
      </c>
      <c r="F551" s="11" t="str">
        <f>IFERROR(__xludf.DUMMYFUNCTION("""COMPUTED_VALUE"""),"Listicle")</f>
        <v>Listicle</v>
      </c>
      <c r="G551" s="11" t="b">
        <f>IFERROR(__xludf.DUMMYFUNCTION("""COMPUTED_VALUE"""),FALSE)</f>
        <v>0</v>
      </c>
      <c r="H551" s="11" t="str">
        <f>IFERROR(__xludf.DUMMYFUNCTION("""COMPUTED_VALUE"""),"Huge, R/GA, DEPT, AKQA, Droga5")</f>
        <v>Huge, R/GA, DEPT, AKQA, Droga5</v>
      </c>
      <c r="I551" s="11">
        <f>IFERROR(__xludf.DUMMYFUNCTION("""COMPUTED_VALUE"""),1.0)</f>
        <v>1</v>
      </c>
      <c r="J551" s="11">
        <f>IFERROR(__xludf.DUMMYFUNCTION("""COMPUTED_VALUE"""),0.0)</f>
        <v>0</v>
      </c>
      <c r="K551" s="11">
        <f>IFERROR(__xludf.DUMMYFUNCTION("""COMPUTED_VALUE"""),1.0)</f>
        <v>1</v>
      </c>
    </row>
    <row r="552" ht="15.75" customHeight="1">
      <c r="A552" s="10" t="str">
        <f>IFERROR(__xludf.DUMMYFUNCTION("""COMPUTED_VALUE"""),"https://www.barchart.com/story/news/1281321/10-ai-visibility-optimization-agencies-in-the-united-states-for-2026")</f>
        <v>https://www.barchart.com/story/news/1281321/10-ai-visibility-optimization-agencies-in-the-united-states-for-2026</v>
      </c>
      <c r="B552" s="11" t="str">
        <f>IFERROR(__xludf.DUMMYFUNCTION("""COMPUTED_VALUE"""),"10 AI Visibility Optimization Agencies in the United States for 2026")</f>
        <v>10 AI Visibility Optimization Agencies in the United States for 2026</v>
      </c>
      <c r="C552" s="10" t="str">
        <f>IFERROR(__xludf.DUMMYFUNCTION("""COMPUTED_VALUE"""),"barchart.com")</f>
        <v>barchart.com</v>
      </c>
      <c r="D552" s="11" t="str">
        <f>IFERROR(__xludf.DUMMYFUNCTION("""COMPUTED_VALUE"""),"LISTICLE")</f>
        <v>LISTICLE</v>
      </c>
      <c r="E552" s="11" t="str">
        <f>IFERROR(__xludf.DUMMYFUNCTION("""COMPUTED_VALUE"""),"REFERENCE")</f>
        <v>REFERENCE</v>
      </c>
      <c r="F552" s="11" t="str">
        <f>IFERROR(__xludf.DUMMYFUNCTION("""COMPUTED_VALUE"""),"Listicle")</f>
        <v>Listicle</v>
      </c>
      <c r="G552" s="11" t="b">
        <f>IFERROR(__xludf.DUMMYFUNCTION("""COMPUTED_VALUE"""),FALSE)</f>
        <v>0</v>
      </c>
      <c r="H552" s="11" t="str">
        <f>IFERROR(__xludf.DUMMYFUNCTION("""COMPUTED_VALUE"""),"Momentum, Searchbloom, Single Grain, Ignite Visibility, Omniscient Digital, Seer Interactive, Siege Media, iPullRank, McKinsey, QuantumBlack")</f>
        <v>Momentum, Searchbloom, Single Grain, Ignite Visibility, Omniscient Digital, Seer Interactive, Siege Media, iPullRank, McKinsey, QuantumBlack</v>
      </c>
      <c r="I552" s="11">
        <f>IFERROR(__xludf.DUMMYFUNCTION("""COMPUTED_VALUE"""),1.0)</f>
        <v>1</v>
      </c>
      <c r="J552" s="11">
        <f>IFERROR(__xludf.DUMMYFUNCTION("""COMPUTED_VALUE"""),0.0)</f>
        <v>0</v>
      </c>
      <c r="K552" s="11">
        <f>IFERROR(__xludf.DUMMYFUNCTION("""COMPUTED_VALUE"""),0.0)</f>
        <v>0</v>
      </c>
    </row>
    <row r="553" ht="15.75" customHeight="1">
      <c r="A553" s="10" t="str">
        <f>IFERROR(__xludf.DUMMYFUNCTION("""COMPUTED_VALUE"""),"https://www.barchart.com/story/news/1344974/designrush-unveils-april-2026-ranking-of-top-10-ppc-companies")</f>
        <v>https://www.barchart.com/story/news/1344974/designrush-unveils-april-2026-ranking-of-top-10-ppc-companies</v>
      </c>
      <c r="B553" s="11" t="str">
        <f>IFERROR(__xludf.DUMMYFUNCTION("""COMPUTED_VALUE"""),"DesignRush Unveils April 2026 Ranking of Top 10 PPC Companies")</f>
        <v>DesignRush Unveils April 2026 Ranking of Top 10 PPC Companies</v>
      </c>
      <c r="C553" s="10" t="str">
        <f>IFERROR(__xludf.DUMMYFUNCTION("""COMPUTED_VALUE"""),"barchart.com")</f>
        <v>barchart.com</v>
      </c>
      <c r="D553" s="11" t="str">
        <f>IFERROR(__xludf.DUMMYFUNCTION("""COMPUTED_VALUE"""),"LISTICLE")</f>
        <v>LISTICLE</v>
      </c>
      <c r="E553" s="11" t="str">
        <f>IFERROR(__xludf.DUMMYFUNCTION("""COMPUTED_VALUE"""),"REFERENCE")</f>
        <v>REFERENCE</v>
      </c>
      <c r="F553" s="11" t="str">
        <f>IFERROR(__xludf.DUMMYFUNCTION("""COMPUTED_VALUE"""),"Listicle")</f>
        <v>Listicle</v>
      </c>
      <c r="G553" s="11" t="b">
        <f>IFERROR(__xludf.DUMMYFUNCTION("""COMPUTED_VALUE"""),FALSE)</f>
        <v>0</v>
      </c>
      <c r="H553" s="11" t="str">
        <f>IFERROR(__xludf.DUMMYFUNCTION("""COMPUTED_VALUE"""),"Momentum, SmartSites, Searchbloom, Disruptive Advertising, Silverback Strategies, Intero Digital, Funnel Boost Media")</f>
        <v>Momentum, SmartSites, Searchbloom, Disruptive Advertising, Silverback Strategies, Intero Digital, Funnel Boost Media</v>
      </c>
      <c r="I553" s="11">
        <f>IFERROR(__xludf.DUMMYFUNCTION("""COMPUTED_VALUE"""),1.0)</f>
        <v>1</v>
      </c>
      <c r="J553" s="11">
        <f>IFERROR(__xludf.DUMMYFUNCTION("""COMPUTED_VALUE"""),0.0)</f>
        <v>0</v>
      </c>
      <c r="K553" s="11">
        <f>IFERROR(__xludf.DUMMYFUNCTION("""COMPUTED_VALUE"""),0.0)</f>
        <v>0</v>
      </c>
    </row>
    <row r="554" ht="15.75" customHeight="1">
      <c r="A554" s="10" t="str">
        <f>IFERROR(__xludf.DUMMYFUNCTION("""COMPUTED_VALUE"""),"https://beomniscient.com/blog/marketing-agencies/")</f>
        <v>https://beomniscient.com/blog/marketing-agencies/</v>
      </c>
      <c r="B554" s="11" t="str">
        <f>IFERROR(__xludf.DUMMYFUNCTION("""COMPUTED_VALUE"""),"The 6 Best Marketing Agencies in 2026 - Omniscient Digital")</f>
        <v>The 6 Best Marketing Agencies in 2026 - Omniscient Digital</v>
      </c>
      <c r="C554" s="10" t="str">
        <f>IFERROR(__xludf.DUMMYFUNCTION("""COMPUTED_VALUE"""),"beomniscient.com")</f>
        <v>beomniscient.com</v>
      </c>
      <c r="D554" s="11" t="str">
        <f>IFERROR(__xludf.DUMMYFUNCTION("""COMPUTED_VALUE"""),"LISTICLE")</f>
        <v>LISTICLE</v>
      </c>
      <c r="E554" s="11" t="str">
        <f>IFERROR(__xludf.DUMMYFUNCTION("""COMPUTED_VALUE"""),"COMPETITOR")</f>
        <v>COMPETITOR</v>
      </c>
      <c r="F554" s="11" t="str">
        <f>IFERROR(__xludf.DUMMYFUNCTION("""COMPUTED_VALUE"""),"Listicle")</f>
        <v>Listicle</v>
      </c>
      <c r="G554" s="11" t="b">
        <f>IFERROR(__xludf.DUMMYFUNCTION("""COMPUTED_VALUE"""),FALSE)</f>
        <v>0</v>
      </c>
      <c r="H554" s="11" t="str">
        <f>IFERROR(__xludf.DUMMYFUNCTION("""COMPUTED_VALUE"""),"Omniscient Digital, LYFE Marketing, Disruptive Advertising, NoGood")</f>
        <v>Omniscient Digital, LYFE Marketing, Disruptive Advertising, NoGood</v>
      </c>
      <c r="I554" s="11">
        <f>IFERROR(__xludf.DUMMYFUNCTION("""COMPUTED_VALUE"""),1.0)</f>
        <v>1</v>
      </c>
      <c r="J554" s="11">
        <f>IFERROR(__xludf.DUMMYFUNCTION("""COMPUTED_VALUE"""),0.0)</f>
        <v>0</v>
      </c>
      <c r="K554" s="11">
        <f>IFERROR(__xludf.DUMMYFUNCTION("""COMPUTED_VALUE"""),0.0)</f>
        <v>0</v>
      </c>
    </row>
    <row r="555" ht="15.75" customHeight="1">
      <c r="A555" s="10" t="str">
        <f>IFERROR(__xludf.DUMMYFUNCTION("""COMPUTED_VALUE"""),"https://blackthorn-vision.com/blog/top-10-seo-companies-in-the-usa/")</f>
        <v>https://blackthorn-vision.com/blog/top-10-seo-companies-in-the-usa/</v>
      </c>
      <c r="B555" s="11" t="str">
        <f>IFERROR(__xludf.DUMMYFUNCTION("""COMPUTED_VALUE"""),"Top 10 SEO Companies in the USA (2026) — Honest Reviews, Pricing &amp;amp; Comparison")</f>
        <v>Top 10 SEO Companies in the USA (2026) — Honest Reviews, Pricing &amp;amp; Comparison</v>
      </c>
      <c r="C555" s="10" t="str">
        <f>IFERROR(__xludf.DUMMYFUNCTION("""COMPUTED_VALUE"""),"blackthorn-vision.com")</f>
        <v>blackthorn-vision.com</v>
      </c>
      <c r="D555" s="11" t="str">
        <f>IFERROR(__xludf.DUMMYFUNCTION("""COMPUTED_VALUE"""),"LISTICLE")</f>
        <v>LISTICLE</v>
      </c>
      <c r="E555" s="11" t="str">
        <f>IFERROR(__xludf.DUMMYFUNCTION("""COMPUTED_VALUE"""),"CORPORATE")</f>
        <v>CORPORATE</v>
      </c>
      <c r="F555" s="11" t="str">
        <f>IFERROR(__xludf.DUMMYFUNCTION("""COMPUTED_VALUE"""),"Listicle")</f>
        <v>Listicle</v>
      </c>
      <c r="G555" s="11" t="b">
        <f>IFERROR(__xludf.DUMMYFUNCTION("""COMPUTED_VALUE"""),FALSE)</f>
        <v>0</v>
      </c>
      <c r="H555" s="11" t="str">
        <f>IFERROR(__xludf.DUMMYFUNCTION("""COMPUTED_VALUE"""),"WebFX, Victorious, NP Digital, Siege Media, Directive, Ignite Visibility, Thrive Internet Marketing Agency, SmartSites, Clutch")</f>
        <v>WebFX, Victorious, NP Digital, Siege Media, Directive, Ignite Visibility, Thrive Internet Marketing Agency, SmartSites, Clutch</v>
      </c>
      <c r="I555" s="11">
        <f>IFERROR(__xludf.DUMMYFUNCTION("""COMPUTED_VALUE"""),1.0)</f>
        <v>1</v>
      </c>
      <c r="J555" s="11">
        <f>IFERROR(__xludf.DUMMYFUNCTION("""COMPUTED_VALUE"""),0.0)</f>
        <v>0</v>
      </c>
      <c r="K555" s="11">
        <f>IFERROR(__xludf.DUMMYFUNCTION("""COMPUTED_VALUE"""),1.0)</f>
        <v>1</v>
      </c>
    </row>
    <row r="556" ht="15.75" customHeight="1">
      <c r="A556" s="10" t="str">
        <f>IFERROR(__xludf.DUMMYFUNCTION("""COMPUTED_VALUE"""),"https://blazonagency.com/post/top-ad-agencies")</f>
        <v>https://blazonagency.com/post/top-ad-agencies</v>
      </c>
      <c r="B556" s="11" t="str">
        <f>IFERROR(__xludf.DUMMYFUNCTION("""COMPUTED_VALUE"""),"Top Ad Agencies in 2026 — Who's Actually Delivering Results?")</f>
        <v>Top Ad Agencies in 2026 — Who's Actually Delivering Results?</v>
      </c>
      <c r="C556" s="10" t="str">
        <f>IFERROR(__xludf.DUMMYFUNCTION("""COMPUTED_VALUE"""),"blazonagency.com")</f>
        <v>blazonagency.com</v>
      </c>
      <c r="D556" s="11" t="str">
        <f>IFERROR(__xludf.DUMMYFUNCTION("""COMPUTED_VALUE"""),"LISTICLE")</f>
        <v>LISTICLE</v>
      </c>
      <c r="E556" s="11" t="str">
        <f>IFERROR(__xludf.DUMMYFUNCTION("""COMPUTED_VALUE"""),"CORPORATE")</f>
        <v>CORPORATE</v>
      </c>
      <c r="F556" s="11" t="str">
        <f>IFERROR(__xludf.DUMMYFUNCTION("""COMPUTED_VALUE"""),"Listicle")</f>
        <v>Listicle</v>
      </c>
      <c r="G556" s="11" t="b">
        <f>IFERROR(__xludf.DUMMYFUNCTION("""COMPUTED_VALUE"""),FALSE)</f>
        <v>0</v>
      </c>
      <c r="H556" s="11" t="str">
        <f>IFERROR(__xludf.DUMMYFUNCTION("""COMPUTED_VALUE"""),"Momentum, Anomaly, inBeat, R/GA, VaynerMedia")</f>
        <v>Momentum, Anomaly, inBeat, R/GA, VaynerMedia</v>
      </c>
      <c r="I556" s="11">
        <f>IFERROR(__xludf.DUMMYFUNCTION("""COMPUTED_VALUE"""),1.0)</f>
        <v>1</v>
      </c>
      <c r="J556" s="11">
        <f>IFERROR(__xludf.DUMMYFUNCTION("""COMPUTED_VALUE"""),0.0)</f>
        <v>0</v>
      </c>
      <c r="K556" s="11">
        <f>IFERROR(__xludf.DUMMYFUNCTION("""COMPUTED_VALUE"""),0.0)</f>
        <v>0</v>
      </c>
    </row>
    <row r="557" ht="15.75" customHeight="1">
      <c r="A557" s="10" t="str">
        <f>IFERROR(__xludf.DUMMYFUNCTION("""COMPUTED_VALUE"""),"https://www.blendb2b.com/resources/best-aeo-agencies-for-logistics-companies?hs_amp=true")</f>
        <v>https://www.blendb2b.com/resources/best-aeo-agencies-for-logistics-companies?hs_amp=true</v>
      </c>
      <c r="B557" s="11" t="str">
        <f>IFERROR(__xludf.DUMMYFUNCTION("""COMPUTED_VALUE"""),"The 6 best AEO agencies for logistics companies in 2026")</f>
        <v>The 6 best AEO agencies for logistics companies in 2026</v>
      </c>
      <c r="C557" s="10" t="str">
        <f>IFERROR(__xludf.DUMMYFUNCTION("""COMPUTED_VALUE"""),"blendb2b.com")</f>
        <v>blendb2b.com</v>
      </c>
      <c r="D557" s="11" t="str">
        <f>IFERROR(__xludf.DUMMYFUNCTION("""COMPUTED_VALUE"""),"LISTICLE")</f>
        <v>LISTICLE</v>
      </c>
      <c r="E557" s="11" t="str">
        <f>IFERROR(__xludf.DUMMYFUNCTION("""COMPUTED_VALUE"""),"CORPORATE")</f>
        <v>CORPORATE</v>
      </c>
      <c r="F557" s="11" t="str">
        <f>IFERROR(__xludf.DUMMYFUNCTION("""COMPUTED_VALUE"""),"Listicle")</f>
        <v>Listicle</v>
      </c>
      <c r="G557" s="11" t="b">
        <f>IFERROR(__xludf.DUMMYFUNCTION("""COMPUTED_VALUE"""),FALSE)</f>
        <v>0</v>
      </c>
      <c r="H557" s="11" t="str">
        <f>IFERROR(__xludf.DUMMYFUNCTION("""COMPUTED_VALUE"""),"RevenueZen, Omniscient Digital, NoGood, First Page Sage, Animalz")</f>
        <v>RevenueZen, Omniscient Digital, NoGood, First Page Sage, Animalz</v>
      </c>
      <c r="I557" s="11">
        <f>IFERROR(__xludf.DUMMYFUNCTION("""COMPUTED_VALUE"""),1.0)</f>
        <v>1</v>
      </c>
      <c r="J557" s="11">
        <f>IFERROR(__xludf.DUMMYFUNCTION("""COMPUTED_VALUE"""),0.0)</f>
        <v>0</v>
      </c>
      <c r="K557" s="11">
        <f>IFERROR(__xludf.DUMMYFUNCTION("""COMPUTED_VALUE"""),0.0)</f>
        <v>0</v>
      </c>
    </row>
    <row r="558" ht="15.75" customHeight="1">
      <c r="A558" s="10" t="str">
        <f>IFERROR(__xludf.DUMMYFUNCTION("""COMPUTED_VALUE"""),"https://blog.brandburp.com/10-best-digital-marketing-agencies-in-new-york/")</f>
        <v>https://blog.brandburp.com/10-best-digital-marketing-agencies-in-new-york/</v>
      </c>
      <c r="B558" s="11" t="str">
        <f>IFERROR(__xludf.DUMMYFUNCTION("""COMPUTED_VALUE"""),"10 Best Digital Marketing Agencies in New York")</f>
        <v>10 Best Digital Marketing Agencies in New York</v>
      </c>
      <c r="C558" s="10" t="str">
        <f>IFERROR(__xludf.DUMMYFUNCTION("""COMPUTED_VALUE"""),"brandburp.com")</f>
        <v>brandburp.com</v>
      </c>
      <c r="D558" s="11" t="str">
        <f>IFERROR(__xludf.DUMMYFUNCTION("""COMPUTED_VALUE"""),"LISTICLE")</f>
        <v>LISTICLE</v>
      </c>
      <c r="E558" s="11" t="str">
        <f>IFERROR(__xludf.DUMMYFUNCTION("""COMPUTED_VALUE"""),"CORPORATE")</f>
        <v>CORPORATE</v>
      </c>
      <c r="F558" s="11" t="str">
        <f>IFERROR(__xludf.DUMMYFUNCTION("""COMPUTED_VALUE"""),"Listicle")</f>
        <v>Listicle</v>
      </c>
      <c r="G558" s="11" t="b">
        <f>IFERROR(__xludf.DUMMYFUNCTION("""COMPUTED_VALUE"""),FALSE)</f>
        <v>0</v>
      </c>
      <c r="H558" s="11" t="str">
        <f>IFERROR(__xludf.DUMMYFUNCTION("""COMPUTED_VALUE"""),"NoGood, Wpromote, SmartSites, Thrive Internet Marketing Agency, Disruptive Advertising, WebFX, Darkroom")</f>
        <v>NoGood, Wpromote, SmartSites, Thrive Internet Marketing Agency, Disruptive Advertising, WebFX, Darkroom</v>
      </c>
      <c r="I558" s="11">
        <f>IFERROR(__xludf.DUMMYFUNCTION("""COMPUTED_VALUE"""),1.0)</f>
        <v>1</v>
      </c>
      <c r="J558" s="11">
        <f>IFERROR(__xludf.DUMMYFUNCTION("""COMPUTED_VALUE"""),0.0)</f>
        <v>0</v>
      </c>
      <c r="K558" s="11">
        <f>IFERROR(__xludf.DUMMYFUNCTION("""COMPUTED_VALUE"""),0.0)</f>
        <v>0</v>
      </c>
    </row>
    <row r="559" ht="15.75" customHeight="1">
      <c r="A559" s="10" t="str">
        <f>IFERROR(__xludf.DUMMYFUNCTION("""COMPUTED_VALUE"""),"https://www.blog.udonis.co/top-agencies/marketing-consulting-firms")</f>
        <v>https://www.blog.udonis.co/top-agencies/marketing-consulting-firms</v>
      </c>
      <c r="B559" s="11" t="str">
        <f>IFERROR(__xludf.DUMMYFUNCTION("""COMPUTED_VALUE"""),"18 Best Marketing Consulting Firms to Hire in 2026")</f>
        <v>18 Best Marketing Consulting Firms to Hire in 2026</v>
      </c>
      <c r="C559" s="10" t="str">
        <f>IFERROR(__xludf.DUMMYFUNCTION("""COMPUTED_VALUE"""),"udonis.co")</f>
        <v>udonis.co</v>
      </c>
      <c r="D559" s="11" t="str">
        <f>IFERROR(__xludf.DUMMYFUNCTION("""COMPUTED_VALUE"""),"LISTICLE")</f>
        <v>LISTICLE</v>
      </c>
      <c r="E559" s="11" t="str">
        <f>IFERROR(__xludf.DUMMYFUNCTION("""COMPUTED_VALUE"""),"CORPORATE")</f>
        <v>CORPORATE</v>
      </c>
      <c r="F559" s="11" t="str">
        <f>IFERROR(__xludf.DUMMYFUNCTION("""COMPUTED_VALUE"""),"Listicle")</f>
        <v>Listicle</v>
      </c>
      <c r="G559" s="11" t="b">
        <f>IFERROR(__xludf.DUMMYFUNCTION("""COMPUTED_VALUE"""),FALSE)</f>
        <v>0</v>
      </c>
      <c r="H559" s="11" t="str">
        <f>IFERROR(__xludf.DUMMYFUNCTION("""COMPUTED_VALUE"""),"Accenture Song, Deloitte Digital, McKinsey, BCG, Bain &amp; Company, Ogilvy, Slalom, Monks, Wpromote, R/GA, IBM, TransUnion")</f>
        <v>Accenture Song, Deloitte Digital, McKinsey, BCG, Bain &amp; Company, Ogilvy, Slalom, Monks, Wpromote, R/GA, IBM, TransUnion</v>
      </c>
      <c r="I559" s="11">
        <f>IFERROR(__xludf.DUMMYFUNCTION("""COMPUTED_VALUE"""),1.0)</f>
        <v>1</v>
      </c>
      <c r="J559" s="11">
        <f>IFERROR(__xludf.DUMMYFUNCTION("""COMPUTED_VALUE"""),0.0)</f>
        <v>0</v>
      </c>
      <c r="K559" s="11">
        <f>IFERROR(__xludf.DUMMYFUNCTION("""COMPUTED_VALUE"""),0.0)</f>
        <v>0</v>
      </c>
    </row>
    <row r="560" ht="15.75" customHeight="1">
      <c r="A560" s="10" t="str">
        <f>IFERROR(__xludf.DUMMYFUNCTION("""COMPUTED_VALUE"""),"https://www.bolderagency.com/journal/startup-branding-agency-guide-2026-best-us-agencies-for-strategic-brand-building")</f>
        <v>https://www.bolderagency.com/journal/startup-branding-agency-guide-2026-best-us-agencies-for-strategic-brand-building</v>
      </c>
      <c r="B560" s="11" t="str">
        <f>IFERROR(__xludf.DUMMYFUNCTION("""COMPUTED_VALUE"""),"Startup branding agency guide: best USA agencies for strategic brand building")</f>
        <v>Startup branding agency guide: best USA agencies for strategic brand building</v>
      </c>
      <c r="C560" s="10" t="str">
        <f>IFERROR(__xludf.DUMMYFUNCTION("""COMPUTED_VALUE"""),"bolderagency.com")</f>
        <v>bolderagency.com</v>
      </c>
      <c r="D560" s="11" t="str">
        <f>IFERROR(__xludf.DUMMYFUNCTION("""COMPUTED_VALUE"""),"LISTICLE")</f>
        <v>LISTICLE</v>
      </c>
      <c r="E560" s="11" t="str">
        <f>IFERROR(__xludf.DUMMYFUNCTION("""COMPUTED_VALUE"""),"CORPORATE")</f>
        <v>CORPORATE</v>
      </c>
      <c r="F560" s="11" t="str">
        <f>IFERROR(__xludf.DUMMYFUNCTION("""COMPUTED_VALUE"""),"Listicle")</f>
        <v>Listicle</v>
      </c>
      <c r="G560" s="11" t="b">
        <f>IFERROR(__xludf.DUMMYFUNCTION("""COMPUTED_VALUE"""),FALSE)</f>
        <v>0</v>
      </c>
      <c r="H560" s="11" t="str">
        <f>IFERROR(__xludf.DUMMYFUNCTION("""COMPUTED_VALUE"""),"Pentagram, Clay, Wolff Olins, Clutch")</f>
        <v>Pentagram, Clay, Wolff Olins, Clutch</v>
      </c>
      <c r="I560" s="11">
        <f>IFERROR(__xludf.DUMMYFUNCTION("""COMPUTED_VALUE"""),1.0)</f>
        <v>1</v>
      </c>
      <c r="J560" s="11">
        <f>IFERROR(__xludf.DUMMYFUNCTION("""COMPUTED_VALUE"""),0.0)</f>
        <v>0</v>
      </c>
      <c r="K560" s="11">
        <f>IFERROR(__xludf.DUMMYFUNCTION("""COMPUTED_VALUE"""),0.0)</f>
        <v>0</v>
      </c>
    </row>
    <row r="561" ht="15.75" customHeight="1">
      <c r="A561" s="10" t="str">
        <f>IFERROR(__xludf.DUMMYFUNCTION("""COMPUTED_VALUE"""),"https://www.brandedagency.com/blog/top-digital-marketing-agencies")</f>
        <v>https://www.brandedagency.com/blog/top-digital-marketing-agencies</v>
      </c>
      <c r="B561" s="11" t="str">
        <f>IFERROR(__xludf.DUMMYFUNCTION("""COMPUTED_VALUE"""),"Best Digital Marketing Agencies for Growth in 2026")</f>
        <v>Best Digital Marketing Agencies for Growth in 2026</v>
      </c>
      <c r="C561" s="10" t="str">
        <f>IFERROR(__xludf.DUMMYFUNCTION("""COMPUTED_VALUE"""),"brandedagency.com")</f>
        <v>brandedagency.com</v>
      </c>
      <c r="D561" s="11" t="str">
        <f>IFERROR(__xludf.DUMMYFUNCTION("""COMPUTED_VALUE"""),"LISTICLE")</f>
        <v>LISTICLE</v>
      </c>
      <c r="E561" s="11" t="str">
        <f>IFERROR(__xludf.DUMMYFUNCTION("""COMPUTED_VALUE"""),"CORPORATE")</f>
        <v>CORPORATE</v>
      </c>
      <c r="F561" s="11" t="str">
        <f>IFERROR(__xludf.DUMMYFUNCTION("""COMPUTED_VALUE"""),"Listicle")</f>
        <v>Listicle</v>
      </c>
      <c r="G561" s="11" t="b">
        <f>IFERROR(__xludf.DUMMYFUNCTION("""COMPUTED_VALUE"""),FALSE)</f>
        <v>0</v>
      </c>
      <c r="H561" s="11" t="str">
        <f>IFERROR(__xludf.DUMMYFUNCTION("""COMPUTED_VALUE"""),"Measured, Clutch, WebFX, Thrive Internet Marketing Agency, LYFE Marketing, Ignite Visibility, NinjaPromo")</f>
        <v>Measured, Clutch, WebFX, Thrive Internet Marketing Agency, LYFE Marketing, Ignite Visibility, NinjaPromo</v>
      </c>
      <c r="I561" s="11">
        <f>IFERROR(__xludf.DUMMYFUNCTION("""COMPUTED_VALUE"""),1.0)</f>
        <v>1</v>
      </c>
      <c r="J561" s="11">
        <f>IFERROR(__xludf.DUMMYFUNCTION("""COMPUTED_VALUE"""),0.0)</f>
        <v>0</v>
      </c>
      <c r="K561" s="11">
        <f>IFERROR(__xludf.DUMMYFUNCTION("""COMPUTED_VALUE"""),1.0)</f>
        <v>1</v>
      </c>
    </row>
    <row r="562" ht="15.75" customHeight="1">
      <c r="A562" s="10" t="str">
        <f>IFERROR(__xludf.DUMMYFUNCTION("""COMPUTED_VALUE"""),"https://www.breakingb2b.com/blog/best-aeo-agency")</f>
        <v>https://www.breakingb2b.com/blog/best-aeo-agency</v>
      </c>
      <c r="B562" s="11" t="str">
        <f>IFERROR(__xludf.DUMMYFUNCTION("""COMPUTED_VALUE"""),"Best AEO Agency: Our Top 11 Picks for 2026")</f>
        <v>Best AEO Agency: Our Top 11 Picks for 2026</v>
      </c>
      <c r="C562" s="10" t="str">
        <f>IFERROR(__xludf.DUMMYFUNCTION("""COMPUTED_VALUE"""),"breakingb2b.com")</f>
        <v>breakingb2b.com</v>
      </c>
      <c r="D562" s="11" t="str">
        <f>IFERROR(__xludf.DUMMYFUNCTION("""COMPUTED_VALUE"""),"LISTICLE")</f>
        <v>LISTICLE</v>
      </c>
      <c r="E562" s="11" t="str">
        <f>IFERROR(__xludf.DUMMYFUNCTION("""COMPUTED_VALUE"""),"CORPORATE")</f>
        <v>CORPORATE</v>
      </c>
      <c r="F562" s="11" t="str">
        <f>IFERROR(__xludf.DUMMYFUNCTION("""COMPUTED_VALUE"""),"Listicle")</f>
        <v>Listicle</v>
      </c>
      <c r="G562" s="11" t="b">
        <f>IFERROR(__xludf.DUMMYFUNCTION("""COMPUTED_VALUE"""),FALSE)</f>
        <v>0</v>
      </c>
      <c r="H562" s="11" t="str">
        <f>IFERROR(__xludf.DUMMYFUNCTION("""COMPUTED_VALUE"""),"Omniscient Digital, Animalz, Siege Media, First Page Sage, NoGood, RevenueZen, Measured")</f>
        <v>Omniscient Digital, Animalz, Siege Media, First Page Sage, NoGood, RevenueZen, Measured</v>
      </c>
      <c r="I562" s="11">
        <f>IFERROR(__xludf.DUMMYFUNCTION("""COMPUTED_VALUE"""),1.0)</f>
        <v>1</v>
      </c>
      <c r="J562" s="11">
        <f>IFERROR(__xludf.DUMMYFUNCTION("""COMPUTED_VALUE"""),0.0)</f>
        <v>0</v>
      </c>
      <c r="K562" s="11">
        <f>IFERROR(__xludf.DUMMYFUNCTION("""COMPUTED_VALUE"""),0.0)</f>
        <v>0</v>
      </c>
    </row>
    <row r="563" ht="15.75" customHeight="1">
      <c r="A563" s="10" t="str">
        <f>IFERROR(__xludf.DUMMYFUNCTION("""COMPUTED_VALUE"""),"https://brillmedia.co/locations/best-ad-agencies-in-california/")</f>
        <v>https://brillmedia.co/locations/best-ad-agencies-in-california/</v>
      </c>
      <c r="B563" s="11" t="str">
        <f>IFERROR(__xludf.DUMMYFUNCTION("""COMPUTED_VALUE"""),"Best Ad Agencies in California | Brill Media")</f>
        <v>Best Ad Agencies in California | Brill Media</v>
      </c>
      <c r="C563" s="10" t="str">
        <f>IFERROR(__xludf.DUMMYFUNCTION("""COMPUTED_VALUE"""),"brillmedia.co")</f>
        <v>brillmedia.co</v>
      </c>
      <c r="D563" s="11" t="str">
        <f>IFERROR(__xludf.DUMMYFUNCTION("""COMPUTED_VALUE"""),"LISTICLE")</f>
        <v>LISTICLE</v>
      </c>
      <c r="E563" s="11" t="str">
        <f>IFERROR(__xludf.DUMMYFUNCTION("""COMPUTED_VALUE"""),"CORPORATE")</f>
        <v>CORPORATE</v>
      </c>
      <c r="F563" s="11" t="str">
        <f>IFERROR(__xludf.DUMMYFUNCTION("""COMPUTED_VALUE"""),"Listicle")</f>
        <v>Listicle</v>
      </c>
      <c r="G563" s="11" t="b">
        <f>IFERROR(__xludf.DUMMYFUNCTION("""COMPUTED_VALUE"""),FALSE)</f>
        <v>0</v>
      </c>
      <c r="H563" s="11" t="str">
        <f>IFERROR(__xludf.DUMMYFUNCTION("""COMPUTED_VALUE"""),"KlientBoost")</f>
        <v>KlientBoost</v>
      </c>
      <c r="I563" s="11">
        <f>IFERROR(__xludf.DUMMYFUNCTION("""COMPUTED_VALUE"""),1.0)</f>
        <v>1</v>
      </c>
      <c r="J563" s="11">
        <f>IFERROR(__xludf.DUMMYFUNCTION("""COMPUTED_VALUE"""),0.0)</f>
        <v>0</v>
      </c>
      <c r="K563" s="11">
        <f>IFERROR(__xludf.DUMMYFUNCTION("""COMPUTED_VALUE"""),1.0)</f>
        <v>1</v>
      </c>
    </row>
    <row r="564" ht="15.75" customHeight="1">
      <c r="A564" s="10" t="str">
        <f>IFERROR(__xludf.DUMMYFUNCTION("""COMPUTED_VALUE"""),"https://brillmedia.co/resources/best-bing-ads-agencies/")</f>
        <v>https://brillmedia.co/resources/best-bing-ads-agencies/</v>
      </c>
      <c r="B564" s="11" t="str">
        <f>IFERROR(__xludf.DUMMYFUNCTION("""COMPUTED_VALUE"""),"Best Bing Ads Agencies | Bing PPC Management Agency")</f>
        <v>Best Bing Ads Agencies | Bing PPC Management Agency</v>
      </c>
      <c r="C564" s="10" t="str">
        <f>IFERROR(__xludf.DUMMYFUNCTION("""COMPUTED_VALUE"""),"brillmedia.co")</f>
        <v>brillmedia.co</v>
      </c>
      <c r="D564" s="11" t="str">
        <f>IFERROR(__xludf.DUMMYFUNCTION("""COMPUTED_VALUE"""),"LISTICLE")</f>
        <v>LISTICLE</v>
      </c>
      <c r="E564" s="11" t="str">
        <f>IFERROR(__xludf.DUMMYFUNCTION("""COMPUTED_VALUE"""),"CORPORATE")</f>
        <v>CORPORATE</v>
      </c>
      <c r="F564" s="11" t="str">
        <f>IFERROR(__xludf.DUMMYFUNCTION("""COMPUTED_VALUE"""),"Listicle")</f>
        <v>Listicle</v>
      </c>
      <c r="G564" s="11" t="b">
        <f>IFERROR(__xludf.DUMMYFUNCTION("""COMPUTED_VALUE"""),FALSE)</f>
        <v>0</v>
      </c>
      <c r="H564" s="11" t="str">
        <f>IFERROR(__xludf.DUMMYFUNCTION("""COMPUTED_VALUE"""),"AdVenture Media, NinjaPromo, Thrive Internet Marketing Agency, Disruptive Advertising")</f>
        <v>AdVenture Media, NinjaPromo, Thrive Internet Marketing Agency, Disruptive Advertising</v>
      </c>
      <c r="I564" s="11">
        <f>IFERROR(__xludf.DUMMYFUNCTION("""COMPUTED_VALUE"""),1.0)</f>
        <v>1</v>
      </c>
      <c r="J564" s="11">
        <f>IFERROR(__xludf.DUMMYFUNCTION("""COMPUTED_VALUE"""),0.0)</f>
        <v>0</v>
      </c>
      <c r="K564" s="11">
        <f>IFERROR(__xludf.DUMMYFUNCTION("""COMPUTED_VALUE"""),1.0)</f>
        <v>1</v>
      </c>
    </row>
    <row r="565" ht="15.75" customHeight="1">
      <c r="A565" s="10" t="str">
        <f>IFERROR(__xludf.DUMMYFUNCTION("""COMPUTED_VALUE"""),"https://www.builtincolorado.com/articles/consulting-firms-colorado")</f>
        <v>https://www.builtincolorado.com/articles/consulting-firms-colorado</v>
      </c>
      <c r="B565" s="11" t="str">
        <f>IFERROR(__xludf.DUMMYFUNCTION("""COMPUTED_VALUE"""),"14 Top Colorado Consulting Firms | Built In Colorado")</f>
        <v>14 Top Colorado Consulting Firms | Built In Colorado</v>
      </c>
      <c r="C565" s="10" t="str">
        <f>IFERROR(__xludf.DUMMYFUNCTION("""COMPUTED_VALUE"""),"builtincolorado.com")</f>
        <v>builtincolorado.com</v>
      </c>
      <c r="D565" s="11" t="str">
        <f>IFERROR(__xludf.DUMMYFUNCTION("""COMPUTED_VALUE"""),"LISTICLE")</f>
        <v>LISTICLE</v>
      </c>
      <c r="E565" s="11" t="str">
        <f>IFERROR(__xludf.DUMMYFUNCTION("""COMPUTED_VALUE"""),"EDITORIAL")</f>
        <v>EDITORIAL</v>
      </c>
      <c r="F565" s="11" t="str">
        <f>IFERROR(__xludf.DUMMYFUNCTION("""COMPUTED_VALUE"""),"Listicle")</f>
        <v>Listicle</v>
      </c>
      <c r="G565" s="11" t="b">
        <f>IFERROR(__xludf.DUMMYFUNCTION("""COMPUTED_VALUE"""),FALSE)</f>
        <v>0</v>
      </c>
      <c r="H565" s="11" t="str">
        <f>IFERROR(__xludf.DUMMYFUNCTION("""COMPUTED_VALUE"""),"Adswerve")</f>
        <v>Adswerve</v>
      </c>
      <c r="I565" s="11">
        <f>IFERROR(__xludf.DUMMYFUNCTION("""COMPUTED_VALUE"""),1.0)</f>
        <v>1</v>
      </c>
      <c r="J565" s="11">
        <f>IFERROR(__xludf.DUMMYFUNCTION("""COMPUTED_VALUE"""),0.0)</f>
        <v>0</v>
      </c>
      <c r="K565" s="11">
        <f>IFERROR(__xludf.DUMMYFUNCTION("""COMPUTED_VALUE"""),1.0)</f>
        <v>1</v>
      </c>
    </row>
    <row r="566" ht="15.75" customHeight="1">
      <c r="A566" s="10" t="str">
        <f>IFERROR(__xludf.DUMMYFUNCTION("""COMPUTED_VALUE"""),"https://c3digitus.com/blog/top-digital-marketing-agencies-usa/")</f>
        <v>https://c3digitus.com/blog/top-digital-marketing-agencies-usa/</v>
      </c>
      <c r="B566" s="11" t="str">
        <f>IFERROR(__xludf.DUMMYFUNCTION("""COMPUTED_VALUE"""),"Top 10 Digital Marketing Agencies for Growth in the USA")</f>
        <v>Top 10 Digital Marketing Agencies for Growth in the USA</v>
      </c>
      <c r="C566" s="10" t="str">
        <f>IFERROR(__xludf.DUMMYFUNCTION("""COMPUTED_VALUE"""),"c3digitus.com")</f>
        <v>c3digitus.com</v>
      </c>
      <c r="D566" s="11" t="str">
        <f>IFERROR(__xludf.DUMMYFUNCTION("""COMPUTED_VALUE"""),"LISTICLE")</f>
        <v>LISTICLE</v>
      </c>
      <c r="E566" s="11" t="str">
        <f>IFERROR(__xludf.DUMMYFUNCTION("""COMPUTED_VALUE"""),"CORPORATE")</f>
        <v>CORPORATE</v>
      </c>
      <c r="F566" s="11" t="str">
        <f>IFERROR(__xludf.DUMMYFUNCTION("""COMPUTED_VALUE"""),"Listicle")</f>
        <v>Listicle</v>
      </c>
      <c r="G566" s="11" t="b">
        <f>IFERROR(__xludf.DUMMYFUNCTION("""COMPUTED_VALUE"""),FALSE)</f>
        <v>0</v>
      </c>
      <c r="H566" s="11" t="str">
        <f>IFERROR(__xludf.DUMMYFUNCTION("""COMPUTED_VALUE"""),"WebFX, SmartSites, Ignite Visibility, Disruptive Advertising, NP Digital, Power Digital, KlientBoost, Clutch, IBM")</f>
        <v>WebFX, SmartSites, Ignite Visibility, Disruptive Advertising, NP Digital, Power Digital, KlientBoost, Clutch, IBM</v>
      </c>
      <c r="I566" s="11">
        <f>IFERROR(__xludf.DUMMYFUNCTION("""COMPUTED_VALUE"""),1.0)</f>
        <v>1</v>
      </c>
      <c r="J566" s="11">
        <f>IFERROR(__xludf.DUMMYFUNCTION("""COMPUTED_VALUE"""),0.0)</f>
        <v>0</v>
      </c>
      <c r="K566" s="11">
        <f>IFERROR(__xludf.DUMMYFUNCTION("""COMPUTED_VALUE"""),0.0)</f>
        <v>0</v>
      </c>
    </row>
    <row r="567" ht="15.75" customHeight="1">
      <c r="A567" s="10" t="str">
        <f>IFERROR(__xludf.DUMMYFUNCTION("""COMPUTED_VALUE"""),"https://cabinco.com/best-ai-consulting-firms/")</f>
        <v>https://cabinco.com/best-ai-consulting-firms/</v>
      </c>
      <c r="B567" s="11" t="str">
        <f>IFERROR(__xludf.DUMMYFUNCTION("""COMPUTED_VALUE"""),"Best AI Consulting Firms 2026: Giants vs Boutiques")</f>
        <v>Best AI Consulting Firms 2026: Giants vs Boutiques</v>
      </c>
      <c r="C567" s="10" t="str">
        <f>IFERROR(__xludf.DUMMYFUNCTION("""COMPUTED_VALUE"""),"cabinco.com")</f>
        <v>cabinco.com</v>
      </c>
      <c r="D567" s="11" t="str">
        <f>IFERROR(__xludf.DUMMYFUNCTION("""COMPUTED_VALUE"""),"LISTICLE")</f>
        <v>LISTICLE</v>
      </c>
      <c r="E567" s="11" t="str">
        <f>IFERROR(__xludf.DUMMYFUNCTION("""COMPUTED_VALUE"""),"CORPORATE")</f>
        <v>CORPORATE</v>
      </c>
      <c r="F567" s="11" t="str">
        <f>IFERROR(__xludf.DUMMYFUNCTION("""COMPUTED_VALUE"""),"Listicle")</f>
        <v>Listicle</v>
      </c>
      <c r="G567" s="11" t="b">
        <f>IFERROR(__xludf.DUMMYFUNCTION("""COMPUTED_VALUE"""),FALSE)</f>
        <v>0</v>
      </c>
      <c r="H567" s="11" t="str">
        <f>IFERROR(__xludf.DUMMYFUNCTION("""COMPUTED_VALUE"""),"McKinsey, QuantumBlack, IBM, BCG, Clutch, PwC")</f>
        <v>McKinsey, QuantumBlack, IBM, BCG, Clutch, PwC</v>
      </c>
      <c r="I567" s="11">
        <f>IFERROR(__xludf.DUMMYFUNCTION("""COMPUTED_VALUE"""),1.0)</f>
        <v>1</v>
      </c>
      <c r="J567" s="11">
        <f>IFERROR(__xludf.DUMMYFUNCTION("""COMPUTED_VALUE"""),0.0)</f>
        <v>0</v>
      </c>
      <c r="K567" s="11">
        <f>IFERROR(__xludf.DUMMYFUNCTION("""COMPUTED_VALUE"""),1.0)</f>
        <v>1</v>
      </c>
    </row>
    <row r="568" ht="15.75" customHeight="1">
      <c r="A568" s="10" t="str">
        <f>IFERROR(__xludf.DUMMYFUNCTION("""COMPUTED_VALUE"""),"https://www.callboxinc.com/growth-hacking/multichannel-marketing-agencies/")</f>
        <v>https://www.callboxinc.com/growth-hacking/multichannel-marketing-agencies/</v>
      </c>
      <c r="B568" s="11" t="str">
        <f>IFERROR(__xludf.DUMMYFUNCTION("""COMPUTED_VALUE"""),"7 Multichannel Marketing Agencies You Should Know")</f>
        <v>7 Multichannel Marketing Agencies You Should Know</v>
      </c>
      <c r="C568" s="10" t="str">
        <f>IFERROR(__xludf.DUMMYFUNCTION("""COMPUTED_VALUE"""),"callboxinc.com")</f>
        <v>callboxinc.com</v>
      </c>
      <c r="D568" s="11" t="str">
        <f>IFERROR(__xludf.DUMMYFUNCTION("""COMPUTED_VALUE"""),"LISTICLE")</f>
        <v>LISTICLE</v>
      </c>
      <c r="E568" s="11" t="str">
        <f>IFERROR(__xludf.DUMMYFUNCTION("""COMPUTED_VALUE"""),"CORPORATE")</f>
        <v>CORPORATE</v>
      </c>
      <c r="F568" s="11" t="str">
        <f>IFERROR(__xludf.DUMMYFUNCTION("""COMPUTED_VALUE"""),"Listicle")</f>
        <v>Listicle</v>
      </c>
      <c r="G568" s="11" t="b">
        <f>IFERROR(__xludf.DUMMYFUNCTION("""COMPUTED_VALUE"""),FALSE)</f>
        <v>0</v>
      </c>
      <c r="H568" s="11" t="str">
        <f>IFERROR(__xludf.DUMMYFUNCTION("""COMPUTED_VALUE"""),"Measured, NP Digital, Tinuiti, WebFX, Single Grain, Disruptive Advertising")</f>
        <v>Measured, NP Digital, Tinuiti, WebFX, Single Grain, Disruptive Advertising</v>
      </c>
      <c r="I568" s="11">
        <f>IFERROR(__xludf.DUMMYFUNCTION("""COMPUTED_VALUE"""),1.0)</f>
        <v>1</v>
      </c>
      <c r="J568" s="11">
        <f>IFERROR(__xludf.DUMMYFUNCTION("""COMPUTED_VALUE"""),0.0)</f>
        <v>0</v>
      </c>
      <c r="K568" s="11">
        <f>IFERROR(__xludf.DUMMYFUNCTION("""COMPUTED_VALUE"""),1.0)</f>
        <v>1</v>
      </c>
    </row>
    <row r="569" ht="15.75" customHeight="1">
      <c r="A569" s="10" t="str">
        <f>IFERROR(__xludf.DUMMYFUNCTION("""COMPUTED_VALUE"""),"https://www.callboxinc.com/lead-generation/business-to-business-marketing-companies/#:~:text=Services%3A%20Appointment%20setting%20%C2%B7%20Account%2Dbased%20marketing%20%C2%B7,SaaS%20marketing%20%C2%B7%20SEO.%20%2D%20Refine%20Labs.")</f>
        <v>https://www.callboxinc.com/lead-generation/business-to-business-marketing-companies/#:~:text=Services%3A%20Appointment%20setting%20%C2%B7%20Account%2Dbased%20marketing%20%C2%B7,SaaS%20marketing%20%C2%B7%20SEO.%20%2D%20Refine%20Labs.</v>
      </c>
      <c r="B569" s="11" t="str">
        <f>IFERROR(__xludf.DUMMYFUNCTION("""COMPUTED_VALUE"""),"Top B2B Marketing Companies in 2026 | Callbox")</f>
        <v>Top B2B Marketing Companies in 2026 | Callbox</v>
      </c>
      <c r="C569" s="10" t="str">
        <f>IFERROR(__xludf.DUMMYFUNCTION("""COMPUTED_VALUE"""),"callboxinc.com")</f>
        <v>callboxinc.com</v>
      </c>
      <c r="D569" s="11" t="str">
        <f>IFERROR(__xludf.DUMMYFUNCTION("""COMPUTED_VALUE"""),"LISTICLE")</f>
        <v>LISTICLE</v>
      </c>
      <c r="E569" s="11" t="str">
        <f>IFERROR(__xludf.DUMMYFUNCTION("""COMPUTED_VALUE"""),"CORPORATE")</f>
        <v>CORPORATE</v>
      </c>
      <c r="F569" s="11" t="str">
        <f>IFERROR(__xludf.DUMMYFUNCTION("""COMPUTED_VALUE"""),"Listicle")</f>
        <v>Listicle</v>
      </c>
      <c r="G569" s="11" t="b">
        <f>IFERROR(__xludf.DUMMYFUNCTION("""COMPUTED_VALUE"""),FALSE)</f>
        <v>0</v>
      </c>
      <c r="H569" s="11" t="str">
        <f>IFERROR(__xludf.DUMMYFUNCTION("""COMPUTED_VALUE"""),"Directive, Refine Labs, Siege Media")</f>
        <v>Directive, Refine Labs, Siege Media</v>
      </c>
      <c r="I569" s="11">
        <f>IFERROR(__xludf.DUMMYFUNCTION("""COMPUTED_VALUE"""),1.0)</f>
        <v>1</v>
      </c>
      <c r="J569" s="11">
        <f>IFERROR(__xludf.DUMMYFUNCTION("""COMPUTED_VALUE"""),0.0)</f>
        <v>0</v>
      </c>
      <c r="K569" s="11">
        <f>IFERROR(__xludf.DUMMYFUNCTION("""COMPUTED_VALUE"""),1.0)</f>
        <v>1</v>
      </c>
    </row>
    <row r="570" ht="15.75" customHeight="1">
      <c r="A570" s="10" t="str">
        <f>IFERROR(__xludf.DUMMYFUNCTION("""COMPUTED_VALUE"""),"https://www.campaignlive.com/article/horizon-media-tops-preliminary-2025-indie-media-league/1949516")</f>
        <v>https://www.campaignlive.com/article/horizon-media-tops-preliminary-2025-indie-media-league/1949516</v>
      </c>
      <c r="B570" s="11" t="str">
        <f>IFERROR(__xludf.DUMMYFUNCTION("""COMPUTED_VALUE"""),"Horizon Media tops preliminary 2025 indie media agency rankings \| Campaign US")</f>
        <v>Horizon Media tops preliminary 2025 indie media agency rankings \| Campaign US</v>
      </c>
      <c r="C570" s="10" t="str">
        <f>IFERROR(__xludf.DUMMYFUNCTION("""COMPUTED_VALUE"""),"campaignlive.com")</f>
        <v>campaignlive.com</v>
      </c>
      <c r="D570" s="11" t="str">
        <f>IFERROR(__xludf.DUMMYFUNCTION("""COMPUTED_VALUE"""),"LISTICLE")</f>
        <v>LISTICLE</v>
      </c>
      <c r="E570" s="11" t="str">
        <f>IFERROR(__xludf.DUMMYFUNCTION("""COMPUTED_VALUE"""),"EDITORIAL")</f>
        <v>EDITORIAL</v>
      </c>
      <c r="F570" s="11" t="str">
        <f>IFERROR(__xludf.DUMMYFUNCTION("""COMPUTED_VALUE"""),"Listicle")</f>
        <v>Listicle</v>
      </c>
      <c r="G570" s="11" t="b">
        <f>IFERROR(__xludf.DUMMYFUNCTION("""COMPUTED_VALUE"""),FALSE)</f>
        <v>0</v>
      </c>
      <c r="H570" s="11" t="str">
        <f>IFERROR(__xludf.DUMMYFUNCTION("""COMPUTED_VALUE"""),"Horizon Media, Brainlabs, VaynerMedia")</f>
        <v>Horizon Media, Brainlabs, VaynerMedia</v>
      </c>
      <c r="I570" s="11">
        <f>IFERROR(__xludf.DUMMYFUNCTION("""COMPUTED_VALUE"""),1.0)</f>
        <v>1</v>
      </c>
      <c r="J570" s="11">
        <f>IFERROR(__xludf.DUMMYFUNCTION("""COMPUTED_VALUE"""),0.0)</f>
        <v>0</v>
      </c>
      <c r="K570" s="11">
        <f>IFERROR(__xludf.DUMMYFUNCTION("""COMPUTED_VALUE"""),0.0)</f>
        <v>0</v>
      </c>
    </row>
    <row r="571" ht="15.75" customHeight="1">
      <c r="A571" s="10" t="str">
        <f>IFERROR(__xludf.DUMMYFUNCTION("""COMPUTED_VALUE"""),"https://www.causalityengine.ai/resources/best-incrementality-testing-platforms")</f>
        <v>https://www.causalityengine.ai/resources/best-incrementality-testing-platforms</v>
      </c>
      <c r="B571" s="11" t="str">
        <f>IFERROR(__xludf.DUMMYFUNCTION("""COMPUTED_VALUE"""),"Best Incrementality Testing Platforms for True ROI. Causality Engine")</f>
        <v>Best Incrementality Testing Platforms for True ROI. Causality Engine</v>
      </c>
      <c r="C571" s="10" t="str">
        <f>IFERROR(__xludf.DUMMYFUNCTION("""COMPUTED_VALUE"""),"causalityengine.ai")</f>
        <v>causalityengine.ai</v>
      </c>
      <c r="D571" s="11" t="str">
        <f>IFERROR(__xludf.DUMMYFUNCTION("""COMPUTED_VALUE"""),"LISTICLE")</f>
        <v>LISTICLE</v>
      </c>
      <c r="E571" s="11" t="str">
        <f>IFERROR(__xludf.DUMMYFUNCTION("""COMPUTED_VALUE"""),"CORPORATE")</f>
        <v>CORPORATE</v>
      </c>
      <c r="F571" s="11" t="str">
        <f>IFERROR(__xludf.DUMMYFUNCTION("""COMPUTED_VALUE"""),"Listicle")</f>
        <v>Listicle</v>
      </c>
      <c r="G571" s="11" t="b">
        <f>IFERROR(__xludf.DUMMYFUNCTION("""COMPUTED_VALUE"""),FALSE)</f>
        <v>0</v>
      </c>
      <c r="H571" s="11" t="str">
        <f>IFERROR(__xludf.DUMMYFUNCTION("""COMPUTED_VALUE"""),"Measured, Recast, Triple Whale, Northbeam, Rockerbox")</f>
        <v>Measured, Recast, Triple Whale, Northbeam, Rockerbox</v>
      </c>
      <c r="I571" s="11">
        <f>IFERROR(__xludf.DUMMYFUNCTION("""COMPUTED_VALUE"""),1.0)</f>
        <v>1</v>
      </c>
      <c r="J571" s="11">
        <f>IFERROR(__xludf.DUMMYFUNCTION("""COMPUTED_VALUE"""),0.0)</f>
        <v>0</v>
      </c>
      <c r="K571" s="11">
        <f>IFERROR(__xludf.DUMMYFUNCTION("""COMPUTED_VALUE"""),0.0)</f>
        <v>0</v>
      </c>
    </row>
    <row r="572" ht="15.75" customHeight="1">
      <c r="A572" s="10" t="str">
        <f>IFERROR(__xludf.DUMMYFUNCTION("""COMPUTED_VALUE"""),"https://cio.economictimes.indiatimes.com/tools/best-customer-data-platforms/127611075")</f>
        <v>https://cio.economictimes.indiatimes.com/tools/best-customer-data-platforms/127611075</v>
      </c>
      <c r="B572" s="11" t="str">
        <f>IFERROR(__xludf.DUMMYFUNCTION("""COMPUTED_VALUE"""),"Top 10 Customer Data Platforms for Enterprises in 2026, ETCIO")</f>
        <v>Top 10 Customer Data Platforms for Enterprises in 2026, ETCIO</v>
      </c>
      <c r="C572" s="10" t="str">
        <f>IFERROR(__xludf.DUMMYFUNCTION("""COMPUTED_VALUE"""),"indiatimes.com")</f>
        <v>indiatimes.com</v>
      </c>
      <c r="D572" s="11" t="str">
        <f>IFERROR(__xludf.DUMMYFUNCTION("""COMPUTED_VALUE"""),"LISTICLE")</f>
        <v>LISTICLE</v>
      </c>
      <c r="E572" s="11" t="str">
        <f>IFERROR(__xludf.DUMMYFUNCTION("""COMPUTED_VALUE"""),"EDITORIAL")</f>
        <v>EDITORIAL</v>
      </c>
      <c r="F572" s="11" t="str">
        <f>IFERROR(__xludf.DUMMYFUNCTION("""COMPUTED_VALUE"""),"Listicle")</f>
        <v>Listicle</v>
      </c>
      <c r="G572" s="11" t="b">
        <f>IFERROR(__xludf.DUMMYFUNCTION("""COMPUTED_VALUE"""),FALSE)</f>
        <v>0</v>
      </c>
      <c r="H572" s="11" t="str">
        <f>IFERROR(__xludf.DUMMYFUNCTION("""COMPUTED_VALUE"""),"McKinsey, Huge")</f>
        <v>McKinsey, Huge</v>
      </c>
      <c r="I572" s="11">
        <f>IFERROR(__xludf.DUMMYFUNCTION("""COMPUTED_VALUE"""),1.0)</f>
        <v>1</v>
      </c>
      <c r="J572" s="11">
        <f>IFERROR(__xludf.DUMMYFUNCTION("""COMPUTED_VALUE"""),0.0)</f>
        <v>0</v>
      </c>
      <c r="K572" s="11">
        <f>IFERROR(__xludf.DUMMYFUNCTION("""COMPUTED_VALUE"""),1.0)</f>
        <v>1</v>
      </c>
    </row>
    <row r="573" ht="15.75" customHeight="1">
      <c r="A573" s="10" t="str">
        <f>IFERROR(__xludf.DUMMYFUNCTION("""COMPUTED_VALUE"""),"https://www.cisin.com/coffee-break/software-development-companies-in-the-usa.html")</f>
        <v>https://www.cisin.com/coffee-break/software-development-companies-in-the-usa.html</v>
      </c>
      <c r="B573" s="11" t="str">
        <f>IFERROR(__xludf.DUMMYFUNCTION("""COMPUTED_VALUE"""),"Top Software Development Companies in the USA: A Guide")</f>
        <v>Top Software Development Companies in the USA: A Guide</v>
      </c>
      <c r="C573" s="10" t="str">
        <f>IFERROR(__xludf.DUMMYFUNCTION("""COMPUTED_VALUE"""),"cisin.com")</f>
        <v>cisin.com</v>
      </c>
      <c r="D573" s="11" t="str">
        <f>IFERROR(__xludf.DUMMYFUNCTION("""COMPUTED_VALUE"""),"LISTICLE")</f>
        <v>LISTICLE</v>
      </c>
      <c r="E573" s="11" t="str">
        <f>IFERROR(__xludf.DUMMYFUNCTION("""COMPUTED_VALUE"""),"CORPORATE")</f>
        <v>CORPORATE</v>
      </c>
      <c r="F573" s="11" t="str">
        <f>IFERROR(__xludf.DUMMYFUNCTION("""COMPUTED_VALUE"""),"Listicle")</f>
        <v>Listicle</v>
      </c>
      <c r="G573" s="11" t="b">
        <f>IFERROR(__xludf.DUMMYFUNCTION("""COMPUTED_VALUE"""),FALSE)</f>
        <v>0</v>
      </c>
      <c r="H573" s="11" t="str">
        <f>IFERROR(__xludf.DUMMYFUNCTION("""COMPUTED_VALUE"""),"Clutch")</f>
        <v>Clutch</v>
      </c>
      <c r="I573" s="11">
        <f>IFERROR(__xludf.DUMMYFUNCTION("""COMPUTED_VALUE"""),1.0)</f>
        <v>1</v>
      </c>
      <c r="J573" s="11">
        <f>IFERROR(__xludf.DUMMYFUNCTION("""COMPUTED_VALUE"""),0.0)</f>
        <v>0</v>
      </c>
      <c r="K573" s="11">
        <f>IFERROR(__xludf.DUMMYFUNCTION("""COMPUTED_VALUE"""),0.0)</f>
        <v>0</v>
      </c>
    </row>
    <row r="574" ht="15.75" customHeight="1">
      <c r="A574" s="10" t="str">
        <f>IFERROR(__xludf.DUMMYFUNCTION("""COMPUTED_VALUE"""),"https://www.citeme.io/ressources/geo-agency")</f>
        <v>https://www.citeme.io/ressources/geo-agency</v>
      </c>
      <c r="B574" s="11" t="str">
        <f>IFERROR(__xludf.DUMMYFUNCTION("""COMPUTED_VALUE"""),"GEO Agency: The 7 Best GEO Agencies in 2026 | Citeme")</f>
        <v>GEO Agency: The 7 Best GEO Agencies in 2026 | Citeme</v>
      </c>
      <c r="C574" s="10" t="str">
        <f>IFERROR(__xludf.DUMMYFUNCTION("""COMPUTED_VALUE"""),"citeme.io")</f>
        <v>citeme.io</v>
      </c>
      <c r="D574" s="11" t="str">
        <f>IFERROR(__xludf.DUMMYFUNCTION("""COMPUTED_VALUE"""),"LISTICLE")</f>
        <v>LISTICLE</v>
      </c>
      <c r="E574" s="11" t="str">
        <f>IFERROR(__xludf.DUMMYFUNCTION("""COMPUTED_VALUE"""),"CORPORATE")</f>
        <v>CORPORATE</v>
      </c>
      <c r="F574" s="11" t="str">
        <f>IFERROR(__xludf.DUMMYFUNCTION("""COMPUTED_VALUE"""),"Listicle")</f>
        <v>Listicle</v>
      </c>
      <c r="G574" s="11" t="b">
        <f>IFERROR(__xludf.DUMMYFUNCTION("""COMPUTED_VALUE"""),FALSE)</f>
        <v>0</v>
      </c>
      <c r="H574" s="11" t="str">
        <f>IFERROR(__xludf.DUMMYFUNCTION("""COMPUTED_VALUE"""),"Measured, Graphite, Omniscient Digital, Go Fish Digital, Siege Media, First Page Sage, Directive")</f>
        <v>Measured, Graphite, Omniscient Digital, Go Fish Digital, Siege Media, First Page Sage, Directive</v>
      </c>
      <c r="I574" s="11">
        <f>IFERROR(__xludf.DUMMYFUNCTION("""COMPUTED_VALUE"""),1.0)</f>
        <v>1</v>
      </c>
      <c r="J574" s="11">
        <f>IFERROR(__xludf.DUMMYFUNCTION("""COMPUTED_VALUE"""),0.0)</f>
        <v>0</v>
      </c>
      <c r="K574" s="11">
        <f>IFERROR(__xludf.DUMMYFUNCTION("""COMPUTED_VALUE"""),2.0)</f>
        <v>2</v>
      </c>
    </row>
    <row r="575" ht="15.75" customHeight="1">
      <c r="A575" s="10" t="str">
        <f>IFERROR(__xludf.DUMMYFUNCTION("""COMPUTED_VALUE"""),"https://citrusbug.com/blog/mobile-app-development-agencies/")</f>
        <v>https://citrusbug.com/blog/mobile-app-development-agencies/</v>
      </c>
      <c r="B575" s="11" t="str">
        <f>IFERROR(__xludf.DUMMYFUNCTION("""COMPUTED_VALUE"""),"Top 10 Best Mobile App Development agencies in 2026")</f>
        <v>Top 10 Best Mobile App Development agencies in 2026</v>
      </c>
      <c r="C575" s="10" t="str">
        <f>IFERROR(__xludf.DUMMYFUNCTION("""COMPUTED_VALUE"""),"citrusbug.com")</f>
        <v>citrusbug.com</v>
      </c>
      <c r="D575" s="11" t="str">
        <f>IFERROR(__xludf.DUMMYFUNCTION("""COMPUTED_VALUE"""),"LISTICLE")</f>
        <v>LISTICLE</v>
      </c>
      <c r="E575" s="11" t="str">
        <f>IFERROR(__xludf.DUMMYFUNCTION("""COMPUTED_VALUE"""),"CORPORATE")</f>
        <v>CORPORATE</v>
      </c>
      <c r="F575" s="11" t="str">
        <f>IFERROR(__xludf.DUMMYFUNCTION("""COMPUTED_VALUE"""),"Listicle")</f>
        <v>Listicle</v>
      </c>
      <c r="G575" s="11" t="b">
        <f>IFERROR(__xludf.DUMMYFUNCTION("""COMPUTED_VALUE"""),FALSE)</f>
        <v>0</v>
      </c>
      <c r="H575" s="11" t="str">
        <f>IFERROR(__xludf.DUMMYFUNCTION("""COMPUTED_VALUE"""),"Clutch")</f>
        <v>Clutch</v>
      </c>
      <c r="I575" s="11">
        <f>IFERROR(__xludf.DUMMYFUNCTION("""COMPUTED_VALUE"""),1.0)</f>
        <v>1</v>
      </c>
      <c r="J575" s="11">
        <f>IFERROR(__xludf.DUMMYFUNCTION("""COMPUTED_VALUE"""),0.0)</f>
        <v>0</v>
      </c>
      <c r="K575" s="11">
        <f>IFERROR(__xludf.DUMMYFUNCTION("""COMPUTED_VALUE"""),0.0)</f>
        <v>0</v>
      </c>
    </row>
    <row r="576" ht="15.75" customHeight="1">
      <c r="A576" s="10" t="str">
        <f>IFERROR(__xludf.DUMMYFUNCTION("""COMPUTED_VALUE"""),"https://clay.global/blog/best-web-design-agencies")</f>
        <v>https://clay.global/blog/best-web-design-agencies</v>
      </c>
      <c r="B576" s="11" t="str">
        <f>IFERROR(__xludf.DUMMYFUNCTION("""COMPUTED_VALUE"""),"Top Web Design Agencies in 2026: Hand-Picked Best Firms for High-Conversion Websites | Clay")</f>
        <v>Top Web Design Agencies in 2026: Hand-Picked Best Firms for High-Conversion Websites | Clay</v>
      </c>
      <c r="C576" s="11" t="str">
        <f>IFERROR(__xludf.DUMMYFUNCTION("""COMPUTED_VALUE"""),"clay.global")</f>
        <v>clay.global</v>
      </c>
      <c r="D576" s="11" t="str">
        <f>IFERROR(__xludf.DUMMYFUNCTION("""COMPUTED_VALUE"""),"LISTICLE")</f>
        <v>LISTICLE</v>
      </c>
      <c r="E576" s="11" t="str">
        <f>IFERROR(__xludf.DUMMYFUNCTION("""COMPUTED_VALUE"""),"CORPORATE")</f>
        <v>CORPORATE</v>
      </c>
      <c r="F576" s="11" t="str">
        <f>IFERROR(__xludf.DUMMYFUNCTION("""COMPUTED_VALUE"""),"Listicle")</f>
        <v>Listicle</v>
      </c>
      <c r="G576" s="11" t="b">
        <f>IFERROR(__xludf.DUMMYFUNCTION("""COMPUTED_VALUE"""),FALSE)</f>
        <v>0</v>
      </c>
      <c r="H576" s="11" t="str">
        <f>IFERROR(__xludf.DUMMYFUNCTION("""COMPUTED_VALUE"""),"Clay, Deloitte Digital, DEPT, R/GA, AKQA, Clutch, Momentum, Pentagram")</f>
        <v>Clay, Deloitte Digital, DEPT, R/GA, AKQA, Clutch, Momentum, Pentagram</v>
      </c>
      <c r="I576" s="11">
        <f>IFERROR(__xludf.DUMMYFUNCTION("""COMPUTED_VALUE"""),1.0)</f>
        <v>1</v>
      </c>
      <c r="J576" s="11">
        <f>IFERROR(__xludf.DUMMYFUNCTION("""COMPUTED_VALUE"""),0.0)</f>
        <v>0</v>
      </c>
      <c r="K576" s="11">
        <f>IFERROR(__xludf.DUMMYFUNCTION("""COMPUTED_VALUE"""),0.0)</f>
        <v>0</v>
      </c>
    </row>
    <row r="577" ht="15.75" customHeight="1">
      <c r="A577" s="10" t="str">
        <f>IFERROR(__xludf.DUMMYFUNCTION("""COMPUTED_VALUE"""),"https://www.clearleaddigital.com/blog/2025-guide-top-seo-marketing-agencies")</f>
        <v>https://www.clearleaddigital.com/blog/2025-guide-top-seo-marketing-agencies</v>
      </c>
      <c r="B577" s="11" t="str">
        <f>IFERROR(__xludf.DUMMYFUNCTION("""COMPUTED_VALUE"""),"Best Search Marketing Agencies 2026: 15 Top Firms Reviewed")</f>
        <v>Best Search Marketing Agencies 2026: 15 Top Firms Reviewed</v>
      </c>
      <c r="C577" s="10" t="str">
        <f>IFERROR(__xludf.DUMMYFUNCTION("""COMPUTED_VALUE"""),"clearleaddigital.com")</f>
        <v>clearleaddigital.com</v>
      </c>
      <c r="D577" s="11" t="str">
        <f>IFERROR(__xludf.DUMMYFUNCTION("""COMPUTED_VALUE"""),"LISTICLE")</f>
        <v>LISTICLE</v>
      </c>
      <c r="E577" s="11" t="str">
        <f>IFERROR(__xludf.DUMMYFUNCTION("""COMPUTED_VALUE"""),"CORPORATE")</f>
        <v>CORPORATE</v>
      </c>
      <c r="F577" s="11" t="str">
        <f>IFERROR(__xludf.DUMMYFUNCTION("""COMPUTED_VALUE"""),"Listicle")</f>
        <v>Listicle</v>
      </c>
      <c r="G577" s="11" t="b">
        <f>IFERROR(__xludf.DUMMYFUNCTION("""COMPUTED_VALUE"""),FALSE)</f>
        <v>0</v>
      </c>
      <c r="H577" s="11" t="str">
        <f>IFERROR(__xludf.DUMMYFUNCTION("""COMPUTED_VALUE"""),"NoGood, SmartSites, Disruptive Advertising, HawkSEM, Funnel Boost Media, KlientBoost, WebFX, Thrive Internet Marketing Agency, Measured, Directive")</f>
        <v>NoGood, SmartSites, Disruptive Advertising, HawkSEM, Funnel Boost Media, KlientBoost, WebFX, Thrive Internet Marketing Agency, Measured, Directive</v>
      </c>
      <c r="I577" s="11">
        <f>IFERROR(__xludf.DUMMYFUNCTION("""COMPUTED_VALUE"""),1.0)</f>
        <v>1</v>
      </c>
      <c r="J577" s="11">
        <f>IFERROR(__xludf.DUMMYFUNCTION("""COMPUTED_VALUE"""),0.0)</f>
        <v>0</v>
      </c>
      <c r="K577" s="11">
        <f>IFERROR(__xludf.DUMMYFUNCTION("""COMPUTED_VALUE"""),1.0)</f>
        <v>1</v>
      </c>
    </row>
    <row r="578" ht="15.75" customHeight="1">
      <c r="A578" s="10" t="str">
        <f>IFERROR(__xludf.DUMMYFUNCTION("""COMPUTED_VALUE"""),"https://clicksgeek.com/best-google-ads-management-companies/")</f>
        <v>https://clicksgeek.com/best-google-ads-management-companies/</v>
      </c>
      <c r="B578" s="11" t="str">
        <f>IFERROR(__xludf.DUMMYFUNCTION("""COMPUTED_VALUE"""),"Best Google Ads Management Companies: 2026 Guide &amp;amp; Tips")</f>
        <v>Best Google Ads Management Companies: 2026 Guide &amp;amp; Tips</v>
      </c>
      <c r="C578" s="10" t="str">
        <f>IFERROR(__xludf.DUMMYFUNCTION("""COMPUTED_VALUE"""),"clicksgeek.com")</f>
        <v>clicksgeek.com</v>
      </c>
      <c r="D578" s="11" t="str">
        <f>IFERROR(__xludf.DUMMYFUNCTION("""COMPUTED_VALUE"""),"LISTICLE")</f>
        <v>LISTICLE</v>
      </c>
      <c r="E578" s="11" t="str">
        <f>IFERROR(__xludf.DUMMYFUNCTION("""COMPUTED_VALUE"""),"CORPORATE")</f>
        <v>CORPORATE</v>
      </c>
      <c r="F578" s="11" t="str">
        <f>IFERROR(__xludf.DUMMYFUNCTION("""COMPUTED_VALUE"""),"Listicle")</f>
        <v>Listicle</v>
      </c>
      <c r="G578" s="11" t="b">
        <f>IFERROR(__xludf.DUMMYFUNCTION("""COMPUTED_VALUE"""),FALSE)</f>
        <v>0</v>
      </c>
      <c r="H578" s="11" t="str">
        <f>IFERROR(__xludf.DUMMYFUNCTION("""COMPUTED_VALUE"""),"Disruptive Advertising, WebFX, KlientBoost, Directive, Tinuiti, Ignite Visibility, Thrive Internet Marketing Agency, Brainlabs")</f>
        <v>Disruptive Advertising, WebFX, KlientBoost, Directive, Tinuiti, Ignite Visibility, Thrive Internet Marketing Agency, Brainlabs</v>
      </c>
      <c r="I578" s="11">
        <f>IFERROR(__xludf.DUMMYFUNCTION("""COMPUTED_VALUE"""),1.0)</f>
        <v>1</v>
      </c>
      <c r="J578" s="11">
        <f>IFERROR(__xludf.DUMMYFUNCTION("""COMPUTED_VALUE"""),0.0)</f>
        <v>0</v>
      </c>
      <c r="K578" s="11">
        <f>IFERROR(__xludf.DUMMYFUNCTION("""COMPUTED_VALUE"""),0.0)</f>
        <v>0</v>
      </c>
    </row>
    <row r="579" ht="15.75" customHeight="1">
      <c r="A579" s="10" t="str">
        <f>IFERROR(__xludf.DUMMYFUNCTION("""COMPUTED_VALUE"""),"https://clicksgeek.com/best-google-premier-partners/")</f>
        <v>https://clicksgeek.com/best-google-premier-partners/</v>
      </c>
      <c r="B579" s="11" t="str">
        <f>IFERROR(__xludf.DUMMYFUNCTION("""COMPUTED_VALUE"""),"Best Google Premier Partners: Agency Selection Guide")</f>
        <v>Best Google Premier Partners: Agency Selection Guide</v>
      </c>
      <c r="C579" s="10" t="str">
        <f>IFERROR(__xludf.DUMMYFUNCTION("""COMPUTED_VALUE"""),"clicksgeek.com")</f>
        <v>clicksgeek.com</v>
      </c>
      <c r="D579" s="11" t="str">
        <f>IFERROR(__xludf.DUMMYFUNCTION("""COMPUTED_VALUE"""),"LISTICLE")</f>
        <v>LISTICLE</v>
      </c>
      <c r="E579" s="11" t="str">
        <f>IFERROR(__xludf.DUMMYFUNCTION("""COMPUTED_VALUE"""),"CORPORATE")</f>
        <v>CORPORATE</v>
      </c>
      <c r="F579" s="11" t="str">
        <f>IFERROR(__xludf.DUMMYFUNCTION("""COMPUTED_VALUE"""),"Listicle")</f>
        <v>Listicle</v>
      </c>
      <c r="G579" s="11" t="b">
        <f>IFERROR(__xludf.DUMMYFUNCTION("""COMPUTED_VALUE"""),FALSE)</f>
        <v>0</v>
      </c>
      <c r="H579" s="11" t="str">
        <f>IFERROR(__xludf.DUMMYFUNCTION("""COMPUTED_VALUE"""),"Momentum")</f>
        <v>Momentum</v>
      </c>
      <c r="I579" s="11">
        <f>IFERROR(__xludf.DUMMYFUNCTION("""COMPUTED_VALUE"""),1.0)</f>
        <v>1</v>
      </c>
      <c r="J579" s="11">
        <f>IFERROR(__xludf.DUMMYFUNCTION("""COMPUTED_VALUE"""),0.0)</f>
        <v>0</v>
      </c>
      <c r="K579" s="11">
        <f>IFERROR(__xludf.DUMMYFUNCTION("""COMPUTED_VALUE"""),0.0)</f>
        <v>0</v>
      </c>
    </row>
    <row r="580" ht="15.75" customHeight="1">
      <c r="A580" s="10" t="str">
        <f>IFERROR(__xludf.DUMMYFUNCTION("""COMPUTED_VALUE"""),"https://clicksgeek.com/best-roi-digital-marketing-agencies/")</f>
        <v>https://clicksgeek.com/best-roi-digital-marketing-agencies/</v>
      </c>
      <c r="B580" s="11" t="str">
        <f>IFERROR(__xludf.DUMMYFUNCTION("""COMPUTED_VALUE"""),"Best ROI Digital Marketing Agencies: Expert Guide 2026")</f>
        <v>Best ROI Digital Marketing Agencies: Expert Guide 2026</v>
      </c>
      <c r="C580" s="10" t="str">
        <f>IFERROR(__xludf.DUMMYFUNCTION("""COMPUTED_VALUE"""),"clicksgeek.com")</f>
        <v>clicksgeek.com</v>
      </c>
      <c r="D580" s="11" t="str">
        <f>IFERROR(__xludf.DUMMYFUNCTION("""COMPUTED_VALUE"""),"LISTICLE")</f>
        <v>LISTICLE</v>
      </c>
      <c r="E580" s="11" t="str">
        <f>IFERROR(__xludf.DUMMYFUNCTION("""COMPUTED_VALUE"""),"CORPORATE")</f>
        <v>CORPORATE</v>
      </c>
      <c r="F580" s="11" t="str">
        <f>IFERROR(__xludf.DUMMYFUNCTION("""COMPUTED_VALUE"""),"Listicle")</f>
        <v>Listicle</v>
      </c>
      <c r="G580" s="11" t="b">
        <f>IFERROR(__xludf.DUMMYFUNCTION("""COMPUTED_VALUE"""),FALSE)</f>
        <v>0</v>
      </c>
      <c r="H580" s="11"/>
      <c r="I580" s="11">
        <f>IFERROR(__xludf.DUMMYFUNCTION("""COMPUTED_VALUE"""),1.0)</f>
        <v>1</v>
      </c>
      <c r="J580" s="11">
        <f>IFERROR(__xludf.DUMMYFUNCTION("""COMPUTED_VALUE"""),0.0)</f>
        <v>0</v>
      </c>
      <c r="K580" s="11">
        <f>IFERROR(__xludf.DUMMYFUNCTION("""COMPUTED_VALUE"""),0.0)</f>
        <v>0</v>
      </c>
    </row>
    <row r="581" ht="15.75" customHeight="1">
      <c r="A581" s="10" t="str">
        <f>IFERROR(__xludf.DUMMYFUNCTION("""COMPUTED_VALUE"""),"https://clicksgeek.com/best-roi-focused-marketing-agency/")</f>
        <v>https://clicksgeek.com/best-roi-focused-marketing-agency/</v>
      </c>
      <c r="B581" s="11" t="str">
        <f>IFERROR(__xludf.DUMMYFUNCTION("""COMPUTED_VALUE"""),"Best ROI Focused Marketing Agency: 7 Proven Strategies")</f>
        <v>Best ROI Focused Marketing Agency: 7 Proven Strategies</v>
      </c>
      <c r="C581" s="10" t="str">
        <f>IFERROR(__xludf.DUMMYFUNCTION("""COMPUTED_VALUE"""),"clicksgeek.com")</f>
        <v>clicksgeek.com</v>
      </c>
      <c r="D581" s="11" t="str">
        <f>IFERROR(__xludf.DUMMYFUNCTION("""COMPUTED_VALUE"""),"LISTICLE")</f>
        <v>LISTICLE</v>
      </c>
      <c r="E581" s="11" t="str">
        <f>IFERROR(__xludf.DUMMYFUNCTION("""COMPUTED_VALUE"""),"CORPORATE")</f>
        <v>CORPORATE</v>
      </c>
      <c r="F581" s="11" t="str">
        <f>IFERROR(__xludf.DUMMYFUNCTION("""COMPUTED_VALUE"""),"Listicle")</f>
        <v>Listicle</v>
      </c>
      <c r="G581" s="11" t="b">
        <f>IFERROR(__xludf.DUMMYFUNCTION("""COMPUTED_VALUE"""),FALSE)</f>
        <v>0</v>
      </c>
      <c r="H581" s="11"/>
      <c r="I581" s="11">
        <f>IFERROR(__xludf.DUMMYFUNCTION("""COMPUTED_VALUE"""),1.0)</f>
        <v>1</v>
      </c>
      <c r="J581" s="11">
        <f>IFERROR(__xludf.DUMMYFUNCTION("""COMPUTED_VALUE"""),0.0)</f>
        <v>0</v>
      </c>
      <c r="K581" s="11">
        <f>IFERROR(__xludf.DUMMYFUNCTION("""COMPUTED_VALUE"""),0.0)</f>
        <v>0</v>
      </c>
    </row>
    <row r="582" ht="15.75" customHeight="1">
      <c r="A582" s="10" t="str">
        <f>IFERROR(__xludf.DUMMYFUNCTION("""COMPUTED_VALUE"""),"https://clicksgeek.com/best-roi-marketing-agencies/")</f>
        <v>https://clicksgeek.com/best-roi-marketing-agencies/</v>
      </c>
      <c r="B582" s="11" t="str">
        <f>IFERROR(__xludf.DUMMYFUNCTION("""COMPUTED_VALUE"""),"Best ROI Marketing Agencies: 7 Proven Strategies 2026")</f>
        <v>Best ROI Marketing Agencies: 7 Proven Strategies 2026</v>
      </c>
      <c r="C582" s="10" t="str">
        <f>IFERROR(__xludf.DUMMYFUNCTION("""COMPUTED_VALUE"""),"clicksgeek.com")</f>
        <v>clicksgeek.com</v>
      </c>
      <c r="D582" s="11" t="str">
        <f>IFERROR(__xludf.DUMMYFUNCTION("""COMPUTED_VALUE"""),"LISTICLE")</f>
        <v>LISTICLE</v>
      </c>
      <c r="E582" s="11" t="str">
        <f>IFERROR(__xludf.DUMMYFUNCTION("""COMPUTED_VALUE"""),"CORPORATE")</f>
        <v>CORPORATE</v>
      </c>
      <c r="F582" s="11" t="str">
        <f>IFERROR(__xludf.DUMMYFUNCTION("""COMPUTED_VALUE"""),"Listicle")</f>
        <v>Listicle</v>
      </c>
      <c r="G582" s="11" t="b">
        <f>IFERROR(__xludf.DUMMYFUNCTION("""COMPUTED_VALUE"""),FALSE)</f>
        <v>0</v>
      </c>
      <c r="H582" s="11" t="str">
        <f>IFERROR(__xludf.DUMMYFUNCTION("""COMPUTED_VALUE"""),"Measured")</f>
        <v>Measured</v>
      </c>
      <c r="I582" s="11">
        <f>IFERROR(__xludf.DUMMYFUNCTION("""COMPUTED_VALUE"""),1.0)</f>
        <v>1</v>
      </c>
      <c r="J582" s="11">
        <f>IFERROR(__xludf.DUMMYFUNCTION("""COMPUTED_VALUE"""),0.0)</f>
        <v>0</v>
      </c>
      <c r="K582" s="11">
        <f>IFERROR(__xludf.DUMMYFUNCTION("""COMPUTED_VALUE"""),0.0)</f>
        <v>0</v>
      </c>
    </row>
    <row r="583" ht="15.75" customHeight="1">
      <c r="A583" s="10" t="str">
        <f>IFERROR(__xludf.DUMMYFUNCTION("""COMPUTED_VALUE"""),"https://clicksgeek.com/display-advertising-management-services/")</f>
        <v>https://clicksgeek.com/display-advertising-management-services/</v>
      </c>
      <c r="B583" s="11" t="str">
        <f>IFERROR(__xludf.DUMMYFUNCTION("""COMPUTED_VALUE"""),"9 Best Display Advertising Management Services 2026")</f>
        <v>9 Best Display Advertising Management Services 2026</v>
      </c>
      <c r="C583" s="10" t="str">
        <f>IFERROR(__xludf.DUMMYFUNCTION("""COMPUTED_VALUE"""),"clicksgeek.com")</f>
        <v>clicksgeek.com</v>
      </c>
      <c r="D583" s="11" t="str">
        <f>IFERROR(__xludf.DUMMYFUNCTION("""COMPUTED_VALUE"""),"LISTICLE")</f>
        <v>LISTICLE</v>
      </c>
      <c r="E583" s="11" t="str">
        <f>IFERROR(__xludf.DUMMYFUNCTION("""COMPUTED_VALUE"""),"CORPORATE")</f>
        <v>CORPORATE</v>
      </c>
      <c r="F583" s="11" t="str">
        <f>IFERROR(__xludf.DUMMYFUNCTION("""COMPUTED_VALUE"""),"Listicle")</f>
        <v>Listicle</v>
      </c>
      <c r="G583" s="11" t="b">
        <f>IFERROR(__xludf.DUMMYFUNCTION("""COMPUTED_VALUE"""),FALSE)</f>
        <v>0</v>
      </c>
      <c r="H583" s="11" t="str">
        <f>IFERROR(__xludf.DUMMYFUNCTION("""COMPUTED_VALUE"""),"WebFX, Disruptive Advertising, KlientBoost, Directive, Measured, Tinuiti")</f>
        <v>WebFX, Disruptive Advertising, KlientBoost, Directive, Measured, Tinuiti</v>
      </c>
      <c r="I583" s="11">
        <f>IFERROR(__xludf.DUMMYFUNCTION("""COMPUTED_VALUE"""),1.0)</f>
        <v>1</v>
      </c>
      <c r="J583" s="11">
        <f>IFERROR(__xludf.DUMMYFUNCTION("""COMPUTED_VALUE"""),0.0)</f>
        <v>0</v>
      </c>
      <c r="K583" s="11">
        <f>IFERROR(__xludf.DUMMYFUNCTION("""COMPUTED_VALUE"""),2.0)</f>
        <v>2</v>
      </c>
    </row>
    <row r="584" ht="15.75" customHeight="1">
      <c r="A584" s="10" t="str">
        <f>IFERROR(__xludf.DUMMYFUNCTION("""COMPUTED_VALUE"""),"https://clicksgeek.com/paid-media-buying-services/")</f>
        <v>https://clicksgeek.com/paid-media-buying-services/</v>
      </c>
      <c r="B584" s="11" t="str">
        <f>IFERROR(__xludf.DUMMYFUNCTION("""COMPUTED_VALUE"""),"9 Best Paid Media Buying Services to Scale Ads 2026")</f>
        <v>9 Best Paid Media Buying Services to Scale Ads 2026</v>
      </c>
      <c r="C584" s="10" t="str">
        <f>IFERROR(__xludf.DUMMYFUNCTION("""COMPUTED_VALUE"""),"clicksgeek.com")</f>
        <v>clicksgeek.com</v>
      </c>
      <c r="D584" s="11" t="str">
        <f>IFERROR(__xludf.DUMMYFUNCTION("""COMPUTED_VALUE"""),"LISTICLE")</f>
        <v>LISTICLE</v>
      </c>
      <c r="E584" s="11" t="str">
        <f>IFERROR(__xludf.DUMMYFUNCTION("""COMPUTED_VALUE"""),"CORPORATE")</f>
        <v>CORPORATE</v>
      </c>
      <c r="F584" s="11" t="str">
        <f>IFERROR(__xludf.DUMMYFUNCTION("""COMPUTED_VALUE"""),"Listicle")</f>
        <v>Listicle</v>
      </c>
      <c r="G584" s="11" t="b">
        <f>IFERROR(__xludf.DUMMYFUNCTION("""COMPUTED_VALUE"""),FALSE)</f>
        <v>0</v>
      </c>
      <c r="H584" s="11" t="str">
        <f>IFERROR(__xludf.DUMMYFUNCTION("""COMPUTED_VALUE"""),"WebFX, Disruptive Advertising, KlientBoost, Directive, Tinuiti, Ignite Visibility, AdVenture Media")</f>
        <v>WebFX, Disruptive Advertising, KlientBoost, Directive, Tinuiti, Ignite Visibility, AdVenture Media</v>
      </c>
      <c r="I584" s="11">
        <f>IFERROR(__xludf.DUMMYFUNCTION("""COMPUTED_VALUE"""),1.0)</f>
        <v>1</v>
      </c>
      <c r="J584" s="11">
        <f>IFERROR(__xludf.DUMMYFUNCTION("""COMPUTED_VALUE"""),0.0)</f>
        <v>0</v>
      </c>
      <c r="K584" s="11">
        <f>IFERROR(__xludf.DUMMYFUNCTION("""COMPUTED_VALUE"""),0.0)</f>
        <v>0</v>
      </c>
    </row>
    <row r="585" ht="15.75" customHeight="1">
      <c r="A585" s="10" t="str">
        <f>IFERROR(__xludf.DUMMYFUNCTION("""COMPUTED_VALUE"""),"https://clickstrike.com/blog/ai-marketing-agencies/")</f>
        <v>https://clickstrike.com/blog/ai-marketing-agencies/</v>
      </c>
      <c r="B585" s="11" t="str">
        <f>IFERROR(__xludf.DUMMYFUNCTION("""COMPUTED_VALUE"""),"Top AI Marketing Agencies in 2026: 7 Best Partners for AI Companies | Clickstrike")</f>
        <v>Top AI Marketing Agencies in 2026: 7 Best Partners for AI Companies | Clickstrike</v>
      </c>
      <c r="C585" s="10" t="str">
        <f>IFERROR(__xludf.DUMMYFUNCTION("""COMPUTED_VALUE"""),"clickstrike.com")</f>
        <v>clickstrike.com</v>
      </c>
      <c r="D585" s="11" t="str">
        <f>IFERROR(__xludf.DUMMYFUNCTION("""COMPUTED_VALUE"""),"LISTICLE")</f>
        <v>LISTICLE</v>
      </c>
      <c r="E585" s="11" t="str">
        <f>IFERROR(__xludf.DUMMYFUNCTION("""COMPUTED_VALUE"""),"CORPORATE")</f>
        <v>CORPORATE</v>
      </c>
      <c r="F585" s="11" t="str">
        <f>IFERROR(__xludf.DUMMYFUNCTION("""COMPUTED_VALUE"""),"Listicle")</f>
        <v>Listicle</v>
      </c>
      <c r="G585" s="11" t="b">
        <f>IFERROR(__xludf.DUMMYFUNCTION("""COMPUTED_VALUE"""),FALSE)</f>
        <v>0</v>
      </c>
      <c r="H585" s="11" t="str">
        <f>IFERROR(__xludf.DUMMYFUNCTION("""COMPUTED_VALUE"""),"NoGood, Directive, Single Grain, NinjaPromo")</f>
        <v>NoGood, Directive, Single Grain, NinjaPromo</v>
      </c>
      <c r="I585" s="11">
        <f>IFERROR(__xludf.DUMMYFUNCTION("""COMPUTED_VALUE"""),1.0)</f>
        <v>1</v>
      </c>
      <c r="J585" s="11">
        <f>IFERROR(__xludf.DUMMYFUNCTION("""COMPUTED_VALUE"""),0.0)</f>
        <v>0</v>
      </c>
      <c r="K585" s="11">
        <f>IFERROR(__xludf.DUMMYFUNCTION("""COMPUTED_VALUE"""),0.0)</f>
        <v>0</v>
      </c>
    </row>
    <row r="586" ht="15.75" customHeight="1">
      <c r="A586" s="10" t="str">
        <f>IFERROR(__xludf.DUMMYFUNCTION("""COMPUTED_VALUE"""),"https://clickup.com/blog/san-diego-marketing-agencies/")</f>
        <v>https://clickup.com/blog/san-diego-marketing-agencies/</v>
      </c>
      <c r="B586" s="11" t="str">
        <f>IFERROR(__xludf.DUMMYFUNCTION("""COMPUTED_VALUE"""),"ClickUp")</f>
        <v>ClickUp</v>
      </c>
      <c r="C586" s="10" t="str">
        <f>IFERROR(__xludf.DUMMYFUNCTION("""COMPUTED_VALUE"""),"clickup.com")</f>
        <v>clickup.com</v>
      </c>
      <c r="D586" s="11" t="str">
        <f>IFERROR(__xludf.DUMMYFUNCTION("""COMPUTED_VALUE"""),"LISTICLE")</f>
        <v>LISTICLE</v>
      </c>
      <c r="E586" s="11" t="str">
        <f>IFERROR(__xludf.DUMMYFUNCTION("""COMPUTED_VALUE"""),"CORPORATE")</f>
        <v>CORPORATE</v>
      </c>
      <c r="F586" s="11" t="str">
        <f>IFERROR(__xludf.DUMMYFUNCTION("""COMPUTED_VALUE"""),"Listicle")</f>
        <v>Listicle</v>
      </c>
      <c r="G586" s="11" t="b">
        <f>IFERROR(__xludf.DUMMYFUNCTION("""COMPUTED_VALUE"""),FALSE)</f>
        <v>0</v>
      </c>
      <c r="H586" s="11"/>
      <c r="I586" s="11">
        <f>IFERROR(__xludf.DUMMYFUNCTION("""COMPUTED_VALUE"""),1.0)</f>
        <v>1</v>
      </c>
      <c r="J586" s="11">
        <f>IFERROR(__xludf.DUMMYFUNCTION("""COMPUTED_VALUE"""),0.0)</f>
        <v>0</v>
      </c>
      <c r="K586" s="11">
        <f>IFERROR(__xludf.DUMMYFUNCTION("""COMPUTED_VALUE"""),1.0)</f>
        <v>1</v>
      </c>
    </row>
    <row r="587" ht="15.75" customHeight="1">
      <c r="A587" s="10" t="str">
        <f>IFERROR(__xludf.DUMMYFUNCTION("""COMPUTED_VALUE"""),"https://cloudconsultingfirms.com/insights/it-services-companies/")</f>
        <v>https://cloudconsultingfirms.com/insights/it-services-companies/</v>
      </c>
      <c r="B587" s="11" t="str">
        <f>IFERROR(__xludf.DUMMYFUNCTION("""COMPUTED_VALUE"""),"Top IT Services Companies for Cloud (2026): Independent Comparison")</f>
        <v>Top IT Services Companies for Cloud (2026): Independent Comparison</v>
      </c>
      <c r="C587" s="10" t="str">
        <f>IFERROR(__xludf.DUMMYFUNCTION("""COMPUTED_VALUE"""),"cloudconsultingfirms.com")</f>
        <v>cloudconsultingfirms.com</v>
      </c>
      <c r="D587" s="11" t="str">
        <f>IFERROR(__xludf.DUMMYFUNCTION("""COMPUTED_VALUE"""),"LISTICLE")</f>
        <v>LISTICLE</v>
      </c>
      <c r="E587" s="11" t="str">
        <f>IFERROR(__xludf.DUMMYFUNCTION("""COMPUTED_VALUE"""),"REFERENCE")</f>
        <v>REFERENCE</v>
      </c>
      <c r="F587" s="11" t="str">
        <f>IFERROR(__xludf.DUMMYFUNCTION("""COMPUTED_VALUE"""),"Listicle")</f>
        <v>Listicle</v>
      </c>
      <c r="G587" s="11" t="b">
        <f>IFERROR(__xludf.DUMMYFUNCTION("""COMPUTED_VALUE"""),FALSE)</f>
        <v>0</v>
      </c>
      <c r="H587" s="11" t="str">
        <f>IFERROR(__xludf.DUMMYFUNCTION("""COMPUTED_VALUE"""),"Clutch, Slalom, IBM, Measured")</f>
        <v>Clutch, Slalom, IBM, Measured</v>
      </c>
      <c r="I587" s="11">
        <f>IFERROR(__xludf.DUMMYFUNCTION("""COMPUTED_VALUE"""),1.0)</f>
        <v>1</v>
      </c>
      <c r="J587" s="11">
        <f>IFERROR(__xludf.DUMMYFUNCTION("""COMPUTED_VALUE"""),0.0)</f>
        <v>0</v>
      </c>
      <c r="K587" s="11">
        <f>IFERROR(__xludf.DUMMYFUNCTION("""COMPUTED_VALUE"""),1.0)</f>
        <v>1</v>
      </c>
    </row>
    <row r="588" ht="15.75" customHeight="1">
      <c r="A588" s="10" t="str">
        <f>IFERROR(__xludf.DUMMYFUNCTION("""COMPUTED_VALUE"""),"https://www.cloudsecuretech.com/insights/msp-aeo-geo/")</f>
        <v>https://www.cloudsecuretech.com/insights/msp-aeo-geo/</v>
      </c>
      <c r="B588" s="11" t="str">
        <f>IFERROR(__xludf.DUMMYFUNCTION("""COMPUTED_VALUE"""),"MSP AEO, GEO &amp;amp; LLM Optimization (2026 Guide)")</f>
        <v>MSP AEO, GEO &amp;amp; LLM Optimization (2026 Guide)</v>
      </c>
      <c r="C588" s="10" t="str">
        <f>IFERROR(__xludf.DUMMYFUNCTION("""COMPUTED_VALUE"""),"cloudsecuretech.com")</f>
        <v>cloudsecuretech.com</v>
      </c>
      <c r="D588" s="11" t="str">
        <f>IFERROR(__xludf.DUMMYFUNCTION("""COMPUTED_VALUE"""),"LISTICLE")</f>
        <v>LISTICLE</v>
      </c>
      <c r="E588" s="11" t="str">
        <f>IFERROR(__xludf.DUMMYFUNCTION("""COMPUTED_VALUE"""),"REFERENCE")</f>
        <v>REFERENCE</v>
      </c>
      <c r="F588" s="11" t="str">
        <f>IFERROR(__xludf.DUMMYFUNCTION("""COMPUTED_VALUE"""),"Listicle")</f>
        <v>Listicle</v>
      </c>
      <c r="G588" s="11" t="b">
        <f>IFERROR(__xludf.DUMMYFUNCTION("""COMPUTED_VALUE"""),FALSE)</f>
        <v>0</v>
      </c>
      <c r="H588" s="11" t="str">
        <f>IFERROR(__xludf.DUMMYFUNCTION("""COMPUTED_VALUE"""),"IBM, Clutch, First Page Sage")</f>
        <v>IBM, Clutch, First Page Sage</v>
      </c>
      <c r="I588" s="11">
        <f>IFERROR(__xludf.DUMMYFUNCTION("""COMPUTED_VALUE"""),1.0)</f>
        <v>1</v>
      </c>
      <c r="J588" s="11">
        <f>IFERROR(__xludf.DUMMYFUNCTION("""COMPUTED_VALUE"""),0.0)</f>
        <v>0</v>
      </c>
      <c r="K588" s="11">
        <f>IFERROR(__xludf.DUMMYFUNCTION("""COMPUTED_VALUE"""),0.0)</f>
        <v>0</v>
      </c>
    </row>
    <row r="589" ht="15.75" customHeight="1">
      <c r="A589" s="10" t="str">
        <f>IFERROR(__xludf.DUMMYFUNCTION("""COMPUTED_VALUE"""),"https://clutch.co/agencies/programmatic#:~:text=Version2%20is%20an%20advertising%20agency%20specializing%20in,of%20reviewers%20highlighting%20their%20professionalism%20and%20commitment.")</f>
        <v>https://clutch.co/agencies/programmatic#:~:text=Version2%20is%20an%20advertising%20agency%20specializing%20in,of%20reviewers%20highlighting%20their%20professionalism%20and%20commitment.</v>
      </c>
      <c r="B589" s="11" t="str">
        <f>IFERROR(__xludf.DUMMYFUNCTION("""COMPUTED_VALUE"""),"Top Programmatic Advertising Companies - Jul 2026 Rankings | Clutch.co")</f>
        <v>Top Programmatic Advertising Companies - Jul 2026 Rankings | Clutch.co</v>
      </c>
      <c r="C589" s="10" t="str">
        <f>IFERROR(__xludf.DUMMYFUNCTION("""COMPUTED_VALUE"""),"clutch.co")</f>
        <v>clutch.co</v>
      </c>
      <c r="D589" s="11" t="str">
        <f>IFERROR(__xludf.DUMMYFUNCTION("""COMPUTED_VALUE"""),"LISTICLE")</f>
        <v>LISTICLE</v>
      </c>
      <c r="E589" s="11" t="str">
        <f>IFERROR(__xludf.DUMMYFUNCTION("""COMPUTED_VALUE"""),"COMPETITOR")</f>
        <v>COMPETITOR</v>
      </c>
      <c r="F589" s="11" t="str">
        <f>IFERROR(__xludf.DUMMYFUNCTION("""COMPUTED_VALUE"""),"Listicle")</f>
        <v>Listicle</v>
      </c>
      <c r="G589" s="11" t="b">
        <f>IFERROR(__xludf.DUMMYFUNCTION("""COMPUTED_VALUE"""),FALSE)</f>
        <v>0</v>
      </c>
      <c r="H589" s="11" t="str">
        <f>IFERROR(__xludf.DUMMYFUNCTION("""COMPUTED_VALUE"""),"Clutch, NinjaPromo, SmartSites, Funnel Boost Media, LYFE Marketing, AdVenture Media, The SEO Works, Accelerated Digital Media, Storm Brain")</f>
        <v>Clutch, NinjaPromo, SmartSites, Funnel Boost Media, LYFE Marketing, AdVenture Media, The SEO Works, Accelerated Digital Media, Storm Brain</v>
      </c>
      <c r="I589" s="11">
        <f>IFERROR(__xludf.DUMMYFUNCTION("""COMPUTED_VALUE"""),1.0)</f>
        <v>1</v>
      </c>
      <c r="J589" s="11">
        <f>IFERROR(__xludf.DUMMYFUNCTION("""COMPUTED_VALUE"""),0.0)</f>
        <v>0</v>
      </c>
      <c r="K589" s="11">
        <f>IFERROR(__xludf.DUMMYFUNCTION("""COMPUTED_VALUE"""),2.0)</f>
        <v>2</v>
      </c>
    </row>
    <row r="590" ht="15.75" customHeight="1">
      <c r="A590" s="10" t="str">
        <f>IFERROR(__xludf.DUMMYFUNCTION("""COMPUTED_VALUE"""),"https://cmox.co/10-fractional-cmo-agencies-for-saas/")</f>
        <v>https://cmox.co/10-fractional-cmo-agencies-for-saas/</v>
      </c>
      <c r="B590" s="11" t="str">
        <f>IFERROR(__xludf.DUMMYFUNCTION("""COMPUTED_VALUE"""),"10 Fractional CMO Agencies for SaaS")</f>
        <v>10 Fractional CMO Agencies for SaaS</v>
      </c>
      <c r="C590" s="10" t="str">
        <f>IFERROR(__xludf.DUMMYFUNCTION("""COMPUTED_VALUE"""),"cmox.co")</f>
        <v>cmox.co</v>
      </c>
      <c r="D590" s="11" t="str">
        <f>IFERROR(__xludf.DUMMYFUNCTION("""COMPUTED_VALUE"""),"LISTICLE")</f>
        <v>LISTICLE</v>
      </c>
      <c r="E590" s="11" t="str">
        <f>IFERROR(__xludf.DUMMYFUNCTION("""COMPUTED_VALUE"""),"OTHER")</f>
        <v>OTHER</v>
      </c>
      <c r="F590" s="11" t="str">
        <f>IFERROR(__xludf.DUMMYFUNCTION("""COMPUTED_VALUE"""),"Listicle")</f>
        <v>Listicle</v>
      </c>
      <c r="G590" s="11" t="b">
        <f>IFERROR(__xludf.DUMMYFUNCTION("""COMPUTED_VALUE"""),FALSE)</f>
        <v>0</v>
      </c>
      <c r="H590" s="11" t="str">
        <f>IFERROR(__xludf.DUMMYFUNCTION("""COMPUTED_VALUE"""),"Momentum, Digital Authority Partners, Hawke Media")</f>
        <v>Momentum, Digital Authority Partners, Hawke Media</v>
      </c>
      <c r="I590" s="11">
        <f>IFERROR(__xludf.DUMMYFUNCTION("""COMPUTED_VALUE"""),1.0)</f>
        <v>1</v>
      </c>
      <c r="J590" s="11">
        <f>IFERROR(__xludf.DUMMYFUNCTION("""COMPUTED_VALUE"""),0.0)</f>
        <v>0</v>
      </c>
      <c r="K590" s="11">
        <f>IFERROR(__xludf.DUMMYFUNCTION("""COMPUTED_VALUE"""),1.0)</f>
        <v>1</v>
      </c>
    </row>
    <row r="591" ht="15.75" customHeight="1">
      <c r="A591" s="10" t="str">
        <f>IFERROR(__xludf.DUMMYFUNCTION("""COMPUTED_VALUE"""),"https://coinbound.io/top-ai-marketing-agencies/")</f>
        <v>https://coinbound.io/top-ai-marketing-agencies/</v>
      </c>
      <c r="B591" s="11" t="str">
        <f>IFERROR(__xludf.DUMMYFUNCTION("""COMPUTED_VALUE"""),"The Best AI Marketing Agencies for 2026: 5 Top Choices")</f>
        <v>The Best AI Marketing Agencies for 2026: 5 Top Choices</v>
      </c>
      <c r="C591" s="10" t="str">
        <f>IFERROR(__xludf.DUMMYFUNCTION("""COMPUTED_VALUE"""),"coinbound.io")</f>
        <v>coinbound.io</v>
      </c>
      <c r="D591" s="11" t="str">
        <f>IFERROR(__xludf.DUMMYFUNCTION("""COMPUTED_VALUE"""),"LISTICLE")</f>
        <v>LISTICLE</v>
      </c>
      <c r="E591" s="11" t="str">
        <f>IFERROR(__xludf.DUMMYFUNCTION("""COMPUTED_VALUE"""),"CORPORATE")</f>
        <v>CORPORATE</v>
      </c>
      <c r="F591" s="11" t="str">
        <f>IFERROR(__xludf.DUMMYFUNCTION("""COMPUTED_VALUE"""),"Listicle")</f>
        <v>Listicle</v>
      </c>
      <c r="G591" s="11" t="b">
        <f>IFERROR(__xludf.DUMMYFUNCTION("""COMPUTED_VALUE"""),FALSE)</f>
        <v>0</v>
      </c>
      <c r="H591" s="11" t="str">
        <f>IFERROR(__xludf.DUMMYFUNCTION("""COMPUTED_VALUE"""),"NoGood, Single Grain, Momentum")</f>
        <v>NoGood, Single Grain, Momentum</v>
      </c>
      <c r="I591" s="11">
        <f>IFERROR(__xludf.DUMMYFUNCTION("""COMPUTED_VALUE"""),1.0)</f>
        <v>1</v>
      </c>
      <c r="J591" s="11">
        <f>IFERROR(__xludf.DUMMYFUNCTION("""COMPUTED_VALUE"""),0.0)</f>
        <v>0</v>
      </c>
      <c r="K591" s="11">
        <f>IFERROR(__xludf.DUMMYFUNCTION("""COMPUTED_VALUE"""),0.0)</f>
        <v>0</v>
      </c>
    </row>
    <row r="592" ht="15.75" customHeight="1">
      <c r="A592" s="10" t="str">
        <f>IFERROR(__xludf.DUMMYFUNCTION("""COMPUTED_VALUE"""),"https://www.cometly.com/post/agency-marketing-attribution-tools")</f>
        <v>https://www.cometly.com/post/agency-marketing-attribution-tools</v>
      </c>
      <c r="B592" s="11" t="str">
        <f>IFERROR(__xludf.DUMMYFUNCTION("""COMPUTED_VALUE"""),"Top Agency Marketing Attribution Tools for 2026 Tips")</f>
        <v>Top Agency Marketing Attribution Tools for 2026 Tips</v>
      </c>
      <c r="C592" s="10" t="str">
        <f>IFERROR(__xludf.DUMMYFUNCTION("""COMPUTED_VALUE"""),"cometly.com")</f>
        <v>cometly.com</v>
      </c>
      <c r="D592" s="11" t="str">
        <f>IFERROR(__xludf.DUMMYFUNCTION("""COMPUTED_VALUE"""),"LISTICLE")</f>
        <v>LISTICLE</v>
      </c>
      <c r="E592" s="11" t="str">
        <f>IFERROR(__xludf.DUMMYFUNCTION("""COMPUTED_VALUE"""),"COMPETITOR")</f>
        <v>COMPETITOR</v>
      </c>
      <c r="F592" s="11" t="str">
        <f>IFERROR(__xludf.DUMMYFUNCTION("""COMPUTED_VALUE"""),"Listicle")</f>
        <v>Listicle</v>
      </c>
      <c r="G592" s="11" t="b">
        <f>IFERROR(__xludf.DUMMYFUNCTION("""COMPUTED_VALUE"""),FALSE)</f>
        <v>0</v>
      </c>
      <c r="H592" s="11" t="str">
        <f>IFERROR(__xludf.DUMMYFUNCTION("""COMPUTED_VALUE"""),"Cometly, Triple Whale, Anomaly, Northbeam, Rockerbox, Ruler Analytics")</f>
        <v>Cometly, Triple Whale, Anomaly, Northbeam, Rockerbox, Ruler Analytics</v>
      </c>
      <c r="I592" s="11">
        <f>IFERROR(__xludf.DUMMYFUNCTION("""COMPUTED_VALUE"""),1.0)</f>
        <v>1</v>
      </c>
      <c r="J592" s="11">
        <f>IFERROR(__xludf.DUMMYFUNCTION("""COMPUTED_VALUE"""),0.0)</f>
        <v>0</v>
      </c>
      <c r="K592" s="11">
        <f>IFERROR(__xludf.DUMMYFUNCTION("""COMPUTED_VALUE"""),1.0)</f>
        <v>1</v>
      </c>
    </row>
    <row r="593" ht="15.75" customHeight="1">
      <c r="A593" s="10" t="str">
        <f>IFERROR(__xludf.DUMMYFUNCTION("""COMPUTED_VALUE"""),"https://www.cometly.com/post/attribution-data-platform")</f>
        <v>https://www.cometly.com/post/attribution-data-platform</v>
      </c>
      <c r="B593" s="11" t="str">
        <f>IFERROR(__xludf.DUMMYFUNCTION("""COMPUTED_VALUE"""),"9 Best Attribution Data Platforms for Marketers 2026")</f>
        <v>9 Best Attribution Data Platforms for Marketers 2026</v>
      </c>
      <c r="C593" s="10" t="str">
        <f>IFERROR(__xludf.DUMMYFUNCTION("""COMPUTED_VALUE"""),"cometly.com")</f>
        <v>cometly.com</v>
      </c>
      <c r="D593" s="11" t="str">
        <f>IFERROR(__xludf.DUMMYFUNCTION("""COMPUTED_VALUE"""),"LISTICLE")</f>
        <v>LISTICLE</v>
      </c>
      <c r="E593" s="11" t="str">
        <f>IFERROR(__xludf.DUMMYFUNCTION("""COMPUTED_VALUE"""),"COMPETITOR")</f>
        <v>COMPETITOR</v>
      </c>
      <c r="F593" s="11" t="str">
        <f>IFERROR(__xludf.DUMMYFUNCTION("""COMPUTED_VALUE"""),"Listicle")</f>
        <v>Listicle</v>
      </c>
      <c r="G593" s="11" t="b">
        <f>IFERROR(__xludf.DUMMYFUNCTION("""COMPUTED_VALUE"""),FALSE)</f>
        <v>0</v>
      </c>
      <c r="H593" s="11" t="str">
        <f>IFERROR(__xludf.DUMMYFUNCTION("""COMPUTED_VALUE"""),"Cometly, Triple Whale, Northbeam, Rockerbox, Ruler Analytics, HockeyStack")</f>
        <v>Cometly, Triple Whale, Northbeam, Rockerbox, Ruler Analytics, HockeyStack</v>
      </c>
      <c r="I593" s="11">
        <f>IFERROR(__xludf.DUMMYFUNCTION("""COMPUTED_VALUE"""),1.0)</f>
        <v>1</v>
      </c>
      <c r="J593" s="11">
        <f>IFERROR(__xludf.DUMMYFUNCTION("""COMPUTED_VALUE"""),0.0)</f>
        <v>0</v>
      </c>
      <c r="K593" s="11">
        <f>IFERROR(__xludf.DUMMYFUNCTION("""COMPUTED_VALUE"""),1.0)</f>
        <v>1</v>
      </c>
    </row>
    <row r="594" ht="15.75" customHeight="1">
      <c r="A594" s="10" t="str">
        <f>IFERROR(__xludf.DUMMYFUNCTION("""COMPUTED_VALUE"""),"https://www.cometly.com/post/best-ai-powered-marketing-attribution-tools")</f>
        <v>https://www.cometly.com/post/best-ai-powered-marketing-attribution-tools</v>
      </c>
      <c r="B594" s="11" t="str">
        <f>IFERROR(__xludf.DUMMYFUNCTION("""COMPUTED_VALUE"""),"Best AI-Powered Marketing Attribution Tools Guide 2026")</f>
        <v>Best AI-Powered Marketing Attribution Tools Guide 2026</v>
      </c>
      <c r="C594" s="10" t="str">
        <f>IFERROR(__xludf.DUMMYFUNCTION("""COMPUTED_VALUE"""),"cometly.com")</f>
        <v>cometly.com</v>
      </c>
      <c r="D594" s="11" t="str">
        <f>IFERROR(__xludf.DUMMYFUNCTION("""COMPUTED_VALUE"""),"LISTICLE")</f>
        <v>LISTICLE</v>
      </c>
      <c r="E594" s="11" t="str">
        <f>IFERROR(__xludf.DUMMYFUNCTION("""COMPUTED_VALUE"""),"COMPETITOR")</f>
        <v>COMPETITOR</v>
      </c>
      <c r="F594" s="11" t="str">
        <f>IFERROR(__xludf.DUMMYFUNCTION("""COMPUTED_VALUE"""),"Listicle")</f>
        <v>Listicle</v>
      </c>
      <c r="G594" s="11" t="b">
        <f>IFERROR(__xludf.DUMMYFUNCTION("""COMPUTED_VALUE"""),FALSE)</f>
        <v>0</v>
      </c>
      <c r="H594" s="11" t="str">
        <f>IFERROR(__xludf.DUMMYFUNCTION("""COMPUTED_VALUE"""),"Cometly, Northbeam, Triple Whale, Rockerbox, Ruler Analytics")</f>
        <v>Cometly, Northbeam, Triple Whale, Rockerbox, Ruler Analytics</v>
      </c>
      <c r="I594" s="11">
        <f>IFERROR(__xludf.DUMMYFUNCTION("""COMPUTED_VALUE"""),1.0)</f>
        <v>1</v>
      </c>
      <c r="J594" s="11">
        <f>IFERROR(__xludf.DUMMYFUNCTION("""COMPUTED_VALUE"""),0.0)</f>
        <v>0</v>
      </c>
      <c r="K594" s="11">
        <f>IFERROR(__xludf.DUMMYFUNCTION("""COMPUTED_VALUE"""),1.0)</f>
        <v>1</v>
      </c>
    </row>
    <row r="595" ht="15.75" customHeight="1">
      <c r="A595" s="10" t="str">
        <f>IFERROR(__xludf.DUMMYFUNCTION("""COMPUTED_VALUE"""),"https://www.cometly.com/post/best-enterprise-attribution-tools")</f>
        <v>https://www.cometly.com/post/best-enterprise-attribution-tools</v>
      </c>
      <c r="B595" s="11" t="str">
        <f>IFERROR(__xludf.DUMMYFUNCTION("""COMPUTED_VALUE"""),"Best Enterprise Attribution Tools: Complete 2026 Guide")</f>
        <v>Best Enterprise Attribution Tools: Complete 2026 Guide</v>
      </c>
      <c r="C595" s="10" t="str">
        <f>IFERROR(__xludf.DUMMYFUNCTION("""COMPUTED_VALUE"""),"cometly.com")</f>
        <v>cometly.com</v>
      </c>
      <c r="D595" s="11" t="str">
        <f>IFERROR(__xludf.DUMMYFUNCTION("""COMPUTED_VALUE"""),"LISTICLE")</f>
        <v>LISTICLE</v>
      </c>
      <c r="E595" s="11" t="str">
        <f>IFERROR(__xludf.DUMMYFUNCTION("""COMPUTED_VALUE"""),"COMPETITOR")</f>
        <v>COMPETITOR</v>
      </c>
      <c r="F595" s="11" t="str">
        <f>IFERROR(__xludf.DUMMYFUNCTION("""COMPUTED_VALUE"""),"Listicle")</f>
        <v>Listicle</v>
      </c>
      <c r="G595" s="11" t="b">
        <f>IFERROR(__xludf.DUMMYFUNCTION("""COMPUTED_VALUE"""),FALSE)</f>
        <v>0</v>
      </c>
      <c r="H595" s="11" t="str">
        <f>IFERROR(__xludf.DUMMYFUNCTION("""COMPUTED_VALUE"""),"Cometly, Anomaly, Northbeam, Triple Whale, Rockerbox, Ruler Analytics")</f>
        <v>Cometly, Anomaly, Northbeam, Triple Whale, Rockerbox, Ruler Analytics</v>
      </c>
      <c r="I595" s="11">
        <f>IFERROR(__xludf.DUMMYFUNCTION("""COMPUTED_VALUE"""),1.0)</f>
        <v>1</v>
      </c>
      <c r="J595" s="11">
        <f>IFERROR(__xludf.DUMMYFUNCTION("""COMPUTED_VALUE"""),0.0)</f>
        <v>0</v>
      </c>
      <c r="K595" s="11">
        <f>IFERROR(__xludf.DUMMYFUNCTION("""COMPUTED_VALUE"""),1.0)</f>
        <v>1</v>
      </c>
    </row>
    <row r="596" ht="15.75" customHeight="1">
      <c r="A596" s="10" t="str">
        <f>IFERROR(__xludf.DUMMYFUNCTION("""COMPUTED_VALUE"""),"https://www.cometly.com/post/cross-channel-campaign-measurement-solutions")</f>
        <v>https://www.cometly.com/post/cross-channel-campaign-measurement-solutions</v>
      </c>
      <c r="B596" s="11" t="str">
        <f>IFERROR(__xludf.DUMMYFUNCTION("""COMPUTED_VALUE"""),"Top 9 Cross-Channel Campaign Measurement Solutions")</f>
        <v>Top 9 Cross-Channel Campaign Measurement Solutions</v>
      </c>
      <c r="C596" s="10" t="str">
        <f>IFERROR(__xludf.DUMMYFUNCTION("""COMPUTED_VALUE"""),"cometly.com")</f>
        <v>cometly.com</v>
      </c>
      <c r="D596" s="11" t="str">
        <f>IFERROR(__xludf.DUMMYFUNCTION("""COMPUTED_VALUE"""),"LISTICLE")</f>
        <v>LISTICLE</v>
      </c>
      <c r="E596" s="11" t="str">
        <f>IFERROR(__xludf.DUMMYFUNCTION("""COMPUTED_VALUE"""),"COMPETITOR")</f>
        <v>COMPETITOR</v>
      </c>
      <c r="F596" s="11" t="str">
        <f>IFERROR(__xludf.DUMMYFUNCTION("""COMPUTED_VALUE"""),"Listicle")</f>
        <v>Listicle</v>
      </c>
      <c r="G596" s="11" t="b">
        <f>IFERROR(__xludf.DUMMYFUNCTION("""COMPUTED_VALUE"""),FALSE)</f>
        <v>0</v>
      </c>
      <c r="H596" s="11" t="str">
        <f>IFERROR(__xludf.DUMMYFUNCTION("""COMPUTED_VALUE"""),"Cometly, Triple Whale, Northbeam, Rockerbox, Measured")</f>
        <v>Cometly, Triple Whale, Northbeam, Rockerbox, Measured</v>
      </c>
      <c r="I596" s="11">
        <f>IFERROR(__xludf.DUMMYFUNCTION("""COMPUTED_VALUE"""),1.0)</f>
        <v>1</v>
      </c>
      <c r="J596" s="11">
        <f>IFERROR(__xludf.DUMMYFUNCTION("""COMPUTED_VALUE"""),0.0)</f>
        <v>0</v>
      </c>
      <c r="K596" s="11">
        <f>IFERROR(__xludf.DUMMYFUNCTION("""COMPUTED_VALUE"""),1.0)</f>
        <v>1</v>
      </c>
    </row>
    <row r="597" ht="15.75" customHeight="1">
      <c r="A597" s="10" t="str">
        <f>IFERROR(__xludf.DUMMYFUNCTION("""COMPUTED_VALUE"""),"https://www.cometly.com/post/marketing-analytics-platforms-review")</f>
        <v>https://www.cometly.com/post/marketing-analytics-platforms-review</v>
      </c>
      <c r="B597" s="11" t="str">
        <f>IFERROR(__xludf.DUMMYFUNCTION("""COMPUTED_VALUE"""),"9 Best Marketing Analytics Platforms Review Guide 2026")</f>
        <v>9 Best Marketing Analytics Platforms Review Guide 2026</v>
      </c>
      <c r="C597" s="10" t="str">
        <f>IFERROR(__xludf.DUMMYFUNCTION("""COMPUTED_VALUE"""),"cometly.com")</f>
        <v>cometly.com</v>
      </c>
      <c r="D597" s="11" t="str">
        <f>IFERROR(__xludf.DUMMYFUNCTION("""COMPUTED_VALUE"""),"LISTICLE")</f>
        <v>LISTICLE</v>
      </c>
      <c r="E597" s="11" t="str">
        <f>IFERROR(__xludf.DUMMYFUNCTION("""COMPUTED_VALUE"""),"COMPETITOR")</f>
        <v>COMPETITOR</v>
      </c>
      <c r="F597" s="11" t="str">
        <f>IFERROR(__xludf.DUMMYFUNCTION("""COMPUTED_VALUE"""),"Listicle")</f>
        <v>Listicle</v>
      </c>
      <c r="G597" s="11" t="b">
        <f>IFERROR(__xludf.DUMMYFUNCTION("""COMPUTED_VALUE"""),FALSE)</f>
        <v>0</v>
      </c>
      <c r="H597" s="11" t="str">
        <f>IFERROR(__xludf.DUMMYFUNCTION("""COMPUTED_VALUE"""),"Cometly, Anomaly, Triple Whale, Northbeam, Ruler Analytics")</f>
        <v>Cometly, Anomaly, Triple Whale, Northbeam, Ruler Analytics</v>
      </c>
      <c r="I597" s="11">
        <f>IFERROR(__xludf.DUMMYFUNCTION("""COMPUTED_VALUE"""),1.0)</f>
        <v>1</v>
      </c>
      <c r="J597" s="11">
        <f>IFERROR(__xludf.DUMMYFUNCTION("""COMPUTED_VALUE"""),0.0)</f>
        <v>0</v>
      </c>
      <c r="K597" s="11">
        <f>IFERROR(__xludf.DUMMYFUNCTION("""COMPUTED_VALUE"""),1.0)</f>
        <v>1</v>
      </c>
    </row>
    <row r="598" ht="15.75" customHeight="1">
      <c r="A598" s="10" t="str">
        <f>IFERROR(__xludf.DUMMYFUNCTION("""COMPUTED_VALUE"""),"https://www.cometly.com/post/marketing-attribution-tools-comparison")</f>
        <v>https://www.cometly.com/post/marketing-attribution-tools-comparison</v>
      </c>
      <c r="B598" s="11" t="str">
        <f>IFERROR(__xludf.DUMMYFUNCTION("""COMPUTED_VALUE"""),"Marketing Attribution Tools Comparison: 2026 Guide")</f>
        <v>Marketing Attribution Tools Comparison: 2026 Guide</v>
      </c>
      <c r="C598" s="10" t="str">
        <f>IFERROR(__xludf.DUMMYFUNCTION("""COMPUTED_VALUE"""),"cometly.com")</f>
        <v>cometly.com</v>
      </c>
      <c r="D598" s="11" t="str">
        <f>IFERROR(__xludf.DUMMYFUNCTION("""COMPUTED_VALUE"""),"LISTICLE")</f>
        <v>LISTICLE</v>
      </c>
      <c r="E598" s="11" t="str">
        <f>IFERROR(__xludf.DUMMYFUNCTION("""COMPUTED_VALUE"""),"COMPETITOR")</f>
        <v>COMPETITOR</v>
      </c>
      <c r="F598" s="11" t="str">
        <f>IFERROR(__xludf.DUMMYFUNCTION("""COMPUTED_VALUE"""),"Listicle")</f>
        <v>Listicle</v>
      </c>
      <c r="G598" s="11" t="b">
        <f>IFERROR(__xludf.DUMMYFUNCTION("""COMPUTED_VALUE"""),FALSE)</f>
        <v>0</v>
      </c>
      <c r="H598" s="11" t="str">
        <f>IFERROR(__xludf.DUMMYFUNCTION("""COMPUTED_VALUE"""),"Cometly, Triple Whale, Northbeam, Rockerbox, Ruler Analytics")</f>
        <v>Cometly, Triple Whale, Northbeam, Rockerbox, Ruler Analytics</v>
      </c>
      <c r="I598" s="11">
        <f>IFERROR(__xludf.DUMMYFUNCTION("""COMPUTED_VALUE"""),1.0)</f>
        <v>1</v>
      </c>
      <c r="J598" s="11">
        <f>IFERROR(__xludf.DUMMYFUNCTION("""COMPUTED_VALUE"""),0.0)</f>
        <v>0</v>
      </c>
      <c r="K598" s="11">
        <f>IFERROR(__xludf.DUMMYFUNCTION("""COMPUTED_VALUE"""),1.0)</f>
        <v>1</v>
      </c>
    </row>
    <row r="599" ht="15.75" customHeight="1">
      <c r="A599" s="10" t="str">
        <f>IFERROR(__xludf.DUMMYFUNCTION("""COMPUTED_VALUE"""),"https://www.cometly.com/post/marketing-performance-analytics-tools")</f>
        <v>https://www.cometly.com/post/marketing-performance-analytics-tools</v>
      </c>
      <c r="B599" s="11" t="str">
        <f>IFERROR(__xludf.DUMMYFUNCTION("""COMPUTED_VALUE"""),"9 Best Marketing Performance Analytics Tools for 2026")</f>
        <v>9 Best Marketing Performance Analytics Tools for 2026</v>
      </c>
      <c r="C599" s="10" t="str">
        <f>IFERROR(__xludf.DUMMYFUNCTION("""COMPUTED_VALUE"""),"cometly.com")</f>
        <v>cometly.com</v>
      </c>
      <c r="D599" s="11" t="str">
        <f>IFERROR(__xludf.DUMMYFUNCTION("""COMPUTED_VALUE"""),"LISTICLE")</f>
        <v>LISTICLE</v>
      </c>
      <c r="E599" s="11" t="str">
        <f>IFERROR(__xludf.DUMMYFUNCTION("""COMPUTED_VALUE"""),"COMPETITOR")</f>
        <v>COMPETITOR</v>
      </c>
      <c r="F599" s="11" t="str">
        <f>IFERROR(__xludf.DUMMYFUNCTION("""COMPUTED_VALUE"""),"Listicle")</f>
        <v>Listicle</v>
      </c>
      <c r="G599" s="11" t="b">
        <f>IFERROR(__xludf.DUMMYFUNCTION("""COMPUTED_VALUE"""),FALSE)</f>
        <v>0</v>
      </c>
      <c r="H599" s="11" t="str">
        <f>IFERROR(__xludf.DUMMYFUNCTION("""COMPUTED_VALUE"""),"Cometly, Triple Whale, Northbeam, Rockerbox")</f>
        <v>Cometly, Triple Whale, Northbeam, Rockerbox</v>
      </c>
      <c r="I599" s="11">
        <f>IFERROR(__xludf.DUMMYFUNCTION("""COMPUTED_VALUE"""),1.0)</f>
        <v>1</v>
      </c>
      <c r="J599" s="11">
        <f>IFERROR(__xludf.DUMMYFUNCTION("""COMPUTED_VALUE"""),0.0)</f>
        <v>0</v>
      </c>
      <c r="K599" s="11">
        <f>IFERROR(__xludf.DUMMYFUNCTION("""COMPUTED_VALUE"""),1.0)</f>
        <v>1</v>
      </c>
    </row>
    <row r="600" ht="15.75" customHeight="1">
      <c r="A600" s="10" t="str">
        <f>IFERROR(__xludf.DUMMYFUNCTION("""COMPUTED_VALUE"""),"https://www.cometly.com/post/paid-advertising-analytics-tools")</f>
        <v>https://www.cometly.com/post/paid-advertising-analytics-tools</v>
      </c>
      <c r="B600" s="11" t="str">
        <f>IFERROR(__xludf.DUMMYFUNCTION("""COMPUTED_VALUE"""),"11 Best Paid Advertising Analytics Tools (2026 Guide)")</f>
        <v>11 Best Paid Advertising Analytics Tools (2026 Guide)</v>
      </c>
      <c r="C600" s="10" t="str">
        <f>IFERROR(__xludf.DUMMYFUNCTION("""COMPUTED_VALUE"""),"cometly.com")</f>
        <v>cometly.com</v>
      </c>
      <c r="D600" s="11" t="str">
        <f>IFERROR(__xludf.DUMMYFUNCTION("""COMPUTED_VALUE"""),"LISTICLE")</f>
        <v>LISTICLE</v>
      </c>
      <c r="E600" s="11" t="str">
        <f>IFERROR(__xludf.DUMMYFUNCTION("""COMPUTED_VALUE"""),"COMPETITOR")</f>
        <v>COMPETITOR</v>
      </c>
      <c r="F600" s="11" t="str">
        <f>IFERROR(__xludf.DUMMYFUNCTION("""COMPUTED_VALUE"""),"Listicle")</f>
        <v>Listicle</v>
      </c>
      <c r="G600" s="11" t="b">
        <f>IFERROR(__xludf.DUMMYFUNCTION("""COMPUTED_VALUE"""),FALSE)</f>
        <v>0</v>
      </c>
      <c r="H600" s="11" t="str">
        <f>IFERROR(__xludf.DUMMYFUNCTION("""COMPUTED_VALUE"""),"Cometly, Triple Whale, Northbeam, Rockerbox")</f>
        <v>Cometly, Triple Whale, Northbeam, Rockerbox</v>
      </c>
      <c r="I600" s="11">
        <f>IFERROR(__xludf.DUMMYFUNCTION("""COMPUTED_VALUE"""),1.0)</f>
        <v>1</v>
      </c>
      <c r="J600" s="11">
        <f>IFERROR(__xludf.DUMMYFUNCTION("""COMPUTED_VALUE"""),0.0)</f>
        <v>0</v>
      </c>
      <c r="K600" s="11">
        <f>IFERROR(__xludf.DUMMYFUNCTION("""COMPUTED_VALUE"""),1.0)</f>
        <v>1</v>
      </c>
    </row>
    <row r="601" ht="15.75" customHeight="1">
      <c r="A601" s="10" t="str">
        <f>IFERROR(__xludf.DUMMYFUNCTION("""COMPUTED_VALUE"""),"https://compare.growthmarshal.io/best-ai-search-optimization-agencies-2026/")</f>
        <v>https://compare.growthmarshal.io/best-ai-search-optimization-agencies-2026/</v>
      </c>
      <c r="B601" s="11" t="str">
        <f>IFERROR(__xludf.DUMMYFUNCTION("""COMPUTED_VALUE"""),"Best AI Search Optimization Agencies 2026 | Ranked")</f>
        <v>Best AI Search Optimization Agencies 2026 | Ranked</v>
      </c>
      <c r="C601" s="10" t="str">
        <f>IFERROR(__xludf.DUMMYFUNCTION("""COMPUTED_VALUE"""),"growthmarshal.io")</f>
        <v>growthmarshal.io</v>
      </c>
      <c r="D601" s="11" t="str">
        <f>IFERROR(__xludf.DUMMYFUNCTION("""COMPUTED_VALUE"""),"LISTICLE")</f>
        <v>LISTICLE</v>
      </c>
      <c r="E601" s="11" t="str">
        <f>IFERROR(__xludf.DUMMYFUNCTION("""COMPUTED_VALUE"""),"CORPORATE")</f>
        <v>CORPORATE</v>
      </c>
      <c r="F601" s="11" t="str">
        <f>IFERROR(__xludf.DUMMYFUNCTION("""COMPUTED_VALUE"""),"Listicle")</f>
        <v>Listicle</v>
      </c>
      <c r="G601" s="11" t="b">
        <f>IFERROR(__xludf.DUMMYFUNCTION("""COMPUTED_VALUE"""),FALSE)</f>
        <v>0</v>
      </c>
      <c r="H601" s="11" t="str">
        <f>IFERROR(__xludf.DUMMYFUNCTION("""COMPUTED_VALUE"""),"First Page Sage, Directive, Omniscient Digital, Siege Media, RevenueZen, Animalz")</f>
        <v>First Page Sage, Directive, Omniscient Digital, Siege Media, RevenueZen, Animalz</v>
      </c>
      <c r="I601" s="11">
        <f>IFERROR(__xludf.DUMMYFUNCTION("""COMPUTED_VALUE"""),1.0)</f>
        <v>1</v>
      </c>
      <c r="J601" s="11">
        <f>IFERROR(__xludf.DUMMYFUNCTION("""COMPUTED_VALUE"""),0.0)</f>
        <v>0</v>
      </c>
      <c r="K601" s="11">
        <f>IFERROR(__xludf.DUMMYFUNCTION("""COMPUTED_VALUE"""),0.0)</f>
        <v>0</v>
      </c>
    </row>
    <row r="602" ht="15.75" customHeight="1">
      <c r="A602" s="10" t="str">
        <f>IFERROR(__xludf.DUMMYFUNCTION("""COMPUTED_VALUE"""),"https://contensifyhq.com/blog/best-geo-agencies-for-b2b-saas/")</f>
        <v>https://contensifyhq.com/blog/best-geo-agencies-for-b2b-saas/</v>
      </c>
      <c r="B602" s="11" t="str">
        <f>IFERROR(__xludf.DUMMYFUNCTION("""COMPUTED_VALUE"""),"Best GEO Agencies for B2B SaaS Companies (2026) | Contensify")</f>
        <v>Best GEO Agencies for B2B SaaS Companies (2026) | Contensify</v>
      </c>
      <c r="C602" s="10" t="str">
        <f>IFERROR(__xludf.DUMMYFUNCTION("""COMPUTED_VALUE"""),"contensifyhq.com")</f>
        <v>contensifyhq.com</v>
      </c>
      <c r="D602" s="11" t="str">
        <f>IFERROR(__xludf.DUMMYFUNCTION("""COMPUTED_VALUE"""),"LISTICLE")</f>
        <v>LISTICLE</v>
      </c>
      <c r="E602" s="11" t="str">
        <f>IFERROR(__xludf.DUMMYFUNCTION("""COMPUTED_VALUE"""),"CORPORATE")</f>
        <v>CORPORATE</v>
      </c>
      <c r="F602" s="11" t="str">
        <f>IFERROR(__xludf.DUMMYFUNCTION("""COMPUTED_VALUE"""),"Listicle")</f>
        <v>Listicle</v>
      </c>
      <c r="G602" s="11" t="b">
        <f>IFERROR(__xludf.DUMMYFUNCTION("""COMPUTED_VALUE"""),FALSE)</f>
        <v>0</v>
      </c>
      <c r="H602" s="11" t="str">
        <f>IFERROR(__xludf.DUMMYFUNCTION("""COMPUTED_VALUE"""),"First Page Sage, WebFX, The SEO Works")</f>
        <v>First Page Sage, WebFX, The SEO Works</v>
      </c>
      <c r="I602" s="11">
        <f>IFERROR(__xludf.DUMMYFUNCTION("""COMPUTED_VALUE"""),1.0)</f>
        <v>1</v>
      </c>
      <c r="J602" s="11">
        <f>IFERROR(__xludf.DUMMYFUNCTION("""COMPUTED_VALUE"""),0.0)</f>
        <v>0</v>
      </c>
      <c r="K602" s="11">
        <f>IFERROR(__xludf.DUMMYFUNCTION("""COMPUTED_VALUE"""),1.0)</f>
        <v>1</v>
      </c>
    </row>
    <row r="603" ht="15.75" customHeight="1">
      <c r="A603" s="10" t="str">
        <f>IFERROR(__xludf.DUMMYFUNCTION("""COMPUTED_VALUE"""),"https://coolnerdsmarketing.com/best-integrated-marketing-agencies/")</f>
        <v>https://coolnerdsmarketing.com/best-integrated-marketing-agencies/</v>
      </c>
      <c r="B603" s="11" t="str">
        <f>IFERROR(__xludf.DUMMYFUNCTION("""COMPUTED_VALUE"""),"15 Best Integrated Marketing Agencies &amp;amp; Services in 2026")</f>
        <v>15 Best Integrated Marketing Agencies &amp;amp; Services in 2026</v>
      </c>
      <c r="C603" s="10" t="str">
        <f>IFERROR(__xludf.DUMMYFUNCTION("""COMPUTED_VALUE"""),"coolnerdsmarketing.com")</f>
        <v>coolnerdsmarketing.com</v>
      </c>
      <c r="D603" s="11" t="str">
        <f>IFERROR(__xludf.DUMMYFUNCTION("""COMPUTED_VALUE"""),"LISTICLE")</f>
        <v>LISTICLE</v>
      </c>
      <c r="E603" s="11" t="str">
        <f>IFERROR(__xludf.DUMMYFUNCTION("""COMPUTED_VALUE"""),"CORPORATE")</f>
        <v>CORPORATE</v>
      </c>
      <c r="F603" s="11" t="str">
        <f>IFERROR(__xludf.DUMMYFUNCTION("""COMPUTED_VALUE"""),"Listicle")</f>
        <v>Listicle</v>
      </c>
      <c r="G603" s="11" t="b">
        <f>IFERROR(__xludf.DUMMYFUNCTION("""COMPUTED_VALUE"""),FALSE)</f>
        <v>0</v>
      </c>
      <c r="H603" s="11" t="str">
        <f>IFERROR(__xludf.DUMMYFUNCTION("""COMPUTED_VALUE"""),"Wpromote, Tinuiti, Power Digital, Disruptive Advertising, DEPT, NinjaPromo, KlientBoost, WebFX, SmartSites")</f>
        <v>Wpromote, Tinuiti, Power Digital, Disruptive Advertising, DEPT, NinjaPromo, KlientBoost, WebFX, SmartSites</v>
      </c>
      <c r="I603" s="11">
        <f>IFERROR(__xludf.DUMMYFUNCTION("""COMPUTED_VALUE"""),1.0)</f>
        <v>1</v>
      </c>
      <c r="J603" s="11">
        <f>IFERROR(__xludf.DUMMYFUNCTION("""COMPUTED_VALUE"""),0.0)</f>
        <v>0</v>
      </c>
      <c r="K603" s="11">
        <f>IFERROR(__xludf.DUMMYFUNCTION("""COMPUTED_VALUE"""),1.0)</f>
        <v>1</v>
      </c>
    </row>
    <row r="604" ht="15.75" customHeight="1">
      <c r="A604" s="10" t="str">
        <f>IFERROR(__xludf.DUMMYFUNCTION("""COMPUTED_VALUE"""),"https://coolnerdsmarketing.com/top-omnichannel-marketing-agencies/")</f>
        <v>https://coolnerdsmarketing.com/top-omnichannel-marketing-agencies/</v>
      </c>
      <c r="B604" s="11" t="str">
        <f>IFERROR(__xludf.DUMMYFUNCTION("""COMPUTED_VALUE"""),"Top 10 Omnichannel Marketing Agencies in 2026")</f>
        <v>Top 10 Omnichannel Marketing Agencies in 2026</v>
      </c>
      <c r="C604" s="10" t="str">
        <f>IFERROR(__xludf.DUMMYFUNCTION("""COMPUTED_VALUE"""),"coolnerdsmarketing.com")</f>
        <v>coolnerdsmarketing.com</v>
      </c>
      <c r="D604" s="11" t="str">
        <f>IFERROR(__xludf.DUMMYFUNCTION("""COMPUTED_VALUE"""),"LISTICLE")</f>
        <v>LISTICLE</v>
      </c>
      <c r="E604" s="11" t="str">
        <f>IFERROR(__xludf.DUMMYFUNCTION("""COMPUTED_VALUE"""),"CORPORATE")</f>
        <v>CORPORATE</v>
      </c>
      <c r="F604" s="11" t="str">
        <f>IFERROR(__xludf.DUMMYFUNCTION("""COMPUTED_VALUE"""),"Listicle")</f>
        <v>Listicle</v>
      </c>
      <c r="G604" s="11" t="b">
        <f>IFERROR(__xludf.DUMMYFUNCTION("""COMPUTED_VALUE"""),FALSE)</f>
        <v>0</v>
      </c>
      <c r="H604" s="11" t="str">
        <f>IFERROR(__xludf.DUMMYFUNCTION("""COMPUTED_VALUE"""),"R/GA, DEPT, Tinuiti, Bounteous, Huge, AKQA")</f>
        <v>R/GA, DEPT, Tinuiti, Bounteous, Huge, AKQA</v>
      </c>
      <c r="I604" s="11">
        <f>IFERROR(__xludf.DUMMYFUNCTION("""COMPUTED_VALUE"""),1.0)</f>
        <v>1</v>
      </c>
      <c r="J604" s="11">
        <f>IFERROR(__xludf.DUMMYFUNCTION("""COMPUTED_VALUE"""),0.0)</f>
        <v>0</v>
      </c>
      <c r="K604" s="11">
        <f>IFERROR(__xludf.DUMMYFUNCTION("""COMPUTED_VALUE"""),1.0)</f>
        <v>1</v>
      </c>
    </row>
    <row r="605" ht="15.75" customHeight="1">
      <c r="A605" s="10" t="str">
        <f>IFERROR(__xludf.DUMMYFUNCTION("""COMPUTED_VALUE"""),"https://www.coseom.com/best-b2b-marketing-agencies-for-saas-fintech-and-cybersecurity/")</f>
        <v>https://www.coseom.com/best-b2b-marketing-agencies-for-saas-fintech-and-cybersecurity/</v>
      </c>
      <c r="B605" s="11" t="str">
        <f>IFERROR(__xludf.DUMMYFUNCTION("""COMPUTED_VALUE"""),"15 Best B2B Marketing Agencies for SaaS, FinTech, Cybersecurity | COSEOM®")</f>
        <v>15 Best B2B Marketing Agencies for SaaS, FinTech, Cybersecurity | COSEOM®</v>
      </c>
      <c r="C605" s="10" t="str">
        <f>IFERROR(__xludf.DUMMYFUNCTION("""COMPUTED_VALUE"""),"coseom.com")</f>
        <v>coseom.com</v>
      </c>
      <c r="D605" s="11" t="str">
        <f>IFERROR(__xludf.DUMMYFUNCTION("""COMPUTED_VALUE"""),"LISTICLE")</f>
        <v>LISTICLE</v>
      </c>
      <c r="E605" s="11" t="str">
        <f>IFERROR(__xludf.DUMMYFUNCTION("""COMPUTED_VALUE"""),"CORPORATE")</f>
        <v>CORPORATE</v>
      </c>
      <c r="F605" s="11" t="str">
        <f>IFERROR(__xludf.DUMMYFUNCTION("""COMPUTED_VALUE"""),"Listicle")</f>
        <v>Listicle</v>
      </c>
      <c r="G605" s="11" t="b">
        <f>IFERROR(__xludf.DUMMYFUNCTION("""COMPUTED_VALUE"""),FALSE)</f>
        <v>0</v>
      </c>
      <c r="H605" s="11" t="str">
        <f>IFERROR(__xludf.DUMMYFUNCTION("""COMPUTED_VALUE"""),"Measured, Ignite Visibility, KlientBoost, WebFX, Single Grain, Clutch")</f>
        <v>Measured, Ignite Visibility, KlientBoost, WebFX, Single Grain, Clutch</v>
      </c>
      <c r="I605" s="11">
        <f>IFERROR(__xludf.DUMMYFUNCTION("""COMPUTED_VALUE"""),1.0)</f>
        <v>1</v>
      </c>
      <c r="J605" s="11">
        <f>IFERROR(__xludf.DUMMYFUNCTION("""COMPUTED_VALUE"""),0.0)</f>
        <v>0</v>
      </c>
      <c r="K605" s="11">
        <f>IFERROR(__xludf.DUMMYFUNCTION("""COMPUTED_VALUE"""),1.0)</f>
        <v>1</v>
      </c>
    </row>
    <row r="606" ht="15.75" customHeight="1">
      <c r="A606" s="10" t="str">
        <f>IFERROR(__xludf.DUMMYFUNCTION("""COMPUTED_VALUE"""),"https://craftandroot.com/blog/saas-tech-branding-agencies/")</f>
        <v>https://craftandroot.com/blog/saas-tech-branding-agencies/</v>
      </c>
      <c r="B606" s="11" t="str">
        <f>IFERROR(__xludf.DUMMYFUNCTION("""COMPUTED_VALUE"""),"Top 7 SaaS &amp;amp; Tech Branding Agencies in the US (2026)")</f>
        <v>Top 7 SaaS &amp;amp; Tech Branding Agencies in the US (2026)</v>
      </c>
      <c r="C606" s="10" t="str">
        <f>IFERROR(__xludf.DUMMYFUNCTION("""COMPUTED_VALUE"""),"craftandroot.com")</f>
        <v>craftandroot.com</v>
      </c>
      <c r="D606" s="11" t="str">
        <f>IFERROR(__xludf.DUMMYFUNCTION("""COMPUTED_VALUE"""),"LISTICLE")</f>
        <v>LISTICLE</v>
      </c>
      <c r="E606" s="11" t="str">
        <f>IFERROR(__xludf.DUMMYFUNCTION("""COMPUTED_VALUE"""),"CORPORATE")</f>
        <v>CORPORATE</v>
      </c>
      <c r="F606" s="11" t="str">
        <f>IFERROR(__xludf.DUMMYFUNCTION("""COMPUTED_VALUE"""),"Listicle")</f>
        <v>Listicle</v>
      </c>
      <c r="G606" s="11" t="b">
        <f>IFERROR(__xludf.DUMMYFUNCTION("""COMPUTED_VALUE"""),FALSE)</f>
        <v>0</v>
      </c>
      <c r="H606" s="11" t="str">
        <f>IFERROR(__xludf.DUMMYFUNCTION("""COMPUTED_VALUE"""),"Clay, Measured")</f>
        <v>Clay, Measured</v>
      </c>
      <c r="I606" s="11">
        <f>IFERROR(__xludf.DUMMYFUNCTION("""COMPUTED_VALUE"""),1.0)</f>
        <v>1</v>
      </c>
      <c r="J606" s="11">
        <f>IFERROR(__xludf.DUMMYFUNCTION("""COMPUTED_VALUE"""),0.0)</f>
        <v>0</v>
      </c>
      <c r="K606" s="11">
        <f>IFERROR(__xludf.DUMMYFUNCTION("""COMPUTED_VALUE"""),1.0)</f>
        <v>1</v>
      </c>
    </row>
    <row r="607" ht="15.75" customHeight="1">
      <c r="A607" s="10" t="str">
        <f>IFERROR(__xludf.DUMMYFUNCTION("""COMPUTED_VALUE"""),"https://craftandroot.com/blog/web-marketing-agencies/")</f>
        <v>https://craftandroot.com/blog/web-marketing-agencies/</v>
      </c>
      <c r="B607" s="11" t="str">
        <f>IFERROR(__xludf.DUMMYFUNCTION("""COMPUTED_VALUE"""),"Top 7 Web Marketing Agencies - Craft and Root | Branding and Design Agency")</f>
        <v>Top 7 Web Marketing Agencies - Craft and Root | Branding and Design Agency</v>
      </c>
      <c r="C607" s="10" t="str">
        <f>IFERROR(__xludf.DUMMYFUNCTION("""COMPUTED_VALUE"""),"craftandroot.com")</f>
        <v>craftandroot.com</v>
      </c>
      <c r="D607" s="11" t="str">
        <f>IFERROR(__xludf.DUMMYFUNCTION("""COMPUTED_VALUE"""),"LISTICLE")</f>
        <v>LISTICLE</v>
      </c>
      <c r="E607" s="11" t="str">
        <f>IFERROR(__xludf.DUMMYFUNCTION("""COMPUTED_VALUE"""),"CORPORATE")</f>
        <v>CORPORATE</v>
      </c>
      <c r="F607" s="11" t="str">
        <f>IFERROR(__xludf.DUMMYFUNCTION("""COMPUTED_VALUE"""),"Listicle")</f>
        <v>Listicle</v>
      </c>
      <c r="G607" s="11" t="b">
        <f>IFERROR(__xludf.DUMMYFUNCTION("""COMPUTED_VALUE"""),FALSE)</f>
        <v>0</v>
      </c>
      <c r="H607" s="11" t="str">
        <f>IFERROR(__xludf.DUMMYFUNCTION("""COMPUTED_VALUE"""),"Dentsu, Thrive Internet Marketing Agency, WebFX, Ignite Visibility, SmartSites, Disruptive Advertising, Clutch")</f>
        <v>Dentsu, Thrive Internet Marketing Agency, WebFX, Ignite Visibility, SmartSites, Disruptive Advertising, Clutch</v>
      </c>
      <c r="I607" s="11">
        <f>IFERROR(__xludf.DUMMYFUNCTION("""COMPUTED_VALUE"""),1.0)</f>
        <v>1</v>
      </c>
      <c r="J607" s="11">
        <f>IFERROR(__xludf.DUMMYFUNCTION("""COMPUTED_VALUE"""),0.0)</f>
        <v>0</v>
      </c>
      <c r="K607" s="11">
        <f>IFERROR(__xludf.DUMMYFUNCTION("""COMPUTED_VALUE"""),1.0)</f>
        <v>1</v>
      </c>
    </row>
    <row r="608" ht="15.75" customHeight="1">
      <c r="A608" s="10" t="str">
        <f>IFERROR(__xludf.DUMMYFUNCTION("""COMPUTED_VALUE"""),"https://creatif.agency/best-branding-agencies-in-the-us/")</f>
        <v>https://creatif.agency/best-branding-agencies-in-the-us/</v>
      </c>
      <c r="B608" s="11" t="str">
        <f>IFERROR(__xludf.DUMMYFUNCTION("""COMPUTED_VALUE"""),"Best branding agencies in the US")</f>
        <v>Best branding agencies in the US</v>
      </c>
      <c r="C608" s="11" t="str">
        <f>IFERROR(__xludf.DUMMYFUNCTION("""COMPUTED_VALUE"""),"creatif.agency")</f>
        <v>creatif.agency</v>
      </c>
      <c r="D608" s="11" t="str">
        <f>IFERROR(__xludf.DUMMYFUNCTION("""COMPUTED_VALUE"""),"LISTICLE")</f>
        <v>LISTICLE</v>
      </c>
      <c r="E608" s="11" t="str">
        <f>IFERROR(__xludf.DUMMYFUNCTION("""COMPUTED_VALUE"""),"CORPORATE")</f>
        <v>CORPORATE</v>
      </c>
      <c r="F608" s="11" t="str">
        <f>IFERROR(__xludf.DUMMYFUNCTION("""COMPUTED_VALUE"""),"Listicle")</f>
        <v>Listicle</v>
      </c>
      <c r="G608" s="11" t="b">
        <f>IFERROR(__xludf.DUMMYFUNCTION("""COMPUTED_VALUE"""),FALSE)</f>
        <v>0</v>
      </c>
      <c r="H608" s="11" t="str">
        <f>IFERROR(__xludf.DUMMYFUNCTION("""COMPUTED_VALUE"""),"Pentagram, Wolff Olins, Clay")</f>
        <v>Pentagram, Wolff Olins, Clay</v>
      </c>
      <c r="I608" s="11">
        <f>IFERROR(__xludf.DUMMYFUNCTION("""COMPUTED_VALUE"""),1.0)</f>
        <v>1</v>
      </c>
      <c r="J608" s="11">
        <f>IFERROR(__xludf.DUMMYFUNCTION("""COMPUTED_VALUE"""),0.0)</f>
        <v>0</v>
      </c>
      <c r="K608" s="11">
        <f>IFERROR(__xludf.DUMMYFUNCTION("""COMPUTED_VALUE"""),0.0)</f>
        <v>0</v>
      </c>
    </row>
    <row r="609" ht="15.75" customHeight="1">
      <c r="A609" s="10" t="str">
        <f>IFERROR(__xludf.DUMMYFUNCTION("""COMPUTED_VALUE"""),"https://creativeformore.com/top-cross-border-marketing-agencies-helping-u-s-brands-expand-into-asia/")</f>
        <v>https://creativeformore.com/top-cross-border-marketing-agencies-helping-u-s-brands-expand-into-asia/</v>
      </c>
      <c r="B609" s="11" t="str">
        <f>IFERROR(__xludf.DUMMYFUNCTION("""COMPUTED_VALUE"""),"Top Cross-Border Marketing Agencies for U.S. Brands Expanding Into Asia (2026)")</f>
        <v>Top Cross-Border Marketing Agencies for U.S. Brands Expanding Into Asia (2026)</v>
      </c>
      <c r="C609" s="10" t="str">
        <f>IFERROR(__xludf.DUMMYFUNCTION("""COMPUTED_VALUE"""),"creativeformore.com")</f>
        <v>creativeformore.com</v>
      </c>
      <c r="D609" s="11" t="str">
        <f>IFERROR(__xludf.DUMMYFUNCTION("""COMPUTED_VALUE"""),"LISTICLE")</f>
        <v>LISTICLE</v>
      </c>
      <c r="E609" s="11" t="str">
        <f>IFERROR(__xludf.DUMMYFUNCTION("""COMPUTED_VALUE"""),"CORPORATE")</f>
        <v>CORPORATE</v>
      </c>
      <c r="F609" s="11" t="str">
        <f>IFERROR(__xludf.DUMMYFUNCTION("""COMPUTED_VALUE"""),"Listicle")</f>
        <v>Listicle</v>
      </c>
      <c r="G609" s="11" t="b">
        <f>IFERROR(__xludf.DUMMYFUNCTION("""COMPUTED_VALUE"""),FALSE)</f>
        <v>0</v>
      </c>
      <c r="H609" s="11" t="str">
        <f>IFERROR(__xludf.DUMMYFUNCTION("""COMPUTED_VALUE"""),"R/GA, Ogilvy, Dentsu, Clutch")</f>
        <v>R/GA, Ogilvy, Dentsu, Clutch</v>
      </c>
      <c r="I609" s="11">
        <f>IFERROR(__xludf.DUMMYFUNCTION("""COMPUTED_VALUE"""),1.0)</f>
        <v>1</v>
      </c>
      <c r="J609" s="11">
        <f>IFERROR(__xludf.DUMMYFUNCTION("""COMPUTED_VALUE"""),0.0)</f>
        <v>0</v>
      </c>
      <c r="K609" s="11">
        <f>IFERROR(__xludf.DUMMYFUNCTION("""COMPUTED_VALUE"""),0.0)</f>
        <v>0</v>
      </c>
    </row>
    <row r="610" ht="15.75" customHeight="1">
      <c r="A610" s="10" t="str">
        <f>IFERROR(__xludf.DUMMYFUNCTION("""COMPUTED_VALUE"""),"https://www.creativefrontiers.co/blog/best-creative-agency-nyc-elevate-your-brand-with-expert-solutions")</f>
        <v>https://www.creativefrontiers.co/blog/best-creative-agency-nyc-elevate-your-brand-with-expert-solutions</v>
      </c>
      <c r="B610" s="11" t="str">
        <f>IFERROR(__xludf.DUMMYFUNCTION("""COMPUTED_VALUE"""),"Best Creative Agency NYC: Elevate Your Brand with Expert Solutions | Creative Frontiers")</f>
        <v>Best Creative Agency NYC: Elevate Your Brand with Expert Solutions | Creative Frontiers</v>
      </c>
      <c r="C610" s="10" t="str">
        <f>IFERROR(__xludf.DUMMYFUNCTION("""COMPUTED_VALUE"""),"creativefrontiers.co")</f>
        <v>creativefrontiers.co</v>
      </c>
      <c r="D610" s="11" t="str">
        <f>IFERROR(__xludf.DUMMYFUNCTION("""COMPUTED_VALUE"""),"LISTICLE")</f>
        <v>LISTICLE</v>
      </c>
      <c r="E610" s="11" t="str">
        <f>IFERROR(__xludf.DUMMYFUNCTION("""COMPUTED_VALUE"""),"OTHER")</f>
        <v>OTHER</v>
      </c>
      <c r="F610" s="11" t="str">
        <f>IFERROR(__xludf.DUMMYFUNCTION("""COMPUTED_VALUE"""),"Listicle")</f>
        <v>Listicle</v>
      </c>
      <c r="G610" s="11" t="b">
        <f>IFERROR(__xludf.DUMMYFUNCTION("""COMPUTED_VALUE"""),FALSE)</f>
        <v>0</v>
      </c>
      <c r="H610" s="11" t="str">
        <f>IFERROR(__xludf.DUMMYFUNCTION("""COMPUTED_VALUE"""),"Pentagram, R/GA, Clutch")</f>
        <v>Pentagram, R/GA, Clutch</v>
      </c>
      <c r="I610" s="11">
        <f>IFERROR(__xludf.DUMMYFUNCTION("""COMPUTED_VALUE"""),1.0)</f>
        <v>1</v>
      </c>
      <c r="J610" s="11">
        <f>IFERROR(__xludf.DUMMYFUNCTION("""COMPUTED_VALUE"""),0.0)</f>
        <v>0</v>
      </c>
      <c r="K610" s="11">
        <f>IFERROR(__xludf.DUMMYFUNCTION("""COMPUTED_VALUE"""),0.0)</f>
        <v>0</v>
      </c>
    </row>
    <row r="611" ht="15.75" customHeight="1">
      <c r="A611" s="10" t="str">
        <f>IFERROR(__xludf.DUMMYFUNCTION("""COMPUTED_VALUE"""),"https://creativemediahouse.ae/top-10-creative-agencies-in-gcc/")</f>
        <v>https://creativemediahouse.ae/top-10-creative-agencies-in-gcc/</v>
      </c>
      <c r="B611" s="11" t="str">
        <f>IFERROR(__xludf.DUMMYFUNCTION("""COMPUTED_VALUE"""),"Top 10 Emirati Creative Agencies in GCC | Creative Maketing")</f>
        <v>Top 10 Emirati Creative Agencies in GCC | Creative Maketing</v>
      </c>
      <c r="C611" s="10" t="str">
        <f>IFERROR(__xludf.DUMMYFUNCTION("""COMPUTED_VALUE"""),"creativemediahouse.ae")</f>
        <v>creativemediahouse.ae</v>
      </c>
      <c r="D611" s="11" t="str">
        <f>IFERROR(__xludf.DUMMYFUNCTION("""COMPUTED_VALUE"""),"LISTICLE")</f>
        <v>LISTICLE</v>
      </c>
      <c r="E611" s="11" t="str">
        <f>IFERROR(__xludf.DUMMYFUNCTION("""COMPUTED_VALUE"""),"CORPORATE")</f>
        <v>CORPORATE</v>
      </c>
      <c r="F611" s="11" t="str">
        <f>IFERROR(__xludf.DUMMYFUNCTION("""COMPUTED_VALUE"""),"Listicle")</f>
        <v>Listicle</v>
      </c>
      <c r="G611" s="11" t="b">
        <f>IFERROR(__xludf.DUMMYFUNCTION("""COMPUTED_VALUE"""),FALSE)</f>
        <v>0</v>
      </c>
      <c r="H611" s="11" t="str">
        <f>IFERROR(__xludf.DUMMYFUNCTION("""COMPUTED_VALUE"""),"Ogilvy")</f>
        <v>Ogilvy</v>
      </c>
      <c r="I611" s="11">
        <f>IFERROR(__xludf.DUMMYFUNCTION("""COMPUTED_VALUE"""),1.0)</f>
        <v>1</v>
      </c>
      <c r="J611" s="11">
        <f>IFERROR(__xludf.DUMMYFUNCTION("""COMPUTED_VALUE"""),0.0)</f>
        <v>0</v>
      </c>
      <c r="K611" s="11">
        <f>IFERROR(__xludf.DUMMYFUNCTION("""COMPUTED_VALUE"""),1.0)</f>
        <v>1</v>
      </c>
    </row>
    <row r="612" ht="15.75" customHeight="1">
      <c r="A612" s="10" t="str">
        <f>IFERROR(__xludf.DUMMYFUNCTION("""COMPUTED_VALUE"""),"https://www.daasity.com/post/best-ecommerce-analytics-software-for-fast-growing-dtc-brands")</f>
        <v>https://www.daasity.com/post/best-ecommerce-analytics-software-for-fast-growing-dtc-brands</v>
      </c>
      <c r="B612" s="11" t="str">
        <f>IFERROR(__xludf.DUMMYFUNCTION("""COMPUTED_VALUE"""),"Best Ecommerce Analytics Software for Fast-Growing DTC Brands | Daasity")</f>
        <v>Best Ecommerce Analytics Software for Fast-Growing DTC Brands | Daasity</v>
      </c>
      <c r="C612" s="10" t="str">
        <f>IFERROR(__xludf.DUMMYFUNCTION("""COMPUTED_VALUE"""),"daasity.com")</f>
        <v>daasity.com</v>
      </c>
      <c r="D612" s="11" t="str">
        <f>IFERROR(__xludf.DUMMYFUNCTION("""COMPUTED_VALUE"""),"LISTICLE")</f>
        <v>LISTICLE</v>
      </c>
      <c r="E612" s="11" t="str">
        <f>IFERROR(__xludf.DUMMYFUNCTION("""COMPUTED_VALUE"""),"CORPORATE")</f>
        <v>CORPORATE</v>
      </c>
      <c r="F612" s="11" t="str">
        <f>IFERROR(__xludf.DUMMYFUNCTION("""COMPUTED_VALUE"""),"Listicle")</f>
        <v>Listicle</v>
      </c>
      <c r="G612" s="11" t="b">
        <f>IFERROR(__xludf.DUMMYFUNCTION("""COMPUTED_VALUE"""),FALSE)</f>
        <v>0</v>
      </c>
      <c r="H612" s="11" t="str">
        <f>IFERROR(__xludf.DUMMYFUNCTION("""COMPUTED_VALUE"""),"Triple Whale, Northbeam")</f>
        <v>Triple Whale, Northbeam</v>
      </c>
      <c r="I612" s="11">
        <f>IFERROR(__xludf.DUMMYFUNCTION("""COMPUTED_VALUE"""),1.0)</f>
        <v>1</v>
      </c>
      <c r="J612" s="11">
        <f>IFERROR(__xludf.DUMMYFUNCTION("""COMPUTED_VALUE"""),0.0)</f>
        <v>0</v>
      </c>
      <c r="K612" s="11">
        <f>IFERROR(__xludf.DUMMYFUNCTION("""COMPUTED_VALUE"""),1.0)</f>
        <v>1</v>
      </c>
    </row>
    <row r="613" ht="15.75" customHeight="1">
      <c r="A613" s="10" t="str">
        <f>IFERROR(__xludf.DUMMYFUNCTION("""COMPUTED_VALUE"""),"https://www.darkroomagency.com/observatory/10-best-growth-marketing-agencies-in-2026-%28ranked-for-online-sales%29")</f>
        <v>https://www.darkroomagency.com/observatory/10-best-growth-marketing-agencies-in-2026-%28ranked-for-online-sales%29</v>
      </c>
      <c r="B613" s="11" t="str">
        <f>IFERROR(__xludf.DUMMYFUNCTION("""COMPUTED_VALUE"""),"Growth Marketing Solutions: 10 Best Agencies (2026)")</f>
        <v>Growth Marketing Solutions: 10 Best Agencies (2026)</v>
      </c>
      <c r="C613" s="10" t="str">
        <f>IFERROR(__xludf.DUMMYFUNCTION("""COMPUTED_VALUE"""),"darkroomagency.com")</f>
        <v>darkroomagency.com</v>
      </c>
      <c r="D613" s="11" t="str">
        <f>IFERROR(__xludf.DUMMYFUNCTION("""COMPUTED_VALUE"""),"LISTICLE")</f>
        <v>LISTICLE</v>
      </c>
      <c r="E613" s="11" t="str">
        <f>IFERROR(__xludf.DUMMYFUNCTION("""COMPUTED_VALUE"""),"COMPETITOR")</f>
        <v>COMPETITOR</v>
      </c>
      <c r="F613" s="11" t="str">
        <f>IFERROR(__xludf.DUMMYFUNCTION("""COMPUTED_VALUE"""),"Listicle")</f>
        <v>Listicle</v>
      </c>
      <c r="G613" s="11" t="b">
        <f>IFERROR(__xludf.DUMMYFUNCTION("""COMPUTED_VALUE"""),FALSE)</f>
        <v>0</v>
      </c>
      <c r="H613" s="11" t="str">
        <f>IFERROR(__xludf.DUMMYFUNCTION("""COMPUTED_VALUE"""),"Darkroom, Tinuiti, Wpromote, Brainlabs, Common Thread Collective, Disruptive Advertising, Power Digital, NoGood, Right Side Up, KlientBoost, Droga5")</f>
        <v>Darkroom, Tinuiti, Wpromote, Brainlabs, Common Thread Collective, Disruptive Advertising, Power Digital, NoGood, Right Side Up, KlientBoost, Droga5</v>
      </c>
      <c r="I613" s="11">
        <f>IFERROR(__xludf.DUMMYFUNCTION("""COMPUTED_VALUE"""),1.0)</f>
        <v>1</v>
      </c>
      <c r="J613" s="11">
        <f>IFERROR(__xludf.DUMMYFUNCTION("""COMPUTED_VALUE"""),0.0)</f>
        <v>0</v>
      </c>
      <c r="K613" s="11">
        <f>IFERROR(__xludf.DUMMYFUNCTION("""COMPUTED_VALUE"""),3.0)</f>
        <v>3</v>
      </c>
    </row>
    <row r="614" ht="15.75" customHeight="1">
      <c r="A614" s="10" t="str">
        <f>IFERROR(__xludf.DUMMYFUNCTION("""COMPUTED_VALUE"""),"https://www.darkroomagency.com/observatory/15-leading-performance-creative-agencies-in-2025#:~:text=Each%20brings%20distinct%20strengths%20to%20performance%20creative%2C,ROI%20and%20strategic%20partnership.%20%2D%202.%20Tinuiti.")</f>
        <v>https://www.darkroomagency.com/observatory/15-leading-performance-creative-agencies-in-2025#:~:text=Each%20brings%20distinct%20strengths%20to%20performance%20creative%2C,ROI%20and%20strategic%20partnership.%20%2D%202.%20Tinuiti.</v>
      </c>
      <c r="B614" s="11" t="str">
        <f>IFERROR(__xludf.DUMMYFUNCTION("""COMPUTED_VALUE"""),"Performance Creative Agencies That Boost ROAS - 2025")</f>
        <v>Performance Creative Agencies That Boost ROAS - 2025</v>
      </c>
      <c r="C614" s="10" t="str">
        <f>IFERROR(__xludf.DUMMYFUNCTION("""COMPUTED_VALUE"""),"darkroomagency.com")</f>
        <v>darkroomagency.com</v>
      </c>
      <c r="D614" s="11" t="str">
        <f>IFERROR(__xludf.DUMMYFUNCTION("""COMPUTED_VALUE"""),"LISTICLE")</f>
        <v>LISTICLE</v>
      </c>
      <c r="E614" s="11" t="str">
        <f>IFERROR(__xludf.DUMMYFUNCTION("""COMPUTED_VALUE"""),"COMPETITOR")</f>
        <v>COMPETITOR</v>
      </c>
      <c r="F614" s="11" t="str">
        <f>IFERROR(__xludf.DUMMYFUNCTION("""COMPUTED_VALUE"""),"Listicle")</f>
        <v>Listicle</v>
      </c>
      <c r="G614" s="11" t="b">
        <f>IFERROR(__xludf.DUMMYFUNCTION("""COMPUTED_VALUE"""),FALSE)</f>
        <v>0</v>
      </c>
      <c r="H614" s="11" t="str">
        <f>IFERROR(__xludf.DUMMYFUNCTION("""COMPUTED_VALUE"""),"Darkroom, Measured, Momentum, Tinuiti, NoGood, MuteSix, Power Digital, Superside, Silverback Strategies, inBeat, Croud, Noble Studios, Droga5")</f>
        <v>Darkroom, Measured, Momentum, Tinuiti, NoGood, MuteSix, Power Digital, Superside, Silverback Strategies, inBeat, Croud, Noble Studios, Droga5</v>
      </c>
      <c r="I614" s="11">
        <f>IFERROR(__xludf.DUMMYFUNCTION("""COMPUTED_VALUE"""),1.0)</f>
        <v>1</v>
      </c>
      <c r="J614" s="11">
        <f>IFERROR(__xludf.DUMMYFUNCTION("""COMPUTED_VALUE"""),0.0)</f>
        <v>0</v>
      </c>
      <c r="K614" s="11">
        <f>IFERROR(__xludf.DUMMYFUNCTION("""COMPUTED_VALUE"""),3.0)</f>
        <v>3</v>
      </c>
    </row>
    <row r="615" ht="15.75" customHeight="1">
      <c r="A615" s="10" t="str">
        <f>IFERROR(__xludf.DUMMYFUNCTION("""COMPUTED_VALUE"""),"https://www.darkroomagency.com/observatory/what-is-a-growth-hacking-agency-definition-and-top-12-picks-for-2026")</f>
        <v>https://www.darkroomagency.com/observatory/what-is-a-growth-hacking-agency-definition-and-top-12-picks-for-2026</v>
      </c>
      <c r="B615" s="11" t="str">
        <f>IFERROR(__xludf.DUMMYFUNCTION("""COMPUTED_VALUE"""),"What Is a Growth Hacking Agency? Top Picks for 2026")</f>
        <v>What Is a Growth Hacking Agency? Top Picks for 2026</v>
      </c>
      <c r="C615" s="10" t="str">
        <f>IFERROR(__xludf.DUMMYFUNCTION("""COMPUTED_VALUE"""),"darkroomagency.com")</f>
        <v>darkroomagency.com</v>
      </c>
      <c r="D615" s="11" t="str">
        <f>IFERROR(__xludf.DUMMYFUNCTION("""COMPUTED_VALUE"""),"LISTICLE")</f>
        <v>LISTICLE</v>
      </c>
      <c r="E615" s="11" t="str">
        <f>IFERROR(__xludf.DUMMYFUNCTION("""COMPUTED_VALUE"""),"COMPETITOR")</f>
        <v>COMPETITOR</v>
      </c>
      <c r="F615" s="11" t="str">
        <f>IFERROR(__xludf.DUMMYFUNCTION("""COMPUTED_VALUE"""),"Listicle")</f>
        <v>Listicle</v>
      </c>
      <c r="G615" s="11" t="b">
        <f>IFERROR(__xludf.DUMMYFUNCTION("""COMPUTED_VALUE"""),FALSE)</f>
        <v>0</v>
      </c>
      <c r="H615" s="11" t="str">
        <f>IFERROR(__xludf.DUMMYFUNCTION("""COMPUTED_VALUE"""),"Darkroom, Measured, NoGood, Right Side Up, Tinuiti, Power Digital, MuteSix, Droga5")</f>
        <v>Darkroom, Measured, NoGood, Right Side Up, Tinuiti, Power Digital, MuteSix, Droga5</v>
      </c>
      <c r="I615" s="11">
        <f>IFERROR(__xludf.DUMMYFUNCTION("""COMPUTED_VALUE"""),1.0)</f>
        <v>1</v>
      </c>
      <c r="J615" s="11">
        <f>IFERROR(__xludf.DUMMYFUNCTION("""COMPUTED_VALUE"""),0.0)</f>
        <v>0</v>
      </c>
      <c r="K615" s="11">
        <f>IFERROR(__xludf.DUMMYFUNCTION("""COMPUTED_VALUE"""),1.0)</f>
        <v>1</v>
      </c>
    </row>
    <row r="616" ht="15.75" customHeight="1">
      <c r="A616" s="10" t="str">
        <f>IFERROR(__xludf.DUMMYFUNCTION("""COMPUTED_VALUE"""),"https://www.darwinapps.com/blog/9-best-marketing-measurement-tools-for-attribution-analytics-and-data-integration-in-2026/")</f>
        <v>https://www.darwinapps.com/blog/9-best-marketing-measurement-tools-for-attribution-analytics-and-data-integration-in-2026/</v>
      </c>
      <c r="B616" s="11" t="str">
        <f>IFERROR(__xludf.DUMMYFUNCTION("""COMPUTED_VALUE"""),"9 Best Marketing Measurement Tools for Attribution, Analytics &amp;amp; Data Integration in 2026 · DarwinApps")</f>
        <v>9 Best Marketing Measurement Tools for Attribution, Analytics &amp;amp; Data Integration in 2026 · DarwinApps</v>
      </c>
      <c r="C616" s="10" t="str">
        <f>IFERROR(__xludf.DUMMYFUNCTION("""COMPUTED_VALUE"""),"darwinapps.com")</f>
        <v>darwinapps.com</v>
      </c>
      <c r="D616" s="11" t="str">
        <f>IFERROR(__xludf.DUMMYFUNCTION("""COMPUTED_VALUE"""),"LISTICLE")</f>
        <v>LISTICLE</v>
      </c>
      <c r="E616" s="11" t="str">
        <f>IFERROR(__xludf.DUMMYFUNCTION("""COMPUTED_VALUE"""),"CORPORATE")</f>
        <v>CORPORATE</v>
      </c>
      <c r="F616" s="11" t="str">
        <f>IFERROR(__xludf.DUMMYFUNCTION("""COMPUTED_VALUE"""),"Listicle")</f>
        <v>Listicle</v>
      </c>
      <c r="G616" s="11" t="b">
        <f>IFERROR(__xludf.DUMMYFUNCTION("""COMPUTED_VALUE"""),FALSE)</f>
        <v>0</v>
      </c>
      <c r="H616" s="11" t="str">
        <f>IFERROR(__xludf.DUMMYFUNCTION("""COMPUTED_VALUE"""),"SegmentStream, Triple Whale, Northbeam, Measured, Rockerbox")</f>
        <v>SegmentStream, Triple Whale, Northbeam, Measured, Rockerbox</v>
      </c>
      <c r="I616" s="11">
        <f>IFERROR(__xludf.DUMMYFUNCTION("""COMPUTED_VALUE"""),1.0)</f>
        <v>1</v>
      </c>
      <c r="J616" s="11">
        <f>IFERROR(__xludf.DUMMYFUNCTION("""COMPUTED_VALUE"""),0.0)</f>
        <v>0</v>
      </c>
      <c r="K616" s="11">
        <f>IFERROR(__xludf.DUMMYFUNCTION("""COMPUTED_VALUE"""),0.0)</f>
        <v>0</v>
      </c>
    </row>
    <row r="617" ht="15.75" customHeight="1">
      <c r="A617" s="10" t="str">
        <f>IFERROR(__xludf.DUMMYFUNCTION("""COMPUTED_VALUE"""),"https://www.dataally.ai/blog/best-beauty-marketing-agencies")</f>
        <v>https://www.dataally.ai/blog/best-beauty-marketing-agencies</v>
      </c>
      <c r="B617" s="11" t="str">
        <f>IFERROR(__xludf.DUMMYFUNCTION("""COMPUTED_VALUE"""),"12 Best Beauty Marketing Agencies in 2026 (Ranked &amp;amp; Reviewed)")</f>
        <v>12 Best Beauty Marketing Agencies in 2026 (Ranked &amp;amp; Reviewed)</v>
      </c>
      <c r="C617" s="10" t="str">
        <f>IFERROR(__xludf.DUMMYFUNCTION("""COMPUTED_VALUE"""),"dataally.ai")</f>
        <v>dataally.ai</v>
      </c>
      <c r="D617" s="11" t="str">
        <f>IFERROR(__xludf.DUMMYFUNCTION("""COMPUTED_VALUE"""),"LISTICLE")</f>
        <v>LISTICLE</v>
      </c>
      <c r="E617" s="11" t="str">
        <f>IFERROR(__xludf.DUMMYFUNCTION("""COMPUTED_VALUE"""),"CORPORATE")</f>
        <v>CORPORATE</v>
      </c>
      <c r="F617" s="11" t="str">
        <f>IFERROR(__xludf.DUMMYFUNCTION("""COMPUTED_VALUE"""),"Listicle")</f>
        <v>Listicle</v>
      </c>
      <c r="G617" s="11" t="b">
        <f>IFERROR(__xludf.DUMMYFUNCTION("""COMPUTED_VALUE"""),FALSE)</f>
        <v>0</v>
      </c>
      <c r="H617" s="11" t="str">
        <f>IFERROR(__xludf.DUMMYFUNCTION("""COMPUTED_VALUE"""),"Brighter Click, Common Thread Collective, NoGood, inBeat")</f>
        <v>Brighter Click, Common Thread Collective, NoGood, inBeat</v>
      </c>
      <c r="I617" s="11">
        <f>IFERROR(__xludf.DUMMYFUNCTION("""COMPUTED_VALUE"""),1.0)</f>
        <v>1</v>
      </c>
      <c r="J617" s="11">
        <f>IFERROR(__xludf.DUMMYFUNCTION("""COMPUTED_VALUE"""),0.0)</f>
        <v>0</v>
      </c>
      <c r="K617" s="11">
        <f>IFERROR(__xludf.DUMMYFUNCTION("""COMPUTED_VALUE"""),1.0)</f>
        <v>1</v>
      </c>
    </row>
    <row r="618" ht="15.75" customHeight="1">
      <c r="A618" s="10" t="str">
        <f>IFERROR(__xludf.DUMMYFUNCTION("""COMPUTED_VALUE"""),"https://www.dataally.ai/blog/best-saas-marketing-agencies")</f>
        <v>https://www.dataally.ai/blog/best-saas-marketing-agencies</v>
      </c>
      <c r="B618" s="11" t="str">
        <f>IFERROR(__xludf.DUMMYFUNCTION("""COMPUTED_VALUE"""),"11 Best SaaS Marketing Agencies in 2026")</f>
        <v>11 Best SaaS Marketing Agencies in 2026</v>
      </c>
      <c r="C618" s="10" t="str">
        <f>IFERROR(__xludf.DUMMYFUNCTION("""COMPUTED_VALUE"""),"dataally.ai")</f>
        <v>dataally.ai</v>
      </c>
      <c r="D618" s="11" t="str">
        <f>IFERROR(__xludf.DUMMYFUNCTION("""COMPUTED_VALUE"""),"LISTICLE")</f>
        <v>LISTICLE</v>
      </c>
      <c r="E618" s="11" t="str">
        <f>IFERROR(__xludf.DUMMYFUNCTION("""COMPUTED_VALUE"""),"CORPORATE")</f>
        <v>CORPORATE</v>
      </c>
      <c r="F618" s="11" t="str">
        <f>IFERROR(__xludf.DUMMYFUNCTION("""COMPUTED_VALUE"""),"Listicle")</f>
        <v>Listicle</v>
      </c>
      <c r="G618" s="11" t="b">
        <f>IFERROR(__xludf.DUMMYFUNCTION("""COMPUTED_VALUE"""),FALSE)</f>
        <v>0</v>
      </c>
      <c r="H618" s="11" t="str">
        <f>IFERROR(__xludf.DUMMYFUNCTION("""COMPUTED_VALUE"""),"Brighter Click, Directive, Animalz, Siege Media, KlientBoost")</f>
        <v>Brighter Click, Directive, Animalz, Siege Media, KlientBoost</v>
      </c>
      <c r="I618" s="11">
        <f>IFERROR(__xludf.DUMMYFUNCTION("""COMPUTED_VALUE"""),1.0)</f>
        <v>1</v>
      </c>
      <c r="J618" s="11">
        <f>IFERROR(__xludf.DUMMYFUNCTION("""COMPUTED_VALUE"""),0.0)</f>
        <v>0</v>
      </c>
      <c r="K618" s="11">
        <f>IFERROR(__xludf.DUMMYFUNCTION("""COMPUTED_VALUE"""),0.0)</f>
        <v>0</v>
      </c>
    </row>
    <row r="619" ht="15.75" customHeight="1">
      <c r="A619" s="10" t="str">
        <f>IFERROR(__xludf.DUMMYFUNCTION("""COMPUTED_VALUE"""),"https://delivix.digital/marketing/marketing-agencies-in-the-usa/")</f>
        <v>https://delivix.digital/marketing/marketing-agencies-in-the-usa/</v>
      </c>
      <c r="B619" s="11" t="str">
        <f>IFERROR(__xludf.DUMMYFUNCTION("""COMPUTED_VALUE"""),"Top 10 Marketing Agencies in the USA | Best Digital Marketing Firms 2026")</f>
        <v>Top 10 Marketing Agencies in the USA | Best Digital Marketing Firms 2026</v>
      </c>
      <c r="C619" s="11" t="str">
        <f>IFERROR(__xludf.DUMMYFUNCTION("""COMPUTED_VALUE"""),"delivix.digital")</f>
        <v>delivix.digital</v>
      </c>
      <c r="D619" s="11" t="str">
        <f>IFERROR(__xludf.DUMMYFUNCTION("""COMPUTED_VALUE"""),"LISTICLE")</f>
        <v>LISTICLE</v>
      </c>
      <c r="E619" s="11" t="str">
        <f>IFERROR(__xludf.DUMMYFUNCTION("""COMPUTED_VALUE"""),"CORPORATE")</f>
        <v>CORPORATE</v>
      </c>
      <c r="F619" s="11" t="str">
        <f>IFERROR(__xludf.DUMMYFUNCTION("""COMPUTED_VALUE"""),"Listicle")</f>
        <v>Listicle</v>
      </c>
      <c r="G619" s="11" t="b">
        <f>IFERROR(__xludf.DUMMYFUNCTION("""COMPUTED_VALUE"""),FALSE)</f>
        <v>0</v>
      </c>
      <c r="H619" s="11" t="str">
        <f>IFERROR(__xludf.DUMMYFUNCTION("""COMPUTED_VALUE"""),"WebFX, SmartSites, Disruptive Advertising, Ignite Visibility, Power Digital, Ogilvy, Intero Digital, Victorious, KlientBoost")</f>
        <v>WebFX, SmartSites, Disruptive Advertising, Ignite Visibility, Power Digital, Ogilvy, Intero Digital, Victorious, KlientBoost</v>
      </c>
      <c r="I619" s="11">
        <f>IFERROR(__xludf.DUMMYFUNCTION("""COMPUTED_VALUE"""),1.0)</f>
        <v>1</v>
      </c>
      <c r="J619" s="11">
        <f>IFERROR(__xludf.DUMMYFUNCTION("""COMPUTED_VALUE"""),0.0)</f>
        <v>0</v>
      </c>
      <c r="K619" s="11">
        <f>IFERROR(__xludf.DUMMYFUNCTION("""COMPUTED_VALUE"""),1.0)</f>
        <v>1</v>
      </c>
    </row>
    <row r="620" ht="15.75" customHeight="1">
      <c r="A620" s="10" t="str">
        <f>IFERROR(__xludf.DUMMYFUNCTION("""COMPUTED_VALUE"""),"https://delivix.digital/seo/top-10-social-media-agencies-globally/")</f>
        <v>https://delivix.digital/seo/top-10-social-media-agencies-globally/</v>
      </c>
      <c r="B620" s="11" t="str">
        <f>IFERROR(__xludf.DUMMYFUNCTION("""COMPUTED_VALUE"""),"Top 10 Social Media Agencies Globally - Delivix")</f>
        <v>Top 10 Social Media Agencies Globally - Delivix</v>
      </c>
      <c r="C620" s="11" t="str">
        <f>IFERROR(__xludf.DUMMYFUNCTION("""COMPUTED_VALUE"""),"delivix.digital")</f>
        <v>delivix.digital</v>
      </c>
      <c r="D620" s="11" t="str">
        <f>IFERROR(__xludf.DUMMYFUNCTION("""COMPUTED_VALUE"""),"LISTICLE")</f>
        <v>LISTICLE</v>
      </c>
      <c r="E620" s="11" t="str">
        <f>IFERROR(__xludf.DUMMYFUNCTION("""COMPUTED_VALUE"""),"CORPORATE")</f>
        <v>CORPORATE</v>
      </c>
      <c r="F620" s="11" t="str">
        <f>IFERROR(__xludf.DUMMYFUNCTION("""COMPUTED_VALUE"""),"Listicle")</f>
        <v>Listicle</v>
      </c>
      <c r="G620" s="11" t="b">
        <f>IFERROR(__xludf.DUMMYFUNCTION("""COMPUTED_VALUE"""),FALSE)</f>
        <v>0</v>
      </c>
      <c r="H620" s="11" t="str">
        <f>IFERROR(__xludf.DUMMYFUNCTION("""COMPUTED_VALUE"""),"LYFE Marketing, WebFX, Clutch, Viral Nation, The Social Shepherd, Disruptive Advertising, SmartSites")</f>
        <v>LYFE Marketing, WebFX, Clutch, Viral Nation, The Social Shepherd, Disruptive Advertising, SmartSites</v>
      </c>
      <c r="I620" s="11">
        <f>IFERROR(__xludf.DUMMYFUNCTION("""COMPUTED_VALUE"""),1.0)</f>
        <v>1</v>
      </c>
      <c r="J620" s="11">
        <f>IFERROR(__xludf.DUMMYFUNCTION("""COMPUTED_VALUE"""),0.0)</f>
        <v>0</v>
      </c>
      <c r="K620" s="11">
        <f>IFERROR(__xludf.DUMMYFUNCTION("""COMPUTED_VALUE"""),1.0)</f>
        <v>1</v>
      </c>
    </row>
    <row r="621" ht="15.75" customHeight="1">
      <c r="A621" s="10" t="str">
        <f>IFERROR(__xludf.DUMMYFUNCTION("""COMPUTED_VALUE"""),"https://www.demandlocal.com/blog/search-everywhere-optimization-agencies/")</f>
        <v>https://www.demandlocal.com/blog/search-everywhere-optimization-agencies/</v>
      </c>
      <c r="B621" s="11" t="str">
        <f>IFERROR(__xludf.DUMMYFUNCTION("""COMPUTED_VALUE"""),"Search Everywhere Optimization Agencies: Beyond Google in 2026 | Demand Local, Inc.")</f>
        <v>Search Everywhere Optimization Agencies: Beyond Google in 2026 | Demand Local, Inc.</v>
      </c>
      <c r="C621" s="10" t="str">
        <f>IFERROR(__xludf.DUMMYFUNCTION("""COMPUTED_VALUE"""),"demandlocal.com")</f>
        <v>demandlocal.com</v>
      </c>
      <c r="D621" s="11" t="str">
        <f>IFERROR(__xludf.DUMMYFUNCTION("""COMPUTED_VALUE"""),"LISTICLE")</f>
        <v>LISTICLE</v>
      </c>
      <c r="E621" s="11" t="str">
        <f>IFERROR(__xludf.DUMMYFUNCTION("""COMPUTED_VALUE"""),"CORPORATE")</f>
        <v>CORPORATE</v>
      </c>
      <c r="F621" s="11" t="str">
        <f>IFERROR(__xludf.DUMMYFUNCTION("""COMPUTED_VALUE"""),"Listicle")</f>
        <v>Listicle</v>
      </c>
      <c r="G621" s="11" t="b">
        <f>IFERROR(__xludf.DUMMYFUNCTION("""COMPUTED_VALUE"""),FALSE)</f>
        <v>0</v>
      </c>
      <c r="H621" s="11"/>
      <c r="I621" s="11">
        <f>IFERROR(__xludf.DUMMYFUNCTION("""COMPUTED_VALUE"""),1.0)</f>
        <v>1</v>
      </c>
      <c r="J621" s="11">
        <f>IFERROR(__xludf.DUMMYFUNCTION("""COMPUTED_VALUE"""),0.0)</f>
        <v>0</v>
      </c>
      <c r="K621" s="11">
        <f>IFERROR(__xludf.DUMMYFUNCTION("""COMPUTED_VALUE"""),0.0)</f>
        <v>0</v>
      </c>
    </row>
    <row r="622" ht="15.75" customHeight="1">
      <c r="A622" s="10" t="str">
        <f>IFERROR(__xludf.DUMMYFUNCTION("""COMPUTED_VALUE"""),"https://www.demandsage.com/saas-content-marketing-agencies/")</f>
        <v>https://www.demandsage.com/saas-content-marketing-agencies/</v>
      </c>
      <c r="B622" s="11" t="str">
        <f>IFERROR(__xludf.DUMMYFUNCTION("""COMPUTED_VALUE"""),"13 Best SaaS Content Marketing Agencies 2026 [Ranked]")</f>
        <v>13 Best SaaS Content Marketing Agencies 2026 [Ranked]</v>
      </c>
      <c r="C622" s="10" t="str">
        <f>IFERROR(__xludf.DUMMYFUNCTION("""COMPUTED_VALUE"""),"demandsage.com")</f>
        <v>demandsage.com</v>
      </c>
      <c r="D622" s="11" t="str">
        <f>IFERROR(__xludf.DUMMYFUNCTION("""COMPUTED_VALUE"""),"LISTICLE")</f>
        <v>LISTICLE</v>
      </c>
      <c r="E622" s="11" t="str">
        <f>IFERROR(__xludf.DUMMYFUNCTION("""COMPUTED_VALUE"""),"EDITORIAL")</f>
        <v>EDITORIAL</v>
      </c>
      <c r="F622" s="11" t="str">
        <f>IFERROR(__xludf.DUMMYFUNCTION("""COMPUTED_VALUE"""),"Listicle")</f>
        <v>Listicle</v>
      </c>
      <c r="G622" s="11" t="b">
        <f>IFERROR(__xludf.DUMMYFUNCTION("""COMPUTED_VALUE"""),FALSE)</f>
        <v>0</v>
      </c>
      <c r="H622" s="11" t="str">
        <f>IFERROR(__xludf.DUMMYFUNCTION("""COMPUTED_VALUE"""),"Omniscient Digital, Animalz, Siege Media, Hey Digital, Directive, NoGood, NP Digital, Measured, Clutch")</f>
        <v>Omniscient Digital, Animalz, Siege Media, Hey Digital, Directive, NoGood, NP Digital, Measured, Clutch</v>
      </c>
      <c r="I622" s="11">
        <f>IFERROR(__xludf.DUMMYFUNCTION("""COMPUTED_VALUE"""),1.0)</f>
        <v>1</v>
      </c>
      <c r="J622" s="11">
        <f>IFERROR(__xludf.DUMMYFUNCTION("""COMPUTED_VALUE"""),0.0)</f>
        <v>0</v>
      </c>
      <c r="K622" s="11">
        <f>IFERROR(__xludf.DUMMYFUNCTION("""COMPUTED_VALUE"""),1.0)</f>
        <v>1</v>
      </c>
    </row>
    <row r="623" ht="15.75" customHeight="1">
      <c r="A623" s="10" t="str">
        <f>IFERROR(__xludf.DUMMYFUNCTION("""COMPUTED_VALUE"""),"https://www.designity.com/blog/best-branding-agencies-for-startups")</f>
        <v>https://www.designity.com/blog/best-branding-agencies-for-startups</v>
      </c>
      <c r="B623" s="11" t="str">
        <f>IFERROR(__xludf.DUMMYFUNCTION("""COMPUTED_VALUE"""),"10 Best Branding Agencies for Startups in 2026 - Designity - Designity")</f>
        <v>10 Best Branding Agencies for Startups in 2026 - Designity - Designity</v>
      </c>
      <c r="C623" s="10" t="str">
        <f>IFERROR(__xludf.DUMMYFUNCTION("""COMPUTED_VALUE"""),"designity.com")</f>
        <v>designity.com</v>
      </c>
      <c r="D623" s="11" t="str">
        <f>IFERROR(__xludf.DUMMYFUNCTION("""COMPUTED_VALUE"""),"LISTICLE")</f>
        <v>LISTICLE</v>
      </c>
      <c r="E623" s="11" t="str">
        <f>IFERROR(__xludf.DUMMYFUNCTION("""COMPUTED_VALUE"""),"CORPORATE")</f>
        <v>CORPORATE</v>
      </c>
      <c r="F623" s="11" t="str">
        <f>IFERROR(__xludf.DUMMYFUNCTION("""COMPUTED_VALUE"""),"Listicle")</f>
        <v>Listicle</v>
      </c>
      <c r="G623" s="11" t="b">
        <f>IFERROR(__xludf.DUMMYFUNCTION("""COMPUTED_VALUE"""),FALSE)</f>
        <v>0</v>
      </c>
      <c r="H623" s="11" t="str">
        <f>IFERROR(__xludf.DUMMYFUNCTION("""COMPUTED_VALUE"""),"Pentagram, Clutch, Clay, Ogilvy, IBM")</f>
        <v>Pentagram, Clutch, Clay, Ogilvy, IBM</v>
      </c>
      <c r="I623" s="11">
        <f>IFERROR(__xludf.DUMMYFUNCTION("""COMPUTED_VALUE"""),1.0)</f>
        <v>1</v>
      </c>
      <c r="J623" s="11">
        <f>IFERROR(__xludf.DUMMYFUNCTION("""COMPUTED_VALUE"""),0.0)</f>
        <v>0</v>
      </c>
      <c r="K623" s="11">
        <f>IFERROR(__xludf.DUMMYFUNCTION("""COMPUTED_VALUE"""),1.0)</f>
        <v>1</v>
      </c>
    </row>
    <row r="624" ht="15.75" customHeight="1">
      <c r="A624" s="10" t="str">
        <f>IFERROR(__xludf.DUMMYFUNCTION("""COMPUTED_VALUE"""),"https://www.designrush.com/agency/paid-media-pay-per-click/trends/display-ads")</f>
        <v>https://www.designrush.com/agency/paid-media-pay-per-click/trends/display-ads</v>
      </c>
      <c r="B624" s="11" t="str">
        <f>IFERROR(__xludf.DUMMYFUNCTION("""COMPUTED_VALUE"""),"PPC Trends \| DesignRush")</f>
        <v>PPC Trends \| DesignRush</v>
      </c>
      <c r="C624" s="10" t="str">
        <f>IFERROR(__xludf.DUMMYFUNCTION("""COMPUTED_VALUE"""),"designrush.com")</f>
        <v>designrush.com</v>
      </c>
      <c r="D624" s="11" t="str">
        <f>IFERROR(__xludf.DUMMYFUNCTION("""COMPUTED_VALUE"""),"LISTICLE")</f>
        <v>LISTICLE</v>
      </c>
      <c r="E624" s="11" t="str">
        <f>IFERROR(__xludf.DUMMYFUNCTION("""COMPUTED_VALUE"""),"CORPORATE")</f>
        <v>CORPORATE</v>
      </c>
      <c r="F624" s="11" t="str">
        <f>IFERROR(__xludf.DUMMYFUNCTION("""COMPUTED_VALUE"""),"Listicle")</f>
        <v>Listicle</v>
      </c>
      <c r="G624" s="11" t="b">
        <f>IFERROR(__xludf.DUMMYFUNCTION("""COMPUTED_VALUE"""),FALSE)</f>
        <v>0</v>
      </c>
      <c r="H624" s="11"/>
      <c r="I624" s="11">
        <f>IFERROR(__xludf.DUMMYFUNCTION("""COMPUTED_VALUE"""),1.0)</f>
        <v>1</v>
      </c>
      <c r="J624" s="11">
        <f>IFERROR(__xludf.DUMMYFUNCTION("""COMPUTED_VALUE"""),0.0)</f>
        <v>0</v>
      </c>
      <c r="K624" s="11">
        <f>IFERROR(__xludf.DUMMYFUNCTION("""COMPUTED_VALUE"""),1.0)</f>
        <v>1</v>
      </c>
    </row>
    <row r="625" ht="15.75" customHeight="1">
      <c r="A625" s="10" t="str">
        <f>IFERROR(__xludf.DUMMYFUNCTION("""COMPUTED_VALUE"""),"https://deviatelabs.com/resources/12-best-performance-marketing-agencies-crushing-kpis/#:~:text=With%20%244B%20in%20digital%20media%20under%20management,achieve%20perfect%20harmony.%20What%20makes%20Tinuiti%20special%3F")</f>
        <v>https://deviatelabs.com/resources/12-best-performance-marketing-agencies-crushing-kpis/#:~:text=With%20%244B%20in%20digital%20media%20under%20management,achieve%20perfect%20harmony.%20What%20makes%20Tinuiti%20special%3F</v>
      </c>
      <c r="B625" s="11" t="str">
        <f>IFERROR(__xludf.DUMMYFUNCTION("""COMPUTED_VALUE"""),"12 Best Performance Marketing Agencies Crushing KPIs in 2026 \| Deviate Labs")</f>
        <v>12 Best Performance Marketing Agencies Crushing KPIs in 2026 \| Deviate Labs</v>
      </c>
      <c r="C625" s="10" t="str">
        <f>IFERROR(__xludf.DUMMYFUNCTION("""COMPUTED_VALUE"""),"deviatelabs.com")</f>
        <v>deviatelabs.com</v>
      </c>
      <c r="D625" s="11" t="str">
        <f>IFERROR(__xludf.DUMMYFUNCTION("""COMPUTED_VALUE"""),"LISTICLE")</f>
        <v>LISTICLE</v>
      </c>
      <c r="E625" s="11" t="str">
        <f>IFERROR(__xludf.DUMMYFUNCTION("""COMPUTED_VALUE"""),"CORPORATE")</f>
        <v>CORPORATE</v>
      </c>
      <c r="F625" s="11" t="str">
        <f>IFERROR(__xludf.DUMMYFUNCTION("""COMPUTED_VALUE"""),"Listicle")</f>
        <v>Listicle</v>
      </c>
      <c r="G625" s="11" t="b">
        <f>IFERROR(__xludf.DUMMYFUNCTION("""COMPUTED_VALUE"""),FALSE)</f>
        <v>0</v>
      </c>
      <c r="H625" s="11"/>
      <c r="I625" s="11">
        <f>IFERROR(__xludf.DUMMYFUNCTION("""COMPUTED_VALUE"""),1.0)</f>
        <v>1</v>
      </c>
      <c r="J625" s="11">
        <f>IFERROR(__xludf.DUMMYFUNCTION("""COMPUTED_VALUE"""),0.0)</f>
        <v>0</v>
      </c>
      <c r="K625" s="11">
        <f>IFERROR(__xludf.DUMMYFUNCTION("""COMPUTED_VALUE"""),1.0)</f>
        <v>1</v>
      </c>
    </row>
    <row r="626" ht="15.75" customHeight="1">
      <c r="A626" s="10" t="str">
        <f>IFERROR(__xludf.DUMMYFUNCTION("""COMPUTED_VALUE"""),"https://diceus.com/top-generative-ai-consulting-companies/")</f>
        <v>https://diceus.com/top-generative-ai-consulting-companies/</v>
      </c>
      <c r="B626" s="11" t="str">
        <f>IFERROR(__xludf.DUMMYFUNCTION("""COMPUTED_VALUE"""),"Top 10 Generative AI Consulting Companies for 2026 \| DICEUS")</f>
        <v>Top 10 Generative AI Consulting Companies for 2026 \| DICEUS</v>
      </c>
      <c r="C626" s="10" t="str">
        <f>IFERROR(__xludf.DUMMYFUNCTION("""COMPUTED_VALUE"""),"diceus.com")</f>
        <v>diceus.com</v>
      </c>
      <c r="D626" s="11" t="str">
        <f>IFERROR(__xludf.DUMMYFUNCTION("""COMPUTED_VALUE"""),"LISTICLE")</f>
        <v>LISTICLE</v>
      </c>
      <c r="E626" s="11" t="str">
        <f>IFERROR(__xludf.DUMMYFUNCTION("""COMPUTED_VALUE"""),"CORPORATE")</f>
        <v>CORPORATE</v>
      </c>
      <c r="F626" s="11" t="str">
        <f>IFERROR(__xludf.DUMMYFUNCTION("""COMPUTED_VALUE"""),"Listicle")</f>
        <v>Listicle</v>
      </c>
      <c r="G626" s="11" t="b">
        <f>IFERROR(__xludf.DUMMYFUNCTION("""COMPUTED_VALUE"""),FALSE)</f>
        <v>0</v>
      </c>
      <c r="H626" s="11" t="str">
        <f>IFERROR(__xludf.DUMMYFUNCTION("""COMPUTED_VALUE"""),"McKinsey, QuantumBlack, PwC, IBM, Clutch")</f>
        <v>McKinsey, QuantumBlack, PwC, IBM, Clutch</v>
      </c>
      <c r="I626" s="11">
        <f>IFERROR(__xludf.DUMMYFUNCTION("""COMPUTED_VALUE"""),1.0)</f>
        <v>1</v>
      </c>
      <c r="J626" s="11">
        <f>IFERROR(__xludf.DUMMYFUNCTION("""COMPUTED_VALUE"""),0.0)</f>
        <v>0</v>
      </c>
      <c r="K626" s="11">
        <f>IFERROR(__xludf.DUMMYFUNCTION("""COMPUTED_VALUE"""),1.0)</f>
        <v>1</v>
      </c>
    </row>
    <row r="627" ht="15.75" customHeight="1">
      <c r="A627" s="10" t="str">
        <f>IFERROR(__xludf.DUMMYFUNCTION("""COMPUTED_VALUE"""),"https://digital-hunch.com/blog/best-fractional-cmo-companies/")</f>
        <v>https://digital-hunch.com/blog/best-fractional-cmo-companies/</v>
      </c>
      <c r="B627" s="11" t="str">
        <f>IFERROR(__xludf.DUMMYFUNCTION("""COMPUTED_VALUE"""),"Best Fractional CMO Companies | Clutch-Verified List 2026")</f>
        <v>Best Fractional CMO Companies | Clutch-Verified List 2026</v>
      </c>
      <c r="C627" s="10" t="str">
        <f>IFERROR(__xludf.DUMMYFUNCTION("""COMPUTED_VALUE"""),"digital-hunch.com")</f>
        <v>digital-hunch.com</v>
      </c>
      <c r="D627" s="11" t="str">
        <f>IFERROR(__xludf.DUMMYFUNCTION("""COMPUTED_VALUE"""),"LISTICLE")</f>
        <v>LISTICLE</v>
      </c>
      <c r="E627" s="11" t="str">
        <f>IFERROR(__xludf.DUMMYFUNCTION("""COMPUTED_VALUE"""),"CORPORATE")</f>
        <v>CORPORATE</v>
      </c>
      <c r="F627" s="11" t="str">
        <f>IFERROR(__xludf.DUMMYFUNCTION("""COMPUTED_VALUE"""),"Listicle")</f>
        <v>Listicle</v>
      </c>
      <c r="G627" s="11" t="b">
        <f>IFERROR(__xludf.DUMMYFUNCTION("""COMPUTED_VALUE"""),FALSE)</f>
        <v>0</v>
      </c>
      <c r="H627" s="11" t="str">
        <f>IFERROR(__xludf.DUMMYFUNCTION("""COMPUTED_VALUE"""),"Clutch, NoGood, Momentum")</f>
        <v>Clutch, NoGood, Momentum</v>
      </c>
      <c r="I627" s="11">
        <f>IFERROR(__xludf.DUMMYFUNCTION("""COMPUTED_VALUE"""),1.0)</f>
        <v>1</v>
      </c>
      <c r="J627" s="11">
        <f>IFERROR(__xludf.DUMMYFUNCTION("""COMPUTED_VALUE"""),0.0)</f>
        <v>0</v>
      </c>
      <c r="K627" s="11">
        <f>IFERROR(__xludf.DUMMYFUNCTION("""COMPUTED_VALUE"""),1.0)</f>
        <v>1</v>
      </c>
    </row>
    <row r="628" ht="15.75" customHeight="1">
      <c r="A628" s="10" t="str">
        <f>IFERROR(__xludf.DUMMYFUNCTION("""COMPUTED_VALUE"""),"https://www.digitalreference.co/insights/marketing-professionals/best-marketing-companies-firms-in-the-usa")</f>
        <v>https://www.digitalreference.co/insights/marketing-professionals/best-marketing-companies-firms-in-the-usa</v>
      </c>
      <c r="B628" s="11" t="str">
        <f>IFERROR(__xludf.DUMMYFUNCTION("""COMPUTED_VALUE"""),"Best Marketing Companies &amp;amp; Agencies in the USA")</f>
        <v>Best Marketing Companies &amp;amp; Agencies in the USA</v>
      </c>
      <c r="C628" s="10" t="str">
        <f>IFERROR(__xludf.DUMMYFUNCTION("""COMPUTED_VALUE"""),"digitalreference.co")</f>
        <v>digitalreference.co</v>
      </c>
      <c r="D628" s="11" t="str">
        <f>IFERROR(__xludf.DUMMYFUNCTION("""COMPUTED_VALUE"""),"LISTICLE")</f>
        <v>LISTICLE</v>
      </c>
      <c r="E628" s="11" t="str">
        <f>IFERROR(__xludf.DUMMYFUNCTION("""COMPUTED_VALUE"""),"UGC")</f>
        <v>UGC</v>
      </c>
      <c r="F628" s="11" t="str">
        <f>IFERROR(__xludf.DUMMYFUNCTION("""COMPUTED_VALUE"""),"Listicle")</f>
        <v>Listicle</v>
      </c>
      <c r="G628" s="11" t="b">
        <f>IFERROR(__xludf.DUMMYFUNCTION("""COMPUTED_VALUE"""),FALSE)</f>
        <v>0</v>
      </c>
      <c r="H628" s="11" t="str">
        <f>IFERROR(__xludf.DUMMYFUNCTION("""COMPUTED_VALUE"""),"Momentum")</f>
        <v>Momentum</v>
      </c>
      <c r="I628" s="11">
        <f>IFERROR(__xludf.DUMMYFUNCTION("""COMPUTED_VALUE"""),1.0)</f>
        <v>1</v>
      </c>
      <c r="J628" s="11">
        <f>IFERROR(__xludf.DUMMYFUNCTION("""COMPUTED_VALUE"""),0.0)</f>
        <v>0</v>
      </c>
      <c r="K628" s="11">
        <f>IFERROR(__xludf.DUMMYFUNCTION("""COMPUTED_VALUE"""),0.0)</f>
        <v>0</v>
      </c>
    </row>
    <row r="629" ht="15.75" customHeight="1">
      <c r="A629" s="10" t="str">
        <f>IFERROR(__xludf.DUMMYFUNCTION("""COMPUTED_VALUE"""),"https://www.digitalsilk.com/branding-agency/branding-trends/best-branding-agencies/")</f>
        <v>https://www.digitalsilk.com/branding-agency/branding-trends/best-branding-agencies/</v>
      </c>
      <c r="B629" s="11" t="str">
        <f>IFERROR(__xludf.DUMMYFUNCTION("""COMPUTED_VALUE"""),"Top Branding Agency For Growing Brands \| Digital Silk")</f>
        <v>Top Branding Agency For Growing Brands \| Digital Silk</v>
      </c>
      <c r="C629" s="10" t="str">
        <f>IFERROR(__xludf.DUMMYFUNCTION("""COMPUTED_VALUE"""),"digitalsilk.com")</f>
        <v>digitalsilk.com</v>
      </c>
      <c r="D629" s="11" t="str">
        <f>IFERROR(__xludf.DUMMYFUNCTION("""COMPUTED_VALUE"""),"LISTICLE")</f>
        <v>LISTICLE</v>
      </c>
      <c r="E629" s="11" t="str">
        <f>IFERROR(__xludf.DUMMYFUNCTION("""COMPUTED_VALUE"""),"CORPORATE")</f>
        <v>CORPORATE</v>
      </c>
      <c r="F629" s="11" t="str">
        <f>IFERROR(__xludf.DUMMYFUNCTION("""COMPUTED_VALUE"""),"Listicle")</f>
        <v>Listicle</v>
      </c>
      <c r="G629" s="11" t="b">
        <f>IFERROR(__xludf.DUMMYFUNCTION("""COMPUTED_VALUE"""),FALSE)</f>
        <v>0</v>
      </c>
      <c r="H629" s="11" t="str">
        <f>IFERROR(__xludf.DUMMYFUNCTION("""COMPUTED_VALUE"""),"IBM, Clutch")</f>
        <v>IBM, Clutch</v>
      </c>
      <c r="I629" s="11">
        <f>IFERROR(__xludf.DUMMYFUNCTION("""COMPUTED_VALUE"""),1.0)</f>
        <v>1</v>
      </c>
      <c r="J629" s="11">
        <f>IFERROR(__xludf.DUMMYFUNCTION("""COMPUTED_VALUE"""),0.0)</f>
        <v>0</v>
      </c>
      <c r="K629" s="11">
        <f>IFERROR(__xludf.DUMMYFUNCTION("""COMPUTED_VALUE"""),2.0)</f>
        <v>2</v>
      </c>
    </row>
    <row r="630" ht="15.75" customHeight="1">
      <c r="A630" s="10" t="str">
        <f>IFERROR(__xludf.DUMMYFUNCTION("""COMPUTED_VALUE"""),"https://www.digitalsilk.com/digital-marketing/marketing-trends/top-premium-marketing-agencies/")</f>
        <v>https://www.digitalsilk.com/digital-marketing/marketing-trends/top-premium-marketing-agencies/</v>
      </c>
      <c r="B630" s="11" t="str">
        <f>IFERROR(__xludf.DUMMYFUNCTION("""COMPUTED_VALUE"""),"Digital Marketing Agency &amp; Services \| Digital Silk")</f>
        <v>Digital Marketing Agency &amp; Services \| Digital Silk</v>
      </c>
      <c r="C630" s="10" t="str">
        <f>IFERROR(__xludf.DUMMYFUNCTION("""COMPUTED_VALUE"""),"digitalsilk.com")</f>
        <v>digitalsilk.com</v>
      </c>
      <c r="D630" s="11" t="str">
        <f>IFERROR(__xludf.DUMMYFUNCTION("""COMPUTED_VALUE"""),"LISTICLE")</f>
        <v>LISTICLE</v>
      </c>
      <c r="E630" s="11" t="str">
        <f>IFERROR(__xludf.DUMMYFUNCTION("""COMPUTED_VALUE"""),"CORPORATE")</f>
        <v>CORPORATE</v>
      </c>
      <c r="F630" s="11" t="str">
        <f>IFERROR(__xludf.DUMMYFUNCTION("""COMPUTED_VALUE"""),"Listicle")</f>
        <v>Listicle</v>
      </c>
      <c r="G630" s="11" t="b">
        <f>IFERROR(__xludf.DUMMYFUNCTION("""COMPUTED_VALUE"""),FALSE)</f>
        <v>0</v>
      </c>
      <c r="H630" s="11" t="str">
        <f>IFERROR(__xludf.DUMMYFUNCTION("""COMPUTED_VALUE"""),"IBM, Measured, Momentum")</f>
        <v>IBM, Measured, Momentum</v>
      </c>
      <c r="I630" s="11">
        <f>IFERROR(__xludf.DUMMYFUNCTION("""COMPUTED_VALUE"""),1.0)</f>
        <v>1</v>
      </c>
      <c r="J630" s="11">
        <f>IFERROR(__xludf.DUMMYFUNCTION("""COMPUTED_VALUE"""),0.0)</f>
        <v>0</v>
      </c>
      <c r="K630" s="11">
        <f>IFERROR(__xludf.DUMMYFUNCTION("""COMPUTED_VALUE"""),1.0)</f>
        <v>1</v>
      </c>
    </row>
    <row r="631" ht="15.75" customHeight="1">
      <c r="A631" s="10" t="str">
        <f>IFERROR(__xludf.DUMMYFUNCTION("""COMPUTED_VALUE"""),"https://directiveconsulting.com/blog/27-seo-agencies-built-for-b2b-growth-2026/")</f>
        <v>https://directiveconsulting.com/blog/27-seo-agencies-built-for-b2b-growth-2026/</v>
      </c>
      <c r="B631" s="11" t="str">
        <f>IFERROR(__xludf.DUMMYFUNCTION("""COMPUTED_VALUE"""),"27 Best SEO Agencies For B2B - Directive")</f>
        <v>27 Best SEO Agencies For B2B - Directive</v>
      </c>
      <c r="C631" s="10" t="str">
        <f>IFERROR(__xludf.DUMMYFUNCTION("""COMPUTED_VALUE"""),"directiveconsulting.com")</f>
        <v>directiveconsulting.com</v>
      </c>
      <c r="D631" s="11" t="str">
        <f>IFERROR(__xludf.DUMMYFUNCTION("""COMPUTED_VALUE"""),"LISTICLE")</f>
        <v>LISTICLE</v>
      </c>
      <c r="E631" s="11" t="str">
        <f>IFERROR(__xludf.DUMMYFUNCTION("""COMPUTED_VALUE"""),"COMPETITOR")</f>
        <v>COMPETITOR</v>
      </c>
      <c r="F631" s="11" t="str">
        <f>IFERROR(__xludf.DUMMYFUNCTION("""COMPUTED_VALUE"""),"Listicle")</f>
        <v>Listicle</v>
      </c>
      <c r="G631" s="11" t="b">
        <f>IFERROR(__xludf.DUMMYFUNCTION("""COMPUTED_VALUE"""),FALSE)</f>
        <v>0</v>
      </c>
      <c r="H631" s="11" t="str">
        <f>IFERROR(__xludf.DUMMYFUNCTION("""COMPUTED_VALUE"""),"Directive, iPullRank, Omniscient Digital, Siege Media, RevenueZen, First Page Sage, Animalz, Amsive, Ignite Visibility, WebFX, Victorious, Silverback Strategies, Intero Digital, Clutch")</f>
        <v>Directive, iPullRank, Omniscient Digital, Siege Media, RevenueZen, First Page Sage, Animalz, Amsive, Ignite Visibility, WebFX, Victorious, Silverback Strategies, Intero Digital, Clutch</v>
      </c>
      <c r="I631" s="11">
        <f>IFERROR(__xludf.DUMMYFUNCTION("""COMPUTED_VALUE"""),1.0)</f>
        <v>1</v>
      </c>
      <c r="J631" s="11">
        <f>IFERROR(__xludf.DUMMYFUNCTION("""COMPUTED_VALUE"""),0.0)</f>
        <v>0</v>
      </c>
      <c r="K631" s="11">
        <f>IFERROR(__xludf.DUMMYFUNCTION("""COMPUTED_VALUE"""),1.0)</f>
        <v>1</v>
      </c>
    </row>
    <row r="632" ht="15.75" customHeight="1">
      <c r="A632" s="10" t="str">
        <f>IFERROR(__xludf.DUMMYFUNCTION("""COMPUTED_VALUE"""),"https://directiveconsulting.com/blog/performance-marketing-agencies/")</f>
        <v>https://directiveconsulting.com/blog/performance-marketing-agencies/</v>
      </c>
      <c r="B632" s="11" t="str">
        <f>IFERROR(__xludf.DUMMYFUNCTION("""COMPUTED_VALUE"""),"5 Top Performance Marketing Agencies Celebrating 10+ Years - Directive")</f>
        <v>5 Top Performance Marketing Agencies Celebrating 10+ Years - Directive</v>
      </c>
      <c r="C632" s="10" t="str">
        <f>IFERROR(__xludf.DUMMYFUNCTION("""COMPUTED_VALUE"""),"directiveconsulting.com")</f>
        <v>directiveconsulting.com</v>
      </c>
      <c r="D632" s="11" t="str">
        <f>IFERROR(__xludf.DUMMYFUNCTION("""COMPUTED_VALUE"""),"LISTICLE")</f>
        <v>LISTICLE</v>
      </c>
      <c r="E632" s="11" t="str">
        <f>IFERROR(__xludf.DUMMYFUNCTION("""COMPUTED_VALUE"""),"COMPETITOR")</f>
        <v>COMPETITOR</v>
      </c>
      <c r="F632" s="11" t="str">
        <f>IFERROR(__xludf.DUMMYFUNCTION("""COMPUTED_VALUE"""),"Listicle")</f>
        <v>Listicle</v>
      </c>
      <c r="G632" s="11" t="b">
        <f>IFERROR(__xludf.DUMMYFUNCTION("""COMPUTED_VALUE"""),FALSE)</f>
        <v>0</v>
      </c>
      <c r="H632" s="11" t="str">
        <f>IFERROR(__xludf.DUMMYFUNCTION("""COMPUTED_VALUE"""),"Directive, Single Grain, Tinuiti, Wpromote, Clutch")</f>
        <v>Directive, Single Grain, Tinuiti, Wpromote, Clutch</v>
      </c>
      <c r="I632" s="11">
        <f>IFERROR(__xludf.DUMMYFUNCTION("""COMPUTED_VALUE"""),1.0)</f>
        <v>1</v>
      </c>
      <c r="J632" s="11">
        <f>IFERROR(__xludf.DUMMYFUNCTION("""COMPUTED_VALUE"""),0.0)</f>
        <v>0</v>
      </c>
      <c r="K632" s="11">
        <f>IFERROR(__xludf.DUMMYFUNCTION("""COMPUTED_VALUE"""),1.0)</f>
        <v>1</v>
      </c>
    </row>
    <row r="633" ht="15.75" customHeight="1">
      <c r="A633" s="10" t="str">
        <f>IFERROR(__xludf.DUMMYFUNCTION("""COMPUTED_VALUE"""),"https://disruptiveadvertising.com/blog/business/top-digital-marketing-agencies-in-utah/")</f>
        <v>https://disruptiveadvertising.com/blog/business/top-digital-marketing-agencies-in-utah/</v>
      </c>
      <c r="B633" s="11" t="str">
        <f>IFERROR(__xludf.DUMMYFUNCTION("""COMPUTED_VALUE"""),"Top Digital Marketing Agencies in Utah for 2026 | Disruptive Advertising")</f>
        <v>Top Digital Marketing Agencies in Utah for 2026 | Disruptive Advertising</v>
      </c>
      <c r="C633" s="10" t="str">
        <f>IFERROR(__xludf.DUMMYFUNCTION("""COMPUTED_VALUE"""),"disruptiveadvertising.com")</f>
        <v>disruptiveadvertising.com</v>
      </c>
      <c r="D633" s="11" t="str">
        <f>IFERROR(__xludf.DUMMYFUNCTION("""COMPUTED_VALUE"""),"LISTICLE")</f>
        <v>LISTICLE</v>
      </c>
      <c r="E633" s="11" t="str">
        <f>IFERROR(__xludf.DUMMYFUNCTION("""COMPUTED_VALUE"""),"COMPETITOR")</f>
        <v>COMPETITOR</v>
      </c>
      <c r="F633" s="11" t="str">
        <f>IFERROR(__xludf.DUMMYFUNCTION("""COMPUTED_VALUE"""),"Listicle")</f>
        <v>Listicle</v>
      </c>
      <c r="G633" s="11" t="b">
        <f>IFERROR(__xludf.DUMMYFUNCTION("""COMPUTED_VALUE"""),FALSE)</f>
        <v>0</v>
      </c>
      <c r="H633" s="11" t="str">
        <f>IFERROR(__xludf.DUMMYFUNCTION("""COMPUTED_VALUE"""),"Disruptive Advertising, Searchbloom, Funnel Boost Media, Huge")</f>
        <v>Disruptive Advertising, Searchbloom, Funnel Boost Media, Huge</v>
      </c>
      <c r="I633" s="11">
        <f>IFERROR(__xludf.DUMMYFUNCTION("""COMPUTED_VALUE"""),1.0)</f>
        <v>1</v>
      </c>
      <c r="J633" s="11">
        <f>IFERROR(__xludf.DUMMYFUNCTION("""COMPUTED_VALUE"""),0.0)</f>
        <v>0</v>
      </c>
      <c r="K633" s="11">
        <f>IFERROR(__xludf.DUMMYFUNCTION("""COMPUTED_VALUE"""),1.0)</f>
        <v>1</v>
      </c>
    </row>
    <row r="634" ht="15.75" customHeight="1">
      <c r="A634" s="10" t="str">
        <f>IFERROR(__xludf.DUMMYFUNCTION("""COMPUTED_VALUE"""),"https://disruptiveadvertising.com/blog/marketing/top-generative-engine-optimization-geo-agencies-in-2026/")</f>
        <v>https://disruptiveadvertising.com/blog/marketing/top-generative-engine-optimization-geo-agencies-in-2026/</v>
      </c>
      <c r="B634" s="11" t="str">
        <f>IFERROR(__xludf.DUMMYFUNCTION("""COMPUTED_VALUE"""),"Top GEO Agencies In 2026 | Disruptive Advertising")</f>
        <v>Top GEO Agencies In 2026 | Disruptive Advertising</v>
      </c>
      <c r="C634" s="10" t="str">
        <f>IFERROR(__xludf.DUMMYFUNCTION("""COMPUTED_VALUE"""),"disruptiveadvertising.com")</f>
        <v>disruptiveadvertising.com</v>
      </c>
      <c r="D634" s="11" t="str">
        <f>IFERROR(__xludf.DUMMYFUNCTION("""COMPUTED_VALUE"""),"LISTICLE")</f>
        <v>LISTICLE</v>
      </c>
      <c r="E634" s="11" t="str">
        <f>IFERROR(__xludf.DUMMYFUNCTION("""COMPUTED_VALUE"""),"COMPETITOR")</f>
        <v>COMPETITOR</v>
      </c>
      <c r="F634" s="11" t="str">
        <f>IFERROR(__xludf.DUMMYFUNCTION("""COMPUTED_VALUE"""),"Listicle")</f>
        <v>Listicle</v>
      </c>
      <c r="G634" s="11" t="b">
        <f>IFERROR(__xludf.DUMMYFUNCTION("""COMPUTED_VALUE"""),FALSE)</f>
        <v>0</v>
      </c>
      <c r="H634" s="11" t="str">
        <f>IFERROR(__xludf.DUMMYFUNCTION("""COMPUTED_VALUE"""),"Disruptive Advertising, Elit-Web, Ignite Visibility, Thrive Internet Marketing Agency, Avenue Z, Victorious")</f>
        <v>Disruptive Advertising, Elit-Web, Ignite Visibility, Thrive Internet Marketing Agency, Avenue Z, Victorious</v>
      </c>
      <c r="I634" s="11">
        <f>IFERROR(__xludf.DUMMYFUNCTION("""COMPUTED_VALUE"""),1.0)</f>
        <v>1</v>
      </c>
      <c r="J634" s="11">
        <f>IFERROR(__xludf.DUMMYFUNCTION("""COMPUTED_VALUE"""),0.0)</f>
        <v>0</v>
      </c>
      <c r="K634" s="11">
        <f>IFERROR(__xludf.DUMMYFUNCTION("""COMPUTED_VALUE"""),1.0)</f>
        <v>1</v>
      </c>
    </row>
    <row r="635" ht="15.75" customHeight="1">
      <c r="A635" s="10" t="str">
        <f>IFERROR(__xludf.DUMMYFUNCTION("""COMPUTED_VALUE"""),"https://www.dslxcontent.com/blog/saas-marketing-agencies")</f>
        <v>https://www.dslxcontent.com/blog/saas-marketing-agencies</v>
      </c>
      <c r="B635" s="11" t="str">
        <f>IFERROR(__xludf.DUMMYFUNCTION("""COMPUTED_VALUE"""),"The 10 Best SaaS Marketing Agencies to Supercharge Your Growth | dslx")</f>
        <v>The 10 Best SaaS Marketing Agencies to Supercharge Your Growth | dslx</v>
      </c>
      <c r="C635" s="10" t="str">
        <f>IFERROR(__xludf.DUMMYFUNCTION("""COMPUTED_VALUE"""),"dslxcontent.com")</f>
        <v>dslxcontent.com</v>
      </c>
      <c r="D635" s="11" t="str">
        <f>IFERROR(__xludf.DUMMYFUNCTION("""COMPUTED_VALUE"""),"LISTICLE")</f>
        <v>LISTICLE</v>
      </c>
      <c r="E635" s="11" t="str">
        <f>IFERROR(__xludf.DUMMYFUNCTION("""COMPUTED_VALUE"""),"OTHER")</f>
        <v>OTHER</v>
      </c>
      <c r="F635" s="11" t="str">
        <f>IFERROR(__xludf.DUMMYFUNCTION("""COMPUTED_VALUE"""),"Listicle")</f>
        <v>Listicle</v>
      </c>
      <c r="G635" s="11" t="b">
        <f>IFERROR(__xludf.DUMMYFUNCTION("""COMPUTED_VALUE"""),FALSE)</f>
        <v>0</v>
      </c>
      <c r="H635" s="11" t="str">
        <f>IFERROR(__xludf.DUMMYFUNCTION("""COMPUTED_VALUE"""),"Momentum, NP Digital, Monks")</f>
        <v>Momentum, NP Digital, Monks</v>
      </c>
      <c r="I635" s="11">
        <f>IFERROR(__xludf.DUMMYFUNCTION("""COMPUTED_VALUE"""),1.0)</f>
        <v>1</v>
      </c>
      <c r="J635" s="11">
        <f>IFERROR(__xludf.DUMMYFUNCTION("""COMPUTED_VALUE"""),0.0)</f>
        <v>0</v>
      </c>
      <c r="K635" s="11">
        <f>IFERROR(__xludf.DUMMYFUNCTION("""COMPUTED_VALUE"""),0.0)</f>
        <v>0</v>
      </c>
    </row>
    <row r="636" ht="15.75" customHeight="1">
      <c r="A636" s="10" t="str">
        <f>IFERROR(__xludf.DUMMYFUNCTION("""COMPUTED_VALUE"""),"https://easyinsights.ai/blog/first-party-data-activation-platforms/")</f>
        <v>https://easyinsights.ai/blog/first-party-data-activation-platforms/</v>
      </c>
      <c r="B636" s="11" t="str">
        <f>IFERROR(__xludf.DUMMYFUNCTION("""COMPUTED_VALUE"""),"First-Party Data Activation Platforms")</f>
        <v>First-Party Data Activation Platforms</v>
      </c>
      <c r="C636" s="10" t="str">
        <f>IFERROR(__xludf.DUMMYFUNCTION("""COMPUTED_VALUE"""),"easyinsights.ai")</f>
        <v>easyinsights.ai</v>
      </c>
      <c r="D636" s="11" t="str">
        <f>IFERROR(__xludf.DUMMYFUNCTION("""COMPUTED_VALUE"""),"LISTICLE")</f>
        <v>LISTICLE</v>
      </c>
      <c r="E636" s="11" t="str">
        <f>IFERROR(__xludf.DUMMYFUNCTION("""COMPUTED_VALUE"""),"CORPORATE")</f>
        <v>CORPORATE</v>
      </c>
      <c r="F636" s="11" t="str">
        <f>IFERROR(__xludf.DUMMYFUNCTION("""COMPUTED_VALUE"""),"Listicle")</f>
        <v>Listicle</v>
      </c>
      <c r="G636" s="11" t="b">
        <f>IFERROR(__xludf.DUMMYFUNCTION("""COMPUTED_VALUE"""),FALSE)</f>
        <v>0</v>
      </c>
      <c r="H636" s="11"/>
      <c r="I636" s="11">
        <f>IFERROR(__xludf.DUMMYFUNCTION("""COMPUTED_VALUE"""),1.0)</f>
        <v>1</v>
      </c>
      <c r="J636" s="11">
        <f>IFERROR(__xludf.DUMMYFUNCTION("""COMPUTED_VALUE"""),0.0)</f>
        <v>0</v>
      </c>
      <c r="K636" s="11">
        <f>IFERROR(__xludf.DUMMYFUNCTION("""COMPUTED_VALUE"""),0.0)</f>
        <v>0</v>
      </c>
    </row>
    <row r="637" ht="15.75" customHeight="1">
      <c r="A637" s="10" t="str">
        <f>IFERROR(__xludf.DUMMYFUNCTION("""COMPUTED_VALUE"""),"https://www.ebaqdesign.com/blog/top-branding-agencies")</f>
        <v>https://www.ebaqdesign.com/blog/top-branding-agencies</v>
      </c>
      <c r="B637" s="11" t="str">
        <f>IFERROR(__xludf.DUMMYFUNCTION("""COMPUTED_VALUE"""),"Top 30 Branding Agencies in 2026 (Expert Rankings)")</f>
        <v>Top 30 Branding Agencies in 2026 (Expert Rankings)</v>
      </c>
      <c r="C637" s="10" t="str">
        <f>IFERROR(__xludf.DUMMYFUNCTION("""COMPUTED_VALUE"""),"ebaqdesign.com")</f>
        <v>ebaqdesign.com</v>
      </c>
      <c r="D637" s="11" t="str">
        <f>IFERROR(__xludf.DUMMYFUNCTION("""COMPUTED_VALUE"""),"LISTICLE")</f>
        <v>LISTICLE</v>
      </c>
      <c r="E637" s="11" t="str">
        <f>IFERROR(__xludf.DUMMYFUNCTION("""COMPUTED_VALUE"""),"CORPORATE")</f>
        <v>CORPORATE</v>
      </c>
      <c r="F637" s="11" t="str">
        <f>IFERROR(__xludf.DUMMYFUNCTION("""COMPUTED_VALUE"""),"Listicle")</f>
        <v>Listicle</v>
      </c>
      <c r="G637" s="11" t="b">
        <f>IFERROR(__xludf.DUMMYFUNCTION("""COMPUTED_VALUE"""),FALSE)</f>
        <v>0</v>
      </c>
      <c r="H637" s="11" t="str">
        <f>IFERROR(__xludf.DUMMYFUNCTION("""COMPUTED_VALUE"""),"Pentagram, WPP")</f>
        <v>Pentagram, WPP</v>
      </c>
      <c r="I637" s="11">
        <f>IFERROR(__xludf.DUMMYFUNCTION("""COMPUTED_VALUE"""),1.0)</f>
        <v>1</v>
      </c>
      <c r="J637" s="11">
        <f>IFERROR(__xludf.DUMMYFUNCTION("""COMPUTED_VALUE"""),0.0)</f>
        <v>0</v>
      </c>
      <c r="K637" s="11">
        <f>IFERROR(__xludf.DUMMYFUNCTION("""COMPUTED_VALUE"""),1.0)</f>
        <v>1</v>
      </c>
    </row>
    <row r="638" ht="15.75" customHeight="1">
      <c r="A638" s="10" t="str">
        <f>IFERROR(__xludf.DUMMYFUNCTION("""COMPUTED_VALUE"""),"https://echo-factory.com/the-12-best-pr-agencies-in-los-angeles/")</f>
        <v>https://echo-factory.com/the-12-best-pr-agencies-in-los-angeles/</v>
      </c>
      <c r="B638" s="11" t="str">
        <f>IFERROR(__xludf.DUMMYFUNCTION("""COMPUTED_VALUE"""),"Top Los Angeles Area Media Relations and PR Agencies in 2026")</f>
        <v>Top Los Angeles Area Media Relations and PR Agencies in 2026</v>
      </c>
      <c r="C638" s="10" t="str">
        <f>IFERROR(__xludf.DUMMYFUNCTION("""COMPUTED_VALUE"""),"echo-factory.com")</f>
        <v>echo-factory.com</v>
      </c>
      <c r="D638" s="11" t="str">
        <f>IFERROR(__xludf.DUMMYFUNCTION("""COMPUTED_VALUE"""),"LISTICLE")</f>
        <v>LISTICLE</v>
      </c>
      <c r="E638" s="11" t="str">
        <f>IFERROR(__xludf.DUMMYFUNCTION("""COMPUTED_VALUE"""),"CORPORATE")</f>
        <v>CORPORATE</v>
      </c>
      <c r="F638" s="11" t="str">
        <f>IFERROR(__xludf.DUMMYFUNCTION("""COMPUTED_VALUE"""),"Listicle")</f>
        <v>Listicle</v>
      </c>
      <c r="G638" s="11" t="b">
        <f>IFERROR(__xludf.DUMMYFUNCTION("""COMPUTED_VALUE"""),FALSE)</f>
        <v>0</v>
      </c>
      <c r="H638" s="11" t="str">
        <f>IFERROR(__xludf.DUMMYFUNCTION("""COMPUTED_VALUE"""),"Hawke Media")</f>
        <v>Hawke Media</v>
      </c>
      <c r="I638" s="11">
        <f>IFERROR(__xludf.DUMMYFUNCTION("""COMPUTED_VALUE"""),1.0)</f>
        <v>1</v>
      </c>
      <c r="J638" s="11">
        <f>IFERROR(__xludf.DUMMYFUNCTION("""COMPUTED_VALUE"""),0.0)</f>
        <v>0</v>
      </c>
      <c r="K638" s="11">
        <f>IFERROR(__xludf.DUMMYFUNCTION("""COMPUTED_VALUE"""),1.0)</f>
        <v>1</v>
      </c>
    </row>
    <row r="639" ht="15.75" customHeight="1">
      <c r="A639" s="10" t="str">
        <f>IFERROR(__xludf.DUMMYFUNCTION("""COMPUTED_VALUE"""),"https://ecommercefastlane.com/best-amazon-brand-management-agencies/")</f>
        <v>https://ecommercefastlane.com/best-amazon-brand-management-agencies/</v>
      </c>
      <c r="B639" s="11" t="str">
        <f>IFERROR(__xludf.DUMMYFUNCTION("""COMPUTED_VALUE"""),"Best Amazon Brand Management Agencies For Brands Expanding To Amazon In 2026 | Ecommerce Fastlane")</f>
        <v>Best Amazon Brand Management Agencies For Brands Expanding To Amazon In 2026 | Ecommerce Fastlane</v>
      </c>
      <c r="C639" s="10" t="str">
        <f>IFERROR(__xludf.DUMMYFUNCTION("""COMPUTED_VALUE"""),"ecommercefastlane.com")</f>
        <v>ecommercefastlane.com</v>
      </c>
      <c r="D639" s="11" t="str">
        <f>IFERROR(__xludf.DUMMYFUNCTION("""COMPUTED_VALUE"""),"LISTICLE")</f>
        <v>LISTICLE</v>
      </c>
      <c r="E639" s="11" t="str">
        <f>IFERROR(__xludf.DUMMYFUNCTION("""COMPUTED_VALUE"""),"OTHER")</f>
        <v>OTHER</v>
      </c>
      <c r="F639" s="11" t="str">
        <f>IFERROR(__xludf.DUMMYFUNCTION("""COMPUTED_VALUE"""),"Listicle")</f>
        <v>Listicle</v>
      </c>
      <c r="G639" s="11" t="b">
        <f>IFERROR(__xludf.DUMMYFUNCTION("""COMPUTED_VALUE"""),FALSE)</f>
        <v>0</v>
      </c>
      <c r="H639" s="11" t="str">
        <f>IFERROR(__xludf.DUMMYFUNCTION("""COMPUTED_VALUE"""),"Tinuiti")</f>
        <v>Tinuiti</v>
      </c>
      <c r="I639" s="11">
        <f>IFERROR(__xludf.DUMMYFUNCTION("""COMPUTED_VALUE"""),1.0)</f>
        <v>1</v>
      </c>
      <c r="J639" s="11">
        <f>IFERROR(__xludf.DUMMYFUNCTION("""COMPUTED_VALUE"""),0.0)</f>
        <v>0</v>
      </c>
      <c r="K639" s="11">
        <f>IFERROR(__xludf.DUMMYFUNCTION("""COMPUTED_VALUE"""),1.0)</f>
        <v>1</v>
      </c>
    </row>
    <row r="640" ht="15.75" customHeight="1">
      <c r="A640" s="10" t="str">
        <f>IFERROR(__xludf.DUMMYFUNCTION("""COMPUTED_VALUE"""),"https://elementor.com/blog/best-seo-geo-agencies/")</f>
        <v>https://elementor.com/blog/best-seo-geo-agencies/</v>
      </c>
      <c r="B640" s="11" t="str">
        <f>IFERROR(__xludf.DUMMYFUNCTION("""COMPUTED_VALUE"""),"15 Best SEO &amp;amp; GEO Agencies In 2026")</f>
        <v>15 Best SEO &amp;amp; GEO Agencies In 2026</v>
      </c>
      <c r="C640" s="10" t="str">
        <f>IFERROR(__xludf.DUMMYFUNCTION("""COMPUTED_VALUE"""),"elementor.com")</f>
        <v>elementor.com</v>
      </c>
      <c r="D640" s="11" t="str">
        <f>IFERROR(__xludf.DUMMYFUNCTION("""COMPUTED_VALUE"""),"LISTICLE")</f>
        <v>LISTICLE</v>
      </c>
      <c r="E640" s="11" t="str">
        <f>IFERROR(__xludf.DUMMYFUNCTION("""COMPUTED_VALUE"""),"CORPORATE")</f>
        <v>CORPORATE</v>
      </c>
      <c r="F640" s="11" t="str">
        <f>IFERROR(__xludf.DUMMYFUNCTION("""COMPUTED_VALUE"""),"Listicle")</f>
        <v>Listicle</v>
      </c>
      <c r="G640" s="11" t="b">
        <f>IFERROR(__xludf.DUMMYFUNCTION("""COMPUTED_VALUE"""),FALSE)</f>
        <v>0</v>
      </c>
      <c r="H640" s="11" t="str">
        <f>IFERROR(__xludf.DUMMYFUNCTION("""COMPUTED_VALUE"""),"NP Digital, Wpromote, VaynerMedia, Tinuiti, Hawke Media, Huge, Common Thread Collective, Momentum")</f>
        <v>NP Digital, Wpromote, VaynerMedia, Tinuiti, Hawke Media, Huge, Common Thread Collective, Momentum</v>
      </c>
      <c r="I640" s="11">
        <f>IFERROR(__xludf.DUMMYFUNCTION("""COMPUTED_VALUE"""),1.0)</f>
        <v>1</v>
      </c>
      <c r="J640" s="11">
        <f>IFERROR(__xludf.DUMMYFUNCTION("""COMPUTED_VALUE"""),0.0)</f>
        <v>0</v>
      </c>
      <c r="K640" s="11">
        <f>IFERROR(__xludf.DUMMYFUNCTION("""COMPUTED_VALUE"""),2.0)</f>
        <v>2</v>
      </c>
    </row>
    <row r="641" ht="15.75" customHeight="1">
      <c r="A641" s="10" t="str">
        <f>IFERROR(__xludf.DUMMYFUNCTION("""COMPUTED_VALUE"""),"https://www.elsner.com/top-answer-engine-optimization-companies/")</f>
        <v>https://www.elsner.com/top-answer-engine-optimization-companies/</v>
      </c>
      <c r="B641" s="11" t="str">
        <f>IFERROR(__xludf.DUMMYFUNCTION("""COMPUTED_VALUE"""),"Top Answer Engine Optimization (AEO) Companies for 2026")</f>
        <v>Top Answer Engine Optimization (AEO) Companies for 2026</v>
      </c>
      <c r="C641" s="10" t="str">
        <f>IFERROR(__xludf.DUMMYFUNCTION("""COMPUTED_VALUE"""),"elsner.com")</f>
        <v>elsner.com</v>
      </c>
      <c r="D641" s="11" t="str">
        <f>IFERROR(__xludf.DUMMYFUNCTION("""COMPUTED_VALUE"""),"LISTICLE")</f>
        <v>LISTICLE</v>
      </c>
      <c r="E641" s="11" t="str">
        <f>IFERROR(__xludf.DUMMYFUNCTION("""COMPUTED_VALUE"""),"CORPORATE")</f>
        <v>CORPORATE</v>
      </c>
      <c r="F641" s="11" t="str">
        <f>IFERROR(__xludf.DUMMYFUNCTION("""COMPUTED_VALUE"""),"Listicle")</f>
        <v>Listicle</v>
      </c>
      <c r="G641" s="11" t="b">
        <f>IFERROR(__xludf.DUMMYFUNCTION("""COMPUTED_VALUE"""),FALSE)</f>
        <v>0</v>
      </c>
      <c r="H641" s="11" t="str">
        <f>IFERROR(__xludf.DUMMYFUNCTION("""COMPUTED_VALUE"""),"Marcel Digital, Amsive, NoGood")</f>
        <v>Marcel Digital, Amsive, NoGood</v>
      </c>
      <c r="I641" s="11">
        <f>IFERROR(__xludf.DUMMYFUNCTION("""COMPUTED_VALUE"""),1.0)</f>
        <v>1</v>
      </c>
      <c r="J641" s="11">
        <f>IFERROR(__xludf.DUMMYFUNCTION("""COMPUTED_VALUE"""),0.0)</f>
        <v>0</v>
      </c>
      <c r="K641" s="11">
        <f>IFERROR(__xludf.DUMMYFUNCTION("""COMPUTED_VALUE"""),1.0)</f>
        <v>1</v>
      </c>
    </row>
    <row r="642" ht="15.75" customHeight="1">
      <c r="A642" s="10" t="str">
        <f>IFERROR(__xludf.DUMMYFUNCTION("""COMPUTED_VALUE"""),"https://www.embarque.io/post/we-found-30-ai-seo-agencies-for-ranking-ai-results-2026")</f>
        <v>https://www.embarque.io/post/we-found-30-ai-seo-agencies-for-ranking-ai-results-2026</v>
      </c>
      <c r="B642" s="11" t="str">
        <f>IFERROR(__xludf.DUMMYFUNCTION("""COMPUTED_VALUE"""),"We Found 30 of the Best AI SEO Agencies for Ranking in AI Results in 2026 | Embarque")</f>
        <v>We Found 30 of the Best AI SEO Agencies for Ranking in AI Results in 2026 | Embarque</v>
      </c>
      <c r="C642" s="10" t="str">
        <f>IFERROR(__xludf.DUMMYFUNCTION("""COMPUTED_VALUE"""),"embarque.io")</f>
        <v>embarque.io</v>
      </c>
      <c r="D642" s="11" t="str">
        <f>IFERROR(__xludf.DUMMYFUNCTION("""COMPUTED_VALUE"""),"LISTICLE")</f>
        <v>LISTICLE</v>
      </c>
      <c r="E642" s="11" t="str">
        <f>IFERROR(__xludf.DUMMYFUNCTION("""COMPUTED_VALUE"""),"CORPORATE")</f>
        <v>CORPORATE</v>
      </c>
      <c r="F642" s="11" t="str">
        <f>IFERROR(__xludf.DUMMYFUNCTION("""COMPUTED_VALUE"""),"Listicle")</f>
        <v>Listicle</v>
      </c>
      <c r="G642" s="11" t="b">
        <f>IFERROR(__xludf.DUMMYFUNCTION("""COMPUTED_VALUE"""),FALSE)</f>
        <v>0</v>
      </c>
      <c r="H642" s="11" t="str">
        <f>IFERROR(__xludf.DUMMYFUNCTION("""COMPUTED_VALUE"""),"NoGood, Marcel Digital, WebFX, iPullRank, Siege Media, Single Grain, Graphite, First Page Sage, Omniscient Digital, Animalz, Measured, Clutch, Huge, IBM")</f>
        <v>NoGood, Marcel Digital, WebFX, iPullRank, Siege Media, Single Grain, Graphite, First Page Sage, Omniscient Digital, Animalz, Measured, Clutch, Huge, IBM</v>
      </c>
      <c r="I642" s="11">
        <f>IFERROR(__xludf.DUMMYFUNCTION("""COMPUTED_VALUE"""),1.0)</f>
        <v>1</v>
      </c>
      <c r="J642" s="11">
        <f>IFERROR(__xludf.DUMMYFUNCTION("""COMPUTED_VALUE"""),0.0)</f>
        <v>0</v>
      </c>
      <c r="K642" s="11">
        <f>IFERROR(__xludf.DUMMYFUNCTION("""COMPUTED_VALUE"""),1.0)</f>
        <v>1</v>
      </c>
    </row>
    <row r="643" ht="15.75" customHeight="1">
      <c r="A643" s="10" t="str">
        <f>IFERROR(__xludf.DUMMYFUNCTION("""COMPUTED_VALUE"""),"https://www.emrgmedia.com/best-experiential-marketing-agencies/")</f>
        <v>https://www.emrgmedia.com/best-experiential-marketing-agencies/</v>
      </c>
      <c r="B643" s="11" t="str">
        <f>IFERROR(__xludf.DUMMYFUNCTION("""COMPUTED_VALUE"""),"Unveiling the Best Experiential Marketing Agencies: Your Complete Guide - Top Event Planner New York City | Corporate Event Planning &amp;amp; Marketing Company in NYC")</f>
        <v>Unveiling the Best Experiential Marketing Agencies: Your Complete Guide - Top Event Planner New York City | Corporate Event Planning &amp;amp; Marketing Company in NYC</v>
      </c>
      <c r="C643" s="10" t="str">
        <f>IFERROR(__xludf.DUMMYFUNCTION("""COMPUTED_VALUE"""),"emrgmedia.com")</f>
        <v>emrgmedia.com</v>
      </c>
      <c r="D643" s="11" t="str">
        <f>IFERROR(__xludf.DUMMYFUNCTION("""COMPUTED_VALUE"""),"LISTICLE")</f>
        <v>LISTICLE</v>
      </c>
      <c r="E643" s="11" t="str">
        <f>IFERROR(__xludf.DUMMYFUNCTION("""COMPUTED_VALUE"""),"CORPORATE")</f>
        <v>CORPORATE</v>
      </c>
      <c r="F643" s="11" t="str">
        <f>IFERROR(__xludf.DUMMYFUNCTION("""COMPUTED_VALUE"""),"Listicle")</f>
        <v>Listicle</v>
      </c>
      <c r="G643" s="11" t="b">
        <f>IFERROR(__xludf.DUMMYFUNCTION("""COMPUTED_VALUE"""),FALSE)</f>
        <v>0</v>
      </c>
      <c r="H643" s="11" t="str">
        <f>IFERROR(__xludf.DUMMYFUNCTION("""COMPUTED_VALUE"""),"Clutch")</f>
        <v>Clutch</v>
      </c>
      <c r="I643" s="11">
        <f>IFERROR(__xludf.DUMMYFUNCTION("""COMPUTED_VALUE"""),1.0)</f>
        <v>1</v>
      </c>
      <c r="J643" s="11">
        <f>IFERROR(__xludf.DUMMYFUNCTION("""COMPUTED_VALUE"""),0.0)</f>
        <v>0</v>
      </c>
      <c r="K643" s="11">
        <f>IFERROR(__xludf.DUMMYFUNCTION("""COMPUTED_VALUE"""),1.0)</f>
        <v>1</v>
      </c>
    </row>
    <row r="644" ht="15.75" customHeight="1">
      <c r="A644" s="10" t="str">
        <f>IFERROR(__xludf.DUMMYFUNCTION("""COMPUTED_VALUE"""),"https://www.epicslope.partners/buyers-guide/generative-engine-optimization-agencies")</f>
        <v>https://www.epicslope.partners/buyers-guide/generative-engine-optimization-agencies</v>
      </c>
      <c r="B644" s="11" t="str">
        <f>IFERROR(__xludf.DUMMYFUNCTION("""COMPUTED_VALUE"""),"Top Generative Engine Optimization Agencies in 2026 (Reviewed)")</f>
        <v>Top Generative Engine Optimization Agencies in 2026 (Reviewed)</v>
      </c>
      <c r="C644" s="11" t="str">
        <f>IFERROR(__xludf.DUMMYFUNCTION("""COMPUTED_VALUE"""),"epicslope.partners")</f>
        <v>epicslope.partners</v>
      </c>
      <c r="D644" s="11" t="str">
        <f>IFERROR(__xludf.DUMMYFUNCTION("""COMPUTED_VALUE"""),"LISTICLE")</f>
        <v>LISTICLE</v>
      </c>
      <c r="E644" s="11" t="str">
        <f>IFERROR(__xludf.DUMMYFUNCTION("""COMPUTED_VALUE"""),"CORPORATE")</f>
        <v>CORPORATE</v>
      </c>
      <c r="F644" s="11" t="str">
        <f>IFERROR(__xludf.DUMMYFUNCTION("""COMPUTED_VALUE"""),"Listicle")</f>
        <v>Listicle</v>
      </c>
      <c r="G644" s="11" t="b">
        <f>IFERROR(__xludf.DUMMYFUNCTION("""COMPUTED_VALUE"""),FALSE)</f>
        <v>0</v>
      </c>
      <c r="H644" s="11" t="str">
        <f>IFERROR(__xludf.DUMMYFUNCTION("""COMPUTED_VALUE"""),"First Page Sage, Intero Digital, Omniscient Digital, iPullRank, Avenue Z, Victorious, Clutch, Measured")</f>
        <v>First Page Sage, Intero Digital, Omniscient Digital, iPullRank, Avenue Z, Victorious, Clutch, Measured</v>
      </c>
      <c r="I644" s="11">
        <f>IFERROR(__xludf.DUMMYFUNCTION("""COMPUTED_VALUE"""),1.0)</f>
        <v>1</v>
      </c>
      <c r="J644" s="11">
        <f>IFERROR(__xludf.DUMMYFUNCTION("""COMPUTED_VALUE"""),0.0)</f>
        <v>0</v>
      </c>
      <c r="K644" s="11">
        <f>IFERROR(__xludf.DUMMYFUNCTION("""COMPUTED_VALUE"""),4.0)</f>
        <v>4</v>
      </c>
    </row>
    <row r="645" ht="15.75" customHeight="1">
      <c r="A645" s="10" t="str">
        <f>IFERROR(__xludf.DUMMYFUNCTION("""COMPUTED_VALUE"""),"https://evincedev.com/blog/best-display-ad-networks/")</f>
        <v>https://evincedev.com/blog/best-display-ad-networks/</v>
      </c>
      <c r="B645" s="11" t="str">
        <f>IFERROR(__xludf.DUMMYFUNCTION("""COMPUTED_VALUE"""),"Top 10 Best Display Ad Networks in 2026 (CPM Comparison)")</f>
        <v>Top 10 Best Display Ad Networks in 2026 (CPM Comparison)</v>
      </c>
      <c r="C645" s="10" t="str">
        <f>IFERROR(__xludf.DUMMYFUNCTION("""COMPUTED_VALUE"""),"evincedev.com")</f>
        <v>evincedev.com</v>
      </c>
      <c r="D645" s="11" t="str">
        <f>IFERROR(__xludf.DUMMYFUNCTION("""COMPUTED_VALUE"""),"LISTICLE")</f>
        <v>LISTICLE</v>
      </c>
      <c r="E645" s="11" t="str">
        <f>IFERROR(__xludf.DUMMYFUNCTION("""COMPUTED_VALUE"""),"CORPORATE")</f>
        <v>CORPORATE</v>
      </c>
      <c r="F645" s="11" t="str">
        <f>IFERROR(__xludf.DUMMYFUNCTION("""COMPUTED_VALUE"""),"Listicle")</f>
        <v>Listicle</v>
      </c>
      <c r="G645" s="11" t="b">
        <f>IFERROR(__xludf.DUMMYFUNCTION("""COMPUTED_VALUE"""),FALSE)</f>
        <v>0</v>
      </c>
      <c r="H645" s="11"/>
      <c r="I645" s="11">
        <f>IFERROR(__xludf.DUMMYFUNCTION("""COMPUTED_VALUE"""),1.0)</f>
        <v>1</v>
      </c>
      <c r="J645" s="11">
        <f>IFERROR(__xludf.DUMMYFUNCTION("""COMPUTED_VALUE"""),0.0)</f>
        <v>0</v>
      </c>
      <c r="K645" s="11">
        <f>IFERROR(__xludf.DUMMYFUNCTION("""COMPUTED_VALUE"""),0.0)</f>
        <v>0</v>
      </c>
    </row>
    <row r="646" ht="15.75" customHeight="1">
      <c r="A646" s="10" t="str">
        <f>IFERROR(__xludf.DUMMYFUNCTION("""COMPUTED_VALUE"""),"https://www.factors.ai/blog/top-7-marketing-attribution-tools")</f>
        <v>https://www.factors.ai/blog/top-7-marketing-attribution-tools</v>
      </c>
      <c r="B646" s="11" t="str">
        <f>IFERROR(__xludf.DUMMYFUNCTION("""COMPUTED_VALUE"""),"Top 12 Marketing Attribution Tools in 2026 (Compared)")</f>
        <v>Top 12 Marketing Attribution Tools in 2026 (Compared)</v>
      </c>
      <c r="C646" s="10" t="str">
        <f>IFERROR(__xludf.DUMMYFUNCTION("""COMPUTED_VALUE"""),"factors.ai")</f>
        <v>factors.ai</v>
      </c>
      <c r="D646" s="11" t="str">
        <f>IFERROR(__xludf.DUMMYFUNCTION("""COMPUTED_VALUE"""),"LISTICLE")</f>
        <v>LISTICLE</v>
      </c>
      <c r="E646" s="11" t="str">
        <f>IFERROR(__xludf.DUMMYFUNCTION("""COMPUTED_VALUE"""),"CORPORATE")</f>
        <v>CORPORATE</v>
      </c>
      <c r="F646" s="11" t="str">
        <f>IFERROR(__xludf.DUMMYFUNCTION("""COMPUTED_VALUE"""),"Listicle")</f>
        <v>Listicle</v>
      </c>
      <c r="G646" s="11" t="b">
        <f>IFERROR(__xludf.DUMMYFUNCTION("""COMPUTED_VALUE"""),FALSE)</f>
        <v>0</v>
      </c>
      <c r="H646" s="11" t="str">
        <f>IFERROR(__xludf.DUMMYFUNCTION("""COMPUTED_VALUE"""),"HockeyStack, Triple Whale, Huge, Cometly, Rockerbox, Northbeam, Ruler Analytics")</f>
        <v>HockeyStack, Triple Whale, Huge, Cometly, Rockerbox, Northbeam, Ruler Analytics</v>
      </c>
      <c r="I646" s="11">
        <f>IFERROR(__xludf.DUMMYFUNCTION("""COMPUTED_VALUE"""),1.0)</f>
        <v>1</v>
      </c>
      <c r="J646" s="11">
        <f>IFERROR(__xludf.DUMMYFUNCTION("""COMPUTED_VALUE"""),0.0)</f>
        <v>0</v>
      </c>
      <c r="K646" s="11">
        <f>IFERROR(__xludf.DUMMYFUNCTION("""COMPUTED_VALUE"""),0.0)</f>
        <v>0</v>
      </c>
    </row>
    <row r="647" ht="15.75" customHeight="1">
      <c r="A647" s="10" t="str">
        <f>IFERROR(__xludf.DUMMYFUNCTION("""COMPUTED_VALUE"""),"https://fibr.ai/geo/best-generative-engine-optimization-brands-for-ai")</f>
        <v>https://fibr.ai/geo/best-generative-engine-optimization-brands-for-ai</v>
      </c>
      <c r="B647" s="11" t="str">
        <f>IFERROR(__xludf.DUMMYFUNCTION("""COMPUTED_VALUE"""),"11 Best GEO Agencies for AI Search Visibility (2026)")</f>
        <v>11 Best GEO Agencies for AI Search Visibility (2026)</v>
      </c>
      <c r="C647" s="10" t="str">
        <f>IFERROR(__xludf.DUMMYFUNCTION("""COMPUTED_VALUE"""),"fibr.ai")</f>
        <v>fibr.ai</v>
      </c>
      <c r="D647" s="11" t="str">
        <f>IFERROR(__xludf.DUMMYFUNCTION("""COMPUTED_VALUE"""),"LISTICLE")</f>
        <v>LISTICLE</v>
      </c>
      <c r="E647" s="11" t="str">
        <f>IFERROR(__xludf.DUMMYFUNCTION("""COMPUTED_VALUE"""),"CORPORATE")</f>
        <v>CORPORATE</v>
      </c>
      <c r="F647" s="11" t="str">
        <f>IFERROR(__xludf.DUMMYFUNCTION("""COMPUTED_VALUE"""),"Listicle")</f>
        <v>Listicle</v>
      </c>
      <c r="G647" s="11" t="b">
        <f>IFERROR(__xludf.DUMMYFUNCTION("""COMPUTED_VALUE"""),FALSE)</f>
        <v>0</v>
      </c>
      <c r="H647" s="11"/>
      <c r="I647" s="11">
        <f>IFERROR(__xludf.DUMMYFUNCTION("""COMPUTED_VALUE"""),1.0)</f>
        <v>1</v>
      </c>
      <c r="J647" s="11">
        <f>IFERROR(__xludf.DUMMYFUNCTION("""COMPUTED_VALUE"""),0.0)</f>
        <v>0</v>
      </c>
      <c r="K647" s="11">
        <f>IFERROR(__xludf.DUMMYFUNCTION("""COMPUTED_VALUE"""),2.0)</f>
        <v>2</v>
      </c>
    </row>
    <row r="648" ht="15.75" customHeight="1">
      <c r="A648" s="10" t="str">
        <f>IFERROR(__xludf.DUMMYFUNCTION("""COMPUTED_VALUE"""),"https://www.fieldtrip.agency/post/top-enterprise-growth-marketing-agencies#:~:text=The%20agency%20has%20officially%20partnered%20with%20some,work%20with%20big%20clients%20with%20massive%20budgets.")</f>
        <v>https://www.fieldtrip.agency/post/top-enterprise-growth-marketing-agencies#:~:text=The%20agency%20has%20officially%20partnered%20with%20some,work%20with%20big%20clients%20with%20massive%20budgets.</v>
      </c>
      <c r="B648" s="11" t="str">
        <f>IFERROR(__xludf.DUMMYFUNCTION("""COMPUTED_VALUE"""),"Top Growth Marketing Agencies for Enterprise &amp;amp; Late-Stage Brands")</f>
        <v>Top Growth Marketing Agencies for Enterprise &amp;amp; Late-Stage Brands</v>
      </c>
      <c r="C648" s="11" t="str">
        <f>IFERROR(__xludf.DUMMYFUNCTION("""COMPUTED_VALUE"""),"fieldtrip.agency")</f>
        <v>fieldtrip.agency</v>
      </c>
      <c r="D648" s="11" t="str">
        <f>IFERROR(__xludf.DUMMYFUNCTION("""COMPUTED_VALUE"""),"LISTICLE")</f>
        <v>LISTICLE</v>
      </c>
      <c r="E648" s="11" t="str">
        <f>IFERROR(__xludf.DUMMYFUNCTION("""COMPUTED_VALUE"""),"CORPORATE")</f>
        <v>CORPORATE</v>
      </c>
      <c r="F648" s="11" t="str">
        <f>IFERROR(__xludf.DUMMYFUNCTION("""COMPUTED_VALUE"""),"Listicle")</f>
        <v>Listicle</v>
      </c>
      <c r="G648" s="11" t="b">
        <f>IFERROR(__xludf.DUMMYFUNCTION("""COMPUTED_VALUE"""),FALSE)</f>
        <v>0</v>
      </c>
      <c r="H648" s="11" t="str">
        <f>IFERROR(__xludf.DUMMYFUNCTION("""COMPUTED_VALUE"""),"Tinuiti, NP Digital, DEPT, Brainlabs, Jellyfish, NoGood, Measured, inBeat")</f>
        <v>Tinuiti, NP Digital, DEPT, Brainlabs, Jellyfish, NoGood, Measured, inBeat</v>
      </c>
      <c r="I648" s="11">
        <f>IFERROR(__xludf.DUMMYFUNCTION("""COMPUTED_VALUE"""),1.0)</f>
        <v>1</v>
      </c>
      <c r="J648" s="11">
        <f>IFERROR(__xludf.DUMMYFUNCTION("""COMPUTED_VALUE"""),0.0)</f>
        <v>0</v>
      </c>
      <c r="K648" s="11">
        <f>IFERROR(__xludf.DUMMYFUNCTION("""COMPUTED_VALUE"""),8.0)</f>
        <v>8</v>
      </c>
    </row>
    <row r="649" ht="15.75" customHeight="1">
      <c r="A649" s="10" t="str">
        <f>IFERROR(__xludf.DUMMYFUNCTION("""COMPUTED_VALUE"""),"https://finance.yahoo.com/news/designrush-recognizes-top-10-digital-114500778.html")</f>
        <v>https://finance.yahoo.com/news/designrush-recognizes-top-10-digital-114500778.html</v>
      </c>
      <c r="B649" s="11" t="str">
        <f>IFERROR(__xludf.DUMMYFUNCTION("""COMPUTED_VALUE"""),"DesignRush Recognizes Top 10 Digital Marketing Agencies for Campaign Performance in March 2026 Rankings")</f>
        <v>DesignRush Recognizes Top 10 Digital Marketing Agencies for Campaign Performance in March 2026 Rankings</v>
      </c>
      <c r="C649" s="10" t="str">
        <f>IFERROR(__xludf.DUMMYFUNCTION("""COMPUTED_VALUE"""),"yahoo.com")</f>
        <v>yahoo.com</v>
      </c>
      <c r="D649" s="11" t="str">
        <f>IFERROR(__xludf.DUMMYFUNCTION("""COMPUTED_VALUE"""),"LISTICLE")</f>
        <v>LISTICLE</v>
      </c>
      <c r="E649" s="11" t="str">
        <f>IFERROR(__xludf.DUMMYFUNCTION("""COMPUTED_VALUE"""),"OTHER")</f>
        <v>OTHER</v>
      </c>
      <c r="F649" s="11" t="str">
        <f>IFERROR(__xludf.DUMMYFUNCTION("""COMPUTED_VALUE"""),"Listicle")</f>
        <v>Listicle</v>
      </c>
      <c r="G649" s="11" t="b">
        <f>IFERROR(__xludf.DUMMYFUNCTION("""COMPUTED_VALUE"""),FALSE)</f>
        <v>0</v>
      </c>
      <c r="H649" s="11" t="str">
        <f>IFERROR(__xludf.DUMMYFUNCTION("""COMPUTED_VALUE"""),"Funnel Boost Media, SmartSites, Silverback Strategies, WebFX, Intero Digital, Disruptive Advertising, Searchbloom")</f>
        <v>Funnel Boost Media, SmartSites, Silverback Strategies, WebFX, Intero Digital, Disruptive Advertising, Searchbloom</v>
      </c>
      <c r="I649" s="11">
        <f>IFERROR(__xludf.DUMMYFUNCTION("""COMPUTED_VALUE"""),1.0)</f>
        <v>1</v>
      </c>
      <c r="J649" s="11">
        <f>IFERROR(__xludf.DUMMYFUNCTION("""COMPUTED_VALUE"""),0.0)</f>
        <v>0</v>
      </c>
      <c r="K649" s="11">
        <f>IFERROR(__xludf.DUMMYFUNCTION("""COMPUTED_VALUE"""),0.0)</f>
        <v>0</v>
      </c>
    </row>
    <row r="650" ht="15.75" customHeight="1">
      <c r="A650" s="10" t="str">
        <f>IFERROR(__xludf.DUMMYFUNCTION("""COMPUTED_VALUE"""),"https://firstmovers.ai/ai-marketing-consultant/")</f>
        <v>https://firstmovers.ai/ai-marketing-consultant/</v>
      </c>
      <c r="B650" s="11" t="str">
        <f>IFERROR(__xludf.DUMMYFUNCTION("""COMPUTED_VALUE"""),"AI Marketing Consultant: How to Find the Right One for Your Business (+6 Benefits of Hiring One) - First Movers")</f>
        <v>AI Marketing Consultant: How to Find the Right One for Your Business (+6 Benefits of Hiring One) - First Movers</v>
      </c>
      <c r="C650" s="10" t="str">
        <f>IFERROR(__xludf.DUMMYFUNCTION("""COMPUTED_VALUE"""),"firstmovers.ai")</f>
        <v>firstmovers.ai</v>
      </c>
      <c r="D650" s="11" t="str">
        <f>IFERROR(__xludf.DUMMYFUNCTION("""COMPUTED_VALUE"""),"LISTICLE")</f>
        <v>LISTICLE</v>
      </c>
      <c r="E650" s="11" t="str">
        <f>IFERROR(__xludf.DUMMYFUNCTION("""COMPUTED_VALUE"""),"CORPORATE")</f>
        <v>CORPORATE</v>
      </c>
      <c r="F650" s="11" t="str">
        <f>IFERROR(__xludf.DUMMYFUNCTION("""COMPUTED_VALUE"""),"Listicle")</f>
        <v>Listicle</v>
      </c>
      <c r="G650" s="11" t="b">
        <f>IFERROR(__xludf.DUMMYFUNCTION("""COMPUTED_VALUE"""),FALSE)</f>
        <v>0</v>
      </c>
      <c r="H650" s="11"/>
      <c r="I650" s="11">
        <f>IFERROR(__xludf.DUMMYFUNCTION("""COMPUTED_VALUE"""),1.0)</f>
        <v>1</v>
      </c>
      <c r="J650" s="11">
        <f>IFERROR(__xludf.DUMMYFUNCTION("""COMPUTED_VALUE"""),0.0)</f>
        <v>0</v>
      </c>
      <c r="K650" s="11">
        <f>IFERROR(__xludf.DUMMYFUNCTION("""COMPUTED_VALUE"""),1.0)</f>
        <v>1</v>
      </c>
    </row>
    <row r="651" ht="15.75" customHeight="1">
      <c r="A651" s="10" t="str">
        <f>IFERROR(__xludf.DUMMYFUNCTION("""COMPUTED_VALUE"""),"https://firstpagesage.com/seo-blog/the-top-ecommerce-geo-aeo-agencies/")</f>
        <v>https://firstpagesage.com/seo-blog/the-top-ecommerce-geo-aeo-agencies/</v>
      </c>
      <c r="B651" s="11" t="str">
        <f>IFERROR(__xludf.DUMMYFUNCTION("""COMPUTED_VALUE"""),"The Top eCommerce GEO / AEO Agencies of 2026 – First Page Sage")</f>
        <v>The Top eCommerce GEO / AEO Agencies of 2026 – First Page Sage</v>
      </c>
      <c r="C651" s="10" t="str">
        <f>IFERROR(__xludf.DUMMYFUNCTION("""COMPUTED_VALUE"""),"firstpagesage.com")</f>
        <v>firstpagesage.com</v>
      </c>
      <c r="D651" s="11" t="str">
        <f>IFERROR(__xludf.DUMMYFUNCTION("""COMPUTED_VALUE"""),"LISTICLE")</f>
        <v>LISTICLE</v>
      </c>
      <c r="E651" s="11" t="str">
        <f>IFERROR(__xludf.DUMMYFUNCTION("""COMPUTED_VALUE"""),"COMPETITOR")</f>
        <v>COMPETITOR</v>
      </c>
      <c r="F651" s="11" t="str">
        <f>IFERROR(__xludf.DUMMYFUNCTION("""COMPUTED_VALUE"""),"Listicle")</f>
        <v>Listicle</v>
      </c>
      <c r="G651" s="11" t="b">
        <f>IFERROR(__xludf.DUMMYFUNCTION("""COMPUTED_VALUE"""),FALSE)</f>
        <v>0</v>
      </c>
      <c r="H651" s="11" t="str">
        <f>IFERROR(__xludf.DUMMYFUNCTION("""COMPUTED_VALUE"""),"First Page Sage, Clutch, Tinuiti")</f>
        <v>First Page Sage, Clutch, Tinuiti</v>
      </c>
      <c r="I651" s="11">
        <f>IFERROR(__xludf.DUMMYFUNCTION("""COMPUTED_VALUE"""),1.0)</f>
        <v>1</v>
      </c>
      <c r="J651" s="11">
        <f>IFERROR(__xludf.DUMMYFUNCTION("""COMPUTED_VALUE"""),0.0)</f>
        <v>0</v>
      </c>
      <c r="K651" s="11">
        <f>IFERROR(__xludf.DUMMYFUNCTION("""COMPUTED_VALUE"""),1.0)</f>
        <v>1</v>
      </c>
    </row>
    <row r="652" ht="15.75" customHeight="1">
      <c r="A652" s="10" t="str">
        <f>IFERROR(__xludf.DUMMYFUNCTION("""COMPUTED_VALUE"""),"https://firstpagesage.com/seo-blog/the-top-seo-companies-in-the-us/")</f>
        <v>https://firstpagesage.com/seo-blog/the-top-seo-companies-in-the-us/</v>
      </c>
      <c r="B652" s="11" t="str">
        <f>IFERROR(__xludf.DUMMYFUNCTION("""COMPUTED_VALUE"""),"The Top SEO Companies in the U.S. in 2026 – First Page Sage")</f>
        <v>The Top SEO Companies in the U.S. in 2026 – First Page Sage</v>
      </c>
      <c r="C652" s="10" t="str">
        <f>IFERROR(__xludf.DUMMYFUNCTION("""COMPUTED_VALUE"""),"firstpagesage.com")</f>
        <v>firstpagesage.com</v>
      </c>
      <c r="D652" s="11" t="str">
        <f>IFERROR(__xludf.DUMMYFUNCTION("""COMPUTED_VALUE"""),"LISTICLE")</f>
        <v>LISTICLE</v>
      </c>
      <c r="E652" s="11" t="str">
        <f>IFERROR(__xludf.DUMMYFUNCTION("""COMPUTED_VALUE"""),"COMPETITOR")</f>
        <v>COMPETITOR</v>
      </c>
      <c r="F652" s="11" t="str">
        <f>IFERROR(__xludf.DUMMYFUNCTION("""COMPUTED_VALUE"""),"Listicle")</f>
        <v>Listicle</v>
      </c>
      <c r="G652" s="11" t="b">
        <f>IFERROR(__xludf.DUMMYFUNCTION("""COMPUTED_VALUE"""),FALSE)</f>
        <v>0</v>
      </c>
      <c r="H652" s="11" t="str">
        <f>IFERROR(__xludf.DUMMYFUNCTION("""COMPUTED_VALUE"""),"First Page Sage, Epsilon, Clay, Publicis Groupe")</f>
        <v>First Page Sage, Epsilon, Clay, Publicis Groupe</v>
      </c>
      <c r="I652" s="11">
        <f>IFERROR(__xludf.DUMMYFUNCTION("""COMPUTED_VALUE"""),1.0)</f>
        <v>1</v>
      </c>
      <c r="J652" s="11">
        <f>IFERROR(__xludf.DUMMYFUNCTION("""COMPUTED_VALUE"""),0.0)</f>
        <v>0</v>
      </c>
      <c r="K652" s="11">
        <f>IFERROR(__xludf.DUMMYFUNCTION("""COMPUTED_VALUE"""),1.0)</f>
        <v>1</v>
      </c>
    </row>
    <row r="653" ht="15.75" customHeight="1">
      <c r="A653" s="10" t="str">
        <f>IFERROR(__xludf.DUMMYFUNCTION("""COMPUTED_VALUE"""),"https://www.firstquery.ai/blog/top-10-ai-search-agencies-to-boost-rankings")</f>
        <v>https://www.firstquery.ai/blog/top-10-ai-search-agencies-to-boost-rankings</v>
      </c>
      <c r="B653" s="11" t="str">
        <f>IFERROR(__xludf.DUMMYFUNCTION("""COMPUTED_VALUE"""),"Top 10 AI Search Optimization Agencies to Boost Rankings")</f>
        <v>Top 10 AI Search Optimization Agencies to Boost Rankings</v>
      </c>
      <c r="C653" s="10" t="str">
        <f>IFERROR(__xludf.DUMMYFUNCTION("""COMPUTED_VALUE"""),"firstquery.ai")</f>
        <v>firstquery.ai</v>
      </c>
      <c r="D653" s="11" t="str">
        <f>IFERROR(__xludf.DUMMYFUNCTION("""COMPUTED_VALUE"""),"LISTICLE")</f>
        <v>LISTICLE</v>
      </c>
      <c r="E653" s="11" t="str">
        <f>IFERROR(__xludf.DUMMYFUNCTION("""COMPUTED_VALUE"""),"CORPORATE")</f>
        <v>CORPORATE</v>
      </c>
      <c r="F653" s="11" t="str">
        <f>IFERROR(__xludf.DUMMYFUNCTION("""COMPUTED_VALUE"""),"Listicle")</f>
        <v>Listicle</v>
      </c>
      <c r="G653" s="11" t="b">
        <f>IFERROR(__xludf.DUMMYFUNCTION("""COMPUTED_VALUE"""),FALSE)</f>
        <v>0</v>
      </c>
      <c r="H653" s="11" t="str">
        <f>IFERROR(__xludf.DUMMYFUNCTION("""COMPUTED_VALUE"""),"Avenue Z, Victorious, First Page Sage, Searchbloom, iPullRank, Omniscient Digital, Siege Media, Amsive, WebFX, Directive, Anomaly")</f>
        <v>Avenue Z, Victorious, First Page Sage, Searchbloom, iPullRank, Omniscient Digital, Siege Media, Amsive, WebFX, Directive, Anomaly</v>
      </c>
      <c r="I653" s="11">
        <f>IFERROR(__xludf.DUMMYFUNCTION("""COMPUTED_VALUE"""),1.0)</f>
        <v>1</v>
      </c>
      <c r="J653" s="11">
        <f>IFERROR(__xludf.DUMMYFUNCTION("""COMPUTED_VALUE"""),0.0)</f>
        <v>0</v>
      </c>
      <c r="K653" s="11">
        <f>IFERROR(__xludf.DUMMYFUNCTION("""COMPUTED_VALUE"""),0.0)</f>
        <v>0</v>
      </c>
    </row>
    <row r="654" ht="15.75" customHeight="1">
      <c r="A654" s="10" t="str">
        <f>IFERROR(__xludf.DUMMYFUNCTION("""COMPUTED_VALUE"""),"https://fixnhour.com/blog/top-advertising-agencies-marketing-companies")</f>
        <v>https://fixnhour.com/blog/top-advertising-agencies-marketing-companies</v>
      </c>
      <c r="B654" s="11" t="str">
        <f>IFERROR(__xludf.DUMMYFUNCTION("""COMPUTED_VALUE"""),"Top Advertising Agencies &amp;amp; Marketing Companies Worldwide")</f>
        <v>Top Advertising Agencies &amp;amp; Marketing Companies Worldwide</v>
      </c>
      <c r="C654" s="10" t="str">
        <f>IFERROR(__xludf.DUMMYFUNCTION("""COMPUTED_VALUE"""),"fixnhour.com")</f>
        <v>fixnhour.com</v>
      </c>
      <c r="D654" s="11" t="str">
        <f>IFERROR(__xludf.DUMMYFUNCTION("""COMPUTED_VALUE"""),"LISTICLE")</f>
        <v>LISTICLE</v>
      </c>
      <c r="E654" s="11" t="str">
        <f>IFERROR(__xludf.DUMMYFUNCTION("""COMPUTED_VALUE"""),"CORPORATE")</f>
        <v>CORPORATE</v>
      </c>
      <c r="F654" s="11" t="str">
        <f>IFERROR(__xludf.DUMMYFUNCTION("""COMPUTED_VALUE"""),"Listicle")</f>
        <v>Listicle</v>
      </c>
      <c r="G654" s="11" t="b">
        <f>IFERROR(__xludf.DUMMYFUNCTION("""COMPUTED_VALUE"""),FALSE)</f>
        <v>0</v>
      </c>
      <c r="H654" s="11" t="str">
        <f>IFERROR(__xludf.DUMMYFUNCTION("""COMPUTED_VALUE"""),"WPP, Publicis Groupe, Dentsu, Accenture Song, Ogilvy, GroupM, VML, BBDO")</f>
        <v>WPP, Publicis Groupe, Dentsu, Accenture Song, Ogilvy, GroupM, VML, BBDO</v>
      </c>
      <c r="I654" s="11">
        <f>IFERROR(__xludf.DUMMYFUNCTION("""COMPUTED_VALUE"""),1.0)</f>
        <v>1</v>
      </c>
      <c r="J654" s="11">
        <f>IFERROR(__xludf.DUMMYFUNCTION("""COMPUTED_VALUE"""),0.0)</f>
        <v>0</v>
      </c>
      <c r="K654" s="11">
        <f>IFERROR(__xludf.DUMMYFUNCTION("""COMPUTED_VALUE"""),1.0)</f>
        <v>1</v>
      </c>
    </row>
    <row r="655" ht="15.75" customHeight="1">
      <c r="A655" s="10" t="str">
        <f>IFERROR(__xludf.DUMMYFUNCTION("""COMPUTED_VALUE"""),"https://www.flyingvgroup.com/ai-marketing-agency/")</f>
        <v>https://www.flyingvgroup.com/ai-marketing-agency/</v>
      </c>
      <c r="B655" s="11" t="str">
        <f>IFERROR(__xludf.DUMMYFUNCTION("""COMPUTED_VALUE"""),"Best 18 AI Marketing Agencies in 2026 | Top AI-Powered Marketing Firms Ranked")</f>
        <v>Best 18 AI Marketing Agencies in 2026 | Top AI-Powered Marketing Firms Ranked</v>
      </c>
      <c r="C655" s="10" t="str">
        <f>IFERROR(__xludf.DUMMYFUNCTION("""COMPUTED_VALUE"""),"flyingvgroup.com")</f>
        <v>flyingvgroup.com</v>
      </c>
      <c r="D655" s="11" t="str">
        <f>IFERROR(__xludf.DUMMYFUNCTION("""COMPUTED_VALUE"""),"LISTICLE")</f>
        <v>LISTICLE</v>
      </c>
      <c r="E655" s="11" t="str">
        <f>IFERROR(__xludf.DUMMYFUNCTION("""COMPUTED_VALUE"""),"CORPORATE")</f>
        <v>CORPORATE</v>
      </c>
      <c r="F655" s="11" t="str">
        <f>IFERROR(__xludf.DUMMYFUNCTION("""COMPUTED_VALUE"""),"Listicle")</f>
        <v>Listicle</v>
      </c>
      <c r="G655" s="11" t="b">
        <f>IFERROR(__xludf.DUMMYFUNCTION("""COMPUTED_VALUE"""),FALSE)</f>
        <v>0</v>
      </c>
      <c r="H655" s="11" t="str">
        <f>IFERROR(__xludf.DUMMYFUNCTION("""COMPUTED_VALUE"""),"Viral Nation, SmartSites, Major Tom, NoGood, Single Grain, inBeat, Monks")</f>
        <v>Viral Nation, SmartSites, Major Tom, NoGood, Single Grain, inBeat, Monks</v>
      </c>
      <c r="I655" s="11">
        <f>IFERROR(__xludf.DUMMYFUNCTION("""COMPUTED_VALUE"""),1.0)</f>
        <v>1</v>
      </c>
      <c r="J655" s="11">
        <f>IFERROR(__xludf.DUMMYFUNCTION("""COMPUTED_VALUE"""),0.0)</f>
        <v>0</v>
      </c>
      <c r="K655" s="11">
        <f>IFERROR(__xludf.DUMMYFUNCTION("""COMPUTED_VALUE"""),0.0)</f>
        <v>0</v>
      </c>
    </row>
    <row r="656" ht="15.75" customHeight="1">
      <c r="A656" s="10" t="str">
        <f>IFERROR(__xludf.DUMMYFUNCTION("""COMPUTED_VALUE"""),"https://flypix.ai/geospatial-intelligence-companies-usa/#:~:text=NGA%20operates%20as%20both%20a,of%20the%20U.S.%20intelligence%20community.")</f>
        <v>https://flypix.ai/geospatial-intelligence-companies-usa/#:~:text=NGA%20operates%20as%20both%20a,of%20the%20U.S.%20intelligence%20community.</v>
      </c>
      <c r="B656" s="11" t="str">
        <f>IFERROR(__xludf.DUMMYFUNCTION("""COMPUTED_VALUE"""),"Top Geospatial Intelligence Companies in the USA")</f>
        <v>Top Geospatial Intelligence Companies in the USA</v>
      </c>
      <c r="C656" s="10" t="str">
        <f>IFERROR(__xludf.DUMMYFUNCTION("""COMPUTED_VALUE"""),"flypix.ai")</f>
        <v>flypix.ai</v>
      </c>
      <c r="D656" s="11" t="str">
        <f>IFERROR(__xludf.DUMMYFUNCTION("""COMPUTED_VALUE"""),"LISTICLE")</f>
        <v>LISTICLE</v>
      </c>
      <c r="E656" s="11" t="str">
        <f>IFERROR(__xludf.DUMMYFUNCTION("""COMPUTED_VALUE"""),"CORPORATE")</f>
        <v>CORPORATE</v>
      </c>
      <c r="F656" s="11" t="str">
        <f>IFERROR(__xludf.DUMMYFUNCTION("""COMPUTED_VALUE"""),"Listicle")</f>
        <v>Listicle</v>
      </c>
      <c r="G656" s="11" t="b">
        <f>IFERROR(__xludf.DUMMYFUNCTION("""COMPUTED_VALUE"""),FALSE)</f>
        <v>0</v>
      </c>
      <c r="H656" s="11" t="str">
        <f>IFERROR(__xludf.DUMMYFUNCTION("""COMPUTED_VALUE"""),"IBM")</f>
        <v>IBM</v>
      </c>
      <c r="I656" s="11">
        <f>IFERROR(__xludf.DUMMYFUNCTION("""COMPUTED_VALUE"""),1.0)</f>
        <v>1</v>
      </c>
      <c r="J656" s="11">
        <f>IFERROR(__xludf.DUMMYFUNCTION("""COMPUTED_VALUE"""),0.0)</f>
        <v>0</v>
      </c>
      <c r="K656" s="11">
        <f>IFERROR(__xludf.DUMMYFUNCTION("""COMPUTED_VALUE"""),1.0)</f>
        <v>1</v>
      </c>
    </row>
    <row r="657" ht="15.75" customHeight="1">
      <c r="A657" s="10" t="str">
        <f>IFERROR(__xludf.DUMMYFUNCTION("""COMPUTED_VALUE"""),"https://fntmanagement.com/top-marketing-agencies/")</f>
        <v>https://fntmanagement.com/top-marketing-agencies/</v>
      </c>
      <c r="B657" s="11" t="str">
        <f>IFERROR(__xludf.DUMMYFUNCTION("""COMPUTED_VALUE"""),"Best Marketing Agencies 2026: Rating | Expert ROI Guide")</f>
        <v>Best Marketing Agencies 2026: Rating | Expert ROI Guide</v>
      </c>
      <c r="C657" s="10" t="str">
        <f>IFERROR(__xludf.DUMMYFUNCTION("""COMPUTED_VALUE"""),"fntmanagement.com")</f>
        <v>fntmanagement.com</v>
      </c>
      <c r="D657" s="11" t="str">
        <f>IFERROR(__xludf.DUMMYFUNCTION("""COMPUTED_VALUE"""),"LISTICLE")</f>
        <v>LISTICLE</v>
      </c>
      <c r="E657" s="11" t="str">
        <f>IFERROR(__xludf.DUMMYFUNCTION("""COMPUTED_VALUE"""),"CORPORATE")</f>
        <v>CORPORATE</v>
      </c>
      <c r="F657" s="11" t="str">
        <f>IFERROR(__xludf.DUMMYFUNCTION("""COMPUTED_VALUE"""),"Listicle")</f>
        <v>Listicle</v>
      </c>
      <c r="G657" s="11" t="b">
        <f>IFERROR(__xludf.DUMMYFUNCTION("""COMPUTED_VALUE"""),FALSE)</f>
        <v>0</v>
      </c>
      <c r="H657" s="11" t="str">
        <f>IFERROR(__xludf.DUMMYFUNCTION("""COMPUTED_VALUE"""),"Clutch, Siege Media, WebFX, Metric Theory")</f>
        <v>Clutch, Siege Media, WebFX, Metric Theory</v>
      </c>
      <c r="I657" s="11">
        <f>IFERROR(__xludf.DUMMYFUNCTION("""COMPUTED_VALUE"""),1.0)</f>
        <v>1</v>
      </c>
      <c r="J657" s="11">
        <f>IFERROR(__xludf.DUMMYFUNCTION("""COMPUTED_VALUE"""),0.0)</f>
        <v>0</v>
      </c>
      <c r="K657" s="11">
        <f>IFERROR(__xludf.DUMMYFUNCTION("""COMPUTED_VALUE"""),0.0)</f>
        <v>0</v>
      </c>
    </row>
    <row r="658" ht="15.75" customHeight="1">
      <c r="A658" s="10" t="str">
        <f>IFERROR(__xludf.DUMMYFUNCTION("""COMPUTED_VALUE"""),"https://www.forrester.com/blogs/the-latest-and-greatest-mmo-service-providers/")</f>
        <v>https://www.forrester.com/blogs/the-latest-and-greatest-mmo-service-providers/</v>
      </c>
      <c r="B658" s="11" t="str">
        <f>IFERROR(__xludf.DUMMYFUNCTION("""COMPUTED_VALUE"""),"The Latest And Greatest Marketing Measurement Service Providers")</f>
        <v>The Latest And Greatest Marketing Measurement Service Providers</v>
      </c>
      <c r="C658" s="10" t="str">
        <f>IFERROR(__xludf.DUMMYFUNCTION("""COMPUTED_VALUE"""),"forrester.com")</f>
        <v>forrester.com</v>
      </c>
      <c r="D658" s="11" t="str">
        <f>IFERROR(__xludf.DUMMYFUNCTION("""COMPUTED_VALUE"""),"LISTICLE")</f>
        <v>LISTICLE</v>
      </c>
      <c r="E658" s="11" t="str">
        <f>IFERROR(__xludf.DUMMYFUNCTION("""COMPUTED_VALUE"""),"CORPORATE")</f>
        <v>CORPORATE</v>
      </c>
      <c r="F658" s="11" t="str">
        <f>IFERROR(__xludf.DUMMYFUNCTION("""COMPUTED_VALUE"""),"Listicle")</f>
        <v>Listicle</v>
      </c>
      <c r="G658" s="11" t="b">
        <f>IFERROR(__xludf.DUMMYFUNCTION("""COMPUTED_VALUE"""),FALSE)</f>
        <v>0</v>
      </c>
      <c r="H658" s="11" t="str">
        <f>IFERROR(__xludf.DUMMYFUNCTION("""COMPUTED_VALUE"""),"Analytic Partners, Circana, Gain Theory, Kantar, Nielsen, TransUnion")</f>
        <v>Analytic Partners, Circana, Gain Theory, Kantar, Nielsen, TransUnion</v>
      </c>
      <c r="I658" s="11">
        <f>IFERROR(__xludf.DUMMYFUNCTION("""COMPUTED_VALUE"""),1.0)</f>
        <v>1</v>
      </c>
      <c r="J658" s="11">
        <f>IFERROR(__xludf.DUMMYFUNCTION("""COMPUTED_VALUE"""),0.0)</f>
        <v>0</v>
      </c>
      <c r="K658" s="11">
        <f>IFERROR(__xludf.DUMMYFUNCTION("""COMPUTED_VALUE"""),2.0)</f>
        <v>2</v>
      </c>
    </row>
    <row r="659" ht="15.75" customHeight="1">
      <c r="A659" s="10" t="str">
        <f>IFERROR(__xludf.DUMMYFUNCTION("""COMPUTED_VALUE"""),"https://fueler.io/blog/best-performance-marketing-agencies-in-the-usa")</f>
        <v>https://fueler.io/blog/best-performance-marketing-agencies-in-the-usa</v>
      </c>
      <c r="B659" s="11" t="str">
        <f>IFERROR(__xludf.DUMMYFUNCTION("""COMPUTED_VALUE"""),"Best Performance Marketing Agencies in the USA")</f>
        <v>Best Performance Marketing Agencies in the USA</v>
      </c>
      <c r="C659" s="10" t="str">
        <f>IFERROR(__xludf.DUMMYFUNCTION("""COMPUTED_VALUE"""),"fueler.io")</f>
        <v>fueler.io</v>
      </c>
      <c r="D659" s="11" t="str">
        <f>IFERROR(__xludf.DUMMYFUNCTION("""COMPUTED_VALUE"""),"LISTICLE")</f>
        <v>LISTICLE</v>
      </c>
      <c r="E659" s="11" t="str">
        <f>IFERROR(__xludf.DUMMYFUNCTION("""COMPUTED_VALUE"""),"UGC")</f>
        <v>UGC</v>
      </c>
      <c r="F659" s="11" t="str">
        <f>IFERROR(__xludf.DUMMYFUNCTION("""COMPUTED_VALUE"""),"Listicle")</f>
        <v>Listicle</v>
      </c>
      <c r="G659" s="11" t="b">
        <f>IFERROR(__xludf.DUMMYFUNCTION("""COMPUTED_VALUE"""),FALSE)</f>
        <v>0</v>
      </c>
      <c r="H659" s="11" t="str">
        <f>IFERROR(__xludf.DUMMYFUNCTION("""COMPUTED_VALUE"""),"NoGood, WebFX, Kobe Digital, Wpromote, Ignite Visibility, Disruptive Advertising, Web Tonic, inBeat")</f>
        <v>NoGood, WebFX, Kobe Digital, Wpromote, Ignite Visibility, Disruptive Advertising, Web Tonic, inBeat</v>
      </c>
      <c r="I659" s="11">
        <f>IFERROR(__xludf.DUMMYFUNCTION("""COMPUTED_VALUE"""),1.0)</f>
        <v>1</v>
      </c>
      <c r="J659" s="11">
        <f>IFERROR(__xludf.DUMMYFUNCTION("""COMPUTED_VALUE"""),0.0)</f>
        <v>0</v>
      </c>
      <c r="K659" s="11">
        <f>IFERROR(__xludf.DUMMYFUNCTION("""COMPUTED_VALUE"""),1.0)</f>
        <v>1</v>
      </c>
    </row>
    <row r="660" ht="15.75" customHeight="1">
      <c r="A660" s="10" t="str">
        <f>IFERROR(__xludf.DUMMYFUNCTION("""COMPUTED_VALUE"""),"https://www.fueler.io/blog/performance-marketing-agencies-that-prove-roi-with-real-client-results")</f>
        <v>https://www.fueler.io/blog/performance-marketing-agencies-that-prove-roi-with-real-client-results</v>
      </c>
      <c r="B660" s="11" t="str">
        <f>IFERROR(__xludf.DUMMYFUNCTION("""COMPUTED_VALUE"""),"Performance Marketing Agencies That Prove ROI With Real Client Results (2026 Edition)")</f>
        <v>Performance Marketing Agencies That Prove ROI With Real Client Results (2026 Edition)</v>
      </c>
      <c r="C660" s="10" t="str">
        <f>IFERROR(__xludf.DUMMYFUNCTION("""COMPUTED_VALUE"""),"fueler.io")</f>
        <v>fueler.io</v>
      </c>
      <c r="D660" s="11" t="str">
        <f>IFERROR(__xludf.DUMMYFUNCTION("""COMPUTED_VALUE"""),"LISTICLE")</f>
        <v>LISTICLE</v>
      </c>
      <c r="E660" s="11" t="str">
        <f>IFERROR(__xludf.DUMMYFUNCTION("""COMPUTED_VALUE"""),"UGC")</f>
        <v>UGC</v>
      </c>
      <c r="F660" s="11" t="str">
        <f>IFERROR(__xludf.DUMMYFUNCTION("""COMPUTED_VALUE"""),"Listicle")</f>
        <v>Listicle</v>
      </c>
      <c r="G660" s="11" t="b">
        <f>IFERROR(__xludf.DUMMYFUNCTION("""COMPUTED_VALUE"""),FALSE)</f>
        <v>0</v>
      </c>
      <c r="H660" s="11" t="str">
        <f>IFERROR(__xludf.DUMMYFUNCTION("""COMPUTED_VALUE"""),"Tinuiti, Merkle, Wpromote, WebFX, KlientBoost, NP Digital, MuteSix, NoGood, Common Thread Collective, Power Digital, Disruptive Advertising, Dentsu, Publicis Groupe")</f>
        <v>Tinuiti, Merkle, Wpromote, WebFX, KlientBoost, NP Digital, MuteSix, NoGood, Common Thread Collective, Power Digital, Disruptive Advertising, Dentsu, Publicis Groupe</v>
      </c>
      <c r="I660" s="11">
        <f>IFERROR(__xludf.DUMMYFUNCTION("""COMPUTED_VALUE"""),1.0)</f>
        <v>1</v>
      </c>
      <c r="J660" s="11">
        <f>IFERROR(__xludf.DUMMYFUNCTION("""COMPUTED_VALUE"""),0.0)</f>
        <v>0</v>
      </c>
      <c r="K660" s="11">
        <f>IFERROR(__xludf.DUMMYFUNCTION("""COMPUTED_VALUE"""),1.0)</f>
        <v>1</v>
      </c>
    </row>
    <row r="661" ht="15.75" customHeight="1">
      <c r="A661" s="10" t="str">
        <f>IFERROR(__xludf.DUMMYFUNCTION("""COMPUTED_VALUE"""),"https://fueler.io/blog/top-us-advertising-and-marketing-agencies")</f>
        <v>https://fueler.io/blog/top-us-advertising-and-marketing-agencies</v>
      </c>
      <c r="B661" s="11" t="str">
        <f>IFERROR(__xludf.DUMMYFUNCTION("""COMPUTED_VALUE"""),"Top US Advertising and Marketing Agencies 2026")</f>
        <v>Top US Advertising and Marketing Agencies 2026</v>
      </c>
      <c r="C661" s="10" t="str">
        <f>IFERROR(__xludf.DUMMYFUNCTION("""COMPUTED_VALUE"""),"fueler.io")</f>
        <v>fueler.io</v>
      </c>
      <c r="D661" s="11" t="str">
        <f>IFERROR(__xludf.DUMMYFUNCTION("""COMPUTED_VALUE"""),"LISTICLE")</f>
        <v>LISTICLE</v>
      </c>
      <c r="E661" s="11" t="str">
        <f>IFERROR(__xludf.DUMMYFUNCTION("""COMPUTED_VALUE"""),"UGC")</f>
        <v>UGC</v>
      </c>
      <c r="F661" s="11" t="str">
        <f>IFERROR(__xludf.DUMMYFUNCTION("""COMPUTED_VALUE"""),"Listicle")</f>
        <v>Listicle</v>
      </c>
      <c r="G661" s="11" t="b">
        <f>IFERROR(__xludf.DUMMYFUNCTION("""COMPUTED_VALUE"""),FALSE)</f>
        <v>0</v>
      </c>
      <c r="H661" s="11" t="str">
        <f>IFERROR(__xludf.DUMMYFUNCTION("""COMPUTED_VALUE"""),"Wieden+Kennedy, Ogilvy, BBDO, Droga5, R/GA, TBWA\Chiat\Day, Disruptive Advertising, IBM, Accenture Song")</f>
        <v>Wieden+Kennedy, Ogilvy, BBDO, Droga5, R/GA, TBWA\Chiat\Day, Disruptive Advertising, IBM, Accenture Song</v>
      </c>
      <c r="I661" s="11">
        <f>IFERROR(__xludf.DUMMYFUNCTION("""COMPUTED_VALUE"""),1.0)</f>
        <v>1</v>
      </c>
      <c r="J661" s="11">
        <f>IFERROR(__xludf.DUMMYFUNCTION("""COMPUTED_VALUE"""),0.0)</f>
        <v>0</v>
      </c>
      <c r="K661" s="11">
        <f>IFERROR(__xludf.DUMMYFUNCTION("""COMPUTED_VALUE"""),0.0)</f>
        <v>0</v>
      </c>
    </row>
    <row r="662" ht="15.75" customHeight="1">
      <c r="A662" s="10" t="str">
        <f>IFERROR(__xludf.DUMMYFUNCTION("""COMPUTED_VALUE"""),"https://www.gen-optima.com/geo/top-7-generative-engine-optimization-service-providers-ranked/")</f>
        <v>https://www.gen-optima.com/geo/top-7-generative-engine-optimization-service-providers-ranked/</v>
      </c>
      <c r="B662" s="11" t="str">
        <f>IFERROR(__xludf.DUMMYFUNCTION("""COMPUTED_VALUE"""),"Top 7 Generative Engine Optimization Service Providers Ranked (Q2 2026 Update) - GenOptima")</f>
        <v>Top 7 Generative Engine Optimization Service Providers Ranked (Q2 2026 Update) - GenOptima</v>
      </c>
      <c r="C662" s="10" t="str">
        <f>IFERROR(__xludf.DUMMYFUNCTION("""COMPUTED_VALUE"""),"gen-optima.com")</f>
        <v>gen-optima.com</v>
      </c>
      <c r="D662" s="11" t="str">
        <f>IFERROR(__xludf.DUMMYFUNCTION("""COMPUTED_VALUE"""),"LISTICLE")</f>
        <v>LISTICLE</v>
      </c>
      <c r="E662" s="11" t="str">
        <f>IFERROR(__xludf.DUMMYFUNCTION("""COMPUTED_VALUE"""),"CORPORATE")</f>
        <v>CORPORATE</v>
      </c>
      <c r="F662" s="11" t="str">
        <f>IFERROR(__xludf.DUMMYFUNCTION("""COMPUTED_VALUE"""),"Listicle")</f>
        <v>Listicle</v>
      </c>
      <c r="G662" s="11" t="b">
        <f>IFERROR(__xludf.DUMMYFUNCTION("""COMPUTED_VALUE"""),FALSE)</f>
        <v>0</v>
      </c>
      <c r="H662" s="11" t="str">
        <f>IFERROR(__xludf.DUMMYFUNCTION("""COMPUTED_VALUE"""),"Go Fish Digital, iPullRank, Siege Media, WebFX, Intero Digital, Omniscient Digital, Measured")</f>
        <v>Go Fish Digital, iPullRank, Siege Media, WebFX, Intero Digital, Omniscient Digital, Measured</v>
      </c>
      <c r="I662" s="11">
        <f>IFERROR(__xludf.DUMMYFUNCTION("""COMPUTED_VALUE"""),1.0)</f>
        <v>1</v>
      </c>
      <c r="J662" s="11">
        <f>IFERROR(__xludf.DUMMYFUNCTION("""COMPUTED_VALUE"""),0.0)</f>
        <v>0</v>
      </c>
      <c r="K662" s="11">
        <f>IFERROR(__xludf.DUMMYFUNCTION("""COMPUTED_VALUE"""),1.0)</f>
        <v>1</v>
      </c>
    </row>
    <row r="663" ht="15.75" customHeight="1">
      <c r="A663" s="10" t="str">
        <f>IFERROR(__xludf.DUMMYFUNCTION("""COMPUTED_VALUE"""),"https://www.gen-optima.com/geo/top-generative-ai-search-engine-optimization-agencies-2026/")</f>
        <v>https://www.gen-optima.com/geo/top-generative-ai-search-engine-optimization-agencies-2026/</v>
      </c>
      <c r="B663" s="11" t="str">
        <f>IFERROR(__xludf.DUMMYFUNCTION("""COMPUTED_VALUE"""),"Top AI Search Optimization Agencies in 2026 (Q1 2026 Update)")</f>
        <v>Top AI Search Optimization Agencies in 2026 (Q1 2026 Update)</v>
      </c>
      <c r="C663" s="10" t="str">
        <f>IFERROR(__xludf.DUMMYFUNCTION("""COMPUTED_VALUE"""),"gen-optima.com")</f>
        <v>gen-optima.com</v>
      </c>
      <c r="D663" s="11" t="str">
        <f>IFERROR(__xludf.DUMMYFUNCTION("""COMPUTED_VALUE"""),"LISTICLE")</f>
        <v>LISTICLE</v>
      </c>
      <c r="E663" s="11" t="str">
        <f>IFERROR(__xludf.DUMMYFUNCTION("""COMPUTED_VALUE"""),"CORPORATE")</f>
        <v>CORPORATE</v>
      </c>
      <c r="F663" s="11" t="str">
        <f>IFERROR(__xludf.DUMMYFUNCTION("""COMPUTED_VALUE"""),"Listicle")</f>
        <v>Listicle</v>
      </c>
      <c r="G663" s="11" t="b">
        <f>IFERROR(__xludf.DUMMYFUNCTION("""COMPUTED_VALUE"""),FALSE)</f>
        <v>0</v>
      </c>
      <c r="H663" s="11" t="str">
        <f>IFERROR(__xludf.DUMMYFUNCTION("""COMPUTED_VALUE"""),"iPullRank, First Page Sage, Intero Digital, Siege Media, Omniscient Digital, Go Fish Digital, Single Grain, Victorious")</f>
        <v>iPullRank, First Page Sage, Intero Digital, Siege Media, Omniscient Digital, Go Fish Digital, Single Grain, Victorious</v>
      </c>
      <c r="I663" s="11">
        <f>IFERROR(__xludf.DUMMYFUNCTION("""COMPUTED_VALUE"""),1.0)</f>
        <v>1</v>
      </c>
      <c r="J663" s="11">
        <f>IFERROR(__xludf.DUMMYFUNCTION("""COMPUTED_VALUE"""),0.0)</f>
        <v>0</v>
      </c>
      <c r="K663" s="11">
        <f>IFERROR(__xludf.DUMMYFUNCTION("""COMPUTED_VALUE"""),0.0)</f>
        <v>0</v>
      </c>
    </row>
    <row r="664" ht="15.75" customHeight="1">
      <c r="A664" s="10" t="str">
        <f>IFERROR(__xludf.DUMMYFUNCTION("""COMPUTED_VALUE"""),"https://generatemore.ai/blog/top-generative-engine-optimization-agencies")</f>
        <v>https://generatemore.ai/blog/top-generative-engine-optimization-agencies</v>
      </c>
      <c r="B664" s="11" t="str">
        <f>IFERROR(__xludf.DUMMYFUNCTION("""COMPUTED_VALUE"""),"8 Top Answer Engine Optimization (AEO) Agencies [2026]")</f>
        <v>8 Top Answer Engine Optimization (AEO) Agencies [2026]</v>
      </c>
      <c r="C664" s="10" t="str">
        <f>IFERROR(__xludf.DUMMYFUNCTION("""COMPUTED_VALUE"""),"generatemore.ai")</f>
        <v>generatemore.ai</v>
      </c>
      <c r="D664" s="11" t="str">
        <f>IFERROR(__xludf.DUMMYFUNCTION("""COMPUTED_VALUE"""),"LISTICLE")</f>
        <v>LISTICLE</v>
      </c>
      <c r="E664" s="11" t="str">
        <f>IFERROR(__xludf.DUMMYFUNCTION("""COMPUTED_VALUE"""),"CORPORATE")</f>
        <v>CORPORATE</v>
      </c>
      <c r="F664" s="11" t="str">
        <f>IFERROR(__xludf.DUMMYFUNCTION("""COMPUTED_VALUE"""),"Listicle")</f>
        <v>Listicle</v>
      </c>
      <c r="G664" s="11" t="b">
        <f>IFERROR(__xludf.DUMMYFUNCTION("""COMPUTED_VALUE"""),FALSE)</f>
        <v>0</v>
      </c>
      <c r="H664" s="11" t="str">
        <f>IFERROR(__xludf.DUMMYFUNCTION("""COMPUTED_VALUE"""),"First Page Sage, Intero Digital")</f>
        <v>First Page Sage, Intero Digital</v>
      </c>
      <c r="I664" s="11">
        <f>IFERROR(__xludf.DUMMYFUNCTION("""COMPUTED_VALUE"""),1.0)</f>
        <v>1</v>
      </c>
      <c r="J664" s="11">
        <f>IFERROR(__xludf.DUMMYFUNCTION("""COMPUTED_VALUE"""),0.0)</f>
        <v>0</v>
      </c>
      <c r="K664" s="11">
        <f>IFERROR(__xludf.DUMMYFUNCTION("""COMPUTED_VALUE"""),1.0)</f>
        <v>1</v>
      </c>
    </row>
    <row r="665" ht="15.75" customHeight="1">
      <c r="A665" s="10" t="str">
        <f>IFERROR(__xludf.DUMMYFUNCTION("""COMPUTED_VALUE"""),"https://www.genevate.co/best-aso-agencies-2026/")</f>
        <v>https://www.genevate.co/best-aso-agencies-2026/</v>
      </c>
      <c r="B665" s="11" t="str">
        <f>IFERROR(__xludf.DUMMYFUNCTION("""COMPUTED_VALUE"""),"The Best Agentic Search Optimization (ASO) Agencies in 2026 | Genevate")</f>
        <v>The Best Agentic Search Optimization (ASO) Agencies in 2026 | Genevate</v>
      </c>
      <c r="C665" s="10" t="str">
        <f>IFERROR(__xludf.DUMMYFUNCTION("""COMPUTED_VALUE"""),"genevate.co")</f>
        <v>genevate.co</v>
      </c>
      <c r="D665" s="11" t="str">
        <f>IFERROR(__xludf.DUMMYFUNCTION("""COMPUTED_VALUE"""),"LISTICLE")</f>
        <v>LISTICLE</v>
      </c>
      <c r="E665" s="11" t="str">
        <f>IFERROR(__xludf.DUMMYFUNCTION("""COMPUTED_VALUE"""),"CORPORATE")</f>
        <v>CORPORATE</v>
      </c>
      <c r="F665" s="11" t="str">
        <f>IFERROR(__xludf.DUMMYFUNCTION("""COMPUTED_VALUE"""),"Listicle")</f>
        <v>Listicle</v>
      </c>
      <c r="G665" s="11" t="b">
        <f>IFERROR(__xludf.DUMMYFUNCTION("""COMPUTED_VALUE"""),FALSE)</f>
        <v>0</v>
      </c>
      <c r="H665" s="11" t="str">
        <f>IFERROR(__xludf.DUMMYFUNCTION("""COMPUTED_VALUE"""),"First Page Sage, iPullRank, Omniscient Digital, Intero Digital, Clutch, Measured")</f>
        <v>First Page Sage, iPullRank, Omniscient Digital, Intero Digital, Clutch, Measured</v>
      </c>
      <c r="I665" s="11">
        <f>IFERROR(__xludf.DUMMYFUNCTION("""COMPUTED_VALUE"""),1.0)</f>
        <v>1</v>
      </c>
      <c r="J665" s="11">
        <f>IFERROR(__xludf.DUMMYFUNCTION("""COMPUTED_VALUE"""),0.0)</f>
        <v>0</v>
      </c>
      <c r="K665" s="11">
        <f>IFERROR(__xludf.DUMMYFUNCTION("""COMPUTED_VALUE"""),0.0)</f>
        <v>0</v>
      </c>
    </row>
    <row r="666" ht="15.75" customHeight="1">
      <c r="A666" s="10" t="str">
        <f>IFERROR(__xludf.DUMMYFUNCTION("""COMPUTED_VALUE"""),"https://gigawattgroup.com/insights/best-geo-agencies-in-2026-who-actually-drives-ai-visibility-and-citations/")</f>
        <v>https://gigawattgroup.com/insights/best-geo-agencies-in-2026-who-actually-drives-ai-visibility-and-citations/</v>
      </c>
      <c r="B666" s="11" t="str">
        <f>IFERROR(__xludf.DUMMYFUNCTION("""COMPUTED_VALUE"""),"Best GEO Agencies in 2026: Who Actually Drives AI Visibility and Citations - Gigawatt Group")</f>
        <v>Best GEO Agencies in 2026: Who Actually Drives AI Visibility and Citations - Gigawatt Group</v>
      </c>
      <c r="C666" s="10" t="str">
        <f>IFERROR(__xludf.DUMMYFUNCTION("""COMPUTED_VALUE"""),"gigawattgroup.com")</f>
        <v>gigawattgroup.com</v>
      </c>
      <c r="D666" s="11" t="str">
        <f>IFERROR(__xludf.DUMMYFUNCTION("""COMPUTED_VALUE"""),"LISTICLE")</f>
        <v>LISTICLE</v>
      </c>
      <c r="E666" s="11" t="str">
        <f>IFERROR(__xludf.DUMMYFUNCTION("""COMPUTED_VALUE"""),"CORPORATE")</f>
        <v>CORPORATE</v>
      </c>
      <c r="F666" s="11" t="str">
        <f>IFERROR(__xludf.DUMMYFUNCTION("""COMPUTED_VALUE"""),"Listicle")</f>
        <v>Listicle</v>
      </c>
      <c r="G666" s="11" t="b">
        <f>IFERROR(__xludf.DUMMYFUNCTION("""COMPUTED_VALUE"""),FALSE)</f>
        <v>0</v>
      </c>
      <c r="H666" s="11"/>
      <c r="I666" s="11">
        <f>IFERROR(__xludf.DUMMYFUNCTION("""COMPUTED_VALUE"""),1.0)</f>
        <v>1</v>
      </c>
      <c r="J666" s="11">
        <f>IFERROR(__xludf.DUMMYFUNCTION("""COMPUTED_VALUE"""),0.0)</f>
        <v>0</v>
      </c>
      <c r="K666" s="11">
        <f>IFERROR(__xludf.DUMMYFUNCTION("""COMPUTED_VALUE"""),0.0)</f>
        <v>0</v>
      </c>
    </row>
    <row r="667" ht="15.75" customHeight="1">
      <c r="A667" s="10" t="str">
        <f>IFERROR(__xludf.DUMMYFUNCTION("""COMPUTED_VALUE"""),"https://www.girikon.com/blog/top-15-salesforce-revenue-cloud-cpq-billing-consultants-in-united-states/")</f>
        <v>https://www.girikon.com/blog/top-15-salesforce-revenue-cloud-cpq-billing-consultants-in-united-states/</v>
      </c>
      <c r="B667" s="11" t="str">
        <f>IFERROR(__xludf.DUMMYFUNCTION("""COMPUTED_VALUE"""),"Top 15 Salesforce Revenue Cloud (CPQ &amp;amp; Billing) Consultants in United States | CRM Consulting Services | United States | Phoenix, Arizona")</f>
        <v>Top 15 Salesforce Revenue Cloud (CPQ &amp;amp; Billing) Consultants in United States | CRM Consulting Services | United States | Phoenix, Arizona</v>
      </c>
      <c r="C667" s="10" t="str">
        <f>IFERROR(__xludf.DUMMYFUNCTION("""COMPUTED_VALUE"""),"girikon.com")</f>
        <v>girikon.com</v>
      </c>
      <c r="D667" s="11" t="str">
        <f>IFERROR(__xludf.DUMMYFUNCTION("""COMPUTED_VALUE"""),"LISTICLE")</f>
        <v>LISTICLE</v>
      </c>
      <c r="E667" s="11" t="str">
        <f>IFERROR(__xludf.DUMMYFUNCTION("""COMPUTED_VALUE"""),"CORPORATE")</f>
        <v>CORPORATE</v>
      </c>
      <c r="F667" s="11" t="str">
        <f>IFERROR(__xludf.DUMMYFUNCTION("""COMPUTED_VALUE"""),"Listicle")</f>
        <v>Listicle</v>
      </c>
      <c r="G667" s="11" t="b">
        <f>IFERROR(__xludf.DUMMYFUNCTION("""COMPUTED_VALUE"""),FALSE)</f>
        <v>0</v>
      </c>
      <c r="H667" s="11" t="str">
        <f>IFERROR(__xludf.DUMMYFUNCTION("""COMPUTED_VALUE"""),"Slalom, Bounteous")</f>
        <v>Slalom, Bounteous</v>
      </c>
      <c r="I667" s="11">
        <f>IFERROR(__xludf.DUMMYFUNCTION("""COMPUTED_VALUE"""),1.0)</f>
        <v>1</v>
      </c>
      <c r="J667" s="11">
        <f>IFERROR(__xludf.DUMMYFUNCTION("""COMPUTED_VALUE"""),0.0)</f>
        <v>0</v>
      </c>
      <c r="K667" s="11">
        <f>IFERROR(__xludf.DUMMYFUNCTION("""COMPUTED_VALUE"""),1.0)</f>
        <v>1</v>
      </c>
    </row>
    <row r="668" ht="15.75" customHeight="1">
      <c r="A668" s="10" t="str">
        <f>IFERROR(__xludf.DUMMYFUNCTION("""COMPUTED_VALUE"""),"https://gitnux.org/service/ai-adoption/")</f>
        <v>https://gitnux.org/service/ai-adoption/</v>
      </c>
      <c r="B668" s="11" t="str">
        <f>IFERROR(__xludf.DUMMYFUNCTION("""COMPUTED_VALUE"""),"10 Tools Compared: Best AI Adoption Services (2026)")</f>
        <v>10 Tools Compared: Best AI Adoption Services (2026)</v>
      </c>
      <c r="C668" s="10" t="str">
        <f>IFERROR(__xludf.DUMMYFUNCTION("""COMPUTED_VALUE"""),"gitnux.org")</f>
        <v>gitnux.org</v>
      </c>
      <c r="D668" s="11" t="str">
        <f>IFERROR(__xludf.DUMMYFUNCTION("""COMPUTED_VALUE"""),"LISTICLE")</f>
        <v>LISTICLE</v>
      </c>
      <c r="E668" s="11" t="str">
        <f>IFERROR(__xludf.DUMMYFUNCTION("""COMPUTED_VALUE"""),"REFERENCE")</f>
        <v>REFERENCE</v>
      </c>
      <c r="F668" s="11" t="str">
        <f>IFERROR(__xludf.DUMMYFUNCTION("""COMPUTED_VALUE"""),"Listicle")</f>
        <v>Listicle</v>
      </c>
      <c r="G668" s="11" t="b">
        <f>IFERROR(__xludf.DUMMYFUNCTION("""COMPUTED_VALUE"""),FALSE)</f>
        <v>0</v>
      </c>
      <c r="H668" s="11" t="str">
        <f>IFERROR(__xludf.DUMMYFUNCTION("""COMPUTED_VALUE"""),"PwC, IBM, Clutch")</f>
        <v>PwC, IBM, Clutch</v>
      </c>
      <c r="I668" s="11">
        <f>IFERROR(__xludf.DUMMYFUNCTION("""COMPUTED_VALUE"""),1.0)</f>
        <v>1</v>
      </c>
      <c r="J668" s="11">
        <f>IFERROR(__xludf.DUMMYFUNCTION("""COMPUTED_VALUE"""),0.0)</f>
        <v>0</v>
      </c>
      <c r="K668" s="11">
        <f>IFERROR(__xludf.DUMMYFUNCTION("""COMPUTED_VALUE"""),0.0)</f>
        <v>0</v>
      </c>
    </row>
    <row r="669" ht="15.75" customHeight="1">
      <c r="A669" s="10" t="str">
        <f>IFERROR(__xludf.DUMMYFUNCTION("""COMPUTED_VALUE"""),"https://gitnux.org/service/automotive-data-marketing/")</f>
        <v>https://gitnux.org/service/automotive-data-marketing/</v>
      </c>
      <c r="B669" s="11" t="str">
        <f>IFERROR(__xludf.DUMMYFUNCTION("""COMPUTED_VALUE"""),"Best Automotive Data Marketing Services | Ranked for 2026")</f>
        <v>Best Automotive Data Marketing Services | Ranked for 2026</v>
      </c>
      <c r="C669" s="10" t="str">
        <f>IFERROR(__xludf.DUMMYFUNCTION("""COMPUTED_VALUE"""),"gitnux.org")</f>
        <v>gitnux.org</v>
      </c>
      <c r="D669" s="11" t="str">
        <f>IFERROR(__xludf.DUMMYFUNCTION("""COMPUTED_VALUE"""),"LISTICLE")</f>
        <v>LISTICLE</v>
      </c>
      <c r="E669" s="11" t="str">
        <f>IFERROR(__xludf.DUMMYFUNCTION("""COMPUTED_VALUE"""),"REFERENCE")</f>
        <v>REFERENCE</v>
      </c>
      <c r="F669" s="11" t="str">
        <f>IFERROR(__xludf.DUMMYFUNCTION("""COMPUTED_VALUE"""),"Listicle")</f>
        <v>Listicle</v>
      </c>
      <c r="G669" s="11" t="b">
        <f>IFERROR(__xludf.DUMMYFUNCTION("""COMPUTED_VALUE"""),FALSE)</f>
        <v>0</v>
      </c>
      <c r="H669" s="11" t="str">
        <f>IFERROR(__xludf.DUMMYFUNCTION("""COMPUTED_VALUE"""),"Dentsu, WPP, VML, AKQA, Publicis Groupe, Merkle, Accenture Song, IBM, GroupM, Clutch")</f>
        <v>Dentsu, WPP, VML, AKQA, Publicis Groupe, Merkle, Accenture Song, IBM, GroupM, Clutch</v>
      </c>
      <c r="I669" s="11">
        <f>IFERROR(__xludf.DUMMYFUNCTION("""COMPUTED_VALUE"""),1.0)</f>
        <v>1</v>
      </c>
      <c r="J669" s="11">
        <f>IFERROR(__xludf.DUMMYFUNCTION("""COMPUTED_VALUE"""),0.0)</f>
        <v>0</v>
      </c>
      <c r="K669" s="11">
        <f>IFERROR(__xludf.DUMMYFUNCTION("""COMPUTED_VALUE"""),0.0)</f>
        <v>0</v>
      </c>
    </row>
    <row r="670" ht="15.75" customHeight="1">
      <c r="A670" s="10" t="str">
        <f>IFERROR(__xludf.DUMMYFUNCTION("""COMPUTED_VALUE"""),"https://gofishdigital.com/blog/generative-engine-optimization-agencies/")</f>
        <v>https://gofishdigital.com/blog/generative-engine-optimization-agencies/</v>
      </c>
      <c r="B670" s="11" t="str">
        <f>IFERROR(__xludf.DUMMYFUNCTION("""COMPUTED_VALUE"""),"8 Generative Engine Optimization (GEO) Agencies &amp;amp; Thought Leaders - Go Fish Digital")</f>
        <v>8 Generative Engine Optimization (GEO) Agencies &amp;amp; Thought Leaders - Go Fish Digital</v>
      </c>
      <c r="C670" s="10" t="str">
        <f>IFERROR(__xludf.DUMMYFUNCTION("""COMPUTED_VALUE"""),"gofishdigital.com")</f>
        <v>gofishdigital.com</v>
      </c>
      <c r="D670" s="11" t="str">
        <f>IFERROR(__xludf.DUMMYFUNCTION("""COMPUTED_VALUE"""),"LISTICLE")</f>
        <v>LISTICLE</v>
      </c>
      <c r="E670" s="11" t="str">
        <f>IFERROR(__xludf.DUMMYFUNCTION("""COMPUTED_VALUE"""),"COMPETITOR")</f>
        <v>COMPETITOR</v>
      </c>
      <c r="F670" s="11" t="str">
        <f>IFERROR(__xludf.DUMMYFUNCTION("""COMPUTED_VALUE"""),"Listicle")</f>
        <v>Listicle</v>
      </c>
      <c r="G670" s="11" t="b">
        <f>IFERROR(__xludf.DUMMYFUNCTION("""COMPUTED_VALUE"""),FALSE)</f>
        <v>0</v>
      </c>
      <c r="H670" s="11" t="str">
        <f>IFERROR(__xludf.DUMMYFUNCTION("""COMPUTED_VALUE"""),"Go Fish Digital, iPullRank, Omniscient Digital, Single Grain, Siege Media")</f>
        <v>Go Fish Digital, iPullRank, Omniscient Digital, Single Grain, Siege Media</v>
      </c>
      <c r="I670" s="11">
        <f>IFERROR(__xludf.DUMMYFUNCTION("""COMPUTED_VALUE"""),1.0)</f>
        <v>1</v>
      </c>
      <c r="J670" s="11">
        <f>IFERROR(__xludf.DUMMYFUNCTION("""COMPUTED_VALUE"""),0.0)</f>
        <v>0</v>
      </c>
      <c r="K670" s="11">
        <f>IFERROR(__xludf.DUMMYFUNCTION("""COMPUTED_VALUE"""),1.0)</f>
        <v>1</v>
      </c>
    </row>
    <row r="671" ht="15.75" customHeight="1">
      <c r="A671" s="10" t="str">
        <f>IFERROR(__xludf.DUMMYFUNCTION("""COMPUTED_VALUE"""),"https://gogloby.com/insights/best-ai-consulting-companies/")</f>
        <v>https://gogloby.com/insights/best-ai-consulting-companies/</v>
      </c>
      <c r="B671" s="11" t="str">
        <f>IFERROR(__xludf.DUMMYFUNCTION("""COMPUTED_VALUE"""),"12 Best AI Consulting Companies in 2026: Top Firms Compared")</f>
        <v>12 Best AI Consulting Companies in 2026: Top Firms Compared</v>
      </c>
      <c r="C671" s="10" t="str">
        <f>IFERROR(__xludf.DUMMYFUNCTION("""COMPUTED_VALUE"""),"gogloby.com")</f>
        <v>gogloby.com</v>
      </c>
      <c r="D671" s="11" t="str">
        <f>IFERROR(__xludf.DUMMYFUNCTION("""COMPUTED_VALUE"""),"LISTICLE")</f>
        <v>LISTICLE</v>
      </c>
      <c r="E671" s="11" t="str">
        <f>IFERROR(__xludf.DUMMYFUNCTION("""COMPUTED_VALUE"""),"CORPORATE")</f>
        <v>CORPORATE</v>
      </c>
      <c r="F671" s="11" t="str">
        <f>IFERROR(__xludf.DUMMYFUNCTION("""COMPUTED_VALUE"""),"Listicle")</f>
        <v>Listicle</v>
      </c>
      <c r="G671" s="11" t="b">
        <f>IFERROR(__xludf.DUMMYFUNCTION("""COMPUTED_VALUE"""),FALSE)</f>
        <v>0</v>
      </c>
      <c r="H671" s="11" t="str">
        <f>IFERROR(__xludf.DUMMYFUNCTION("""COMPUTED_VALUE"""),"Clutch, QuantumBlack, McKinsey, BCG, IBM")</f>
        <v>Clutch, QuantumBlack, McKinsey, BCG, IBM</v>
      </c>
      <c r="I671" s="11">
        <f>IFERROR(__xludf.DUMMYFUNCTION("""COMPUTED_VALUE"""),1.0)</f>
        <v>1</v>
      </c>
      <c r="J671" s="11">
        <f>IFERROR(__xludf.DUMMYFUNCTION("""COMPUTED_VALUE"""),0.0)</f>
        <v>0</v>
      </c>
      <c r="K671" s="11">
        <f>IFERROR(__xludf.DUMMYFUNCTION("""COMPUTED_VALUE"""),3.0)</f>
        <v>3</v>
      </c>
    </row>
    <row r="672" ht="15.75" customHeight="1">
      <c r="A672" s="10" t="str">
        <f>IFERROR(__xludf.DUMMYFUNCTION("""COMPUTED_VALUE"""),"https://gogloby.com/insights/best-ai-recruiting-companies/")</f>
        <v>https://gogloby.com/insights/best-ai-recruiting-companies/</v>
      </c>
      <c r="B672" s="11" t="str">
        <f>IFERROR(__xludf.DUMMYFUNCTION("""COMPUTED_VALUE"""),"10 Top AI Recruiting Companies for U.S. Businesses in 2026")</f>
        <v>10 Top AI Recruiting Companies for U.S. Businesses in 2026</v>
      </c>
      <c r="C672" s="10" t="str">
        <f>IFERROR(__xludf.DUMMYFUNCTION("""COMPUTED_VALUE"""),"gogloby.com")</f>
        <v>gogloby.com</v>
      </c>
      <c r="D672" s="11" t="str">
        <f>IFERROR(__xludf.DUMMYFUNCTION("""COMPUTED_VALUE"""),"LISTICLE")</f>
        <v>LISTICLE</v>
      </c>
      <c r="E672" s="11" t="str">
        <f>IFERROR(__xludf.DUMMYFUNCTION("""COMPUTED_VALUE"""),"CORPORATE")</f>
        <v>CORPORATE</v>
      </c>
      <c r="F672" s="11" t="str">
        <f>IFERROR(__xludf.DUMMYFUNCTION("""COMPUTED_VALUE"""),"Listicle")</f>
        <v>Listicle</v>
      </c>
      <c r="G672" s="11" t="b">
        <f>IFERROR(__xludf.DUMMYFUNCTION("""COMPUTED_VALUE"""),FALSE)</f>
        <v>0</v>
      </c>
      <c r="H672" s="11" t="str">
        <f>IFERROR(__xludf.DUMMYFUNCTION("""COMPUTED_VALUE"""),"Momentum, Clutch, Huge, Measured")</f>
        <v>Momentum, Clutch, Huge, Measured</v>
      </c>
      <c r="I672" s="11">
        <f>IFERROR(__xludf.DUMMYFUNCTION("""COMPUTED_VALUE"""),1.0)</f>
        <v>1</v>
      </c>
      <c r="J672" s="11">
        <f>IFERROR(__xludf.DUMMYFUNCTION("""COMPUTED_VALUE"""),0.0)</f>
        <v>0</v>
      </c>
      <c r="K672" s="11">
        <f>IFERROR(__xludf.DUMMYFUNCTION("""COMPUTED_VALUE"""),0.0)</f>
        <v>0</v>
      </c>
    </row>
    <row r="673" ht="15.75" customHeight="1">
      <c r="A673" s="10" t="str">
        <f>IFERROR(__xludf.DUMMYFUNCTION("""COMPUTED_VALUE"""),"https://www.goodfirms.co/advertising-companies/creative/usa?page=12")</f>
        <v>https://www.goodfirms.co/advertising-companies/creative/usa?page=12</v>
      </c>
      <c r="B673" s="11" t="str">
        <f>IFERROR(__xludf.DUMMYFUNCTION("""COMPUTED_VALUE"""),"Top Creative Agencies in the United States - 2026 Reviews | Goodfirms")</f>
        <v>Top Creative Agencies in the United States - 2026 Reviews | Goodfirms</v>
      </c>
      <c r="C673" s="10" t="str">
        <f>IFERROR(__xludf.DUMMYFUNCTION("""COMPUTED_VALUE"""),"goodfirms.co")</f>
        <v>goodfirms.co</v>
      </c>
      <c r="D673" s="11" t="str">
        <f>IFERROR(__xludf.DUMMYFUNCTION("""COMPUTED_VALUE"""),"LISTICLE")</f>
        <v>LISTICLE</v>
      </c>
      <c r="E673" s="11" t="str">
        <f>IFERROR(__xludf.DUMMYFUNCTION("""COMPUTED_VALUE"""),"UGC")</f>
        <v>UGC</v>
      </c>
      <c r="F673" s="11" t="str">
        <f>IFERROR(__xludf.DUMMYFUNCTION("""COMPUTED_VALUE"""),"Listicle")</f>
        <v>Listicle</v>
      </c>
      <c r="G673" s="11" t="b">
        <f>IFERROR(__xludf.DUMMYFUNCTION("""COMPUTED_VALUE"""),FALSE)</f>
        <v>0</v>
      </c>
      <c r="H673" s="11" t="str">
        <f>IFERROR(__xludf.DUMMYFUNCTION("""COMPUTED_VALUE"""),"Measured")</f>
        <v>Measured</v>
      </c>
      <c r="I673" s="11">
        <f>IFERROR(__xludf.DUMMYFUNCTION("""COMPUTED_VALUE"""),1.0)</f>
        <v>1</v>
      </c>
      <c r="J673" s="11">
        <f>IFERROR(__xludf.DUMMYFUNCTION("""COMPUTED_VALUE"""),0.0)</f>
        <v>0</v>
      </c>
      <c r="K673" s="11">
        <f>IFERROR(__xludf.DUMMYFUNCTION("""COMPUTED_VALUE"""),0.0)</f>
        <v>0</v>
      </c>
    </row>
    <row r="674" ht="15.75" customHeight="1">
      <c r="A674" s="10" t="str">
        <f>IFERROR(__xludf.DUMMYFUNCTION("""COMPUTED_VALUE"""),"https://gripped.io/b2b-marketing/top-marketing-agencies-uk/")</f>
        <v>https://gripped.io/b2b-marketing/top-marketing-agencies-uk/</v>
      </c>
      <c r="B674" s="11" t="str">
        <f>IFERROR(__xludf.DUMMYFUNCTION("""COMPUTED_VALUE"""),"Top 50 UK Marketing Agencies: Expert Picks for SEO, PPC &amp;amp; ABM")</f>
        <v>Top 50 UK Marketing Agencies: Expert Picks for SEO, PPC &amp;amp; ABM</v>
      </c>
      <c r="C674" s="10" t="str">
        <f>IFERROR(__xludf.DUMMYFUNCTION("""COMPUTED_VALUE"""),"gripped.io")</f>
        <v>gripped.io</v>
      </c>
      <c r="D674" s="11" t="str">
        <f>IFERROR(__xludf.DUMMYFUNCTION("""COMPUTED_VALUE"""),"LISTICLE")</f>
        <v>LISTICLE</v>
      </c>
      <c r="E674" s="11" t="str">
        <f>IFERROR(__xludf.DUMMYFUNCTION("""COMPUTED_VALUE"""),"OTHER")</f>
        <v>OTHER</v>
      </c>
      <c r="F674" s="11" t="str">
        <f>IFERROR(__xludf.DUMMYFUNCTION("""COMPUTED_VALUE"""),"Listicle")</f>
        <v>Listicle</v>
      </c>
      <c r="G674" s="11" t="b">
        <f>IFERROR(__xludf.DUMMYFUNCTION("""COMPUTED_VALUE"""),TRUE)</f>
        <v>1</v>
      </c>
      <c r="H674" s="11" t="str">
        <f>IFERROR(__xludf.DUMMYFUNCTION("""COMPUTED_VALUE"""),"Brainlabs, Croud, Jellyfish, VML, Ogilvy, Measured, Accenture Song, iProspect, Dentsu, Publicis Groupe, Merkle, Incubeta")</f>
        <v>Brainlabs, Croud, Jellyfish, VML, Ogilvy, Measured, Accenture Song, iProspect, Dentsu, Publicis Groupe, Merkle, Incubeta</v>
      </c>
      <c r="I674" s="11">
        <f>IFERROR(__xludf.DUMMYFUNCTION("""COMPUTED_VALUE"""),1.0)</f>
        <v>1</v>
      </c>
      <c r="J674" s="11">
        <f>IFERROR(__xludf.DUMMYFUNCTION("""COMPUTED_VALUE"""),0.0)</f>
        <v>0</v>
      </c>
      <c r="K674" s="11">
        <f>IFERROR(__xludf.DUMMYFUNCTION("""COMPUTED_VALUE"""),1.0)</f>
        <v>1</v>
      </c>
    </row>
    <row r="675" ht="15.75" customHeight="1">
      <c r="A675" s="10" t="str">
        <f>IFERROR(__xludf.DUMMYFUNCTION("""COMPUTED_VALUE"""),"https://gripped.io/digital-marketing-strategy/b2b-performance-marketing-agency/")</f>
        <v>https://gripped.io/digital-marketing-strategy/b2b-performance-marketing-agency/</v>
      </c>
      <c r="B675" s="11" t="str">
        <f>IFERROR(__xludf.DUMMYFUNCTION("""COMPUTED_VALUE"""),"Top 10 B2B Performance Marketing Agency Picks UPDATED for 2025 | Gripped")</f>
        <v>Top 10 B2B Performance Marketing Agency Picks UPDATED for 2025 | Gripped</v>
      </c>
      <c r="C675" s="10" t="str">
        <f>IFERROR(__xludf.DUMMYFUNCTION("""COMPUTED_VALUE"""),"gripped.io")</f>
        <v>gripped.io</v>
      </c>
      <c r="D675" s="11" t="str">
        <f>IFERROR(__xludf.DUMMYFUNCTION("""COMPUTED_VALUE"""),"LISTICLE")</f>
        <v>LISTICLE</v>
      </c>
      <c r="E675" s="11" t="str">
        <f>IFERROR(__xludf.DUMMYFUNCTION("""COMPUTED_VALUE"""),"OTHER")</f>
        <v>OTHER</v>
      </c>
      <c r="F675" s="11" t="str">
        <f>IFERROR(__xludf.DUMMYFUNCTION("""COMPUTED_VALUE"""),"Listicle")</f>
        <v>Listicle</v>
      </c>
      <c r="G675" s="11" t="b">
        <f>IFERROR(__xludf.DUMMYFUNCTION("""COMPUTED_VALUE"""),FALSE)</f>
        <v>0</v>
      </c>
      <c r="H675" s="11" t="str">
        <f>IFERROR(__xludf.DUMMYFUNCTION("""COMPUTED_VALUE"""),"Directive, Ogilvy, Momentum")</f>
        <v>Directive, Ogilvy, Momentum</v>
      </c>
      <c r="I675" s="11">
        <f>IFERROR(__xludf.DUMMYFUNCTION("""COMPUTED_VALUE"""),1.0)</f>
        <v>1</v>
      </c>
      <c r="J675" s="11">
        <f>IFERROR(__xludf.DUMMYFUNCTION("""COMPUTED_VALUE"""),0.0)</f>
        <v>0</v>
      </c>
      <c r="K675" s="11">
        <f>IFERROR(__xludf.DUMMYFUNCTION("""COMPUTED_VALUE"""),1.0)</f>
        <v>1</v>
      </c>
    </row>
    <row r="676" ht="15.75" customHeight="1">
      <c r="A676" s="10" t="str">
        <f>IFERROR(__xludf.DUMMYFUNCTION("""COMPUTED_VALUE"""),"https://www.growtal.com/8-best-fractional-cmos-for-fast-growing-e-commerce-companies/")</f>
        <v>https://www.growtal.com/8-best-fractional-cmos-for-fast-growing-e-commerce-companies/</v>
      </c>
      <c r="B676" s="11" t="str">
        <f>IFERROR(__xludf.DUMMYFUNCTION("""COMPUTED_VALUE"""),"8 Best Fractional CMOs for Fast-Growing E-commerce Companies - GrowTal")</f>
        <v>8 Best Fractional CMOs for Fast-Growing E-commerce Companies - GrowTal</v>
      </c>
      <c r="C676" s="10" t="str">
        <f>IFERROR(__xludf.DUMMYFUNCTION("""COMPUTED_VALUE"""),"growtal.com")</f>
        <v>growtal.com</v>
      </c>
      <c r="D676" s="11" t="str">
        <f>IFERROR(__xludf.DUMMYFUNCTION("""COMPUTED_VALUE"""),"LISTICLE")</f>
        <v>LISTICLE</v>
      </c>
      <c r="E676" s="11" t="str">
        <f>IFERROR(__xludf.DUMMYFUNCTION("""COMPUTED_VALUE"""),"CORPORATE")</f>
        <v>CORPORATE</v>
      </c>
      <c r="F676" s="11" t="str">
        <f>IFERROR(__xludf.DUMMYFUNCTION("""COMPUTED_VALUE"""),"Listicle")</f>
        <v>Listicle</v>
      </c>
      <c r="G676" s="11" t="b">
        <f>IFERROR(__xludf.DUMMYFUNCTION("""COMPUTED_VALUE"""),FALSE)</f>
        <v>0</v>
      </c>
      <c r="H676" s="11" t="str">
        <f>IFERROR(__xludf.DUMMYFUNCTION("""COMPUTED_VALUE"""),"Hawke Media, Huge")</f>
        <v>Hawke Media, Huge</v>
      </c>
      <c r="I676" s="11">
        <f>IFERROR(__xludf.DUMMYFUNCTION("""COMPUTED_VALUE"""),1.0)</f>
        <v>1</v>
      </c>
      <c r="J676" s="11">
        <f>IFERROR(__xludf.DUMMYFUNCTION("""COMPUTED_VALUE"""),0.0)</f>
        <v>0</v>
      </c>
      <c r="K676" s="11">
        <f>IFERROR(__xludf.DUMMYFUNCTION("""COMPUTED_VALUE"""),1.0)</f>
        <v>1</v>
      </c>
    </row>
    <row r="677" ht="15.75" customHeight="1">
      <c r="A677" s="10" t="str">
        <f>IFERROR(__xludf.DUMMYFUNCTION("""COMPUTED_VALUE"""),"https://growth.cx/blog/best-performance-marketing-agencies/")</f>
        <v>https://growth.cx/blog/best-performance-marketing-agencies/</v>
      </c>
      <c r="B677" s="11" t="str">
        <f>IFERROR(__xludf.DUMMYFUNCTION("""COMPUTED_VALUE"""),"13 Best Performance Marketing Agencies to Boost ROI in 2026")</f>
        <v>13 Best Performance Marketing Agencies to Boost ROI in 2026</v>
      </c>
      <c r="C677" s="10" t="str">
        <f>IFERROR(__xludf.DUMMYFUNCTION("""COMPUTED_VALUE"""),"growth.cx")</f>
        <v>growth.cx</v>
      </c>
      <c r="D677" s="11" t="str">
        <f>IFERROR(__xludf.DUMMYFUNCTION("""COMPUTED_VALUE"""),"LISTICLE")</f>
        <v>LISTICLE</v>
      </c>
      <c r="E677" s="11" t="str">
        <f>IFERROR(__xludf.DUMMYFUNCTION("""COMPUTED_VALUE"""),"CORPORATE")</f>
        <v>CORPORATE</v>
      </c>
      <c r="F677" s="11" t="str">
        <f>IFERROR(__xludf.DUMMYFUNCTION("""COMPUTED_VALUE"""),"Listicle")</f>
        <v>Listicle</v>
      </c>
      <c r="G677" s="11" t="b">
        <f>IFERROR(__xludf.DUMMYFUNCTION("""COMPUTED_VALUE"""),FALSE)</f>
        <v>0</v>
      </c>
      <c r="H677" s="11" t="str">
        <f>IFERROR(__xludf.DUMMYFUNCTION("""COMPUTED_VALUE"""),"Ignite Visibility, Tinuiti, Kobe Digital, NoGood, Wpromote")</f>
        <v>Ignite Visibility, Tinuiti, Kobe Digital, NoGood, Wpromote</v>
      </c>
      <c r="I677" s="11">
        <f>IFERROR(__xludf.DUMMYFUNCTION("""COMPUTED_VALUE"""),1.0)</f>
        <v>1</v>
      </c>
      <c r="J677" s="11">
        <f>IFERROR(__xludf.DUMMYFUNCTION("""COMPUTED_VALUE"""),0.0)</f>
        <v>0</v>
      </c>
      <c r="K677" s="11">
        <f>IFERROR(__xludf.DUMMYFUNCTION("""COMPUTED_VALUE"""),0.0)</f>
        <v>0</v>
      </c>
    </row>
    <row r="678" ht="15.75" customHeight="1">
      <c r="A678" s="10" t="str">
        <f>IFERROR(__xludf.DUMMYFUNCTION("""COMPUTED_VALUE"""),"https://growthlane.marketing/blog/top-b2b-performance-marketing-firms-in-2025-the-ultimate-list-for-revenue-growth")</f>
        <v>https://growthlane.marketing/blog/top-b2b-performance-marketing-firms-in-2025-the-ultimate-list-for-revenue-growth</v>
      </c>
      <c r="B678" s="11" t="str">
        <f>IFERROR(__xludf.DUMMYFUNCTION("""COMPUTED_VALUE"""),"Top B2B Performance Marketing Firms in 2025: The Ultimate List for Revenue Growth")</f>
        <v>Top B2B Performance Marketing Firms in 2025: The Ultimate List for Revenue Growth</v>
      </c>
      <c r="C678" s="11" t="str">
        <f>IFERROR(__xludf.DUMMYFUNCTION("""COMPUTED_VALUE"""),"growthlane.marketing")</f>
        <v>growthlane.marketing</v>
      </c>
      <c r="D678" s="11" t="str">
        <f>IFERROR(__xludf.DUMMYFUNCTION("""COMPUTED_VALUE"""),"LISTICLE")</f>
        <v>LISTICLE</v>
      </c>
      <c r="E678" s="11" t="str">
        <f>IFERROR(__xludf.DUMMYFUNCTION("""COMPUTED_VALUE"""),"CORPORATE")</f>
        <v>CORPORATE</v>
      </c>
      <c r="F678" s="11" t="str">
        <f>IFERROR(__xludf.DUMMYFUNCTION("""COMPUTED_VALUE"""),"Listicle")</f>
        <v>Listicle</v>
      </c>
      <c r="G678" s="11" t="b">
        <f>IFERROR(__xludf.DUMMYFUNCTION("""COMPUTED_VALUE"""),FALSE)</f>
        <v>0</v>
      </c>
      <c r="H678" s="11" t="str">
        <f>IFERROR(__xludf.DUMMYFUNCTION("""COMPUTED_VALUE"""),"Directive, Tinuiti, KlientBoost, WebFX, Metric Theory, Brainlabs")</f>
        <v>Directive, Tinuiti, KlientBoost, WebFX, Metric Theory, Brainlabs</v>
      </c>
      <c r="I678" s="11">
        <f>IFERROR(__xludf.DUMMYFUNCTION("""COMPUTED_VALUE"""),1.0)</f>
        <v>1</v>
      </c>
      <c r="J678" s="11">
        <f>IFERROR(__xludf.DUMMYFUNCTION("""COMPUTED_VALUE"""),0.0)</f>
        <v>0</v>
      </c>
      <c r="K678" s="11">
        <f>IFERROR(__xludf.DUMMYFUNCTION("""COMPUTED_VALUE"""),0.0)</f>
        <v>0</v>
      </c>
    </row>
    <row r="679" ht="15.75" customHeight="1">
      <c r="A679" s="10" t="str">
        <f>IFERROR(__xludf.DUMMYFUNCTION("""COMPUTED_VALUE"""),"https://growthrocks.com/blog/performance-marketing-agencies/")</f>
        <v>https://growthrocks.com/blog/performance-marketing-agencies/</v>
      </c>
      <c r="B679" s="11" t="str">
        <f>IFERROR(__xludf.DUMMYFUNCTION("""COMPUTED_VALUE"""),"Top 12 Performance Marketing Agencies in 2024")</f>
        <v>Top 12 Performance Marketing Agencies in 2024</v>
      </c>
      <c r="C679" s="10" t="str">
        <f>IFERROR(__xludf.DUMMYFUNCTION("""COMPUTED_VALUE"""),"growthrocks.com")</f>
        <v>growthrocks.com</v>
      </c>
      <c r="D679" s="11" t="str">
        <f>IFERROR(__xludf.DUMMYFUNCTION("""COMPUTED_VALUE"""),"LISTICLE")</f>
        <v>LISTICLE</v>
      </c>
      <c r="E679" s="11" t="str">
        <f>IFERROR(__xludf.DUMMYFUNCTION("""COMPUTED_VALUE"""),"CORPORATE")</f>
        <v>CORPORATE</v>
      </c>
      <c r="F679" s="11" t="str">
        <f>IFERROR(__xludf.DUMMYFUNCTION("""COMPUTED_VALUE"""),"Listicle")</f>
        <v>Listicle</v>
      </c>
      <c r="G679" s="11" t="b">
        <f>IFERROR(__xludf.DUMMYFUNCTION("""COMPUTED_VALUE"""),FALSE)</f>
        <v>0</v>
      </c>
      <c r="H679" s="11" t="str">
        <f>IFERROR(__xludf.DUMMYFUNCTION("""COMPUTED_VALUE"""),"Tinuiti, Wpromote, TransUnion, Metric Theory, Disruptive Advertising, MuteSix, Dentsu, Jellyfish, Power Digital, Directive, Common Thread Collective, Ignite Visibility, NoGood")</f>
        <v>Tinuiti, Wpromote, TransUnion, Metric Theory, Disruptive Advertising, MuteSix, Dentsu, Jellyfish, Power Digital, Directive, Common Thread Collective, Ignite Visibility, NoGood</v>
      </c>
      <c r="I679" s="11">
        <f>IFERROR(__xludf.DUMMYFUNCTION("""COMPUTED_VALUE"""),1.0)</f>
        <v>1</v>
      </c>
      <c r="J679" s="11">
        <f>IFERROR(__xludf.DUMMYFUNCTION("""COMPUTED_VALUE"""),0.0)</f>
        <v>0</v>
      </c>
      <c r="K679" s="11">
        <f>IFERROR(__xludf.DUMMYFUNCTION("""COMPUTED_VALUE"""),1.0)</f>
        <v>1</v>
      </c>
    </row>
    <row r="680" ht="15.75" customHeight="1">
      <c r="A680" s="10" t="str">
        <f>IFERROR(__xludf.DUMMYFUNCTION("""COMPUTED_VALUE"""),"https://www.growthspreeofficial.com/blogs/best-b2b-marketing-agencies-proprietary-ai-tools-2026")</f>
        <v>https://www.growthspreeofficial.com/blogs/best-b2b-marketing-agencies-proprietary-ai-tools-2026</v>
      </c>
      <c r="B680" s="11" t="str">
        <f>IFERROR(__xludf.DUMMYFUNCTION("""COMPUTED_VALUE"""),"Best B2B Marketing Agencies with Proprietary AI Tools in 2026: 6 Agencies Compared by AI Infrastructure Depth")</f>
        <v>Best B2B Marketing Agencies with Proprietary AI Tools in 2026: 6 Agencies Compared by AI Infrastructure Depth</v>
      </c>
      <c r="C680" s="10" t="str">
        <f>IFERROR(__xludf.DUMMYFUNCTION("""COMPUTED_VALUE"""),"growthspreeofficial.com")</f>
        <v>growthspreeofficial.com</v>
      </c>
      <c r="D680" s="11" t="str">
        <f>IFERROR(__xludf.DUMMYFUNCTION("""COMPUTED_VALUE"""),"LISTICLE")</f>
        <v>LISTICLE</v>
      </c>
      <c r="E680" s="11" t="str">
        <f>IFERROR(__xludf.DUMMYFUNCTION("""COMPUTED_VALUE"""),"CORPORATE")</f>
        <v>CORPORATE</v>
      </c>
      <c r="F680" s="11" t="str">
        <f>IFERROR(__xludf.DUMMYFUNCTION("""COMPUTED_VALUE"""),"Listicle")</f>
        <v>Listicle</v>
      </c>
      <c r="G680" s="11" t="b">
        <f>IFERROR(__xludf.DUMMYFUNCTION("""COMPUTED_VALUE"""),FALSE)</f>
        <v>0</v>
      </c>
      <c r="H680" s="11" t="str">
        <f>IFERROR(__xludf.DUMMYFUNCTION("""COMPUTED_VALUE"""),"GrowthSpree, NoGood, Single Grain, Clutch")</f>
        <v>GrowthSpree, NoGood, Single Grain, Clutch</v>
      </c>
      <c r="I680" s="11">
        <f>IFERROR(__xludf.DUMMYFUNCTION("""COMPUTED_VALUE"""),1.0)</f>
        <v>1</v>
      </c>
      <c r="J680" s="11">
        <f>IFERROR(__xludf.DUMMYFUNCTION("""COMPUTED_VALUE"""),0.0)</f>
        <v>0</v>
      </c>
      <c r="K680" s="11">
        <f>IFERROR(__xludf.DUMMYFUNCTION("""COMPUTED_VALUE"""),1.0)</f>
        <v>1</v>
      </c>
    </row>
    <row r="681" ht="15.75" customHeight="1">
      <c r="A681" s="10" t="str">
        <f>IFERROR(__xludf.DUMMYFUNCTION("""COMPUTED_VALUE"""),"https://growthsprints.co/best-saas-aeo-consultants/")</f>
        <v>https://growthsprints.co/best-saas-aeo-consultants/</v>
      </c>
      <c r="B681" s="11" t="str">
        <f>IFERROR(__xludf.DUMMYFUNCTION("""COMPUTED_VALUE"""),"7 Best SaaS AEO Consultants In 2026 (And How To Choose) - AEO, SEO &amp;amp; Content Marketing Agency | Growth Sprints")</f>
        <v>7 Best SaaS AEO Consultants In 2026 (And How To Choose) - AEO, SEO &amp;amp; Content Marketing Agency | Growth Sprints</v>
      </c>
      <c r="C681" s="10" t="str">
        <f>IFERROR(__xludf.DUMMYFUNCTION("""COMPUTED_VALUE"""),"growthsprints.co")</f>
        <v>growthsprints.co</v>
      </c>
      <c r="D681" s="11" t="str">
        <f>IFERROR(__xludf.DUMMYFUNCTION("""COMPUTED_VALUE"""),"LISTICLE")</f>
        <v>LISTICLE</v>
      </c>
      <c r="E681" s="11" t="str">
        <f>IFERROR(__xludf.DUMMYFUNCTION("""COMPUTED_VALUE"""),"CORPORATE")</f>
        <v>CORPORATE</v>
      </c>
      <c r="F681" s="11" t="str">
        <f>IFERROR(__xludf.DUMMYFUNCTION("""COMPUTED_VALUE"""),"Listicle")</f>
        <v>Listicle</v>
      </c>
      <c r="G681" s="11" t="b">
        <f>IFERROR(__xludf.DUMMYFUNCTION("""COMPUTED_VALUE"""),FALSE)</f>
        <v>0</v>
      </c>
      <c r="H681" s="11" t="str">
        <f>IFERROR(__xludf.DUMMYFUNCTION("""COMPUTED_VALUE"""),"Omniscient Digital, Clutch, Optimist, Measured, Discovered Labs, iPullRank, NoGood, First Page Sage")</f>
        <v>Omniscient Digital, Clutch, Optimist, Measured, Discovered Labs, iPullRank, NoGood, First Page Sage</v>
      </c>
      <c r="I681" s="11">
        <f>IFERROR(__xludf.DUMMYFUNCTION("""COMPUTED_VALUE"""),1.0)</f>
        <v>1</v>
      </c>
      <c r="J681" s="11">
        <f>IFERROR(__xludf.DUMMYFUNCTION("""COMPUTED_VALUE"""),0.0)</f>
        <v>0</v>
      </c>
      <c r="K681" s="11">
        <f>IFERROR(__xludf.DUMMYFUNCTION("""COMPUTED_VALUE"""),1.0)</f>
        <v>1</v>
      </c>
    </row>
    <row r="682" ht="15.75" customHeight="1">
      <c r="A682" s="10" t="str">
        <f>IFERROR(__xludf.DUMMYFUNCTION("""COMPUTED_VALUE"""),"https://growwithvysta.com/blog/best-google-ads-agencies-for-ecommerce-brands-in-the-us/#:~:text=%2D%20Agency.%20Best%20For.%20Core%20Strength.%20%2D,conversion%20rate%20optimization.%20%2D%20Tinuiti.%20Enterprise%20ecommerce.")</f>
        <v>https://growwithvysta.com/blog/best-google-ads-agencies-for-ecommerce-brands-in-the-us/#:~:text=%2D%20Agency.%20Best%20For.%20Core%20Strength.%20%2D,conversion%20rate%20optimization.%20%2D%20Tinuiti.%20Enterprise%20ecommerce.</v>
      </c>
      <c r="B682" s="11" t="str">
        <f>IFERROR(__xludf.DUMMYFUNCTION("""COMPUTED_VALUE"""),"Best Google Ads Agencies for eCommerce Brands in the US")</f>
        <v>Best Google Ads Agencies for eCommerce Brands in the US</v>
      </c>
      <c r="C682" s="10" t="str">
        <f>IFERROR(__xludf.DUMMYFUNCTION("""COMPUTED_VALUE"""),"growwithvysta.com")</f>
        <v>growwithvysta.com</v>
      </c>
      <c r="D682" s="11" t="str">
        <f>IFERROR(__xludf.DUMMYFUNCTION("""COMPUTED_VALUE"""),"LISTICLE")</f>
        <v>LISTICLE</v>
      </c>
      <c r="E682" s="11" t="str">
        <f>IFERROR(__xludf.DUMMYFUNCTION("""COMPUTED_VALUE"""),"CORPORATE")</f>
        <v>CORPORATE</v>
      </c>
      <c r="F682" s="11" t="str">
        <f>IFERROR(__xludf.DUMMYFUNCTION("""COMPUTED_VALUE"""),"Listicle")</f>
        <v>Listicle</v>
      </c>
      <c r="G682" s="11" t="b">
        <f>IFERROR(__xludf.DUMMYFUNCTION("""COMPUTED_VALUE"""),FALSE)</f>
        <v>0</v>
      </c>
      <c r="H682" s="11" t="str">
        <f>IFERROR(__xludf.DUMMYFUNCTION("""COMPUTED_VALUE"""),"Common Thread Collective, Tinuiti, KlientBoost")</f>
        <v>Common Thread Collective, Tinuiti, KlientBoost</v>
      </c>
      <c r="I682" s="11">
        <f>IFERROR(__xludf.DUMMYFUNCTION("""COMPUTED_VALUE"""),1.0)</f>
        <v>1</v>
      </c>
      <c r="J682" s="11">
        <f>IFERROR(__xludf.DUMMYFUNCTION("""COMPUTED_VALUE"""),0.0)</f>
        <v>0</v>
      </c>
      <c r="K682" s="11">
        <f>IFERROR(__xludf.DUMMYFUNCTION("""COMPUTED_VALUE"""),1.0)</f>
        <v>1</v>
      </c>
    </row>
    <row r="683" ht="15.75" customHeight="1">
      <c r="A683" s="10" t="str">
        <f>IFERROR(__xludf.DUMMYFUNCTION("""COMPUTED_VALUE"""),"https://www.harleyoliver.com/blog/top-12-companies-design-trends-to-watch-in-2025")</f>
        <v>https://www.harleyoliver.com/blog/top-12-companies-design-trends-to-watch-in-2025</v>
      </c>
      <c r="B683" s="11" t="str">
        <f>IFERROR(__xludf.DUMMYFUNCTION("""COMPUTED_VALUE"""),"Top 12 Companies Design Trends to Watch in 2025 — Harley Oliver - Digital Design Firm")</f>
        <v>Top 12 Companies Design Trends to Watch in 2025 — Harley Oliver - Digital Design Firm</v>
      </c>
      <c r="C683" s="10" t="str">
        <f>IFERROR(__xludf.DUMMYFUNCTION("""COMPUTED_VALUE"""),"harleyoliver.com")</f>
        <v>harleyoliver.com</v>
      </c>
      <c r="D683" s="11" t="str">
        <f>IFERROR(__xludf.DUMMYFUNCTION("""COMPUTED_VALUE"""),"LISTICLE")</f>
        <v>LISTICLE</v>
      </c>
      <c r="E683" s="11" t="str">
        <f>IFERROR(__xludf.DUMMYFUNCTION("""COMPUTED_VALUE"""),"CORPORATE")</f>
        <v>CORPORATE</v>
      </c>
      <c r="F683" s="11" t="str">
        <f>IFERROR(__xludf.DUMMYFUNCTION("""COMPUTED_VALUE"""),"Listicle")</f>
        <v>Listicle</v>
      </c>
      <c r="G683" s="11" t="b">
        <f>IFERROR(__xludf.DUMMYFUNCTION("""COMPUTED_VALUE"""),FALSE)</f>
        <v>0</v>
      </c>
      <c r="H683" s="11" t="str">
        <f>IFERROR(__xludf.DUMMYFUNCTION("""COMPUTED_VALUE"""),"McKinsey, Clutch, Pentagram, Superside, Wolff Olins")</f>
        <v>McKinsey, Clutch, Pentagram, Superside, Wolff Olins</v>
      </c>
      <c r="I683" s="11">
        <f>IFERROR(__xludf.DUMMYFUNCTION("""COMPUTED_VALUE"""),1.0)</f>
        <v>1</v>
      </c>
      <c r="J683" s="11">
        <f>IFERROR(__xludf.DUMMYFUNCTION("""COMPUTED_VALUE"""),0.0)</f>
        <v>0</v>
      </c>
      <c r="K683" s="11">
        <f>IFERROR(__xludf.DUMMYFUNCTION("""COMPUTED_VALUE"""),1.0)</f>
        <v>1</v>
      </c>
    </row>
    <row r="684" ht="15.75" customHeight="1">
      <c r="A684" s="10" t="str">
        <f>IFERROR(__xludf.DUMMYFUNCTION("""COMPUTED_VALUE"""),"https://hashmeta.com/blog/top-15-ai-pr-agencies-for-ai-startups-tech-brands/")</f>
        <v>https://hashmeta.com/blog/top-15-ai-pr-agencies-for-ai-startups-tech-brands/</v>
      </c>
      <c r="B684" s="11" t="str">
        <f>IFERROR(__xludf.DUMMYFUNCTION("""COMPUTED_VALUE"""),"Top 15 AI PR Agencies for AI Startups &amp;amp; Tech Brands | Hashmeta")</f>
        <v>Top 15 AI PR Agencies for AI Startups &amp;amp; Tech Brands | Hashmeta</v>
      </c>
      <c r="C684" s="10" t="str">
        <f>IFERROR(__xludf.DUMMYFUNCTION("""COMPUTED_VALUE"""),"hashmeta.com")</f>
        <v>hashmeta.com</v>
      </c>
      <c r="D684" s="11" t="str">
        <f>IFERROR(__xludf.DUMMYFUNCTION("""COMPUTED_VALUE"""),"LISTICLE")</f>
        <v>LISTICLE</v>
      </c>
      <c r="E684" s="11" t="str">
        <f>IFERROR(__xludf.DUMMYFUNCTION("""COMPUTED_VALUE"""),"CORPORATE")</f>
        <v>CORPORATE</v>
      </c>
      <c r="F684" s="11" t="str">
        <f>IFERROR(__xludf.DUMMYFUNCTION("""COMPUTED_VALUE"""),"Listicle")</f>
        <v>Listicle</v>
      </c>
      <c r="G684" s="11" t="b">
        <f>IFERROR(__xludf.DUMMYFUNCTION("""COMPUTED_VALUE"""),FALSE)</f>
        <v>0</v>
      </c>
      <c r="H684" s="11" t="str">
        <f>IFERROR(__xludf.DUMMYFUNCTION("""COMPUTED_VALUE"""),"Momentum")</f>
        <v>Momentum</v>
      </c>
      <c r="I684" s="11">
        <f>IFERROR(__xludf.DUMMYFUNCTION("""COMPUTED_VALUE"""),1.0)</f>
        <v>1</v>
      </c>
      <c r="J684" s="11">
        <f>IFERROR(__xludf.DUMMYFUNCTION("""COMPUTED_VALUE"""),0.0)</f>
        <v>0</v>
      </c>
      <c r="K684" s="11">
        <f>IFERROR(__xludf.DUMMYFUNCTION("""COMPUTED_VALUE"""),1.0)</f>
        <v>1</v>
      </c>
    </row>
    <row r="685" ht="15.75" customHeight="1">
      <c r="A685" s="10" t="str">
        <f>IFERROR(__xludf.DUMMYFUNCTION("""COMPUTED_VALUE"""),"https://hawksem.com/blog/digital-marketing-agencies/")</f>
        <v>https://hawksem.com/blog/digital-marketing-agencies/</v>
      </c>
      <c r="B685" s="11" t="str">
        <f>IFERROR(__xludf.DUMMYFUNCTION("""COMPUTED_VALUE"""),"The 14 Best Digital Marketing Agencies That Get Big Results")</f>
        <v>The 14 Best Digital Marketing Agencies That Get Big Results</v>
      </c>
      <c r="C685" s="10" t="str">
        <f>IFERROR(__xludf.DUMMYFUNCTION("""COMPUTED_VALUE"""),"hawksem.com")</f>
        <v>hawksem.com</v>
      </c>
      <c r="D685" s="11" t="str">
        <f>IFERROR(__xludf.DUMMYFUNCTION("""COMPUTED_VALUE"""),"LISTICLE")</f>
        <v>LISTICLE</v>
      </c>
      <c r="E685" s="11" t="str">
        <f>IFERROR(__xludf.DUMMYFUNCTION("""COMPUTED_VALUE"""),"COMPETITOR")</f>
        <v>COMPETITOR</v>
      </c>
      <c r="F685" s="11" t="str">
        <f>IFERROR(__xludf.DUMMYFUNCTION("""COMPUTED_VALUE"""),"Listicle")</f>
        <v>Listicle</v>
      </c>
      <c r="G685" s="11" t="b">
        <f>IFERROR(__xludf.DUMMYFUNCTION("""COMPUTED_VALUE"""),FALSE)</f>
        <v>0</v>
      </c>
      <c r="H685" s="11" t="str">
        <f>IFERROR(__xludf.DUMMYFUNCTION("""COMPUTED_VALUE"""),"HawkSEM, Wpromote, Tinuiti, Merkle, Clutch, Power Digital, Silverback Strategies")</f>
        <v>HawkSEM, Wpromote, Tinuiti, Merkle, Clutch, Power Digital, Silverback Strategies</v>
      </c>
      <c r="I685" s="11">
        <f>IFERROR(__xludf.DUMMYFUNCTION("""COMPUTED_VALUE"""),1.0)</f>
        <v>1</v>
      </c>
      <c r="J685" s="11">
        <f>IFERROR(__xludf.DUMMYFUNCTION("""COMPUTED_VALUE"""),0.0)</f>
        <v>0</v>
      </c>
      <c r="K685" s="11">
        <f>IFERROR(__xludf.DUMMYFUNCTION("""COMPUTED_VALUE"""),1.0)</f>
        <v>1</v>
      </c>
    </row>
    <row r="686" ht="15.75" customHeight="1">
      <c r="A686" s="10" t="str">
        <f>IFERROR(__xludf.DUMMYFUNCTION("""COMPUTED_VALUE"""),"https://hawksem.com/blog/performance-marketing-agency-list/")</f>
        <v>https://hawksem.com/blog/performance-marketing-agency-list/</v>
      </c>
      <c r="B686" s="11" t="str">
        <f>IFERROR(__xludf.DUMMYFUNCTION("""COMPUTED_VALUE"""),"Top 10 Performance Marketing Agencies in 2026")</f>
        <v>Top 10 Performance Marketing Agencies in 2026</v>
      </c>
      <c r="C686" s="10" t="str">
        <f>IFERROR(__xludf.DUMMYFUNCTION("""COMPUTED_VALUE"""),"hawksem.com")</f>
        <v>hawksem.com</v>
      </c>
      <c r="D686" s="11" t="str">
        <f>IFERROR(__xludf.DUMMYFUNCTION("""COMPUTED_VALUE"""),"LISTICLE")</f>
        <v>LISTICLE</v>
      </c>
      <c r="E686" s="11" t="str">
        <f>IFERROR(__xludf.DUMMYFUNCTION("""COMPUTED_VALUE"""),"COMPETITOR")</f>
        <v>COMPETITOR</v>
      </c>
      <c r="F686" s="11" t="str">
        <f>IFERROR(__xludf.DUMMYFUNCTION("""COMPUTED_VALUE"""),"Listicle")</f>
        <v>Listicle</v>
      </c>
      <c r="G686" s="11" t="b">
        <f>IFERROR(__xludf.DUMMYFUNCTION("""COMPUTED_VALUE"""),FALSE)</f>
        <v>0</v>
      </c>
      <c r="H686" s="11" t="str">
        <f>IFERROR(__xludf.DUMMYFUNCTION("""COMPUTED_VALUE"""),"HawkSEM, Tinuiti, Merkle, Wpromote, MuteSix")</f>
        <v>HawkSEM, Tinuiti, Merkle, Wpromote, MuteSix</v>
      </c>
      <c r="I686" s="11">
        <f>IFERROR(__xludf.DUMMYFUNCTION("""COMPUTED_VALUE"""),1.0)</f>
        <v>1</v>
      </c>
      <c r="J686" s="11">
        <f>IFERROR(__xludf.DUMMYFUNCTION("""COMPUTED_VALUE"""),0.0)</f>
        <v>0</v>
      </c>
      <c r="K686" s="11">
        <f>IFERROR(__xludf.DUMMYFUNCTION("""COMPUTED_VALUE"""),0.0)</f>
        <v>0</v>
      </c>
    </row>
    <row r="687" ht="15.75" customHeight="1">
      <c r="A687" s="10" t="str">
        <f>IFERROR(__xludf.DUMMYFUNCTION("""COMPUTED_VALUE"""),"https://hawksem.com/blog/top-sem-agencies/")</f>
        <v>https://hawksem.com/blog/top-sem-agencies/</v>
      </c>
      <c r="B687" s="11" t="str">
        <f>IFERROR(__xludf.DUMMYFUNCTION("""COMPUTED_VALUE"""),"Top 12 SEM Agencies to Help Your Business Boost ROI")</f>
        <v>Top 12 SEM Agencies to Help Your Business Boost ROI</v>
      </c>
      <c r="C687" s="10" t="str">
        <f>IFERROR(__xludf.DUMMYFUNCTION("""COMPUTED_VALUE"""),"hawksem.com")</f>
        <v>hawksem.com</v>
      </c>
      <c r="D687" s="11" t="str">
        <f>IFERROR(__xludf.DUMMYFUNCTION("""COMPUTED_VALUE"""),"LISTICLE")</f>
        <v>LISTICLE</v>
      </c>
      <c r="E687" s="11" t="str">
        <f>IFERROR(__xludf.DUMMYFUNCTION("""COMPUTED_VALUE"""),"COMPETITOR")</f>
        <v>COMPETITOR</v>
      </c>
      <c r="F687" s="11" t="str">
        <f>IFERROR(__xludf.DUMMYFUNCTION("""COMPUTED_VALUE"""),"Listicle")</f>
        <v>Listicle</v>
      </c>
      <c r="G687" s="11" t="b">
        <f>IFERROR(__xludf.DUMMYFUNCTION("""COMPUTED_VALUE"""),FALSE)</f>
        <v>0</v>
      </c>
      <c r="H687" s="11" t="str">
        <f>IFERROR(__xludf.DUMMYFUNCTION("""COMPUTED_VALUE"""),"HawkSEM, Merkle, Tinuiti, Dentsu, Clutch, Jellyfish, Wpromote, Ignite Visibility, Victorious, Thrive Internet Marketing Agency")</f>
        <v>HawkSEM, Merkle, Tinuiti, Dentsu, Clutch, Jellyfish, Wpromote, Ignite Visibility, Victorious, Thrive Internet Marketing Agency</v>
      </c>
      <c r="I687" s="11">
        <f>IFERROR(__xludf.DUMMYFUNCTION("""COMPUTED_VALUE"""),1.0)</f>
        <v>1</v>
      </c>
      <c r="J687" s="11">
        <f>IFERROR(__xludf.DUMMYFUNCTION("""COMPUTED_VALUE"""),0.0)</f>
        <v>0</v>
      </c>
      <c r="K687" s="11">
        <f>IFERROR(__xludf.DUMMYFUNCTION("""COMPUTED_VALUE"""),1.0)</f>
        <v>1</v>
      </c>
    </row>
    <row r="688" ht="15.75" customHeight="1">
      <c r="A688" s="10" t="str">
        <f>IFERROR(__xludf.DUMMYFUNCTION("""COMPUTED_VALUE"""),"https://www.helloroketto.com/articles/ai-agency")</f>
        <v>https://www.helloroketto.com/articles/ai-agency</v>
      </c>
      <c r="B688" s="11" t="str">
        <f>IFERROR(__xludf.DUMMYFUNCTION("""COMPUTED_VALUE"""),"9 Best AI Agencies for Your Business: The Ultimate Review")</f>
        <v>9 Best AI Agencies for Your Business: The Ultimate Review</v>
      </c>
      <c r="C688" s="10" t="str">
        <f>IFERROR(__xludf.DUMMYFUNCTION("""COMPUTED_VALUE"""),"helloroketto.com")</f>
        <v>helloroketto.com</v>
      </c>
      <c r="D688" s="11" t="str">
        <f>IFERROR(__xludf.DUMMYFUNCTION("""COMPUTED_VALUE"""),"LISTICLE")</f>
        <v>LISTICLE</v>
      </c>
      <c r="E688" s="11" t="str">
        <f>IFERROR(__xludf.DUMMYFUNCTION("""COMPUTED_VALUE"""),"CORPORATE")</f>
        <v>CORPORATE</v>
      </c>
      <c r="F688" s="11" t="str">
        <f>IFERROR(__xludf.DUMMYFUNCTION("""COMPUTED_VALUE"""),"Listicle")</f>
        <v>Listicle</v>
      </c>
      <c r="G688" s="11" t="b">
        <f>IFERROR(__xludf.DUMMYFUNCTION("""COMPUTED_VALUE"""),FALSE)</f>
        <v>0</v>
      </c>
      <c r="H688" s="11" t="str">
        <f>IFERROR(__xludf.DUMMYFUNCTION("""COMPUTED_VALUE"""),"Clutch, NoGood, Major Tom, IBM")</f>
        <v>Clutch, NoGood, Major Tom, IBM</v>
      </c>
      <c r="I688" s="11">
        <f>IFERROR(__xludf.DUMMYFUNCTION("""COMPUTED_VALUE"""),1.0)</f>
        <v>1</v>
      </c>
      <c r="J688" s="11">
        <f>IFERROR(__xludf.DUMMYFUNCTION("""COMPUTED_VALUE"""),0.0)</f>
        <v>0</v>
      </c>
      <c r="K688" s="11">
        <f>IFERROR(__xludf.DUMMYFUNCTION("""COMPUTED_VALUE"""),1.0)</f>
        <v>1</v>
      </c>
    </row>
    <row r="689" ht="15.75" customHeight="1">
      <c r="A689" s="10" t="str">
        <f>IFERROR(__xludf.DUMMYFUNCTION("""COMPUTED_VALUE"""),"https://www.helloroketto.com/articles/marketing-consultant")</f>
        <v>https://www.helloroketto.com/articles/marketing-consultant</v>
      </c>
      <c r="B689" s="11" t="str">
        <f>IFERROR(__xludf.DUMMYFUNCTION("""COMPUTED_VALUE"""),"Top 12 Marketing Consultants to Elevate Your Business Strategy")</f>
        <v>Top 12 Marketing Consultants to Elevate Your Business Strategy</v>
      </c>
      <c r="C689" s="10" t="str">
        <f>IFERROR(__xludf.DUMMYFUNCTION("""COMPUTED_VALUE"""),"helloroketto.com")</f>
        <v>helloroketto.com</v>
      </c>
      <c r="D689" s="11" t="str">
        <f>IFERROR(__xludf.DUMMYFUNCTION("""COMPUTED_VALUE"""),"LISTICLE")</f>
        <v>LISTICLE</v>
      </c>
      <c r="E689" s="11" t="str">
        <f>IFERROR(__xludf.DUMMYFUNCTION("""COMPUTED_VALUE"""),"CORPORATE")</f>
        <v>CORPORATE</v>
      </c>
      <c r="F689" s="11" t="str">
        <f>IFERROR(__xludf.DUMMYFUNCTION("""COMPUTED_VALUE"""),"Listicle")</f>
        <v>Listicle</v>
      </c>
      <c r="G689" s="11" t="b">
        <f>IFERROR(__xludf.DUMMYFUNCTION("""COMPUTED_VALUE"""),FALSE)</f>
        <v>0</v>
      </c>
      <c r="H689" s="11" t="str">
        <f>IFERROR(__xludf.DUMMYFUNCTION("""COMPUTED_VALUE"""),"Clutch, Bain &amp; Company, McKinsey, QuantumBlack, BCG, PwC")</f>
        <v>Clutch, Bain &amp; Company, McKinsey, QuantumBlack, BCG, PwC</v>
      </c>
      <c r="I689" s="11">
        <f>IFERROR(__xludf.DUMMYFUNCTION("""COMPUTED_VALUE"""),1.0)</f>
        <v>1</v>
      </c>
      <c r="J689" s="11">
        <f>IFERROR(__xludf.DUMMYFUNCTION("""COMPUTED_VALUE"""),0.0)</f>
        <v>0</v>
      </c>
      <c r="K689" s="11">
        <f>IFERROR(__xludf.DUMMYFUNCTION("""COMPUTED_VALUE"""),1.0)</f>
        <v>1</v>
      </c>
    </row>
    <row r="690" ht="15.75" customHeight="1">
      <c r="A690" s="10" t="str">
        <f>IFERROR(__xludf.DUMMYFUNCTION("""COMPUTED_VALUE"""),"https://www.heydigital.co/blog/saas-marketing-agencies")</f>
        <v>https://www.heydigital.co/blog/saas-marketing-agencies</v>
      </c>
      <c r="B690" s="11" t="str">
        <f>IFERROR(__xludf.DUMMYFUNCTION("""COMPUTED_VALUE"""),"The 16 Best SaaS Marketing Agencies in 2026 | Hey Digital")</f>
        <v>The 16 Best SaaS Marketing Agencies in 2026 | Hey Digital</v>
      </c>
      <c r="C690" s="10" t="str">
        <f>IFERROR(__xludf.DUMMYFUNCTION("""COMPUTED_VALUE"""),"heydigital.co")</f>
        <v>heydigital.co</v>
      </c>
      <c r="D690" s="11" t="str">
        <f>IFERROR(__xludf.DUMMYFUNCTION("""COMPUTED_VALUE"""),"LISTICLE")</f>
        <v>LISTICLE</v>
      </c>
      <c r="E690" s="11" t="str">
        <f>IFERROR(__xludf.DUMMYFUNCTION("""COMPUTED_VALUE"""),"COMPETITOR")</f>
        <v>COMPETITOR</v>
      </c>
      <c r="F690" s="11" t="str">
        <f>IFERROR(__xludf.DUMMYFUNCTION("""COMPUTED_VALUE"""),"Listicle")</f>
        <v>Listicle</v>
      </c>
      <c r="G690" s="11" t="b">
        <f>IFERROR(__xludf.DUMMYFUNCTION("""COMPUTED_VALUE"""),FALSE)</f>
        <v>0</v>
      </c>
      <c r="H690" s="11" t="str">
        <f>IFERROR(__xludf.DUMMYFUNCTION("""COMPUTED_VALUE"""),"Hey Digital, Directive, NoGood, Single Grain, Omniscient Digital, Siege Media, Animalz, Refine Labs")</f>
        <v>Hey Digital, Directive, NoGood, Single Grain, Omniscient Digital, Siege Media, Animalz, Refine Labs</v>
      </c>
      <c r="I690" s="11">
        <f>IFERROR(__xludf.DUMMYFUNCTION("""COMPUTED_VALUE"""),1.0)</f>
        <v>1</v>
      </c>
      <c r="J690" s="11">
        <f>IFERROR(__xludf.DUMMYFUNCTION("""COMPUTED_VALUE"""),0.0)</f>
        <v>0</v>
      </c>
      <c r="K690" s="11">
        <f>IFERROR(__xludf.DUMMYFUNCTION("""COMPUTED_VALUE"""),0.0)</f>
        <v>0</v>
      </c>
    </row>
    <row r="691" ht="15.75" customHeight="1">
      <c r="A691" s="10" t="str">
        <f>IFERROR(__xludf.DUMMYFUNCTION("""COMPUTED_VALUE"""),"https://hikemytraffic.com/ai-powered-digital-marketing-agency/")</f>
        <v>https://hikemytraffic.com/ai-powered-digital-marketing-agency/</v>
      </c>
      <c r="B691" s="11" t="str">
        <f>IFERROR(__xludf.DUMMYFUNCTION("""COMPUTED_VALUE"""),"5 Best AI-Powered Digital Marketing Agencies to Watch in 2026")</f>
        <v>5 Best AI-Powered Digital Marketing Agencies to Watch in 2026</v>
      </c>
      <c r="C691" s="10" t="str">
        <f>IFERROR(__xludf.DUMMYFUNCTION("""COMPUTED_VALUE"""),"hikemytraffic.com")</f>
        <v>hikemytraffic.com</v>
      </c>
      <c r="D691" s="11" t="str">
        <f>IFERROR(__xludf.DUMMYFUNCTION("""COMPUTED_VALUE"""),"LISTICLE")</f>
        <v>LISTICLE</v>
      </c>
      <c r="E691" s="11" t="str">
        <f>IFERROR(__xludf.DUMMYFUNCTION("""COMPUTED_VALUE"""),"CORPORATE")</f>
        <v>CORPORATE</v>
      </c>
      <c r="F691" s="11" t="str">
        <f>IFERROR(__xludf.DUMMYFUNCTION("""COMPUTED_VALUE"""),"Listicle")</f>
        <v>Listicle</v>
      </c>
      <c r="G691" s="11" t="b">
        <f>IFERROR(__xludf.DUMMYFUNCTION("""COMPUTED_VALUE"""),FALSE)</f>
        <v>0</v>
      </c>
      <c r="H691" s="11" t="str">
        <f>IFERROR(__xludf.DUMMYFUNCTION("""COMPUTED_VALUE"""),"McKinsey, Clutch")</f>
        <v>McKinsey, Clutch</v>
      </c>
      <c r="I691" s="11">
        <f>IFERROR(__xludf.DUMMYFUNCTION("""COMPUTED_VALUE"""),1.0)</f>
        <v>1</v>
      </c>
      <c r="J691" s="11">
        <f>IFERROR(__xludf.DUMMYFUNCTION("""COMPUTED_VALUE"""),0.0)</f>
        <v>0</v>
      </c>
      <c r="K691" s="11">
        <f>IFERROR(__xludf.DUMMYFUNCTION("""COMPUTED_VALUE"""),0.0)</f>
        <v>0</v>
      </c>
    </row>
    <row r="692" ht="15.75" customHeight="1">
      <c r="A692" s="10" t="str">
        <f>IFERROR(__xludf.DUMMYFUNCTION("""COMPUTED_VALUE"""),"https://hikemytraffic.com/ai-seo-companies-to-dominate-search/")</f>
        <v>https://hikemytraffic.com/ai-seo-companies-to-dominate-search/</v>
      </c>
      <c r="B692" s="11" t="str">
        <f>IFERROR(__xludf.DUMMYFUNCTION("""COMPUTED_VALUE"""),"10 Best AI SEO Companies Competing in Global Market")</f>
        <v>10 Best AI SEO Companies Competing in Global Market</v>
      </c>
      <c r="C692" s="10" t="str">
        <f>IFERROR(__xludf.DUMMYFUNCTION("""COMPUTED_VALUE"""),"hikemytraffic.com")</f>
        <v>hikemytraffic.com</v>
      </c>
      <c r="D692" s="11" t="str">
        <f>IFERROR(__xludf.DUMMYFUNCTION("""COMPUTED_VALUE"""),"LISTICLE")</f>
        <v>LISTICLE</v>
      </c>
      <c r="E692" s="11" t="str">
        <f>IFERROR(__xludf.DUMMYFUNCTION("""COMPUTED_VALUE"""),"CORPORATE")</f>
        <v>CORPORATE</v>
      </c>
      <c r="F692" s="11" t="str">
        <f>IFERROR(__xludf.DUMMYFUNCTION("""COMPUTED_VALUE"""),"Listicle")</f>
        <v>Listicle</v>
      </c>
      <c r="G692" s="11" t="b">
        <f>IFERROR(__xludf.DUMMYFUNCTION("""COMPUTED_VALUE"""),FALSE)</f>
        <v>0</v>
      </c>
      <c r="H692" s="11" t="str">
        <f>IFERROR(__xludf.DUMMYFUNCTION("""COMPUTED_VALUE"""),"Clutch, WebFX, NP Digital, Siege Media, Victorious, Directive, Single Grain, Omniscient Digital")</f>
        <v>Clutch, WebFX, NP Digital, Siege Media, Victorious, Directive, Single Grain, Omniscient Digital</v>
      </c>
      <c r="I692" s="11">
        <f>IFERROR(__xludf.DUMMYFUNCTION("""COMPUTED_VALUE"""),1.0)</f>
        <v>1</v>
      </c>
      <c r="J692" s="11">
        <f>IFERROR(__xludf.DUMMYFUNCTION("""COMPUTED_VALUE"""),0.0)</f>
        <v>0</v>
      </c>
      <c r="K692" s="11">
        <f>IFERROR(__xludf.DUMMYFUNCTION("""COMPUTED_VALUE"""),1.0)</f>
        <v>1</v>
      </c>
    </row>
    <row r="693" ht="15.75" customHeight="1">
      <c r="A693" s="10" t="str">
        <f>IFERROR(__xludf.DUMMYFUNCTION("""COMPUTED_VALUE"""),"https://houseofmvps.com/best-aeo-agencies-for-local-business")</f>
        <v>https://houseofmvps.com/best-aeo-agencies-for-local-business</v>
      </c>
      <c r="B693" s="11" t="str">
        <f>IFERROR(__xludf.DUMMYFUNCTION("""COMPUTED_VALUE"""),"Best AEO Agencies for Local Businesses in the US (2026) | HouseofMVPs")</f>
        <v>Best AEO Agencies for Local Businesses in the US (2026) | HouseofMVPs</v>
      </c>
      <c r="C693" s="10" t="str">
        <f>IFERROR(__xludf.DUMMYFUNCTION("""COMPUTED_VALUE"""),"houseofmvps.com")</f>
        <v>houseofmvps.com</v>
      </c>
      <c r="D693" s="11" t="str">
        <f>IFERROR(__xludf.DUMMYFUNCTION("""COMPUTED_VALUE"""),"LISTICLE")</f>
        <v>LISTICLE</v>
      </c>
      <c r="E693" s="11" t="str">
        <f>IFERROR(__xludf.DUMMYFUNCTION("""COMPUTED_VALUE"""),"CORPORATE")</f>
        <v>CORPORATE</v>
      </c>
      <c r="F693" s="11" t="str">
        <f>IFERROR(__xludf.DUMMYFUNCTION("""COMPUTED_VALUE"""),"Listicle")</f>
        <v>Listicle</v>
      </c>
      <c r="G693" s="11" t="b">
        <f>IFERROR(__xludf.DUMMYFUNCTION("""COMPUTED_VALUE"""),FALSE)</f>
        <v>0</v>
      </c>
      <c r="H693" s="11" t="str">
        <f>IFERROR(__xludf.DUMMYFUNCTION("""COMPUTED_VALUE"""),"Marcel Digital, Searchbloom, NoGood")</f>
        <v>Marcel Digital, Searchbloom, NoGood</v>
      </c>
      <c r="I693" s="11">
        <f>IFERROR(__xludf.DUMMYFUNCTION("""COMPUTED_VALUE"""),1.0)</f>
        <v>1</v>
      </c>
      <c r="J693" s="11">
        <f>IFERROR(__xludf.DUMMYFUNCTION("""COMPUTED_VALUE"""),0.0)</f>
        <v>0</v>
      </c>
      <c r="K693" s="11">
        <f>IFERROR(__xludf.DUMMYFUNCTION("""COMPUTED_VALUE"""),1.0)</f>
        <v>1</v>
      </c>
    </row>
    <row r="694" ht="15.75" customHeight="1">
      <c r="A694" s="10" t="str">
        <f>IFERROR(__xludf.DUMMYFUNCTION("""COMPUTED_VALUE"""),"https://www.housesofgrowth.com/post/ai-digital-marketing-agencies")</f>
        <v>https://www.housesofgrowth.com/post/ai-digital-marketing-agencies</v>
      </c>
      <c r="B694" s="11" t="str">
        <f>IFERROR(__xludf.DUMMYFUNCTION("""COMPUTED_VALUE"""),"10 Best AI Digital Marketing Agencies (2026)")</f>
        <v>10 Best AI Digital Marketing Agencies (2026)</v>
      </c>
      <c r="C694" s="10" t="str">
        <f>IFERROR(__xludf.DUMMYFUNCTION("""COMPUTED_VALUE"""),"housesofgrowth.com")</f>
        <v>housesofgrowth.com</v>
      </c>
      <c r="D694" s="11" t="str">
        <f>IFERROR(__xludf.DUMMYFUNCTION("""COMPUTED_VALUE"""),"LISTICLE")</f>
        <v>LISTICLE</v>
      </c>
      <c r="E694" s="11" t="str">
        <f>IFERROR(__xludf.DUMMYFUNCTION("""COMPUTED_VALUE"""),"CORPORATE")</f>
        <v>CORPORATE</v>
      </c>
      <c r="F694" s="11" t="str">
        <f>IFERROR(__xludf.DUMMYFUNCTION("""COMPUTED_VALUE"""),"Listicle")</f>
        <v>Listicle</v>
      </c>
      <c r="G694" s="11" t="b">
        <f>IFERROR(__xludf.DUMMYFUNCTION("""COMPUTED_VALUE"""),FALSE)</f>
        <v>0</v>
      </c>
      <c r="H694" s="11" t="str">
        <f>IFERROR(__xludf.DUMMYFUNCTION("""COMPUTED_VALUE"""),"NoGood, Single Grain, Directive, Power Digital, Wpromote, NP Digital, Omniscient Digital, Superside, Keenfolks, Clutch")</f>
        <v>NoGood, Single Grain, Directive, Power Digital, Wpromote, NP Digital, Omniscient Digital, Superside, Keenfolks, Clutch</v>
      </c>
      <c r="I694" s="11">
        <f>IFERROR(__xludf.DUMMYFUNCTION("""COMPUTED_VALUE"""),1.0)</f>
        <v>1</v>
      </c>
      <c r="J694" s="11">
        <f>IFERROR(__xludf.DUMMYFUNCTION("""COMPUTED_VALUE"""),0.0)</f>
        <v>0</v>
      </c>
      <c r="K694" s="11">
        <f>IFERROR(__xludf.DUMMYFUNCTION("""COMPUTED_VALUE"""),0.0)</f>
        <v>0</v>
      </c>
    </row>
    <row r="695" ht="15.75" customHeight="1">
      <c r="A695" s="10" t="str">
        <f>IFERROR(__xludf.DUMMYFUNCTION("""COMPUTED_VALUE"""),"https://humanise.world/blog/first-party-data-activation")</f>
        <v>https://humanise.world/blog/first-party-data-activation</v>
      </c>
      <c r="B695" s="11" t="str">
        <f>IFERROR(__xludf.DUMMYFUNCTION("""COMPUTED_VALUE"""),"Three Truths About First-Party Data Activation | Humanise")</f>
        <v>Three Truths About First-Party Data Activation | Humanise</v>
      </c>
      <c r="C695" s="11" t="str">
        <f>IFERROR(__xludf.DUMMYFUNCTION("""COMPUTED_VALUE"""),"humanise.world")</f>
        <v>humanise.world</v>
      </c>
      <c r="D695" s="11" t="str">
        <f>IFERROR(__xludf.DUMMYFUNCTION("""COMPUTED_VALUE"""),"LISTICLE")</f>
        <v>LISTICLE</v>
      </c>
      <c r="E695" s="11" t="str">
        <f>IFERROR(__xludf.DUMMYFUNCTION("""COMPUTED_VALUE"""),"CORPORATE")</f>
        <v>CORPORATE</v>
      </c>
      <c r="F695" s="11" t="str">
        <f>IFERROR(__xludf.DUMMYFUNCTION("""COMPUTED_VALUE"""),"Listicle")</f>
        <v>Listicle</v>
      </c>
      <c r="G695" s="11" t="b">
        <f>IFERROR(__xludf.DUMMYFUNCTION("""COMPUTED_VALUE"""),FALSE)</f>
        <v>0</v>
      </c>
      <c r="H695" s="11"/>
      <c r="I695" s="11">
        <f>IFERROR(__xludf.DUMMYFUNCTION("""COMPUTED_VALUE"""),1.0)</f>
        <v>1</v>
      </c>
      <c r="J695" s="11">
        <f>IFERROR(__xludf.DUMMYFUNCTION("""COMPUTED_VALUE"""),0.0)</f>
        <v>0</v>
      </c>
      <c r="K695" s="11">
        <f>IFERROR(__xludf.DUMMYFUNCTION("""COMPUTED_VALUE"""),0.0)</f>
        <v>0</v>
      </c>
    </row>
    <row r="696" ht="15.75" customHeight="1">
      <c r="A696" s="10" t="str">
        <f>IFERROR(__xludf.DUMMYFUNCTION("""COMPUTED_VALUE"""),"https://hunterdigitalmarketing.com/blog/2026-leading-paid-search-agencies/#:~:text=The%20best%20paid%20media%20agencies%20use%20technology%2C,audience%20quickly%20with%20targeted%20and%20testable%20campaigns.")</f>
        <v>https://hunterdigitalmarketing.com/blog/2026-leading-paid-search-agencies/#:~:text=The%20best%20paid%20media%20agencies%20use%20technology%2C,audience%20quickly%20with%20targeted%20and%20testable%20campaigns.</v>
      </c>
      <c r="B696" s="11" t="str">
        <f>IFERROR(__xludf.DUMMYFUNCTION("""COMPUTED_VALUE"""),"Top PPC Agencies in the US for 2026—Leading Paid Search Partners for Real ROI - Hunter Digital")</f>
        <v>Top PPC Agencies in the US for 2026—Leading Paid Search Partners for Real ROI - Hunter Digital</v>
      </c>
      <c r="C696" s="10" t="str">
        <f>IFERROR(__xludf.DUMMYFUNCTION("""COMPUTED_VALUE"""),"hunterdigitalmarketing.com")</f>
        <v>hunterdigitalmarketing.com</v>
      </c>
      <c r="D696" s="11" t="str">
        <f>IFERROR(__xludf.DUMMYFUNCTION("""COMPUTED_VALUE"""),"LISTICLE")</f>
        <v>LISTICLE</v>
      </c>
      <c r="E696" s="11" t="str">
        <f>IFERROR(__xludf.DUMMYFUNCTION("""COMPUTED_VALUE"""),"CORPORATE")</f>
        <v>CORPORATE</v>
      </c>
      <c r="F696" s="11" t="str">
        <f>IFERROR(__xludf.DUMMYFUNCTION("""COMPUTED_VALUE"""),"Listicle")</f>
        <v>Listicle</v>
      </c>
      <c r="G696" s="11" t="b">
        <f>IFERROR(__xludf.DUMMYFUNCTION("""COMPUTED_VALUE"""),FALSE)</f>
        <v>0</v>
      </c>
      <c r="H696" s="11" t="str">
        <f>IFERROR(__xludf.DUMMYFUNCTION("""COMPUTED_VALUE"""),"Clutch, Disruptive Advertising, KlientBoost, Ignite Visibility")</f>
        <v>Clutch, Disruptive Advertising, KlientBoost, Ignite Visibility</v>
      </c>
      <c r="I696" s="11">
        <f>IFERROR(__xludf.DUMMYFUNCTION("""COMPUTED_VALUE"""),1.0)</f>
        <v>1</v>
      </c>
      <c r="J696" s="11">
        <f>IFERROR(__xludf.DUMMYFUNCTION("""COMPUTED_VALUE"""),0.0)</f>
        <v>0</v>
      </c>
      <c r="K696" s="11">
        <f>IFERROR(__xludf.DUMMYFUNCTION("""COMPUTED_VALUE"""),4.0)</f>
        <v>4</v>
      </c>
    </row>
    <row r="697" ht="15.75" customHeight="1">
      <c r="A697" s="10" t="str">
        <f>IFERROR(__xludf.DUMMYFUNCTION("""COMPUTED_VALUE"""),"https://icoda.io/ai/best-ai-digital-marketing-agencies/")</f>
        <v>https://icoda.io/ai/best-ai-digital-marketing-agencies/</v>
      </c>
      <c r="B697" s="11" t="str">
        <f>IFERROR(__xludf.DUMMYFUNCTION("""COMPUTED_VALUE"""),"Top 10 AI Digital Marketing Agencies [2026]")</f>
        <v>Top 10 AI Digital Marketing Agencies [2026]</v>
      </c>
      <c r="C697" s="10" t="str">
        <f>IFERROR(__xludf.DUMMYFUNCTION("""COMPUTED_VALUE"""),"icoda.io")</f>
        <v>icoda.io</v>
      </c>
      <c r="D697" s="11" t="str">
        <f>IFERROR(__xludf.DUMMYFUNCTION("""COMPUTED_VALUE"""),"LISTICLE")</f>
        <v>LISTICLE</v>
      </c>
      <c r="E697" s="11" t="str">
        <f>IFERROR(__xludf.DUMMYFUNCTION("""COMPUTED_VALUE"""),"CORPORATE")</f>
        <v>CORPORATE</v>
      </c>
      <c r="F697" s="11" t="str">
        <f>IFERROR(__xludf.DUMMYFUNCTION("""COMPUTED_VALUE"""),"Listicle")</f>
        <v>Listicle</v>
      </c>
      <c r="G697" s="11" t="b">
        <f>IFERROR(__xludf.DUMMYFUNCTION("""COMPUTED_VALUE"""),FALSE)</f>
        <v>0</v>
      </c>
      <c r="H697" s="11" t="str">
        <f>IFERROR(__xludf.DUMMYFUNCTION("""COMPUTED_VALUE"""),"McKinsey, Wpromote, Brainlabs, Tinuiti, Keenfolks, Directive, Jellyfish, Single Grain, Clutch, IBM")</f>
        <v>McKinsey, Wpromote, Brainlabs, Tinuiti, Keenfolks, Directive, Jellyfish, Single Grain, Clutch, IBM</v>
      </c>
      <c r="I697" s="11">
        <f>IFERROR(__xludf.DUMMYFUNCTION("""COMPUTED_VALUE"""),1.0)</f>
        <v>1</v>
      </c>
      <c r="J697" s="11">
        <f>IFERROR(__xludf.DUMMYFUNCTION("""COMPUTED_VALUE"""),0.0)</f>
        <v>0</v>
      </c>
      <c r="K697" s="11">
        <f>IFERROR(__xludf.DUMMYFUNCTION("""COMPUTED_VALUE"""),0.0)</f>
        <v>0</v>
      </c>
    </row>
    <row r="698" ht="15.75" customHeight="1">
      <c r="A698" s="10" t="str">
        <f>IFERROR(__xludf.DUMMYFUNCTION("""COMPUTED_VALUE"""),"https://www.icreativez.com/categories/online-marketing/10-best-paid-social-media-services-companies-consultants-2026.html")</f>
        <v>https://www.icreativez.com/categories/online-marketing/10-best-paid-social-media-services-companies-consultants-2026.html</v>
      </c>
      <c r="B698" s="11" t="str">
        <f>IFERROR(__xludf.DUMMYFUNCTION("""COMPUTED_VALUE"""),"10 Best Paid Social Media Companies &amp; Consultants 2026 | iCreativez")</f>
        <v>10 Best Paid Social Media Companies &amp; Consultants 2026 | iCreativez</v>
      </c>
      <c r="C698" s="10" t="str">
        <f>IFERROR(__xludf.DUMMYFUNCTION("""COMPUTED_VALUE"""),"icreativez.com")</f>
        <v>icreativez.com</v>
      </c>
      <c r="D698" s="11" t="str">
        <f>IFERROR(__xludf.DUMMYFUNCTION("""COMPUTED_VALUE"""),"LISTICLE")</f>
        <v>LISTICLE</v>
      </c>
      <c r="E698" s="11" t="str">
        <f>IFERROR(__xludf.DUMMYFUNCTION("""COMPUTED_VALUE"""),"OTHER")</f>
        <v>OTHER</v>
      </c>
      <c r="F698" s="11" t="str">
        <f>IFERROR(__xludf.DUMMYFUNCTION("""COMPUTED_VALUE"""),"Listicle")</f>
        <v>Listicle</v>
      </c>
      <c r="G698" s="11" t="b">
        <f>IFERROR(__xludf.DUMMYFUNCTION("""COMPUTED_VALUE"""),FALSE)</f>
        <v>0</v>
      </c>
      <c r="H698" s="11" t="str">
        <f>IFERROR(__xludf.DUMMYFUNCTION("""COMPUTED_VALUE"""),"Triple Whale, Northbeam, Rockerbox")</f>
        <v>Triple Whale, Northbeam, Rockerbox</v>
      </c>
      <c r="I698" s="11">
        <f>IFERROR(__xludf.DUMMYFUNCTION("""COMPUTED_VALUE"""),1.0)</f>
        <v>1</v>
      </c>
      <c r="J698" s="11">
        <f>IFERROR(__xludf.DUMMYFUNCTION("""COMPUTED_VALUE"""),0.0)</f>
        <v>0</v>
      </c>
      <c r="K698" s="11">
        <f>IFERROR(__xludf.DUMMYFUNCTION("""COMPUTED_VALUE"""),0.0)</f>
        <v>0</v>
      </c>
    </row>
    <row r="699" ht="15.75" customHeight="1">
      <c r="A699" s="10" t="str">
        <f>IFERROR(__xludf.DUMMYFUNCTION("""COMPUTED_VALUE"""),"https://www.ie.edu/uncover-ie/top-data-analytics-companies-who-shapes-business-data-in-2026/#:~:text=Deloitte%20provides%20analytics%20consulting%20across%20areas%20like,forecasting%2C%20optimization%2C%20and%20operational%20performance%20use%20cases.")</f>
        <v>https://www.ie.edu/uncover-ie/top-data-analytics-companies-who-shapes-business-data-in-2026/#:~:text=Deloitte%20provides%20analytics%20consulting%20across%20areas%20like,forecasting%2C%20optimization%2C%20and%20operational%20performance%20use%20cases.</v>
      </c>
      <c r="B699" s="11" t="str">
        <f>IFERROR(__xludf.DUMMYFUNCTION("""COMPUTED_VALUE"""),"Top data analytics companies: Who shapes business data in 2026")</f>
        <v>Top data analytics companies: Who shapes business data in 2026</v>
      </c>
      <c r="C699" s="10" t="str">
        <f>IFERROR(__xludf.DUMMYFUNCTION("""COMPUTED_VALUE"""),"ie.edu")</f>
        <v>ie.edu</v>
      </c>
      <c r="D699" s="11" t="str">
        <f>IFERROR(__xludf.DUMMYFUNCTION("""COMPUTED_VALUE"""),"LISTICLE")</f>
        <v>LISTICLE</v>
      </c>
      <c r="E699" s="11" t="str">
        <f>IFERROR(__xludf.DUMMYFUNCTION("""COMPUTED_VALUE"""),"INSTITUTIONAL")</f>
        <v>INSTITUTIONAL</v>
      </c>
      <c r="F699" s="11" t="str">
        <f>IFERROR(__xludf.DUMMYFUNCTION("""COMPUTED_VALUE"""),"Listicle")</f>
        <v>Listicle</v>
      </c>
      <c r="G699" s="11" t="b">
        <f>IFERROR(__xludf.DUMMYFUNCTION("""COMPUTED_VALUE"""),FALSE)</f>
        <v>0</v>
      </c>
      <c r="H699" s="11" t="str">
        <f>IFERROR(__xludf.DUMMYFUNCTION("""COMPUTED_VALUE"""),"McKinsey, QuantumBlack, BCG, PwC")</f>
        <v>McKinsey, QuantumBlack, BCG, PwC</v>
      </c>
      <c r="I699" s="11">
        <f>IFERROR(__xludf.DUMMYFUNCTION("""COMPUTED_VALUE"""),1.0)</f>
        <v>1</v>
      </c>
      <c r="J699" s="11">
        <f>IFERROR(__xludf.DUMMYFUNCTION("""COMPUTED_VALUE"""),0.0)</f>
        <v>0</v>
      </c>
      <c r="K699" s="11">
        <f>IFERROR(__xludf.DUMMYFUNCTION("""COMPUTED_VALUE"""),2.0)</f>
        <v>2</v>
      </c>
    </row>
    <row r="700" ht="15.75" customHeight="1">
      <c r="A700" s="10" t="str">
        <f>IFERROR(__xludf.DUMMYFUNCTION("""COMPUTED_VALUE"""),"https://improvado.io/blog/best-marketing-agencies-new-york")</f>
        <v>https://improvado.io/blog/best-marketing-agencies-new-york</v>
      </c>
      <c r="B700" s="11" t="str">
        <f>IFERROR(__xludf.DUMMYFUNCTION("""COMPUTED_VALUE"""),"Best NYC Marketing Agencies 2026: Pricing &amp;amp; Reviews")</f>
        <v>Best NYC Marketing Agencies 2026: Pricing &amp;amp; Reviews</v>
      </c>
      <c r="C700" s="10" t="str">
        <f>IFERROR(__xludf.DUMMYFUNCTION("""COMPUTED_VALUE"""),"improvado.io")</f>
        <v>improvado.io</v>
      </c>
      <c r="D700" s="11" t="str">
        <f>IFERROR(__xludf.DUMMYFUNCTION("""COMPUTED_VALUE"""),"LISTICLE")</f>
        <v>LISTICLE</v>
      </c>
      <c r="E700" s="11" t="str">
        <f>IFERROR(__xludf.DUMMYFUNCTION("""COMPUTED_VALUE"""),"CORPORATE")</f>
        <v>CORPORATE</v>
      </c>
      <c r="F700" s="11" t="str">
        <f>IFERROR(__xludf.DUMMYFUNCTION("""COMPUTED_VALUE"""),"Listicle")</f>
        <v>Listicle</v>
      </c>
      <c r="G700" s="11" t="b">
        <f>IFERROR(__xludf.DUMMYFUNCTION("""COMPUTED_VALUE"""),FALSE)</f>
        <v>0</v>
      </c>
      <c r="H700" s="11" t="str">
        <f>IFERROR(__xludf.DUMMYFUNCTION("""COMPUTED_VALUE"""),"Directive, NoGood, Ogilvy, VaynerMedia, Seer Interactive, Huge, Dentsu, DEPT, Merkle, Common Thread Collective, inBeat, WPP, Publicis Groupe, McKinsey, Bain &amp; Company, BCG, Deloitte Digital, WebFX, KlientBoost")</f>
        <v>Directive, NoGood, Ogilvy, VaynerMedia, Seer Interactive, Huge, Dentsu, DEPT, Merkle, Common Thread Collective, inBeat, WPP, Publicis Groupe, McKinsey, Bain &amp; Company, BCG, Deloitte Digital, WebFX, KlientBoost</v>
      </c>
      <c r="I700" s="11">
        <f>IFERROR(__xludf.DUMMYFUNCTION("""COMPUTED_VALUE"""),1.0)</f>
        <v>1</v>
      </c>
      <c r="J700" s="11">
        <f>IFERROR(__xludf.DUMMYFUNCTION("""COMPUTED_VALUE"""),0.0)</f>
        <v>0</v>
      </c>
      <c r="K700" s="11">
        <f>IFERROR(__xludf.DUMMYFUNCTION("""COMPUTED_VALUE"""),1.0)</f>
        <v>1</v>
      </c>
    </row>
    <row r="701" ht="15.75" customHeight="1">
      <c r="A701" s="10" t="str">
        <f>IFERROR(__xludf.DUMMYFUNCTION("""COMPUTED_VALUE"""),"https://improvado.io/blog/top-programmatic-platforms#:~:text=Pricing%3A%207%2D15%25%20of%20media%20spend%20(typically%2010%25,of%20conversion%20data%20for%20AI%20bidding%20optimization.")</f>
        <v>https://improvado.io/blog/top-programmatic-platforms#:~:text=Pricing%3A%207%2D15%25%20of%20media%20spend%20(typically%2010%25,of%20conversion%20data%20for%20AI%20bidding%20optimization.</v>
      </c>
      <c r="B701" s="11" t="str">
        <f>IFERROR(__xludf.DUMMYFUNCTION("""COMPUTED_VALUE"""),"Programmatic Advertising Platforms: DSPs, Reporting &amp;amp; Analytics")</f>
        <v>Programmatic Advertising Platforms: DSPs, Reporting &amp;amp; Analytics</v>
      </c>
      <c r="C701" s="10" t="str">
        <f>IFERROR(__xludf.DUMMYFUNCTION("""COMPUTED_VALUE"""),"improvado.io")</f>
        <v>improvado.io</v>
      </c>
      <c r="D701" s="11" t="str">
        <f>IFERROR(__xludf.DUMMYFUNCTION("""COMPUTED_VALUE"""),"LISTICLE")</f>
        <v>LISTICLE</v>
      </c>
      <c r="E701" s="11" t="str">
        <f>IFERROR(__xludf.DUMMYFUNCTION("""COMPUTED_VALUE"""),"CORPORATE")</f>
        <v>CORPORATE</v>
      </c>
      <c r="F701" s="11" t="str">
        <f>IFERROR(__xludf.DUMMYFUNCTION("""COMPUTED_VALUE"""),"Listicle")</f>
        <v>Listicle</v>
      </c>
      <c r="G701" s="11" t="b">
        <f>IFERROR(__xludf.DUMMYFUNCTION("""COMPUTED_VALUE"""),FALSE)</f>
        <v>0</v>
      </c>
      <c r="H701" s="11" t="str">
        <f>IFERROR(__xludf.DUMMYFUNCTION("""COMPUTED_VALUE"""),"Dentsu, WPP, Publicis Groupe, GroupM, Omnicom Media Group")</f>
        <v>Dentsu, WPP, Publicis Groupe, GroupM, Omnicom Media Group</v>
      </c>
      <c r="I701" s="11">
        <f>IFERROR(__xludf.DUMMYFUNCTION("""COMPUTED_VALUE"""),1.0)</f>
        <v>1</v>
      </c>
      <c r="J701" s="11">
        <f>IFERROR(__xludf.DUMMYFUNCTION("""COMPUTED_VALUE"""),0.0)</f>
        <v>0</v>
      </c>
      <c r="K701" s="11">
        <f>IFERROR(__xludf.DUMMYFUNCTION("""COMPUTED_VALUE"""),1.0)</f>
        <v>1</v>
      </c>
    </row>
    <row r="702" ht="15.75" customHeight="1">
      <c r="A702" s="10" t="str">
        <f>IFERROR(__xludf.DUMMYFUNCTION("""COMPUTED_VALUE"""),"https://inbeat.agency/blog/top-ai-marketing-agencies")</f>
        <v>https://inbeat.agency/blog/top-ai-marketing-agencies</v>
      </c>
      <c r="B702" s="11" t="str">
        <f>IFERROR(__xludf.DUMMYFUNCTION("""COMPUTED_VALUE"""),"Top 15 AI Marketing Agencies Transforming Digital Strategy in 2025 - inBeat Agency")</f>
        <v>Top 15 AI Marketing Agencies Transforming Digital Strategy in 2025 - inBeat Agency</v>
      </c>
      <c r="C702" s="11" t="str">
        <f>IFERROR(__xludf.DUMMYFUNCTION("""COMPUTED_VALUE"""),"inbeat.agency")</f>
        <v>inbeat.agency</v>
      </c>
      <c r="D702" s="11" t="str">
        <f>IFERROR(__xludf.DUMMYFUNCTION("""COMPUTED_VALUE"""),"LISTICLE")</f>
        <v>LISTICLE</v>
      </c>
      <c r="E702" s="11" t="str">
        <f>IFERROR(__xludf.DUMMYFUNCTION("""COMPUTED_VALUE"""),"COMPETITOR")</f>
        <v>COMPETITOR</v>
      </c>
      <c r="F702" s="11" t="str">
        <f>IFERROR(__xludf.DUMMYFUNCTION("""COMPUTED_VALUE"""),"Listicle")</f>
        <v>Listicle</v>
      </c>
      <c r="G702" s="11" t="b">
        <f>IFERROR(__xludf.DUMMYFUNCTION("""COMPUTED_VALUE"""),FALSE)</f>
        <v>0</v>
      </c>
      <c r="H702" s="11" t="str">
        <f>IFERROR(__xludf.DUMMYFUNCTION("""COMPUTED_VALUE"""),"inBeat, Nielsen, Momentum, Keenfolks, NoGood, Avenue Z")</f>
        <v>inBeat, Nielsen, Momentum, Keenfolks, NoGood, Avenue Z</v>
      </c>
      <c r="I702" s="11">
        <f>IFERROR(__xludf.DUMMYFUNCTION("""COMPUTED_VALUE"""),1.0)</f>
        <v>1</v>
      </c>
      <c r="J702" s="11">
        <f>IFERROR(__xludf.DUMMYFUNCTION("""COMPUTED_VALUE"""),0.0)</f>
        <v>0</v>
      </c>
      <c r="K702" s="11">
        <f>IFERROR(__xludf.DUMMYFUNCTION("""COMPUTED_VALUE"""),0.0)</f>
        <v>0</v>
      </c>
    </row>
    <row r="703" ht="15.75" customHeight="1">
      <c r="A703" s="10" t="str">
        <f>IFERROR(__xludf.DUMMYFUNCTION("""COMPUTED_VALUE"""),"https://inbeat.agency/blog/top-creative-strategy-agencies")</f>
        <v>https://inbeat.agency/blog/top-creative-strategy-agencies</v>
      </c>
      <c r="B703" s="11" t="str">
        <f>IFERROR(__xludf.DUMMYFUNCTION("""COMPUTED_VALUE"""),"The Creative Strategy Hotlist 2026: 15 Agencies to Know - inBeat Agency")</f>
        <v>The Creative Strategy Hotlist 2026: 15 Agencies to Know - inBeat Agency</v>
      </c>
      <c r="C703" s="11" t="str">
        <f>IFERROR(__xludf.DUMMYFUNCTION("""COMPUTED_VALUE"""),"inbeat.agency")</f>
        <v>inbeat.agency</v>
      </c>
      <c r="D703" s="11" t="str">
        <f>IFERROR(__xludf.DUMMYFUNCTION("""COMPUTED_VALUE"""),"LISTICLE")</f>
        <v>LISTICLE</v>
      </c>
      <c r="E703" s="11" t="str">
        <f>IFERROR(__xludf.DUMMYFUNCTION("""COMPUTED_VALUE"""),"COMPETITOR")</f>
        <v>COMPETITOR</v>
      </c>
      <c r="F703" s="11" t="str">
        <f>IFERROR(__xludf.DUMMYFUNCTION("""COMPUTED_VALUE"""),"Listicle")</f>
        <v>Listicle</v>
      </c>
      <c r="G703" s="11" t="b">
        <f>IFERROR(__xludf.DUMMYFUNCTION("""COMPUTED_VALUE"""),FALSE)</f>
        <v>0</v>
      </c>
      <c r="H703" s="11" t="str">
        <f>IFERROR(__xludf.DUMMYFUNCTION("""COMPUTED_VALUE"""),"inBeat, Nielsen, Power Digital, Single Grain")</f>
        <v>inBeat, Nielsen, Power Digital, Single Grain</v>
      </c>
      <c r="I703" s="11">
        <f>IFERROR(__xludf.DUMMYFUNCTION("""COMPUTED_VALUE"""),1.0)</f>
        <v>1</v>
      </c>
      <c r="J703" s="11">
        <f>IFERROR(__xludf.DUMMYFUNCTION("""COMPUTED_VALUE"""),0.0)</f>
        <v>0</v>
      </c>
      <c r="K703" s="11">
        <f>IFERROR(__xludf.DUMMYFUNCTION("""COMPUTED_VALUE"""),1.0)</f>
        <v>1</v>
      </c>
    </row>
    <row r="704" ht="15.75" customHeight="1">
      <c r="A704" s="10" t="str">
        <f>IFERROR(__xludf.DUMMYFUNCTION("""COMPUTED_VALUE"""),"https://inbeat.agency/blog/top-growth-marketing-agencies-in-nyc")</f>
        <v>https://inbeat.agency/blog/top-growth-marketing-agencies-in-nyc</v>
      </c>
      <c r="B704" s="11" t="str">
        <f>IFERROR(__xludf.DUMMYFUNCTION("""COMPUTED_VALUE"""),"Growth Marketing Agencies for Fast-Rising NYC Brands - inBeat Agency")</f>
        <v>Growth Marketing Agencies for Fast-Rising NYC Brands - inBeat Agency</v>
      </c>
      <c r="C704" s="11" t="str">
        <f>IFERROR(__xludf.DUMMYFUNCTION("""COMPUTED_VALUE"""),"inbeat.agency")</f>
        <v>inbeat.agency</v>
      </c>
      <c r="D704" s="11" t="str">
        <f>IFERROR(__xludf.DUMMYFUNCTION("""COMPUTED_VALUE"""),"LISTICLE")</f>
        <v>LISTICLE</v>
      </c>
      <c r="E704" s="11" t="str">
        <f>IFERROR(__xludf.DUMMYFUNCTION("""COMPUTED_VALUE"""),"COMPETITOR")</f>
        <v>COMPETITOR</v>
      </c>
      <c r="F704" s="11" t="str">
        <f>IFERROR(__xludf.DUMMYFUNCTION("""COMPUTED_VALUE"""),"Listicle")</f>
        <v>Listicle</v>
      </c>
      <c r="G704" s="11" t="b">
        <f>IFERROR(__xludf.DUMMYFUNCTION("""COMPUTED_VALUE"""),FALSE)</f>
        <v>0</v>
      </c>
      <c r="H704" s="11" t="str">
        <f>IFERROR(__xludf.DUMMYFUNCTION("""COMPUTED_VALUE"""),"inBeat, Nielsen, Avenue Z, Amsive, Major Tom, Tinuiti, Clutch")</f>
        <v>inBeat, Nielsen, Avenue Z, Amsive, Major Tom, Tinuiti, Clutch</v>
      </c>
      <c r="I704" s="11">
        <f>IFERROR(__xludf.DUMMYFUNCTION("""COMPUTED_VALUE"""),1.0)</f>
        <v>1</v>
      </c>
      <c r="J704" s="11">
        <f>IFERROR(__xludf.DUMMYFUNCTION("""COMPUTED_VALUE"""),0.0)</f>
        <v>0</v>
      </c>
      <c r="K704" s="11">
        <f>IFERROR(__xludf.DUMMYFUNCTION("""COMPUTED_VALUE"""),1.0)</f>
        <v>1</v>
      </c>
    </row>
    <row r="705" ht="15.75" customHeight="1">
      <c r="A705" s="10" t="str">
        <f>IFERROR(__xludf.DUMMYFUNCTION("""COMPUTED_VALUE"""),"https://inbeat.agency/blog/top-media-buying-agencies")</f>
        <v>https://inbeat.agency/blog/top-media-buying-agencies</v>
      </c>
      <c r="B705" s="11" t="str">
        <f>IFERROR(__xludf.DUMMYFUNCTION("""COMPUTED_VALUE"""),"14 Media Buying Agencies That Actually Stretch a Budget - inBeat Agency")</f>
        <v>14 Media Buying Agencies That Actually Stretch a Budget - inBeat Agency</v>
      </c>
      <c r="C705" s="11" t="str">
        <f>IFERROR(__xludf.DUMMYFUNCTION("""COMPUTED_VALUE"""),"inbeat.agency")</f>
        <v>inbeat.agency</v>
      </c>
      <c r="D705" s="11" t="str">
        <f>IFERROR(__xludf.DUMMYFUNCTION("""COMPUTED_VALUE"""),"LISTICLE")</f>
        <v>LISTICLE</v>
      </c>
      <c r="E705" s="11" t="str">
        <f>IFERROR(__xludf.DUMMYFUNCTION("""COMPUTED_VALUE"""),"COMPETITOR")</f>
        <v>COMPETITOR</v>
      </c>
      <c r="F705" s="11" t="str">
        <f>IFERROR(__xludf.DUMMYFUNCTION("""COMPUTED_VALUE"""),"Listicle")</f>
        <v>Listicle</v>
      </c>
      <c r="G705" s="11" t="b">
        <f>IFERROR(__xludf.DUMMYFUNCTION("""COMPUTED_VALUE"""),FALSE)</f>
        <v>0</v>
      </c>
      <c r="H705" s="11" t="str">
        <f>IFERROR(__xludf.DUMMYFUNCTION("""COMPUTED_VALUE"""),"inBeat, Nielsen, Percepture, Hawke Media, Measured, Clutch")</f>
        <v>inBeat, Nielsen, Percepture, Hawke Media, Measured, Clutch</v>
      </c>
      <c r="I705" s="11">
        <f>IFERROR(__xludf.DUMMYFUNCTION("""COMPUTED_VALUE"""),1.0)</f>
        <v>1</v>
      </c>
      <c r="J705" s="11">
        <f>IFERROR(__xludf.DUMMYFUNCTION("""COMPUTED_VALUE"""),0.0)</f>
        <v>0</v>
      </c>
      <c r="K705" s="11">
        <f>IFERROR(__xludf.DUMMYFUNCTION("""COMPUTED_VALUE"""),0.0)</f>
        <v>0</v>
      </c>
    </row>
    <row r="706" ht="15.75" customHeight="1">
      <c r="A706" s="10" t="str">
        <f>IFERROR(__xludf.DUMMYFUNCTION("""COMPUTED_VALUE"""),"https://www.inbeat.co/articles/best-ai-digital-marketing-agencies/")</f>
        <v>https://www.inbeat.co/articles/best-ai-digital-marketing-agencies/</v>
      </c>
      <c r="B706" s="11" t="str">
        <f>IFERROR(__xludf.DUMMYFUNCTION("""COMPUTED_VALUE"""),"10 Best AI Digital Marketing Agencies in 2026")</f>
        <v>10 Best AI Digital Marketing Agencies in 2026</v>
      </c>
      <c r="C706" s="10" t="str">
        <f>IFERROR(__xludf.DUMMYFUNCTION("""COMPUTED_VALUE"""),"inbeat.co")</f>
        <v>inbeat.co</v>
      </c>
      <c r="D706" s="11" t="str">
        <f>IFERROR(__xludf.DUMMYFUNCTION("""COMPUTED_VALUE"""),"LISTICLE")</f>
        <v>LISTICLE</v>
      </c>
      <c r="E706" s="11" t="str">
        <f>IFERROR(__xludf.DUMMYFUNCTION("""COMPUTED_VALUE"""),"CORPORATE")</f>
        <v>CORPORATE</v>
      </c>
      <c r="F706" s="11" t="str">
        <f>IFERROR(__xludf.DUMMYFUNCTION("""COMPUTED_VALUE"""),"Listicle")</f>
        <v>Listicle</v>
      </c>
      <c r="G706" s="11" t="b">
        <f>IFERROR(__xludf.DUMMYFUNCTION("""COMPUTED_VALUE"""),FALSE)</f>
        <v>0</v>
      </c>
      <c r="H706" s="11" t="str">
        <f>IFERROR(__xludf.DUMMYFUNCTION("""COMPUTED_VALUE"""),"inBeat, Merkle, SmartSites, Ignite Visibility, Jellyfish, Brainlabs, Wpromote, Tinuiti, Disruptive Advertising, NP Digital")</f>
        <v>inBeat, Merkle, SmartSites, Ignite Visibility, Jellyfish, Brainlabs, Wpromote, Tinuiti, Disruptive Advertising, NP Digital</v>
      </c>
      <c r="I706" s="11">
        <f>IFERROR(__xludf.DUMMYFUNCTION("""COMPUTED_VALUE"""),1.0)</f>
        <v>1</v>
      </c>
      <c r="J706" s="11">
        <f>IFERROR(__xludf.DUMMYFUNCTION("""COMPUTED_VALUE"""),0.0)</f>
        <v>0</v>
      </c>
      <c r="K706" s="11">
        <f>IFERROR(__xludf.DUMMYFUNCTION("""COMPUTED_VALUE"""),0.0)</f>
        <v>0</v>
      </c>
    </row>
    <row r="707" ht="15.75" customHeight="1">
      <c r="A707" s="10" t="str">
        <f>IFERROR(__xludf.DUMMYFUNCTION("""COMPUTED_VALUE"""),"https://www.inbeat.co/articles/top-creative-agencies/")</f>
        <v>https://www.inbeat.co/articles/top-creative-agencies/</v>
      </c>
      <c r="B707" s="11" t="str">
        <f>IFERROR(__xludf.DUMMYFUNCTION("""COMPUTED_VALUE"""),"Top 15 Creative Agencies Tried and Tested [2026 Edition]")</f>
        <v>Top 15 Creative Agencies Tried and Tested [2026 Edition]</v>
      </c>
      <c r="C707" s="10" t="str">
        <f>IFERROR(__xludf.DUMMYFUNCTION("""COMPUTED_VALUE"""),"inbeat.co")</f>
        <v>inbeat.co</v>
      </c>
      <c r="D707" s="11" t="str">
        <f>IFERROR(__xludf.DUMMYFUNCTION("""COMPUTED_VALUE"""),"LISTICLE")</f>
        <v>LISTICLE</v>
      </c>
      <c r="E707" s="11" t="str">
        <f>IFERROR(__xludf.DUMMYFUNCTION("""COMPUTED_VALUE"""),"CORPORATE")</f>
        <v>CORPORATE</v>
      </c>
      <c r="F707" s="11" t="str">
        <f>IFERROR(__xludf.DUMMYFUNCTION("""COMPUTED_VALUE"""),"Listicle")</f>
        <v>Listicle</v>
      </c>
      <c r="G707" s="11" t="b">
        <f>IFERROR(__xludf.DUMMYFUNCTION("""COMPUTED_VALUE"""),FALSE)</f>
        <v>0</v>
      </c>
      <c r="H707" s="11" t="str">
        <f>IFERROR(__xludf.DUMMYFUNCTION("""COMPUTED_VALUE"""),"inBeat, Brighter Click")</f>
        <v>inBeat, Brighter Click</v>
      </c>
      <c r="I707" s="11">
        <f>IFERROR(__xludf.DUMMYFUNCTION("""COMPUTED_VALUE"""),1.0)</f>
        <v>1</v>
      </c>
      <c r="J707" s="11">
        <f>IFERROR(__xludf.DUMMYFUNCTION("""COMPUTED_VALUE"""),0.0)</f>
        <v>0</v>
      </c>
      <c r="K707" s="11">
        <f>IFERROR(__xludf.DUMMYFUNCTION("""COMPUTED_VALUE"""),0.0)</f>
        <v>0</v>
      </c>
    </row>
    <row r="708" ht="15.75" customHeight="1">
      <c r="A708" s="10" t="str">
        <f>IFERROR(__xludf.DUMMYFUNCTION("""COMPUTED_VALUE"""),"https://indiantelevision.com/mam/the-best-aeo-agencies-in-the-usa-for-2026/")</f>
        <v>https://indiantelevision.com/mam/the-best-aeo-agencies-in-the-usa-for-2026/</v>
      </c>
      <c r="B708" s="11" t="str">
        <f>IFERROR(__xludf.DUMMYFUNCTION("""COMPUTED_VALUE"""),"The Best AEO Agencies in the USA for 2026 – Indian Television Dot Com")</f>
        <v>The Best AEO Agencies in the USA for 2026 – Indian Television Dot Com</v>
      </c>
      <c r="C708" s="10" t="str">
        <f>IFERROR(__xludf.DUMMYFUNCTION("""COMPUTED_VALUE"""),"indiantelevision.com")</f>
        <v>indiantelevision.com</v>
      </c>
      <c r="D708" s="11" t="str">
        <f>IFERROR(__xludf.DUMMYFUNCTION("""COMPUTED_VALUE"""),"LISTICLE")</f>
        <v>LISTICLE</v>
      </c>
      <c r="E708" s="11" t="str">
        <f>IFERROR(__xludf.DUMMYFUNCTION("""COMPUTED_VALUE"""),"EDITORIAL")</f>
        <v>EDITORIAL</v>
      </c>
      <c r="F708" s="11" t="str">
        <f>IFERROR(__xludf.DUMMYFUNCTION("""COMPUTED_VALUE"""),"Listicle")</f>
        <v>Listicle</v>
      </c>
      <c r="G708" s="11" t="b">
        <f>IFERROR(__xludf.DUMMYFUNCTION("""COMPUTED_VALUE"""),FALSE)</f>
        <v>0</v>
      </c>
      <c r="H708" s="11" t="str">
        <f>IFERROR(__xludf.DUMMYFUNCTION("""COMPUTED_VALUE"""),"Discovered Labs, WebFX, Measured, First Page Sage, Single Grain, Omniscient Digital, RevenueZen, Siege Media, NoGood, KlientBoost")</f>
        <v>Discovered Labs, WebFX, Measured, First Page Sage, Single Grain, Omniscient Digital, RevenueZen, Siege Media, NoGood, KlientBoost</v>
      </c>
      <c r="I708" s="11">
        <f>IFERROR(__xludf.DUMMYFUNCTION("""COMPUTED_VALUE"""),1.0)</f>
        <v>1</v>
      </c>
      <c r="J708" s="11">
        <f>IFERROR(__xludf.DUMMYFUNCTION("""COMPUTED_VALUE"""),0.0)</f>
        <v>0</v>
      </c>
      <c r="K708" s="11">
        <f>IFERROR(__xludf.DUMMYFUNCTION("""COMPUTED_VALUE"""),11.0)</f>
        <v>11</v>
      </c>
    </row>
    <row r="709" ht="15.75" customHeight="1">
      <c r="A709" s="10" t="str">
        <f>IFERROR(__xludf.DUMMYFUNCTION("""COMPUTED_VALUE"""),"https://www.indiehackers.com/post/best-performance-marketing-agency-in-the-usa-paid-ads-or-seo-cLPWTCgkteymkhS5pJS5#:~:text=Scale%20Rankings%20%2D%201.%20ScaleRankings.%20ScaleRankings.com%20isn't,is%20what%20separates%20it%20from%20everyone%20else.")</f>
        <v>https://www.indiehackers.com/post/best-performance-marketing-agency-in-the-usa-paid-ads-or-seo-cLPWTCgkteymkhS5pJS5#:~:text=Scale%20Rankings%20%2D%201.%20ScaleRankings.%20ScaleRankings.com%20isn't,is%20what%20separates%20it%20from%20everyone%20else.</v>
      </c>
      <c r="B709" s="11" t="str">
        <f>IFERROR(__xludf.DUMMYFUNCTION("""COMPUTED_VALUE"""),"Best Performance Marketing Agency in the USA (Paid Ads or SEO) - Indie Hackers")</f>
        <v>Best Performance Marketing Agency in the USA (Paid Ads or SEO) - Indie Hackers</v>
      </c>
      <c r="C709" s="10" t="str">
        <f>IFERROR(__xludf.DUMMYFUNCTION("""COMPUTED_VALUE"""),"indiehackers.com")</f>
        <v>indiehackers.com</v>
      </c>
      <c r="D709" s="11" t="str">
        <f>IFERROR(__xludf.DUMMYFUNCTION("""COMPUTED_VALUE"""),"LISTICLE")</f>
        <v>LISTICLE</v>
      </c>
      <c r="E709" s="11" t="str">
        <f>IFERROR(__xludf.DUMMYFUNCTION("""COMPUTED_VALUE"""),"UGC")</f>
        <v>UGC</v>
      </c>
      <c r="F709" s="11" t="str">
        <f>IFERROR(__xludf.DUMMYFUNCTION("""COMPUTED_VALUE"""),"Listicle")</f>
        <v>Listicle</v>
      </c>
      <c r="G709" s="11" t="b">
        <f>IFERROR(__xludf.DUMMYFUNCTION("""COMPUTED_VALUE"""),FALSE)</f>
        <v>0</v>
      </c>
      <c r="H709" s="11" t="str">
        <f>IFERROR(__xludf.DUMMYFUNCTION("""COMPUTED_VALUE"""),"Power Digital, Disruptive Advertising, Common Thread Collective, Directive, NoGood, SmartSites, Tinuiti, Measured")</f>
        <v>Power Digital, Disruptive Advertising, Common Thread Collective, Directive, NoGood, SmartSites, Tinuiti, Measured</v>
      </c>
      <c r="I709" s="11">
        <f>IFERROR(__xludf.DUMMYFUNCTION("""COMPUTED_VALUE"""),1.0)</f>
        <v>1</v>
      </c>
      <c r="J709" s="11">
        <f>IFERROR(__xludf.DUMMYFUNCTION("""COMPUTED_VALUE"""),0.0)</f>
        <v>0</v>
      </c>
      <c r="K709" s="11">
        <f>IFERROR(__xludf.DUMMYFUNCTION("""COMPUTED_VALUE"""),3.0)</f>
        <v>3</v>
      </c>
    </row>
    <row r="710" ht="15.75" customHeight="1">
      <c r="A710" s="10" t="str">
        <f>IFERROR(__xludf.DUMMYFUNCTION("""COMPUTED_VALUE"""),"https://www.influencer-hero.com/fr/blogs/top-paid-media-agencies-in-the-us")</f>
        <v>https://www.influencer-hero.com/fr/blogs/top-paid-media-agencies-in-the-us</v>
      </c>
      <c r="B710" s="11" t="str">
        <f>IFERROR(__xludf.DUMMYFUNCTION("""COMPUTED_VALUE"""),"Les meilleures agences de médias payants aux États-Unis")</f>
        <v>Les meilleures agences de médias payants aux États-Unis</v>
      </c>
      <c r="C710" s="10" t="str">
        <f>IFERROR(__xludf.DUMMYFUNCTION("""COMPUTED_VALUE"""),"influencer-hero.com")</f>
        <v>influencer-hero.com</v>
      </c>
      <c r="D710" s="11" t="str">
        <f>IFERROR(__xludf.DUMMYFUNCTION("""COMPUTED_VALUE"""),"LISTICLE")</f>
        <v>LISTICLE</v>
      </c>
      <c r="E710" s="11" t="str">
        <f>IFERROR(__xludf.DUMMYFUNCTION("""COMPUTED_VALUE"""),"CORPORATE")</f>
        <v>CORPORATE</v>
      </c>
      <c r="F710" s="11" t="str">
        <f>IFERROR(__xludf.DUMMYFUNCTION("""COMPUTED_VALUE"""),"Listicle")</f>
        <v>Listicle</v>
      </c>
      <c r="G710" s="11" t="b">
        <f>IFERROR(__xludf.DUMMYFUNCTION("""COMPUTED_VALUE"""),FALSE)</f>
        <v>0</v>
      </c>
      <c r="H710" s="11" t="str">
        <f>IFERROR(__xludf.DUMMYFUNCTION("""COMPUTED_VALUE"""),"Tinuiti, Wpromote, Disruptive Advertising, Monks, Power Digital, NP Digital, Merkle, Dentsu")</f>
        <v>Tinuiti, Wpromote, Disruptive Advertising, Monks, Power Digital, NP Digital, Merkle, Dentsu</v>
      </c>
      <c r="I710" s="11">
        <f>IFERROR(__xludf.DUMMYFUNCTION("""COMPUTED_VALUE"""),1.0)</f>
        <v>1</v>
      </c>
      <c r="J710" s="11">
        <f>IFERROR(__xludf.DUMMYFUNCTION("""COMPUTED_VALUE"""),0.0)</f>
        <v>0</v>
      </c>
      <c r="K710" s="11">
        <f>IFERROR(__xludf.DUMMYFUNCTION("""COMPUTED_VALUE"""),0.0)</f>
        <v>0</v>
      </c>
    </row>
    <row r="711" ht="15.75" customHeight="1">
      <c r="A711" s="10" t="str">
        <f>IFERROR(__xludf.DUMMYFUNCTION("""COMPUTED_VALUE"""),"https://influencermarketinghub.com/creative-agency/")</f>
        <v>https://influencermarketinghub.com/creative-agency/</v>
      </c>
      <c r="B711" s="11" t="str">
        <f>IFERROR(__xludf.DUMMYFUNCTION("""COMPUTED_VALUE"""),"20 Creative Agencies Shaping Brand Storytelling in 2026")</f>
        <v>20 Creative Agencies Shaping Brand Storytelling in 2026</v>
      </c>
      <c r="C711" s="10" t="str">
        <f>IFERROR(__xludf.DUMMYFUNCTION("""COMPUTED_VALUE"""),"influencermarketinghub.com")</f>
        <v>influencermarketinghub.com</v>
      </c>
      <c r="D711" s="11" t="str">
        <f>IFERROR(__xludf.DUMMYFUNCTION("""COMPUTED_VALUE"""),"LISTICLE")</f>
        <v>LISTICLE</v>
      </c>
      <c r="E711" s="11" t="str">
        <f>IFERROR(__xludf.DUMMYFUNCTION("""COMPUTED_VALUE"""),"REFERENCE")</f>
        <v>REFERENCE</v>
      </c>
      <c r="F711" s="11" t="str">
        <f>IFERROR(__xludf.DUMMYFUNCTION("""COMPUTED_VALUE"""),"Listicle")</f>
        <v>Listicle</v>
      </c>
      <c r="G711" s="11" t="b">
        <f>IFERROR(__xludf.DUMMYFUNCTION("""COMPUTED_VALUE"""),FALSE)</f>
        <v>0</v>
      </c>
      <c r="H711" s="11" t="str">
        <f>IFERROR(__xludf.DUMMYFUNCTION("""COMPUTED_VALUE"""),"Viral Nation, SmartSites, McKinsey, Brighter Click, VML, R/GA, Sociallyin")</f>
        <v>Viral Nation, SmartSites, McKinsey, Brighter Click, VML, R/GA, Sociallyin</v>
      </c>
      <c r="I711" s="11">
        <f>IFERROR(__xludf.DUMMYFUNCTION("""COMPUTED_VALUE"""),1.0)</f>
        <v>1</v>
      </c>
      <c r="J711" s="11">
        <f>IFERROR(__xludf.DUMMYFUNCTION("""COMPUTED_VALUE"""),0.0)</f>
        <v>0</v>
      </c>
      <c r="K711" s="11">
        <f>IFERROR(__xludf.DUMMYFUNCTION("""COMPUTED_VALUE"""),0.0)</f>
        <v>0</v>
      </c>
    </row>
    <row r="712" ht="15.75" customHeight="1">
      <c r="A712" s="10" t="str">
        <f>IFERROR(__xludf.DUMMYFUNCTION("""COMPUTED_VALUE"""),"https://influencermarketinghub.com/geo-agencies/")</f>
        <v>https://influencermarketinghub.com/geo-agencies/</v>
      </c>
      <c r="B712" s="11" t="str">
        <f>IFERROR(__xludf.DUMMYFUNCTION("""COMPUTED_VALUE"""),"6 Best GEO Agencies Driving AI Search Visibility")</f>
        <v>6 Best GEO Agencies Driving AI Search Visibility</v>
      </c>
      <c r="C712" s="10" t="str">
        <f>IFERROR(__xludf.DUMMYFUNCTION("""COMPUTED_VALUE"""),"influencermarketinghub.com")</f>
        <v>influencermarketinghub.com</v>
      </c>
      <c r="D712" s="11" t="str">
        <f>IFERROR(__xludf.DUMMYFUNCTION("""COMPUTED_VALUE"""),"LISTICLE")</f>
        <v>LISTICLE</v>
      </c>
      <c r="E712" s="11" t="str">
        <f>IFERROR(__xludf.DUMMYFUNCTION("""COMPUTED_VALUE"""),"REFERENCE")</f>
        <v>REFERENCE</v>
      </c>
      <c r="F712" s="11" t="str">
        <f>IFERROR(__xludf.DUMMYFUNCTION("""COMPUTED_VALUE"""),"Listicle")</f>
        <v>Listicle</v>
      </c>
      <c r="G712" s="11" t="b">
        <f>IFERROR(__xludf.DUMMYFUNCTION("""COMPUTED_VALUE"""),FALSE)</f>
        <v>0</v>
      </c>
      <c r="H712" s="11" t="str">
        <f>IFERROR(__xludf.DUMMYFUNCTION("""COMPUTED_VALUE"""),"Viral Nation, SmartSites, McKinsey, Stratabeat, Directive")</f>
        <v>Viral Nation, SmartSites, McKinsey, Stratabeat, Directive</v>
      </c>
      <c r="I712" s="11">
        <f>IFERROR(__xludf.DUMMYFUNCTION("""COMPUTED_VALUE"""),1.0)</f>
        <v>1</v>
      </c>
      <c r="J712" s="11">
        <f>IFERROR(__xludf.DUMMYFUNCTION("""COMPUTED_VALUE"""),0.0)</f>
        <v>0</v>
      </c>
      <c r="K712" s="11">
        <f>IFERROR(__xludf.DUMMYFUNCTION("""COMPUTED_VALUE"""),4.0)</f>
        <v>4</v>
      </c>
    </row>
    <row r="713" ht="15.75" customHeight="1">
      <c r="A713" s="10" t="str">
        <f>IFERROR(__xludf.DUMMYFUNCTION("""COMPUTED_VALUE"""),"https://innovationegg.com/top-digital-marketing-agency-in-the-usa/#:~:text=Core%20Services%20%2D%20SEO%20services.%20%2D%20Paid,strategy.%20%2D%20Lead%20generation.%20%2D%20Website%20optimization.")</f>
        <v>https://innovationegg.com/top-digital-marketing-agency-in-the-usa/#:~:text=Core%20Services%20%2D%20SEO%20services.%20%2D%20Paid,strategy.%20%2D%20Lead%20generation.%20%2D%20Website%20optimization.</v>
      </c>
      <c r="B713" s="11" t="str">
        <f>IFERROR(__xludf.DUMMYFUNCTION("""COMPUTED_VALUE"""),"Top 8 Digital Marketing Agencies in the USA (2026)")</f>
        <v>Top 8 Digital Marketing Agencies in the USA (2026)</v>
      </c>
      <c r="C713" s="10" t="str">
        <f>IFERROR(__xludf.DUMMYFUNCTION("""COMPUTED_VALUE"""),"innovationegg.com")</f>
        <v>innovationegg.com</v>
      </c>
      <c r="D713" s="11" t="str">
        <f>IFERROR(__xludf.DUMMYFUNCTION("""COMPUTED_VALUE"""),"LISTICLE")</f>
        <v>LISTICLE</v>
      </c>
      <c r="E713" s="11" t="str">
        <f>IFERROR(__xludf.DUMMYFUNCTION("""COMPUTED_VALUE"""),"CORPORATE")</f>
        <v>CORPORATE</v>
      </c>
      <c r="F713" s="11" t="str">
        <f>IFERROR(__xludf.DUMMYFUNCTION("""COMPUTED_VALUE"""),"Listicle")</f>
        <v>Listicle</v>
      </c>
      <c r="G713" s="11" t="b">
        <f>IFERROR(__xludf.DUMMYFUNCTION("""COMPUTED_VALUE"""),FALSE)</f>
        <v>0</v>
      </c>
      <c r="H713" s="11" t="str">
        <f>IFERROR(__xludf.DUMMYFUNCTION("""COMPUTED_VALUE"""),"WebFX, SmartSites, KlientBoost, Directive, Thrive Internet Marketing Agency")</f>
        <v>WebFX, SmartSites, KlientBoost, Directive, Thrive Internet Marketing Agency</v>
      </c>
      <c r="I713" s="11">
        <f>IFERROR(__xludf.DUMMYFUNCTION("""COMPUTED_VALUE"""),1.0)</f>
        <v>1</v>
      </c>
      <c r="J713" s="11">
        <f>IFERROR(__xludf.DUMMYFUNCTION("""COMPUTED_VALUE"""),0.0)</f>
        <v>0</v>
      </c>
      <c r="K713" s="11">
        <f>IFERROR(__xludf.DUMMYFUNCTION("""COMPUTED_VALUE"""),1.0)</f>
        <v>1</v>
      </c>
    </row>
    <row r="714" ht="15.75" customHeight="1">
      <c r="A714" s="10" t="str">
        <f>IFERROR(__xludf.DUMMYFUNCTION("""COMPUTED_VALUE"""),"https://www.instagram.com/reel/DR4csQmDPbW/?hl=en")</f>
        <v>https://www.instagram.com/reel/DR4csQmDPbW/?hl=en</v>
      </c>
      <c r="B714" s="11" t="str">
        <f>IFERROR(__xludf.DUMMYFUNCTION("""COMPUTED_VALUE"""),"The global advertising industry is led by just 5 companies.
-
-
-
-
[Advertising, Top marketing agencies in the world, Global Advertising, What is WIPOD, WPP, IPG, Publicis Groupe, Omnicon Media Group, OMG, Dentsu, Best Advertising Agencies in the world, "&amp;"Television advertising, radio advertising, newspaper advertising, IIDE, digital marketing]
#advertising #digitalmarketing #iide")</f>
        <v>The global advertising industry is led by just 5 companies.
-
-
-
-
[Advertising, Top marketing agencies in the world, Global Advertising, What is WIPOD, WPP, IPG, Publicis Groupe, Omnicon Media Group, OMG, Dentsu, Best Advertising Agencies in the world, Television advertising, radio advertising, newspaper advertising, IIDE, digital marketing]
#advertising #digitalmarketing #iide</v>
      </c>
      <c r="C714" s="10" t="str">
        <f>IFERROR(__xludf.DUMMYFUNCTION("""COMPUTED_VALUE"""),"instagram.com")</f>
        <v>instagram.com</v>
      </c>
      <c r="D714" s="11" t="str">
        <f>IFERROR(__xludf.DUMMYFUNCTION("""COMPUTED_VALUE"""),"LISTICLE")</f>
        <v>LISTICLE</v>
      </c>
      <c r="E714" s="11" t="str">
        <f>IFERROR(__xludf.DUMMYFUNCTION("""COMPUTED_VALUE"""),"UGC")</f>
        <v>UGC</v>
      </c>
      <c r="F714" s="11" t="str">
        <f>IFERROR(__xludf.DUMMYFUNCTION("""COMPUTED_VALUE"""),"Listicle")</f>
        <v>Listicle</v>
      </c>
      <c r="G714" s="11" t="b">
        <f>IFERROR(__xludf.DUMMYFUNCTION("""COMPUTED_VALUE"""),FALSE)</f>
        <v>0</v>
      </c>
      <c r="H714" s="11" t="str">
        <f>IFERROR(__xludf.DUMMYFUNCTION("""COMPUTED_VALUE"""),"WPP, Publicis Groupe, Dentsu")</f>
        <v>WPP, Publicis Groupe, Dentsu</v>
      </c>
      <c r="I714" s="11">
        <f>IFERROR(__xludf.DUMMYFUNCTION("""COMPUTED_VALUE"""),1.0)</f>
        <v>1</v>
      </c>
      <c r="J714" s="11">
        <f>IFERROR(__xludf.DUMMYFUNCTION("""COMPUTED_VALUE"""),0.0)</f>
        <v>0</v>
      </c>
      <c r="K714" s="11">
        <f>IFERROR(__xludf.DUMMYFUNCTION("""COMPUTED_VALUE"""),1.0)</f>
        <v>1</v>
      </c>
    </row>
    <row r="715" ht="15.75" customHeight="1">
      <c r="A715" s="10" t="str">
        <f>IFERROR(__xludf.DUMMYFUNCTION("""COMPUTED_VALUE"""),"https://www.intellectyx.com/ai-agent-development-companies-in-usa/")</f>
        <v>https://www.intellectyx.com/ai-agent-development-companies-in-usa/</v>
      </c>
      <c r="B715" s="11" t="str">
        <f>IFERROR(__xludf.DUMMYFUNCTION("""COMPUTED_VALUE"""),"Top AI Agent Development Companies in USA (2026)")</f>
        <v>Top AI Agent Development Companies in USA (2026)</v>
      </c>
      <c r="C715" s="10" t="str">
        <f>IFERROR(__xludf.DUMMYFUNCTION("""COMPUTED_VALUE"""),"intellectyx.com")</f>
        <v>intellectyx.com</v>
      </c>
      <c r="D715" s="11" t="str">
        <f>IFERROR(__xludf.DUMMYFUNCTION("""COMPUTED_VALUE"""),"LISTICLE")</f>
        <v>LISTICLE</v>
      </c>
      <c r="E715" s="11" t="str">
        <f>IFERROR(__xludf.DUMMYFUNCTION("""COMPUTED_VALUE"""),"UGC")</f>
        <v>UGC</v>
      </c>
      <c r="F715" s="11" t="str">
        <f>IFERROR(__xludf.DUMMYFUNCTION("""COMPUTED_VALUE"""),"Listicle")</f>
        <v>Listicle</v>
      </c>
      <c r="G715" s="11" t="b">
        <f>IFERROR(__xludf.DUMMYFUNCTION("""COMPUTED_VALUE"""),FALSE)</f>
        <v>0</v>
      </c>
      <c r="H715" s="11" t="str">
        <f>IFERROR(__xludf.DUMMYFUNCTION("""COMPUTED_VALUE"""),"IBM, Clutch, Fractal Analytics")</f>
        <v>IBM, Clutch, Fractal Analytics</v>
      </c>
      <c r="I715" s="11">
        <f>IFERROR(__xludf.DUMMYFUNCTION("""COMPUTED_VALUE"""),1.0)</f>
        <v>1</v>
      </c>
      <c r="J715" s="11">
        <f>IFERROR(__xludf.DUMMYFUNCTION("""COMPUTED_VALUE"""),0.0)</f>
        <v>0</v>
      </c>
      <c r="K715" s="11">
        <f>IFERROR(__xludf.DUMMYFUNCTION("""COMPUTED_VALUE"""),0.0)</f>
        <v>0</v>
      </c>
    </row>
    <row r="716" ht="15.75" customHeight="1">
      <c r="A716" s="10" t="str">
        <f>IFERROR(__xludf.DUMMYFUNCTION("""COMPUTED_VALUE"""),"https://www.intellectyx.com/best-ai-consulting-firms/")</f>
        <v>https://www.intellectyx.com/best-ai-consulting-firms/</v>
      </c>
      <c r="B716" s="11" t="str">
        <f>IFERROR(__xludf.DUMMYFUNCTION("""COMPUTED_VALUE"""),"Best AI Consulting Firms in USA (2026 Version)")</f>
        <v>Best AI Consulting Firms in USA (2026 Version)</v>
      </c>
      <c r="C716" s="10" t="str">
        <f>IFERROR(__xludf.DUMMYFUNCTION("""COMPUTED_VALUE"""),"intellectyx.com")</f>
        <v>intellectyx.com</v>
      </c>
      <c r="D716" s="11" t="str">
        <f>IFERROR(__xludf.DUMMYFUNCTION("""COMPUTED_VALUE"""),"LISTICLE")</f>
        <v>LISTICLE</v>
      </c>
      <c r="E716" s="11" t="str">
        <f>IFERROR(__xludf.DUMMYFUNCTION("""COMPUTED_VALUE"""),"UGC")</f>
        <v>UGC</v>
      </c>
      <c r="F716" s="11" t="str">
        <f>IFERROR(__xludf.DUMMYFUNCTION("""COMPUTED_VALUE"""),"Listicle")</f>
        <v>Listicle</v>
      </c>
      <c r="G716" s="11" t="b">
        <f>IFERROR(__xludf.DUMMYFUNCTION("""COMPUTED_VALUE"""),FALSE)</f>
        <v>0</v>
      </c>
      <c r="H716" s="11" t="str">
        <f>IFERROR(__xludf.DUMMYFUNCTION("""COMPUTED_VALUE"""),"IBM, PwC, BCG")</f>
        <v>IBM, PwC, BCG</v>
      </c>
      <c r="I716" s="11">
        <f>IFERROR(__xludf.DUMMYFUNCTION("""COMPUTED_VALUE"""),1.0)</f>
        <v>1</v>
      </c>
      <c r="J716" s="11">
        <f>IFERROR(__xludf.DUMMYFUNCTION("""COMPUTED_VALUE"""),0.0)</f>
        <v>0</v>
      </c>
      <c r="K716" s="11">
        <f>IFERROR(__xludf.DUMMYFUNCTION("""COMPUTED_VALUE"""),1.0)</f>
        <v>1</v>
      </c>
    </row>
    <row r="717" ht="15.75" customHeight="1">
      <c r="A717" s="10" t="str">
        <f>IFERROR(__xludf.DUMMYFUNCTION("""COMPUTED_VALUE"""),"https://invademarketing.com/best-performance-marketing-agencies-2025/#:~:text=With%20stricter%20privacy%20regulations%20and%20reduced%20third%2Dparty,Experience%20in%20your%20industry%20or%20growth%20stage.")</f>
        <v>https://invademarketing.com/best-performance-marketing-agencies-2025/#:~:text=With%20stricter%20privacy%20regulations%20and%20reduced%20third%2Dparty,Experience%20in%20your%20industry%20or%20growth%20stage.</v>
      </c>
      <c r="B717" s="11" t="str">
        <f>IFERROR(__xludf.DUMMYFUNCTION("""COMPUTED_VALUE"""),"Best Performance Marketing Agencies 2025 to Watch")</f>
        <v>Best Performance Marketing Agencies 2025 to Watch</v>
      </c>
      <c r="C717" s="10" t="str">
        <f>IFERROR(__xludf.DUMMYFUNCTION("""COMPUTED_VALUE"""),"invademarketing.com")</f>
        <v>invademarketing.com</v>
      </c>
      <c r="D717" s="11" t="str">
        <f>IFERROR(__xludf.DUMMYFUNCTION("""COMPUTED_VALUE"""),"LISTICLE")</f>
        <v>LISTICLE</v>
      </c>
      <c r="E717" s="11" t="str">
        <f>IFERROR(__xludf.DUMMYFUNCTION("""COMPUTED_VALUE"""),"CORPORATE")</f>
        <v>CORPORATE</v>
      </c>
      <c r="F717" s="11" t="str">
        <f>IFERROR(__xludf.DUMMYFUNCTION("""COMPUTED_VALUE"""),"Listicle")</f>
        <v>Listicle</v>
      </c>
      <c r="G717" s="11" t="b">
        <f>IFERROR(__xludf.DUMMYFUNCTION("""COMPUTED_VALUE"""),FALSE)</f>
        <v>0</v>
      </c>
      <c r="H717" s="11"/>
      <c r="I717" s="11">
        <f>IFERROR(__xludf.DUMMYFUNCTION("""COMPUTED_VALUE"""),1.0)</f>
        <v>1</v>
      </c>
      <c r="J717" s="11">
        <f>IFERROR(__xludf.DUMMYFUNCTION("""COMPUTED_VALUE"""),0.0)</f>
        <v>0</v>
      </c>
      <c r="K717" s="11">
        <f>IFERROR(__xludf.DUMMYFUNCTION("""COMPUTED_VALUE"""),1.0)</f>
        <v>1</v>
      </c>
    </row>
    <row r="718" ht="15.75" customHeight="1">
      <c r="A718" s="10" t="str">
        <f>IFERROR(__xludf.DUMMYFUNCTION("""COMPUTED_VALUE"""),"https://itprofiles.com/services/ppc/united-states")</f>
        <v>https://itprofiles.com/services/ppc/united-states</v>
      </c>
      <c r="B718" s="11" t="str">
        <f>IFERROR(__xludf.DUMMYFUNCTION("""COMPUTED_VALUE"""),"Top PPC Companies in United States – ITP Rankings for Jul 2026 | ITProfiles")</f>
        <v>Top PPC Companies in United States – ITP Rankings for Jul 2026 | ITProfiles</v>
      </c>
      <c r="C718" s="10" t="str">
        <f>IFERROR(__xludf.DUMMYFUNCTION("""COMPUTED_VALUE"""),"itprofiles.com")</f>
        <v>itprofiles.com</v>
      </c>
      <c r="D718" s="11" t="str">
        <f>IFERROR(__xludf.DUMMYFUNCTION("""COMPUTED_VALUE"""),"LISTICLE")</f>
        <v>LISTICLE</v>
      </c>
      <c r="E718" s="11" t="str">
        <f>IFERROR(__xludf.DUMMYFUNCTION("""COMPUTED_VALUE"""),"REFERENCE")</f>
        <v>REFERENCE</v>
      </c>
      <c r="F718" s="11" t="str">
        <f>IFERROR(__xludf.DUMMYFUNCTION("""COMPUTED_VALUE"""),"Listicle")</f>
        <v>Listicle</v>
      </c>
      <c r="G718" s="11" t="b">
        <f>IFERROR(__xludf.DUMMYFUNCTION("""COMPUTED_VALUE"""),FALSE)</f>
        <v>0</v>
      </c>
      <c r="H718" s="11" t="str">
        <f>IFERROR(__xludf.DUMMYFUNCTION("""COMPUTED_VALUE"""),"Momentum, Measured, Clutch, Thrive Internet Marketing Agency, Wpromote, Marcel Digital, Tinuiti, Seer Interactive")</f>
        <v>Momentum, Measured, Clutch, Thrive Internet Marketing Agency, Wpromote, Marcel Digital, Tinuiti, Seer Interactive</v>
      </c>
      <c r="I718" s="11">
        <f>IFERROR(__xludf.DUMMYFUNCTION("""COMPUTED_VALUE"""),1.0)</f>
        <v>1</v>
      </c>
      <c r="J718" s="11">
        <f>IFERROR(__xludf.DUMMYFUNCTION("""COMPUTED_VALUE"""),0.0)</f>
        <v>0</v>
      </c>
      <c r="K718" s="11">
        <f>IFERROR(__xludf.DUMMYFUNCTION("""COMPUTED_VALUE"""),0.0)</f>
        <v>0</v>
      </c>
    </row>
    <row r="719" ht="15.75" customHeight="1">
      <c r="A719" s="10" t="str">
        <f>IFERROR(__xludf.DUMMYFUNCTION("""COMPUTED_VALUE"""),"https://www.jellyfishtechnologies.com/top-digital-transformation-companies/")</f>
        <v>https://www.jellyfishtechnologies.com/top-digital-transformation-companies/</v>
      </c>
      <c r="B719" s="11" t="str">
        <f>IFERROR(__xludf.DUMMYFUNCTION("""COMPUTED_VALUE"""),"Top 10 Digital Transformation Companies &amp;amp; Consulting Firms")</f>
        <v>Top 10 Digital Transformation Companies &amp;amp; Consulting Firms</v>
      </c>
      <c r="C719" s="10" t="str">
        <f>IFERROR(__xludf.DUMMYFUNCTION("""COMPUTED_VALUE"""),"jellyfishtechnologies.com")</f>
        <v>jellyfishtechnologies.com</v>
      </c>
      <c r="D719" s="11" t="str">
        <f>IFERROR(__xludf.DUMMYFUNCTION("""COMPUTED_VALUE"""),"LISTICLE")</f>
        <v>LISTICLE</v>
      </c>
      <c r="E719" s="11" t="str">
        <f>IFERROR(__xludf.DUMMYFUNCTION("""COMPUTED_VALUE"""),"CORPORATE")</f>
        <v>CORPORATE</v>
      </c>
      <c r="F719" s="11" t="str">
        <f>IFERROR(__xludf.DUMMYFUNCTION("""COMPUTED_VALUE"""),"Listicle")</f>
        <v>Listicle</v>
      </c>
      <c r="G719" s="11" t="b">
        <f>IFERROR(__xludf.DUMMYFUNCTION("""COMPUTED_VALUE"""),FALSE)</f>
        <v>0</v>
      </c>
      <c r="H719" s="11" t="str">
        <f>IFERROR(__xludf.DUMMYFUNCTION("""COMPUTED_VALUE"""),"McKinsey, Huge, Jellyfish, Clutch, Deloitte Digital, Anomaly, IBM")</f>
        <v>McKinsey, Huge, Jellyfish, Clutch, Deloitte Digital, Anomaly, IBM</v>
      </c>
      <c r="I719" s="11">
        <f>IFERROR(__xludf.DUMMYFUNCTION("""COMPUTED_VALUE"""),1.0)</f>
        <v>1</v>
      </c>
      <c r="J719" s="11">
        <f>IFERROR(__xludf.DUMMYFUNCTION("""COMPUTED_VALUE"""),0.0)</f>
        <v>0</v>
      </c>
      <c r="K719" s="11">
        <f>IFERROR(__xludf.DUMMYFUNCTION("""COMPUTED_VALUE"""),1.0)</f>
        <v>1</v>
      </c>
    </row>
    <row r="720" ht="15.75" customHeight="1">
      <c r="A720" s="10" t="str">
        <f>IFERROR(__xludf.DUMMYFUNCTION("""COMPUTED_VALUE"""),"https://kanerika.com/blogs/ai-marketing-automation-tools/")</f>
        <v>https://kanerika.com/blogs/ai-marketing-automation-tools/</v>
      </c>
      <c r="B720" s="11" t="str">
        <f>IFERROR(__xludf.DUMMYFUNCTION("""COMPUTED_VALUE"""),"Best AI Marketing Automation Tools in 2026: Reviewed")</f>
        <v>Best AI Marketing Automation Tools in 2026: Reviewed</v>
      </c>
      <c r="C720" s="10" t="str">
        <f>IFERROR(__xludf.DUMMYFUNCTION("""COMPUTED_VALUE"""),"kanerika.com")</f>
        <v>kanerika.com</v>
      </c>
      <c r="D720" s="11" t="str">
        <f>IFERROR(__xludf.DUMMYFUNCTION("""COMPUTED_VALUE"""),"LISTICLE")</f>
        <v>LISTICLE</v>
      </c>
      <c r="E720" s="11" t="str">
        <f>IFERROR(__xludf.DUMMYFUNCTION("""COMPUTED_VALUE"""),"CORPORATE")</f>
        <v>CORPORATE</v>
      </c>
      <c r="F720" s="11" t="str">
        <f>IFERROR(__xludf.DUMMYFUNCTION("""COMPUTED_VALUE"""),"Listicle")</f>
        <v>Listicle</v>
      </c>
      <c r="G720" s="11" t="b">
        <f>IFERROR(__xludf.DUMMYFUNCTION("""COMPUTED_VALUE"""),FALSE)</f>
        <v>0</v>
      </c>
      <c r="H720" s="11" t="str">
        <f>IFERROR(__xludf.DUMMYFUNCTION("""COMPUTED_VALUE"""),"Clutch")</f>
        <v>Clutch</v>
      </c>
      <c r="I720" s="11">
        <f>IFERROR(__xludf.DUMMYFUNCTION("""COMPUTED_VALUE"""),1.0)</f>
        <v>1</v>
      </c>
      <c r="J720" s="11">
        <f>IFERROR(__xludf.DUMMYFUNCTION("""COMPUTED_VALUE"""),0.0)</f>
        <v>0</v>
      </c>
      <c r="K720" s="11">
        <f>IFERROR(__xludf.DUMMYFUNCTION("""COMPUTED_VALUE"""),1.0)</f>
        <v>1</v>
      </c>
    </row>
    <row r="721" ht="15.75" customHeight="1">
      <c r="A721" s="10" t="str">
        <f>IFERROR(__xludf.DUMMYFUNCTION("""COMPUTED_VALUE"""),"https://keends.com/blog/top-marketing-mix-modeling-companies/")</f>
        <v>https://keends.com/blog/top-marketing-mix-modeling-companies/</v>
      </c>
      <c r="B721" s="11" t="str">
        <f>IFERROR(__xludf.DUMMYFUNCTION("""COMPUTED_VALUE"""),"Top marketing mix modeling companies compared | Keen")</f>
        <v>Top marketing mix modeling companies compared | Keen</v>
      </c>
      <c r="C721" s="10" t="str">
        <f>IFERROR(__xludf.DUMMYFUNCTION("""COMPUTED_VALUE"""),"keends.com")</f>
        <v>keends.com</v>
      </c>
      <c r="D721" s="11" t="str">
        <f>IFERROR(__xludf.DUMMYFUNCTION("""COMPUTED_VALUE"""),"LISTICLE")</f>
        <v>LISTICLE</v>
      </c>
      <c r="E721" s="11" t="str">
        <f>IFERROR(__xludf.DUMMYFUNCTION("""COMPUTED_VALUE"""),"CORPORATE")</f>
        <v>CORPORATE</v>
      </c>
      <c r="F721" s="11" t="str">
        <f>IFERROR(__xludf.DUMMYFUNCTION("""COMPUTED_VALUE"""),"Listicle")</f>
        <v>Listicle</v>
      </c>
      <c r="G721" s="11" t="b">
        <f>IFERROR(__xludf.DUMMYFUNCTION("""COMPUTED_VALUE"""),FALSE)</f>
        <v>0</v>
      </c>
      <c r="H721" s="11" t="str">
        <f>IFERROR(__xludf.DUMMYFUNCTION("""COMPUTED_VALUE"""),"Rockerbox, Recast, Measured, Nielsen, Neustar, Analytic Partners, Gain Theory, WPP, BCG, TransUnion")</f>
        <v>Rockerbox, Recast, Measured, Nielsen, Neustar, Analytic Partners, Gain Theory, WPP, BCG, TransUnion</v>
      </c>
      <c r="I721" s="11">
        <f>IFERROR(__xludf.DUMMYFUNCTION("""COMPUTED_VALUE"""),1.0)</f>
        <v>1</v>
      </c>
      <c r="J721" s="11">
        <f>IFERROR(__xludf.DUMMYFUNCTION("""COMPUTED_VALUE"""),0.0)</f>
        <v>0</v>
      </c>
      <c r="K721" s="11">
        <f>IFERROR(__xludf.DUMMYFUNCTION("""COMPUTED_VALUE"""),1.0)</f>
        <v>1</v>
      </c>
    </row>
    <row r="722" ht="15.75" customHeight="1">
      <c r="A722" s="10" t="str">
        <f>IFERROR(__xludf.DUMMYFUNCTION("""COMPUTED_VALUE"""),"https://www.konstructdigital.com/seo/best-geo-companies/")</f>
        <v>https://www.konstructdigital.com/seo/best-geo-companies/</v>
      </c>
      <c r="B722" s="11" t="str">
        <f>IFERROR(__xludf.DUMMYFUNCTION("""COMPUTED_VALUE"""),"The Best GEO Companies")</f>
        <v>The Best GEO Companies</v>
      </c>
      <c r="C722" s="10" t="str">
        <f>IFERROR(__xludf.DUMMYFUNCTION("""COMPUTED_VALUE"""),"konstructdigital.com")</f>
        <v>konstructdigital.com</v>
      </c>
      <c r="D722" s="11" t="str">
        <f>IFERROR(__xludf.DUMMYFUNCTION("""COMPUTED_VALUE"""),"LISTICLE")</f>
        <v>LISTICLE</v>
      </c>
      <c r="E722" s="11" t="str">
        <f>IFERROR(__xludf.DUMMYFUNCTION("""COMPUTED_VALUE"""),"CORPORATE")</f>
        <v>CORPORATE</v>
      </c>
      <c r="F722" s="11" t="str">
        <f>IFERROR(__xludf.DUMMYFUNCTION("""COMPUTED_VALUE"""),"Listicle")</f>
        <v>Listicle</v>
      </c>
      <c r="G722" s="11" t="b">
        <f>IFERROR(__xludf.DUMMYFUNCTION("""COMPUTED_VALUE"""),FALSE)</f>
        <v>0</v>
      </c>
      <c r="H722" s="11" t="str">
        <f>IFERROR(__xludf.DUMMYFUNCTION("""COMPUTED_VALUE"""),"WebFX, First Page Sage, Intero Digital, iPullRank, Seer Interactive")</f>
        <v>WebFX, First Page Sage, Intero Digital, iPullRank, Seer Interactive</v>
      </c>
      <c r="I722" s="11">
        <f>IFERROR(__xludf.DUMMYFUNCTION("""COMPUTED_VALUE"""),1.0)</f>
        <v>1</v>
      </c>
      <c r="J722" s="11">
        <f>IFERROR(__xludf.DUMMYFUNCTION("""COMPUTED_VALUE"""),0.0)</f>
        <v>0</v>
      </c>
      <c r="K722" s="11">
        <f>IFERROR(__xludf.DUMMYFUNCTION("""COMPUTED_VALUE"""),0.0)</f>
        <v>0</v>
      </c>
    </row>
    <row r="723" ht="15.75" customHeight="1">
      <c r="A723" s="10" t="str">
        <f>IFERROR(__xludf.DUMMYFUNCTION("""COMPUTED_VALUE"""),"https://www.kovlystudio.com/blog/boutique-digital-marketing-firm")</f>
        <v>https://www.kovlystudio.com/blog/boutique-digital-marketing-firm</v>
      </c>
      <c r="B723" s="11" t="str">
        <f>IFERROR(__xludf.DUMMYFUNCTION("""COMPUTED_VALUE"""),"Boutique Digital Marketing Firm Guide for Smart Brands")</f>
        <v>Boutique Digital Marketing Firm Guide for Smart Brands</v>
      </c>
      <c r="C723" s="10" t="str">
        <f>IFERROR(__xludf.DUMMYFUNCTION("""COMPUTED_VALUE"""),"kovlystudio.com")</f>
        <v>kovlystudio.com</v>
      </c>
      <c r="D723" s="11" t="str">
        <f>IFERROR(__xludf.DUMMYFUNCTION("""COMPUTED_VALUE"""),"LISTICLE")</f>
        <v>LISTICLE</v>
      </c>
      <c r="E723" s="11" t="str">
        <f>IFERROR(__xludf.DUMMYFUNCTION("""COMPUTED_VALUE"""),"CORPORATE")</f>
        <v>CORPORATE</v>
      </c>
      <c r="F723" s="11" t="str">
        <f>IFERROR(__xludf.DUMMYFUNCTION("""COMPUTED_VALUE"""),"Listicle")</f>
        <v>Listicle</v>
      </c>
      <c r="G723" s="11" t="b">
        <f>IFERROR(__xludf.DUMMYFUNCTION("""COMPUTED_VALUE"""),FALSE)</f>
        <v>0</v>
      </c>
      <c r="H723" s="11" t="str">
        <f>IFERROR(__xludf.DUMMYFUNCTION("""COMPUTED_VALUE"""),"NinjaPromo, Clutch, Major Tom")</f>
        <v>NinjaPromo, Clutch, Major Tom</v>
      </c>
      <c r="I723" s="11">
        <f>IFERROR(__xludf.DUMMYFUNCTION("""COMPUTED_VALUE"""),1.0)</f>
        <v>1</v>
      </c>
      <c r="J723" s="11">
        <f>IFERROR(__xludf.DUMMYFUNCTION("""COMPUTED_VALUE"""),0.0)</f>
        <v>0</v>
      </c>
      <c r="K723" s="11">
        <f>IFERROR(__xludf.DUMMYFUNCTION("""COMPUTED_VALUE"""),1.0)</f>
        <v>1</v>
      </c>
    </row>
    <row r="724" ht="15.75" customHeight="1">
      <c r="A724" s="10" t="str">
        <f>IFERROR(__xludf.DUMMYFUNCTION("""COMPUTED_VALUE"""),"https://lasersightdigital.com/blog/best-amazon-agency-top-picks")</f>
        <v>https://lasersightdigital.com/blog/best-amazon-agency-top-picks</v>
      </c>
      <c r="B724" s="11" t="str">
        <f>IFERROR(__xludf.DUMMYFUNCTION("""COMPUTED_VALUE"""),"Best Amazon Agency in 2026: Top 10 Picks Ranked — Laser Sight Digital")</f>
        <v>Best Amazon Agency in 2026: Top 10 Picks Ranked — Laser Sight Digital</v>
      </c>
      <c r="C724" s="10" t="str">
        <f>IFERROR(__xludf.DUMMYFUNCTION("""COMPUTED_VALUE"""),"lasersightdigital.com")</f>
        <v>lasersightdigital.com</v>
      </c>
      <c r="D724" s="11" t="str">
        <f>IFERROR(__xludf.DUMMYFUNCTION("""COMPUTED_VALUE"""),"LISTICLE")</f>
        <v>LISTICLE</v>
      </c>
      <c r="E724" s="11" t="str">
        <f>IFERROR(__xludf.DUMMYFUNCTION("""COMPUTED_VALUE"""),"CORPORATE")</f>
        <v>CORPORATE</v>
      </c>
      <c r="F724" s="11" t="str">
        <f>IFERROR(__xludf.DUMMYFUNCTION("""COMPUTED_VALUE"""),"Listicle")</f>
        <v>Listicle</v>
      </c>
      <c r="G724" s="11" t="b">
        <f>IFERROR(__xludf.DUMMYFUNCTION("""COMPUTED_VALUE"""),FALSE)</f>
        <v>0</v>
      </c>
      <c r="H724" s="11" t="str">
        <f>IFERROR(__xludf.DUMMYFUNCTION("""COMPUTED_VALUE"""),"Clutch, Tinuiti, Ignite Visibility")</f>
        <v>Clutch, Tinuiti, Ignite Visibility</v>
      </c>
      <c r="I724" s="11">
        <f>IFERROR(__xludf.DUMMYFUNCTION("""COMPUTED_VALUE"""),1.0)</f>
        <v>1</v>
      </c>
      <c r="J724" s="11">
        <f>IFERROR(__xludf.DUMMYFUNCTION("""COMPUTED_VALUE"""),0.0)</f>
        <v>0</v>
      </c>
      <c r="K724" s="11">
        <f>IFERROR(__xludf.DUMMYFUNCTION("""COMPUTED_VALUE"""),1.0)</f>
        <v>1</v>
      </c>
    </row>
    <row r="725" ht="15.75" customHeight="1">
      <c r="A725" s="10" t="str">
        <f>IFERROR(__xludf.DUMMYFUNCTION("""COMPUTED_VALUE"""),"https://www.leadgem.nl/resources/best-growth-marketing-agencies")</f>
        <v>https://www.leadgem.nl/resources/best-growth-marketing-agencies</v>
      </c>
      <c r="B725" s="11" t="str">
        <f>IFERROR(__xludf.DUMMYFUNCTION("""COMPUTED_VALUE"""),"LeadGem - Outbound Systems")</f>
        <v>LeadGem - Outbound Systems</v>
      </c>
      <c r="C725" s="10" t="str">
        <f>IFERROR(__xludf.DUMMYFUNCTION("""COMPUTED_VALUE"""),"leadgem.nl")</f>
        <v>leadgem.nl</v>
      </c>
      <c r="D725" s="11" t="str">
        <f>IFERROR(__xludf.DUMMYFUNCTION("""COMPUTED_VALUE"""),"LISTICLE")</f>
        <v>LISTICLE</v>
      </c>
      <c r="E725" s="11" t="str">
        <f>IFERROR(__xludf.DUMMYFUNCTION("""COMPUTED_VALUE"""),"CORPORATE")</f>
        <v>CORPORATE</v>
      </c>
      <c r="F725" s="11" t="str">
        <f>IFERROR(__xludf.DUMMYFUNCTION("""COMPUTED_VALUE"""),"Listicle")</f>
        <v>Listicle</v>
      </c>
      <c r="G725" s="11" t="b">
        <f>IFERROR(__xludf.DUMMYFUNCTION("""COMPUTED_VALUE"""),FALSE)</f>
        <v>0</v>
      </c>
      <c r="H725" s="11" t="str">
        <f>IFERROR(__xludf.DUMMYFUNCTION("""COMPUTED_VALUE"""),"Clay, Single Grain, NoGood, KlientBoost, WebFX, Disruptive Advertising, Directive, Refine Labs, Clutch")</f>
        <v>Clay, Single Grain, NoGood, KlientBoost, WebFX, Disruptive Advertising, Directive, Refine Labs, Clutch</v>
      </c>
      <c r="I725" s="11">
        <f>IFERROR(__xludf.DUMMYFUNCTION("""COMPUTED_VALUE"""),1.0)</f>
        <v>1</v>
      </c>
      <c r="J725" s="11">
        <f>IFERROR(__xludf.DUMMYFUNCTION("""COMPUTED_VALUE"""),0.0)</f>
        <v>0</v>
      </c>
      <c r="K725" s="11">
        <f>IFERROR(__xludf.DUMMYFUNCTION("""COMPUTED_VALUE"""),1.0)</f>
        <v>1</v>
      </c>
    </row>
    <row r="726" ht="15.75" customHeight="1">
      <c r="A726" s="10" t="str">
        <f>IFERROR(__xludf.DUMMYFUNCTION("""COMPUTED_VALUE"""),"https://learn.g2.com/best-ppc-agencies")</f>
        <v>https://learn.g2.com/best-ppc-agencies</v>
      </c>
      <c r="B726" s="11" t="str">
        <f>IFERROR(__xludf.DUMMYFUNCTION("""COMPUTED_VALUE"""),"7 Best PPC Agencies for 2026: My Top Picks")</f>
        <v>7 Best PPC Agencies for 2026: My Top Picks</v>
      </c>
      <c r="C726" s="10" t="str">
        <f>IFERROR(__xludf.DUMMYFUNCTION("""COMPUTED_VALUE"""),"g2.com")</f>
        <v>g2.com</v>
      </c>
      <c r="D726" s="11" t="str">
        <f>IFERROR(__xludf.DUMMYFUNCTION("""COMPUTED_VALUE"""),"LISTICLE")</f>
        <v>LISTICLE</v>
      </c>
      <c r="E726" s="11" t="str">
        <f>IFERROR(__xludf.DUMMYFUNCTION("""COMPUTED_VALUE"""),"UGC")</f>
        <v>UGC</v>
      </c>
      <c r="F726" s="11" t="str">
        <f>IFERROR(__xludf.DUMMYFUNCTION("""COMPUTED_VALUE"""),"Listicle")</f>
        <v>Listicle</v>
      </c>
      <c r="G726" s="11" t="b">
        <f>IFERROR(__xludf.DUMMYFUNCTION("""COMPUTED_VALUE"""),FALSE)</f>
        <v>0</v>
      </c>
      <c r="H726" s="11" t="str">
        <f>IFERROR(__xludf.DUMMYFUNCTION("""COMPUTED_VALUE"""),"SmartSites, WebFX, KlientBoost, Momentum")</f>
        <v>SmartSites, WebFX, KlientBoost, Momentum</v>
      </c>
      <c r="I726" s="11">
        <f>IFERROR(__xludf.DUMMYFUNCTION("""COMPUTED_VALUE"""),1.0)</f>
        <v>1</v>
      </c>
      <c r="J726" s="11">
        <f>IFERROR(__xludf.DUMMYFUNCTION("""COMPUTED_VALUE"""),0.0)</f>
        <v>0</v>
      </c>
      <c r="K726" s="11">
        <f>IFERROR(__xludf.DUMMYFUNCTION("""COMPUTED_VALUE"""),1.0)</f>
        <v>1</v>
      </c>
    </row>
    <row r="727" ht="15.75" customHeight="1">
      <c r="A727" s="10" t="str">
        <f>IFERROR(__xludf.DUMMYFUNCTION("""COMPUTED_VALUE"""),"https://lengreo.com/ai-marketing-consulting-companies/")</f>
        <v>https://lengreo.com/ai-marketing-consulting-companies/</v>
      </c>
      <c r="B727" s="11" t="str">
        <f>IFERROR(__xludf.DUMMYFUNCTION("""COMPUTED_VALUE"""),"16 Best AI Marketing Consulting Companies (2026)")</f>
        <v>16 Best AI Marketing Consulting Companies (2026)</v>
      </c>
      <c r="C727" s="10" t="str">
        <f>IFERROR(__xludf.DUMMYFUNCTION("""COMPUTED_VALUE"""),"lengreo.com")</f>
        <v>lengreo.com</v>
      </c>
      <c r="D727" s="11" t="str">
        <f>IFERROR(__xludf.DUMMYFUNCTION("""COMPUTED_VALUE"""),"LISTICLE")</f>
        <v>LISTICLE</v>
      </c>
      <c r="E727" s="11" t="str">
        <f>IFERROR(__xludf.DUMMYFUNCTION("""COMPUTED_VALUE"""),"CORPORATE")</f>
        <v>CORPORATE</v>
      </c>
      <c r="F727" s="11" t="str">
        <f>IFERROR(__xludf.DUMMYFUNCTION("""COMPUTED_VALUE"""),"Listicle")</f>
        <v>Listicle</v>
      </c>
      <c r="G727" s="11" t="b">
        <f>IFERROR(__xludf.DUMMYFUNCTION("""COMPUTED_VALUE"""),FALSE)</f>
        <v>0</v>
      </c>
      <c r="H727" s="11" t="str">
        <f>IFERROR(__xludf.DUMMYFUNCTION("""COMPUTED_VALUE"""),"Clutch, NinjaPromo, Bain &amp; Company, McKinsey, QuantumBlack, PwC, BCG, Momentum")</f>
        <v>Clutch, NinjaPromo, Bain &amp; Company, McKinsey, QuantumBlack, PwC, BCG, Momentum</v>
      </c>
      <c r="I727" s="11">
        <f>IFERROR(__xludf.DUMMYFUNCTION("""COMPUTED_VALUE"""),1.0)</f>
        <v>1</v>
      </c>
      <c r="J727" s="11">
        <f>IFERROR(__xludf.DUMMYFUNCTION("""COMPUTED_VALUE"""),0.0)</f>
        <v>0</v>
      </c>
      <c r="K727" s="11">
        <f>IFERROR(__xludf.DUMMYFUNCTION("""COMPUTED_VALUE"""),0.0)</f>
        <v>0</v>
      </c>
    </row>
    <row r="728" ht="15.75" customHeight="1">
      <c r="A728" s="10" t="str">
        <f>IFERROR(__xludf.DUMMYFUNCTION("""COMPUTED_VALUE"""),"https://lengreo.com/top-15-aeo-agencies-for-u-s-companies-in-2025/")</f>
        <v>https://lengreo.com/top-15-aeo-agencies-for-u-s-companies-in-2025/</v>
      </c>
      <c r="B728" s="11" t="str">
        <f>IFERROR(__xludf.DUMMYFUNCTION("""COMPUTED_VALUE"""),"15 Best AEO Companies for U.S. (2026)")</f>
        <v>15 Best AEO Companies for U.S. (2026)</v>
      </c>
      <c r="C728" s="10" t="str">
        <f>IFERROR(__xludf.DUMMYFUNCTION("""COMPUTED_VALUE"""),"lengreo.com")</f>
        <v>lengreo.com</v>
      </c>
      <c r="D728" s="11" t="str">
        <f>IFERROR(__xludf.DUMMYFUNCTION("""COMPUTED_VALUE"""),"LISTICLE")</f>
        <v>LISTICLE</v>
      </c>
      <c r="E728" s="11" t="str">
        <f>IFERROR(__xludf.DUMMYFUNCTION("""COMPUTED_VALUE"""),"CORPORATE")</f>
        <v>CORPORATE</v>
      </c>
      <c r="F728" s="11" t="str">
        <f>IFERROR(__xludf.DUMMYFUNCTION("""COMPUTED_VALUE"""),"Listicle")</f>
        <v>Listicle</v>
      </c>
      <c r="G728" s="11" t="b">
        <f>IFERROR(__xludf.DUMMYFUNCTION("""COMPUTED_VALUE"""),FALSE)</f>
        <v>0</v>
      </c>
      <c r="H728" s="11" t="str">
        <f>IFERROR(__xludf.DUMMYFUNCTION("""COMPUTED_VALUE"""),"Marcel Digital, NoGood, Avenue Z, WebFX, Clutch")</f>
        <v>Marcel Digital, NoGood, Avenue Z, WebFX, Clutch</v>
      </c>
      <c r="I728" s="11">
        <f>IFERROR(__xludf.DUMMYFUNCTION("""COMPUTED_VALUE"""),1.0)</f>
        <v>1</v>
      </c>
      <c r="J728" s="11">
        <f>IFERROR(__xludf.DUMMYFUNCTION("""COMPUTED_VALUE"""),0.0)</f>
        <v>0</v>
      </c>
      <c r="K728" s="11">
        <f>IFERROR(__xludf.DUMMYFUNCTION("""COMPUTED_VALUE"""),1.0)</f>
        <v>1</v>
      </c>
    </row>
    <row r="729" ht="15.75" customHeight="1">
      <c r="A729" s="10" t="str">
        <f>IFERROR(__xludf.DUMMYFUNCTION("""COMPUTED_VALUE"""),"https://www.linkedin.com/pulse/10-best-answer-engine-optimization-aeo-agencies-2026-nick-malekos-tkzqf")</f>
        <v>https://www.linkedin.com/pulse/10-best-answer-engine-optimization-aeo-agencies-2026-nick-malekos-tkzqf</v>
      </c>
      <c r="B729" s="11" t="str">
        <f>IFERROR(__xludf.DUMMYFUNCTION("""COMPUTED_VALUE"""),"12 Best Answer Engine Optimization (AEO) Agencies in 2026")</f>
        <v>12 Best Answer Engine Optimization (AEO) Agencies in 2026</v>
      </c>
      <c r="C729" s="10" t="str">
        <f>IFERROR(__xludf.DUMMYFUNCTION("""COMPUTED_VALUE"""),"linkedin.com")</f>
        <v>linkedin.com</v>
      </c>
      <c r="D729" s="11" t="str">
        <f>IFERROR(__xludf.DUMMYFUNCTION("""COMPUTED_VALUE"""),"LISTICLE")</f>
        <v>LISTICLE</v>
      </c>
      <c r="E729" s="11" t="str">
        <f>IFERROR(__xludf.DUMMYFUNCTION("""COMPUTED_VALUE"""),"UGC")</f>
        <v>UGC</v>
      </c>
      <c r="F729" s="11" t="str">
        <f>IFERROR(__xludf.DUMMYFUNCTION("""COMPUTED_VALUE"""),"Listicle")</f>
        <v>Listicle</v>
      </c>
      <c r="G729" s="11" t="b">
        <f>IFERROR(__xludf.DUMMYFUNCTION("""COMPUTED_VALUE"""),FALSE)</f>
        <v>0</v>
      </c>
      <c r="H729" s="11" t="str">
        <f>IFERROR(__xludf.DUMMYFUNCTION("""COMPUTED_VALUE"""),"NoGood, iPullRank, Victorious, Clutch, Ignite Visibility, First Page Sage, Graphite")</f>
        <v>NoGood, iPullRank, Victorious, Clutch, Ignite Visibility, First Page Sage, Graphite</v>
      </c>
      <c r="I729" s="11">
        <f>IFERROR(__xludf.DUMMYFUNCTION("""COMPUTED_VALUE"""),1.0)</f>
        <v>1</v>
      </c>
      <c r="J729" s="11">
        <f>IFERROR(__xludf.DUMMYFUNCTION("""COMPUTED_VALUE"""),0.0)</f>
        <v>0</v>
      </c>
      <c r="K729" s="11">
        <f>IFERROR(__xludf.DUMMYFUNCTION("""COMPUTED_VALUE"""),0.0)</f>
        <v>0</v>
      </c>
    </row>
    <row r="730" ht="15.75" customHeight="1">
      <c r="A730" s="10" t="str">
        <f>IFERROR(__xludf.DUMMYFUNCTION("""COMPUTED_VALUE"""),"https://www.linkedin.com/pulse/30-leading-graphic-design-companies-making-global-impact-lti6f")</f>
        <v>https://www.linkedin.com/pulse/30-leading-graphic-design-companies-making-global-impact-lti6f</v>
      </c>
      <c r="B730" s="11" t="str">
        <f>IFERROR(__xludf.DUMMYFUNCTION("""COMPUTED_VALUE"""),"30 Top Graphic Design Companies Revolutionizing the Industry")</f>
        <v>30 Top Graphic Design Companies Revolutionizing the Industry</v>
      </c>
      <c r="C730" s="10" t="str">
        <f>IFERROR(__xludf.DUMMYFUNCTION("""COMPUTED_VALUE"""),"linkedin.com")</f>
        <v>linkedin.com</v>
      </c>
      <c r="D730" s="11" t="str">
        <f>IFERROR(__xludf.DUMMYFUNCTION("""COMPUTED_VALUE"""),"LISTICLE")</f>
        <v>LISTICLE</v>
      </c>
      <c r="E730" s="11" t="str">
        <f>IFERROR(__xludf.DUMMYFUNCTION("""COMPUTED_VALUE"""),"UGC")</f>
        <v>UGC</v>
      </c>
      <c r="F730" s="11" t="str">
        <f>IFERROR(__xludf.DUMMYFUNCTION("""COMPUTED_VALUE"""),"Listicle")</f>
        <v>Listicle</v>
      </c>
      <c r="G730" s="11" t="b">
        <f>IFERROR(__xludf.DUMMYFUNCTION("""COMPUTED_VALUE"""),FALSE)</f>
        <v>0</v>
      </c>
      <c r="H730" s="11" t="str">
        <f>IFERROR(__xludf.DUMMYFUNCTION("""COMPUTED_VALUE"""),"Pentagram, Wolff Olins, AKQA")</f>
        <v>Pentagram, Wolff Olins, AKQA</v>
      </c>
      <c r="I730" s="11">
        <f>IFERROR(__xludf.DUMMYFUNCTION("""COMPUTED_VALUE"""),1.0)</f>
        <v>1</v>
      </c>
      <c r="J730" s="11">
        <f>IFERROR(__xludf.DUMMYFUNCTION("""COMPUTED_VALUE"""),0.0)</f>
        <v>0</v>
      </c>
      <c r="K730" s="11">
        <f>IFERROR(__xludf.DUMMYFUNCTION("""COMPUTED_VALUE"""),1.0)</f>
        <v>1</v>
      </c>
    </row>
    <row r="731" ht="15.75" customHeight="1">
      <c r="A731" s="10" t="str">
        <f>IFERROR(__xludf.DUMMYFUNCTION("""COMPUTED_VALUE"""),"https://www.linkedin.com/pulse/ai-seo-agencies-softtrix-web-solutions-zaxtc")</f>
        <v>https://www.linkedin.com/pulse/ai-seo-agencies-softtrix-web-solutions-zaxtc</v>
      </c>
      <c r="B731" s="11" t="str">
        <f>IFERROR(__xludf.DUMMYFUNCTION("""COMPUTED_VALUE"""),"Top 10 AI SEO Agencies in USA")</f>
        <v>Top 10 AI SEO Agencies in USA</v>
      </c>
      <c r="C731" s="10" t="str">
        <f>IFERROR(__xludf.DUMMYFUNCTION("""COMPUTED_VALUE"""),"linkedin.com")</f>
        <v>linkedin.com</v>
      </c>
      <c r="D731" s="11" t="str">
        <f>IFERROR(__xludf.DUMMYFUNCTION("""COMPUTED_VALUE"""),"LISTICLE")</f>
        <v>LISTICLE</v>
      </c>
      <c r="E731" s="11" t="str">
        <f>IFERROR(__xludf.DUMMYFUNCTION("""COMPUTED_VALUE"""),"UGC")</f>
        <v>UGC</v>
      </c>
      <c r="F731" s="11" t="str">
        <f>IFERROR(__xludf.DUMMYFUNCTION("""COMPUTED_VALUE"""),"Listicle")</f>
        <v>Listicle</v>
      </c>
      <c r="G731" s="11" t="b">
        <f>IFERROR(__xludf.DUMMYFUNCTION("""COMPUTED_VALUE"""),FALSE)</f>
        <v>0</v>
      </c>
      <c r="H731" s="11" t="str">
        <f>IFERROR(__xludf.DUMMYFUNCTION("""COMPUTED_VALUE"""),"Clutch, Victorious, Directive, Intero Digital, WebFX, Ignite Visibility, Thrive Internet Marketing Agency, SmartSites, iPullRank, Siege Media")</f>
        <v>Clutch, Victorious, Directive, Intero Digital, WebFX, Ignite Visibility, Thrive Internet Marketing Agency, SmartSites, iPullRank, Siege Media</v>
      </c>
      <c r="I731" s="11">
        <f>IFERROR(__xludf.DUMMYFUNCTION("""COMPUTED_VALUE"""),1.0)</f>
        <v>1</v>
      </c>
      <c r="J731" s="11">
        <f>IFERROR(__xludf.DUMMYFUNCTION("""COMPUTED_VALUE"""),0.0)</f>
        <v>0</v>
      </c>
      <c r="K731" s="11">
        <f>IFERROR(__xludf.DUMMYFUNCTION("""COMPUTED_VALUE"""),1.0)</f>
        <v>1</v>
      </c>
    </row>
    <row r="732" ht="15.75" customHeight="1">
      <c r="A732" s="10" t="str">
        <f>IFERROR(__xludf.DUMMYFUNCTION("""COMPUTED_VALUE"""),"https://linkupst.com/design/blog-design/new-york-design-agencies")</f>
        <v>https://linkupst.com/design/blog-design/new-york-design-agencies</v>
      </c>
      <c r="B732" s="11" t="str">
        <f>IFERROR(__xludf.DUMMYFUNCTION("""COMPUTED_VALUE"""),"Top New York Design Agencies to Work With in 2026 | Linkup ST")</f>
        <v>Top New York Design Agencies to Work With in 2026 | Linkup ST</v>
      </c>
      <c r="C732" s="10" t="str">
        <f>IFERROR(__xludf.DUMMYFUNCTION("""COMPUTED_VALUE"""),"linkupst.com")</f>
        <v>linkupst.com</v>
      </c>
      <c r="D732" s="11" t="str">
        <f>IFERROR(__xludf.DUMMYFUNCTION("""COMPUTED_VALUE"""),"LISTICLE")</f>
        <v>LISTICLE</v>
      </c>
      <c r="E732" s="11" t="str">
        <f>IFERROR(__xludf.DUMMYFUNCTION("""COMPUTED_VALUE"""),"CORPORATE")</f>
        <v>CORPORATE</v>
      </c>
      <c r="F732" s="11" t="str">
        <f>IFERROR(__xludf.DUMMYFUNCTION("""COMPUTED_VALUE"""),"Listicle")</f>
        <v>Listicle</v>
      </c>
      <c r="G732" s="11" t="b">
        <f>IFERROR(__xludf.DUMMYFUNCTION("""COMPUTED_VALUE"""),FALSE)</f>
        <v>0</v>
      </c>
      <c r="H732" s="11" t="str">
        <f>IFERROR(__xludf.DUMMYFUNCTION("""COMPUTED_VALUE"""),"Pentagram, Clutch, Momentum")</f>
        <v>Pentagram, Clutch, Momentum</v>
      </c>
      <c r="I732" s="11">
        <f>IFERROR(__xludf.DUMMYFUNCTION("""COMPUTED_VALUE"""),1.0)</f>
        <v>1</v>
      </c>
      <c r="J732" s="11">
        <f>IFERROR(__xludf.DUMMYFUNCTION("""COMPUTED_VALUE"""),0.0)</f>
        <v>0</v>
      </c>
      <c r="K732" s="11">
        <f>IFERROR(__xludf.DUMMYFUNCTION("""COMPUTED_VALUE"""),1.0)</f>
        <v>1</v>
      </c>
    </row>
    <row r="733" ht="15.75" customHeight="1">
      <c r="A733" s="10" t="str">
        <f>IFERROR(__xludf.DUMMYFUNCTION("""COMPUTED_VALUE"""),"https://www.loopexdigital.com/blog/best-seo-companies-for-phoenix-market")</f>
        <v>https://www.loopexdigital.com/blog/best-seo-companies-for-phoenix-market</v>
      </c>
      <c r="B733" s="11" t="str">
        <f>IFERROR(__xludf.DUMMYFUNCTION("""COMPUTED_VALUE"""),"Top SEO Companies in Phoenix, AZ for 2026")</f>
        <v>Top SEO Companies in Phoenix, AZ for 2026</v>
      </c>
      <c r="C733" s="10" t="str">
        <f>IFERROR(__xludf.DUMMYFUNCTION("""COMPUTED_VALUE"""),"loopexdigital.com")</f>
        <v>loopexdigital.com</v>
      </c>
      <c r="D733" s="11" t="str">
        <f>IFERROR(__xludf.DUMMYFUNCTION("""COMPUTED_VALUE"""),"LISTICLE")</f>
        <v>LISTICLE</v>
      </c>
      <c r="E733" s="11" t="str">
        <f>IFERROR(__xludf.DUMMYFUNCTION("""COMPUTED_VALUE"""),"CORPORATE")</f>
        <v>CORPORATE</v>
      </c>
      <c r="F733" s="11" t="str">
        <f>IFERROR(__xludf.DUMMYFUNCTION("""COMPUTED_VALUE"""),"Listicle")</f>
        <v>Listicle</v>
      </c>
      <c r="G733" s="11" t="b">
        <f>IFERROR(__xludf.DUMMYFUNCTION("""COMPUTED_VALUE"""),FALSE)</f>
        <v>0</v>
      </c>
      <c r="H733" s="11" t="str">
        <f>IFERROR(__xludf.DUMMYFUNCTION("""COMPUTED_VALUE"""),"Clutch")</f>
        <v>Clutch</v>
      </c>
      <c r="I733" s="11">
        <f>IFERROR(__xludf.DUMMYFUNCTION("""COMPUTED_VALUE"""),1.0)</f>
        <v>1</v>
      </c>
      <c r="J733" s="11">
        <f>IFERROR(__xludf.DUMMYFUNCTION("""COMPUTED_VALUE"""),0.0)</f>
        <v>0</v>
      </c>
      <c r="K733" s="11">
        <f>IFERROR(__xludf.DUMMYFUNCTION("""COMPUTED_VALUE"""),1.0)</f>
        <v>1</v>
      </c>
    </row>
    <row r="734" ht="15.75" customHeight="1">
      <c r="A734" s="10" t="str">
        <f>IFERROR(__xludf.DUMMYFUNCTION("""COMPUTED_VALUE"""),"https://lotusbrainsstudio.com/ai-automation-agency-london/")</f>
        <v>https://lotusbrainsstudio.com/ai-automation-agency-london/</v>
      </c>
      <c r="B734" s="11" t="str">
        <f>IFERROR(__xludf.DUMMYFUNCTION("""COMPUTED_VALUE"""),"AI Agency London: Best 15 Providers Compared By Experts")</f>
        <v>AI Agency London: Best 15 Providers Compared By Experts</v>
      </c>
      <c r="C734" s="10" t="str">
        <f>IFERROR(__xludf.DUMMYFUNCTION("""COMPUTED_VALUE"""),"lotusbrainsstudio.com")</f>
        <v>lotusbrainsstudio.com</v>
      </c>
      <c r="D734" s="11" t="str">
        <f>IFERROR(__xludf.DUMMYFUNCTION("""COMPUTED_VALUE"""),"LISTICLE")</f>
        <v>LISTICLE</v>
      </c>
      <c r="E734" s="11" t="str">
        <f>IFERROR(__xludf.DUMMYFUNCTION("""COMPUTED_VALUE"""),"CORPORATE")</f>
        <v>CORPORATE</v>
      </c>
      <c r="F734" s="11" t="str">
        <f>IFERROR(__xludf.DUMMYFUNCTION("""COMPUTED_VALUE"""),"Listicle")</f>
        <v>Listicle</v>
      </c>
      <c r="G734" s="11" t="b">
        <f>IFERROR(__xludf.DUMMYFUNCTION("""COMPUTED_VALUE"""),FALSE)</f>
        <v>0</v>
      </c>
      <c r="H734" s="11" t="str">
        <f>IFERROR(__xludf.DUMMYFUNCTION("""COMPUTED_VALUE"""),"IBM, Clutch")</f>
        <v>IBM, Clutch</v>
      </c>
      <c r="I734" s="11">
        <f>IFERROR(__xludf.DUMMYFUNCTION("""COMPUTED_VALUE"""),1.0)</f>
        <v>1</v>
      </c>
      <c r="J734" s="11">
        <f>IFERROR(__xludf.DUMMYFUNCTION("""COMPUTED_VALUE"""),0.0)</f>
        <v>0</v>
      </c>
      <c r="K734" s="11">
        <f>IFERROR(__xludf.DUMMYFUNCTION("""COMPUTED_VALUE"""),1.0)</f>
        <v>1</v>
      </c>
    </row>
    <row r="735" ht="15.75" customHeight="1">
      <c r="A735" s="10" t="str">
        <f>IFERROR(__xludf.DUMMYFUNCTION("""COMPUTED_VALUE"""),"https://lseo.com/blog/generative-engine-optimization/the-best-generative-engine-optimization-geo-agencies-of-2026/")</f>
        <v>https://lseo.com/blog/generative-engine-optimization/the-best-generative-engine-optimization-geo-agencies-of-2026/</v>
      </c>
      <c r="B735" s="11" t="str">
        <f>IFERROR(__xludf.DUMMYFUNCTION("""COMPUTED_VALUE"""),"The Best Generative Engine Optimization (GEO) Agencies of 2026 – LSEO")</f>
        <v>The Best Generative Engine Optimization (GEO) Agencies of 2026 – LSEO</v>
      </c>
      <c r="C735" s="10" t="str">
        <f>IFERROR(__xludf.DUMMYFUNCTION("""COMPUTED_VALUE"""),"lseo.com")</f>
        <v>lseo.com</v>
      </c>
      <c r="D735" s="11" t="str">
        <f>IFERROR(__xludf.DUMMYFUNCTION("""COMPUTED_VALUE"""),"LISTICLE")</f>
        <v>LISTICLE</v>
      </c>
      <c r="E735" s="11" t="str">
        <f>IFERROR(__xludf.DUMMYFUNCTION("""COMPUTED_VALUE"""),"CORPORATE")</f>
        <v>CORPORATE</v>
      </c>
      <c r="F735" s="11" t="str">
        <f>IFERROR(__xludf.DUMMYFUNCTION("""COMPUTED_VALUE"""),"Listicle")</f>
        <v>Listicle</v>
      </c>
      <c r="G735" s="11" t="b">
        <f>IFERROR(__xludf.DUMMYFUNCTION("""COMPUTED_VALUE"""),FALSE)</f>
        <v>0</v>
      </c>
      <c r="H735" s="11" t="str">
        <f>IFERROR(__xludf.DUMMYFUNCTION("""COMPUTED_VALUE"""),"WebFX, iPullRank, First Page Sage, Huge, Siege Media, Intero Digital, NoGood")</f>
        <v>WebFX, iPullRank, First Page Sage, Huge, Siege Media, Intero Digital, NoGood</v>
      </c>
      <c r="I735" s="11">
        <f>IFERROR(__xludf.DUMMYFUNCTION("""COMPUTED_VALUE"""),1.0)</f>
        <v>1</v>
      </c>
      <c r="J735" s="11">
        <f>IFERROR(__xludf.DUMMYFUNCTION("""COMPUTED_VALUE"""),0.0)</f>
        <v>0</v>
      </c>
      <c r="K735" s="11">
        <f>IFERROR(__xludf.DUMMYFUNCTION("""COMPUTED_VALUE"""),1.0)</f>
        <v>1</v>
      </c>
    </row>
    <row r="736" ht="15.75" customHeight="1">
      <c r="A736" s="10" t="str">
        <f>IFERROR(__xludf.DUMMYFUNCTION("""COMPUTED_VALUE"""),"https://lunarailab.com/blog/2026/03/04/top-5-ai-agent-adoption-agencies-in-2026/")</f>
        <v>https://lunarailab.com/blog/2026/03/04/top-5-ai-agent-adoption-agencies-in-2026/</v>
      </c>
      <c r="B736" s="11" t="str">
        <f>IFERROR(__xludf.DUMMYFUNCTION("""COMPUTED_VALUE"""),"Top 5 AI Agent Adoption Agencies in 2026 - Lunar AI Lab")</f>
        <v>Top 5 AI Agent Adoption Agencies in 2026 - Lunar AI Lab</v>
      </c>
      <c r="C736" s="10" t="str">
        <f>IFERROR(__xludf.DUMMYFUNCTION("""COMPUTED_VALUE"""),"lunarailab.com")</f>
        <v>lunarailab.com</v>
      </c>
      <c r="D736" s="11" t="str">
        <f>IFERROR(__xludf.DUMMYFUNCTION("""COMPUTED_VALUE"""),"LISTICLE")</f>
        <v>LISTICLE</v>
      </c>
      <c r="E736" s="11" t="str">
        <f>IFERROR(__xludf.DUMMYFUNCTION("""COMPUTED_VALUE"""),"CORPORATE")</f>
        <v>CORPORATE</v>
      </c>
      <c r="F736" s="11" t="str">
        <f>IFERROR(__xludf.DUMMYFUNCTION("""COMPUTED_VALUE"""),"Listicle")</f>
        <v>Listicle</v>
      </c>
      <c r="G736" s="11" t="b">
        <f>IFERROR(__xludf.DUMMYFUNCTION("""COMPUTED_VALUE"""),FALSE)</f>
        <v>0</v>
      </c>
      <c r="H736" s="11" t="str">
        <f>IFERROR(__xludf.DUMMYFUNCTION("""COMPUTED_VALUE"""),"Slalom, Fractal Analytics, Measured")</f>
        <v>Slalom, Fractal Analytics, Measured</v>
      </c>
      <c r="I736" s="11">
        <f>IFERROR(__xludf.DUMMYFUNCTION("""COMPUTED_VALUE"""),1.0)</f>
        <v>1</v>
      </c>
      <c r="J736" s="11">
        <f>IFERROR(__xludf.DUMMYFUNCTION("""COMPUTED_VALUE"""),0.0)</f>
        <v>0</v>
      </c>
      <c r="K736" s="11">
        <f>IFERROR(__xludf.DUMMYFUNCTION("""COMPUTED_VALUE"""),2.0)</f>
        <v>2</v>
      </c>
    </row>
    <row r="737" ht="15.75" customHeight="1">
      <c r="A737" s="10" t="str">
        <f>IFERROR(__xludf.DUMMYFUNCTION("""COMPUTED_VALUE"""),"https://www.lyfemarketing.com/blog/top-travel-tourism-marketing-agencies-us/")</f>
        <v>https://www.lyfemarketing.com/blog/top-travel-tourism-marketing-agencies-us/</v>
      </c>
      <c r="B737" s="11" t="str">
        <f>IFERROR(__xludf.DUMMYFUNCTION("""COMPUTED_VALUE"""),"Top 20 Travel &amp;amp; Tourism Marketing Agencies in US 2026")</f>
        <v>Top 20 Travel &amp;amp; Tourism Marketing Agencies in US 2026</v>
      </c>
      <c r="C737" s="10" t="str">
        <f>IFERROR(__xludf.DUMMYFUNCTION("""COMPUTED_VALUE"""),"lyfemarketing.com")</f>
        <v>lyfemarketing.com</v>
      </c>
      <c r="D737" s="11" t="str">
        <f>IFERROR(__xludf.DUMMYFUNCTION("""COMPUTED_VALUE"""),"LISTICLE")</f>
        <v>LISTICLE</v>
      </c>
      <c r="E737" s="11" t="str">
        <f>IFERROR(__xludf.DUMMYFUNCTION("""COMPUTED_VALUE"""),"CORPORATE")</f>
        <v>CORPORATE</v>
      </c>
      <c r="F737" s="11" t="str">
        <f>IFERROR(__xludf.DUMMYFUNCTION("""COMPUTED_VALUE"""),"Listicle")</f>
        <v>Listicle</v>
      </c>
      <c r="G737" s="11" t="b">
        <f>IFERROR(__xludf.DUMMYFUNCTION("""COMPUTED_VALUE"""),FALSE)</f>
        <v>0</v>
      </c>
      <c r="H737" s="11" t="str">
        <f>IFERROR(__xludf.DUMMYFUNCTION("""COMPUTED_VALUE"""),"LYFE Marketing, Noble Studios")</f>
        <v>LYFE Marketing, Noble Studios</v>
      </c>
      <c r="I737" s="11">
        <f>IFERROR(__xludf.DUMMYFUNCTION("""COMPUTED_VALUE"""),1.0)</f>
        <v>1</v>
      </c>
      <c r="J737" s="11">
        <f>IFERROR(__xludf.DUMMYFUNCTION("""COMPUTED_VALUE"""),0.0)</f>
        <v>0</v>
      </c>
      <c r="K737" s="11">
        <f>IFERROR(__xludf.DUMMYFUNCTION("""COMPUTED_VALUE"""),1.0)</f>
        <v>1</v>
      </c>
    </row>
    <row r="738" ht="15.75" customHeight="1">
      <c r="A738" s="10" t="str">
        <f>IFERROR(__xludf.DUMMYFUNCTION("""COMPUTED_VALUE"""),"https://lymlyt.pro/blog/best-ai-marketing-agencies/")</f>
        <v>https://lymlyt.pro/blog/best-ai-marketing-agencies/</v>
      </c>
      <c r="B738" s="11" t="str">
        <f>IFERROR(__xludf.DUMMYFUNCTION("""COMPUTED_VALUE"""),"10 Best AI Marketing Agencies for B2B SaaS (2026)")</f>
        <v>10 Best AI Marketing Agencies for B2B SaaS (2026)</v>
      </c>
      <c r="C738" s="10" t="str">
        <f>IFERROR(__xludf.DUMMYFUNCTION("""COMPUTED_VALUE"""),"lymlyt.pro")</f>
        <v>lymlyt.pro</v>
      </c>
      <c r="D738" s="11" t="str">
        <f>IFERROR(__xludf.DUMMYFUNCTION("""COMPUTED_VALUE"""),"LISTICLE")</f>
        <v>LISTICLE</v>
      </c>
      <c r="E738" s="11" t="str">
        <f>IFERROR(__xludf.DUMMYFUNCTION("""COMPUTED_VALUE"""),"CORPORATE")</f>
        <v>CORPORATE</v>
      </c>
      <c r="F738" s="11" t="str">
        <f>IFERROR(__xludf.DUMMYFUNCTION("""COMPUTED_VALUE"""),"Listicle")</f>
        <v>Listicle</v>
      </c>
      <c r="G738" s="11" t="b">
        <f>IFERROR(__xludf.DUMMYFUNCTION("""COMPUTED_VALUE"""),FALSE)</f>
        <v>0</v>
      </c>
      <c r="H738" s="11" t="str">
        <f>IFERROR(__xludf.DUMMYFUNCTION("""COMPUTED_VALUE"""),"NoGood, Single Grain, Directive, NP Digital, Omniscient Digital, NinjaPromo, Monks, Keenfolks, Hawke Media, Clutch, Measured")</f>
        <v>NoGood, Single Grain, Directive, NP Digital, Omniscient Digital, NinjaPromo, Monks, Keenfolks, Hawke Media, Clutch, Measured</v>
      </c>
      <c r="I738" s="11">
        <f>IFERROR(__xludf.DUMMYFUNCTION("""COMPUTED_VALUE"""),1.0)</f>
        <v>1</v>
      </c>
      <c r="J738" s="11">
        <f>IFERROR(__xludf.DUMMYFUNCTION("""COMPUTED_VALUE"""),0.0)</f>
        <v>0</v>
      </c>
      <c r="K738" s="11">
        <f>IFERROR(__xludf.DUMMYFUNCTION("""COMPUTED_VALUE"""),4.0)</f>
        <v>4</v>
      </c>
    </row>
    <row r="739" ht="15.75" customHeight="1">
      <c r="A739" s="10" t="str">
        <f>IFERROR(__xludf.DUMMYFUNCTION("""COMPUTED_VALUE"""),"https://mackmediagroup.com/5-ways-a-marketing-agency-can-help-your-small-business/")</f>
        <v>https://mackmediagroup.com/5-ways-a-marketing-agency-can-help-your-small-business/</v>
      </c>
      <c r="B739" s="11" t="str">
        <f>IFERROR(__xludf.DUMMYFUNCTION("""COMPUTED_VALUE"""),"5 Ways Marketing Agencies Boost Small Business Success")</f>
        <v>5 Ways Marketing Agencies Boost Small Business Success</v>
      </c>
      <c r="C739" s="10" t="str">
        <f>IFERROR(__xludf.DUMMYFUNCTION("""COMPUTED_VALUE"""),"mackmediagroup.com")</f>
        <v>mackmediagroup.com</v>
      </c>
      <c r="D739" s="11" t="str">
        <f>IFERROR(__xludf.DUMMYFUNCTION("""COMPUTED_VALUE"""),"LISTICLE")</f>
        <v>LISTICLE</v>
      </c>
      <c r="E739" s="11" t="str">
        <f>IFERROR(__xludf.DUMMYFUNCTION("""COMPUTED_VALUE"""),"CORPORATE")</f>
        <v>CORPORATE</v>
      </c>
      <c r="F739" s="11" t="str">
        <f>IFERROR(__xludf.DUMMYFUNCTION("""COMPUTED_VALUE"""),"Listicle")</f>
        <v>Listicle</v>
      </c>
      <c r="G739" s="11" t="b">
        <f>IFERROR(__xludf.DUMMYFUNCTION("""COMPUTED_VALUE"""),FALSE)</f>
        <v>0</v>
      </c>
      <c r="H739" s="11"/>
      <c r="I739" s="11">
        <f>IFERROR(__xludf.DUMMYFUNCTION("""COMPUTED_VALUE"""),1.0)</f>
        <v>1</v>
      </c>
      <c r="J739" s="11">
        <f>IFERROR(__xludf.DUMMYFUNCTION("""COMPUTED_VALUE"""),0.0)</f>
        <v>0</v>
      </c>
      <c r="K739" s="11">
        <f>IFERROR(__xludf.DUMMYFUNCTION("""COMPUTED_VALUE"""),1.0)</f>
        <v>1</v>
      </c>
    </row>
    <row r="740" ht="15.75" customHeight="1">
      <c r="A740" s="10" t="str">
        <f>IFERROR(__xludf.DUMMYFUNCTION("""COMPUTED_VALUE"""),"https://madgicx.com/blog/ai-marketing-analytics-dashboard-platforms")</f>
        <v>https://madgicx.com/blog/ai-marketing-analytics-dashboard-platforms</v>
      </c>
      <c r="B740" s="11" t="str">
        <f>IFERROR(__xludf.DUMMYFUNCTION("""COMPUTED_VALUE"""),"10 Top AI Marketing Analytics Dashboard Platforms for 2026")</f>
        <v>10 Top AI Marketing Analytics Dashboard Platforms for 2026</v>
      </c>
      <c r="C740" s="10" t="str">
        <f>IFERROR(__xludf.DUMMYFUNCTION("""COMPUTED_VALUE"""),"madgicx.com")</f>
        <v>madgicx.com</v>
      </c>
      <c r="D740" s="11" t="str">
        <f>IFERROR(__xludf.DUMMYFUNCTION("""COMPUTED_VALUE"""),"LISTICLE")</f>
        <v>LISTICLE</v>
      </c>
      <c r="E740" s="11" t="str">
        <f>IFERROR(__xludf.DUMMYFUNCTION("""COMPUTED_VALUE"""),"UGC")</f>
        <v>UGC</v>
      </c>
      <c r="F740" s="11" t="str">
        <f>IFERROR(__xludf.DUMMYFUNCTION("""COMPUTED_VALUE"""),"Listicle")</f>
        <v>Listicle</v>
      </c>
      <c r="G740" s="11" t="b">
        <f>IFERROR(__xludf.DUMMYFUNCTION("""COMPUTED_VALUE"""),FALSE)</f>
        <v>0</v>
      </c>
      <c r="H740" s="11" t="str">
        <f>IFERROR(__xludf.DUMMYFUNCTION("""COMPUTED_VALUE"""),"McKinsey, BCG, Anomaly, Huge")</f>
        <v>McKinsey, BCG, Anomaly, Huge</v>
      </c>
      <c r="I740" s="11">
        <f>IFERROR(__xludf.DUMMYFUNCTION("""COMPUTED_VALUE"""),1.0)</f>
        <v>1</v>
      </c>
      <c r="J740" s="11">
        <f>IFERROR(__xludf.DUMMYFUNCTION("""COMPUTED_VALUE"""),0.0)</f>
        <v>0</v>
      </c>
      <c r="K740" s="11">
        <f>IFERROR(__xludf.DUMMYFUNCTION("""COMPUTED_VALUE"""),0.0)</f>
        <v>0</v>
      </c>
    </row>
    <row r="741" ht="15.75" customHeight="1">
      <c r="A741" s="10" t="str">
        <f>IFERROR(__xludf.DUMMYFUNCTION("""COMPUTED_VALUE"""),"https://marketerhire.com/blog/b2c-marketing-agency")</f>
        <v>https://marketerhire.com/blog/b2c-marketing-agency</v>
      </c>
      <c r="B741" s="11" t="str">
        <f>IFERROR(__xludf.DUMMYFUNCTION("""COMPUTED_VALUE"""),"10 Best B2C Marketing Agencies in 2025")</f>
        <v>10 Best B2C Marketing Agencies in 2025</v>
      </c>
      <c r="C741" s="10" t="str">
        <f>IFERROR(__xludf.DUMMYFUNCTION("""COMPUTED_VALUE"""),"marketerhire.com")</f>
        <v>marketerhire.com</v>
      </c>
      <c r="D741" s="11" t="str">
        <f>IFERROR(__xludf.DUMMYFUNCTION("""COMPUTED_VALUE"""),"LISTICLE")</f>
        <v>LISTICLE</v>
      </c>
      <c r="E741" s="11" t="str">
        <f>IFERROR(__xludf.DUMMYFUNCTION("""COMPUTED_VALUE"""),"CORPORATE")</f>
        <v>CORPORATE</v>
      </c>
      <c r="F741" s="11" t="str">
        <f>IFERROR(__xludf.DUMMYFUNCTION("""COMPUTED_VALUE"""),"Listicle")</f>
        <v>Listicle</v>
      </c>
      <c r="G741" s="11" t="b">
        <f>IFERROR(__xludf.DUMMYFUNCTION("""COMPUTED_VALUE"""),FALSE)</f>
        <v>0</v>
      </c>
      <c r="H741" s="11" t="str">
        <f>IFERROR(__xludf.DUMMYFUNCTION("""COMPUTED_VALUE"""),"Sociallyin, Power Digital, Tinuiti, Triple Whale, Rockerbox, HawkSEM")</f>
        <v>Sociallyin, Power Digital, Tinuiti, Triple Whale, Rockerbox, HawkSEM</v>
      </c>
      <c r="I741" s="11">
        <f>IFERROR(__xludf.DUMMYFUNCTION("""COMPUTED_VALUE"""),1.0)</f>
        <v>1</v>
      </c>
      <c r="J741" s="11">
        <f>IFERROR(__xludf.DUMMYFUNCTION("""COMPUTED_VALUE"""),0.0)</f>
        <v>0</v>
      </c>
      <c r="K741" s="11">
        <f>IFERROR(__xludf.DUMMYFUNCTION("""COMPUTED_VALUE"""),1.0)</f>
        <v>1</v>
      </c>
    </row>
    <row r="742" ht="15.75" customHeight="1">
      <c r="A742" s="10" t="str">
        <f>IFERROR(__xludf.DUMMYFUNCTION("""COMPUTED_VALUE"""),"https://marketerhire.com/blog/media-buying-agencies")</f>
        <v>https://marketerhire.com/blog/media-buying-agencies</v>
      </c>
      <c r="B742" s="11" t="str">
        <f>IFERROR(__xludf.DUMMYFUNCTION("""COMPUTED_VALUE"""),"25 Best Media Buying Agencies in 2025")</f>
        <v>25 Best Media Buying Agencies in 2025</v>
      </c>
      <c r="C742" s="10" t="str">
        <f>IFERROR(__xludf.DUMMYFUNCTION("""COMPUTED_VALUE"""),"marketerhire.com")</f>
        <v>marketerhire.com</v>
      </c>
      <c r="D742" s="11" t="str">
        <f>IFERROR(__xludf.DUMMYFUNCTION("""COMPUTED_VALUE"""),"LISTICLE")</f>
        <v>LISTICLE</v>
      </c>
      <c r="E742" s="11" t="str">
        <f>IFERROR(__xludf.DUMMYFUNCTION("""COMPUTED_VALUE"""),"CORPORATE")</f>
        <v>CORPORATE</v>
      </c>
      <c r="F742" s="11" t="str">
        <f>IFERROR(__xludf.DUMMYFUNCTION("""COMPUTED_VALUE"""),"Listicle")</f>
        <v>Listicle</v>
      </c>
      <c r="G742" s="11" t="b">
        <f>IFERROR(__xludf.DUMMYFUNCTION("""COMPUTED_VALUE"""),FALSE)</f>
        <v>0</v>
      </c>
      <c r="H742" s="11" t="str">
        <f>IFERROR(__xludf.DUMMYFUNCTION("""COMPUTED_VALUE"""),"Momentum, Percepture, Hawke Media, Avenue Z, Clutch")</f>
        <v>Momentum, Percepture, Hawke Media, Avenue Z, Clutch</v>
      </c>
      <c r="I742" s="11">
        <f>IFERROR(__xludf.DUMMYFUNCTION("""COMPUTED_VALUE"""),1.0)</f>
        <v>1</v>
      </c>
      <c r="J742" s="11">
        <f>IFERROR(__xludf.DUMMYFUNCTION("""COMPUTED_VALUE"""),0.0)</f>
        <v>0</v>
      </c>
      <c r="K742" s="11">
        <f>IFERROR(__xludf.DUMMYFUNCTION("""COMPUTED_VALUE"""),1.0)</f>
        <v>1</v>
      </c>
    </row>
    <row r="743" ht="15.75" customHeight="1">
      <c r="A743" s="10" t="str">
        <f>IFERROR(__xludf.DUMMYFUNCTION("""COMPUTED_VALUE"""),"https://marketingltb.com/blog/agency/best-email-marketing-agencies/")</f>
        <v>https://marketingltb.com/blog/agency/best-email-marketing-agencies/</v>
      </c>
      <c r="B743" s="11" t="str">
        <f>IFERROR(__xludf.DUMMYFUNCTION("""COMPUTED_VALUE"""),"10 Best Email Marketing Agencies in 2026 - Marketing LTB")</f>
        <v>10 Best Email Marketing Agencies in 2026 - Marketing LTB</v>
      </c>
      <c r="C743" s="10" t="str">
        <f>IFERROR(__xludf.DUMMYFUNCTION("""COMPUTED_VALUE"""),"marketingltb.com")</f>
        <v>marketingltb.com</v>
      </c>
      <c r="D743" s="11" t="str">
        <f>IFERROR(__xludf.DUMMYFUNCTION("""COMPUTED_VALUE"""),"LISTICLE")</f>
        <v>LISTICLE</v>
      </c>
      <c r="E743" s="11" t="str">
        <f>IFERROR(__xludf.DUMMYFUNCTION("""COMPUTED_VALUE"""),"CORPORATE")</f>
        <v>CORPORATE</v>
      </c>
      <c r="F743" s="11" t="str">
        <f>IFERROR(__xludf.DUMMYFUNCTION("""COMPUTED_VALUE"""),"Listicle")</f>
        <v>Listicle</v>
      </c>
      <c r="G743" s="11" t="b">
        <f>IFERROR(__xludf.DUMMYFUNCTION("""COMPUTED_VALUE"""),FALSE)</f>
        <v>0</v>
      </c>
      <c r="H743" s="11" t="str">
        <f>IFERROR(__xludf.DUMMYFUNCTION("""COMPUTED_VALUE"""),"Hawke Media, Clutch")</f>
        <v>Hawke Media, Clutch</v>
      </c>
      <c r="I743" s="11">
        <f>IFERROR(__xludf.DUMMYFUNCTION("""COMPUTED_VALUE"""),1.0)</f>
        <v>1</v>
      </c>
      <c r="J743" s="11">
        <f>IFERROR(__xludf.DUMMYFUNCTION("""COMPUTED_VALUE"""),0.0)</f>
        <v>0</v>
      </c>
      <c r="K743" s="11">
        <f>IFERROR(__xludf.DUMMYFUNCTION("""COMPUTED_VALUE"""),1.0)</f>
        <v>1</v>
      </c>
    </row>
    <row r="744" ht="15.75" customHeight="1">
      <c r="A744" s="10" t="str">
        <f>IFERROR(__xludf.DUMMYFUNCTION("""COMPUTED_VALUE"""),"https://marketingltb.com/blog/agency/best-google-ads-agencies/")</f>
        <v>https://marketingltb.com/blog/agency/best-google-ads-agencies/</v>
      </c>
      <c r="B744" s="11" t="str">
        <f>IFERROR(__xludf.DUMMYFUNCTION("""COMPUTED_VALUE"""),"10 Best Google Ads Agencies in 2026 - Marketing LTB")</f>
        <v>10 Best Google Ads Agencies in 2026 - Marketing LTB</v>
      </c>
      <c r="C744" s="10" t="str">
        <f>IFERROR(__xludf.DUMMYFUNCTION("""COMPUTED_VALUE"""),"marketingltb.com")</f>
        <v>marketingltb.com</v>
      </c>
      <c r="D744" s="11" t="str">
        <f>IFERROR(__xludf.DUMMYFUNCTION("""COMPUTED_VALUE"""),"LISTICLE")</f>
        <v>LISTICLE</v>
      </c>
      <c r="E744" s="11" t="str">
        <f>IFERROR(__xludf.DUMMYFUNCTION("""COMPUTED_VALUE"""),"CORPORATE")</f>
        <v>CORPORATE</v>
      </c>
      <c r="F744" s="11" t="str">
        <f>IFERROR(__xludf.DUMMYFUNCTION("""COMPUTED_VALUE"""),"Listicle")</f>
        <v>Listicle</v>
      </c>
      <c r="G744" s="11" t="b">
        <f>IFERROR(__xludf.DUMMYFUNCTION("""COMPUTED_VALUE"""),FALSE)</f>
        <v>0</v>
      </c>
      <c r="H744" s="11" t="str">
        <f>IFERROR(__xludf.DUMMYFUNCTION("""COMPUTED_VALUE"""),"KlientBoost, Ignite Visibility, SmartSites, Directive, LYFE Marketing, Clutch, Thrive Internet Marketing Agency")</f>
        <v>KlientBoost, Ignite Visibility, SmartSites, Directive, LYFE Marketing, Clutch, Thrive Internet Marketing Agency</v>
      </c>
      <c r="I744" s="11">
        <f>IFERROR(__xludf.DUMMYFUNCTION("""COMPUTED_VALUE"""),1.0)</f>
        <v>1</v>
      </c>
      <c r="J744" s="11">
        <f>IFERROR(__xludf.DUMMYFUNCTION("""COMPUTED_VALUE"""),0.0)</f>
        <v>0</v>
      </c>
      <c r="K744" s="11">
        <f>IFERROR(__xludf.DUMMYFUNCTION("""COMPUTED_VALUE"""),1.0)</f>
        <v>1</v>
      </c>
    </row>
    <row r="745" ht="15.75" customHeight="1">
      <c r="A745" s="10" t="str">
        <f>IFERROR(__xludf.DUMMYFUNCTION("""COMPUTED_VALUE"""),"https://marketingltb.com/blog/agency/best-tourism-digital-marketing-agencies/")</f>
        <v>https://marketingltb.com/blog/agency/best-tourism-digital-marketing-agencies/</v>
      </c>
      <c r="B745" s="11" t="str">
        <f>IFERROR(__xludf.DUMMYFUNCTION("""COMPUTED_VALUE"""),"10 Best Tourism Digital Marketing Agencies in 2026 - Marketing LTB")</f>
        <v>10 Best Tourism Digital Marketing Agencies in 2026 - Marketing LTB</v>
      </c>
      <c r="C745" s="10" t="str">
        <f>IFERROR(__xludf.DUMMYFUNCTION("""COMPUTED_VALUE"""),"marketingltb.com")</f>
        <v>marketingltb.com</v>
      </c>
      <c r="D745" s="11" t="str">
        <f>IFERROR(__xludf.DUMMYFUNCTION("""COMPUTED_VALUE"""),"LISTICLE")</f>
        <v>LISTICLE</v>
      </c>
      <c r="E745" s="11" t="str">
        <f>IFERROR(__xludf.DUMMYFUNCTION("""COMPUTED_VALUE"""),"CORPORATE")</f>
        <v>CORPORATE</v>
      </c>
      <c r="F745" s="11" t="str">
        <f>IFERROR(__xludf.DUMMYFUNCTION("""COMPUTED_VALUE"""),"Listicle")</f>
        <v>Listicle</v>
      </c>
      <c r="G745" s="11" t="b">
        <f>IFERROR(__xludf.DUMMYFUNCTION("""COMPUTED_VALUE"""),FALSE)</f>
        <v>0</v>
      </c>
      <c r="H745" s="11" t="str">
        <f>IFERROR(__xludf.DUMMYFUNCTION("""COMPUTED_VALUE"""),"Noble Studios, WebFX, Clutch")</f>
        <v>Noble Studios, WebFX, Clutch</v>
      </c>
      <c r="I745" s="11">
        <f>IFERROR(__xludf.DUMMYFUNCTION("""COMPUTED_VALUE"""),1.0)</f>
        <v>1</v>
      </c>
      <c r="J745" s="11">
        <f>IFERROR(__xludf.DUMMYFUNCTION("""COMPUTED_VALUE"""),0.0)</f>
        <v>0</v>
      </c>
      <c r="K745" s="11">
        <f>IFERROR(__xludf.DUMMYFUNCTION("""COMPUTED_VALUE"""),1.0)</f>
        <v>1</v>
      </c>
    </row>
    <row r="746" ht="15.75" customHeight="1">
      <c r="A746" s="10" t="str">
        <f>IFERROR(__xludf.DUMMYFUNCTION("""COMPUTED_VALUE"""),"https://markovate.com/top-ai-development-companies/")</f>
        <v>https://markovate.com/top-ai-development-companies/</v>
      </c>
      <c r="B746" s="11" t="str">
        <f>IFERROR(__xludf.DUMMYFUNCTION("""COMPUTED_VALUE"""),"Top AI Development Companies in 2026 - Markovate")</f>
        <v>Top AI Development Companies in 2026 - Markovate</v>
      </c>
      <c r="C746" s="10" t="str">
        <f>IFERROR(__xludf.DUMMYFUNCTION("""COMPUTED_VALUE"""),"markovate.com")</f>
        <v>markovate.com</v>
      </c>
      <c r="D746" s="11" t="str">
        <f>IFERROR(__xludf.DUMMYFUNCTION("""COMPUTED_VALUE"""),"LISTICLE")</f>
        <v>LISTICLE</v>
      </c>
      <c r="E746" s="11" t="str">
        <f>IFERROR(__xludf.DUMMYFUNCTION("""COMPUTED_VALUE"""),"OTHER")</f>
        <v>OTHER</v>
      </c>
      <c r="F746" s="11" t="str">
        <f>IFERROR(__xludf.DUMMYFUNCTION("""COMPUTED_VALUE"""),"Listicle")</f>
        <v>Listicle</v>
      </c>
      <c r="G746" s="11" t="b">
        <f>IFERROR(__xludf.DUMMYFUNCTION("""COMPUTED_VALUE"""),FALSE)</f>
        <v>0</v>
      </c>
      <c r="H746" s="11" t="str">
        <f>IFERROR(__xludf.DUMMYFUNCTION("""COMPUTED_VALUE"""),"Clutch")</f>
        <v>Clutch</v>
      </c>
      <c r="I746" s="11">
        <f>IFERROR(__xludf.DUMMYFUNCTION("""COMPUTED_VALUE"""),1.0)</f>
        <v>1</v>
      </c>
      <c r="J746" s="11">
        <f>IFERROR(__xludf.DUMMYFUNCTION("""COMPUTED_VALUE"""),0.0)</f>
        <v>0</v>
      </c>
      <c r="K746" s="11">
        <f>IFERROR(__xludf.DUMMYFUNCTION("""COMPUTED_VALUE"""),1.0)</f>
        <v>1</v>
      </c>
    </row>
    <row r="747" ht="15.75" customHeight="1">
      <c r="A747" s="10" t="str">
        <f>IFERROR(__xludf.DUMMYFUNCTION("""COMPUTED_VALUE"""),"https://martal.ca/integrated-marketing-agencies-lb/")</f>
        <v>https://martal.ca/integrated-marketing-agencies-lb/</v>
      </c>
      <c r="B747" s="11" t="str">
        <f>IFERROR(__xludf.DUMMYFUNCTION("""COMPUTED_VALUE"""),"Top Integrated Marketing Agencies: ROI-Driven Guide for 2026")</f>
        <v>Top Integrated Marketing Agencies: ROI-Driven Guide for 2026</v>
      </c>
      <c r="C747" s="10" t="str">
        <f>IFERROR(__xludf.DUMMYFUNCTION("""COMPUTED_VALUE"""),"martal.ca")</f>
        <v>martal.ca</v>
      </c>
      <c r="D747" s="11" t="str">
        <f>IFERROR(__xludf.DUMMYFUNCTION("""COMPUTED_VALUE"""),"LISTICLE")</f>
        <v>LISTICLE</v>
      </c>
      <c r="E747" s="11" t="str">
        <f>IFERROR(__xludf.DUMMYFUNCTION("""COMPUTED_VALUE"""),"CORPORATE")</f>
        <v>CORPORATE</v>
      </c>
      <c r="F747" s="11" t="str">
        <f>IFERROR(__xludf.DUMMYFUNCTION("""COMPUTED_VALUE"""),"Listicle")</f>
        <v>Listicle</v>
      </c>
      <c r="G747" s="11" t="b">
        <f>IFERROR(__xludf.DUMMYFUNCTION("""COMPUTED_VALUE"""),FALSE)</f>
        <v>0</v>
      </c>
      <c r="H747" s="11" t="str">
        <f>IFERROR(__xludf.DUMMYFUNCTION("""COMPUTED_VALUE"""),"McKinsey, Measured, Dentsu, Thrive Internet Marketing Agency, Intero Digital, Clutch")</f>
        <v>McKinsey, Measured, Dentsu, Thrive Internet Marketing Agency, Intero Digital, Clutch</v>
      </c>
      <c r="I747" s="11">
        <f>IFERROR(__xludf.DUMMYFUNCTION("""COMPUTED_VALUE"""),1.0)</f>
        <v>1</v>
      </c>
      <c r="J747" s="11">
        <f>IFERROR(__xludf.DUMMYFUNCTION("""COMPUTED_VALUE"""),0.0)</f>
        <v>0</v>
      </c>
      <c r="K747" s="11">
        <f>IFERROR(__xludf.DUMMYFUNCTION("""COMPUTED_VALUE"""),1.0)</f>
        <v>1</v>
      </c>
    </row>
    <row r="748" ht="15.75" customHeight="1">
      <c r="A748" s="10" t="str">
        <f>IFERROR(__xludf.DUMMYFUNCTION("""COMPUTED_VALUE"""),"https://www.maximuslabs.ai/answer-engine-optimizations/technical-aeo-agency")</f>
        <v>https://www.maximuslabs.ai/answer-engine-optimizations/technical-aeo-agency</v>
      </c>
      <c r="B748" s="11" t="str">
        <f>IFERROR(__xludf.DUMMYFUNCTION("""COMPUTED_VALUE"""),"10 Best Agencies for Technical AEO in 2025, Metrics Evaluated: Pricing, ROI &amp;amp; Reviews")</f>
        <v>10 Best Agencies for Technical AEO in 2025, Metrics Evaluated: Pricing, ROI &amp;amp; Reviews</v>
      </c>
      <c r="C748" s="10" t="str">
        <f>IFERROR(__xludf.DUMMYFUNCTION("""COMPUTED_VALUE"""),"maximuslabs.ai")</f>
        <v>maximuslabs.ai</v>
      </c>
      <c r="D748" s="11" t="str">
        <f>IFERROR(__xludf.DUMMYFUNCTION("""COMPUTED_VALUE"""),"LISTICLE")</f>
        <v>LISTICLE</v>
      </c>
      <c r="E748" s="11" t="str">
        <f>IFERROR(__xludf.DUMMYFUNCTION("""COMPUTED_VALUE"""),"CORPORATE")</f>
        <v>CORPORATE</v>
      </c>
      <c r="F748" s="11" t="str">
        <f>IFERROR(__xludf.DUMMYFUNCTION("""COMPUTED_VALUE"""),"Listicle")</f>
        <v>Listicle</v>
      </c>
      <c r="G748" s="11" t="b">
        <f>IFERROR(__xludf.DUMMYFUNCTION("""COMPUTED_VALUE"""),FALSE)</f>
        <v>0</v>
      </c>
      <c r="H748" s="11" t="str">
        <f>IFERROR(__xludf.DUMMYFUNCTION("""COMPUTED_VALUE"""),"Funnel Boost Media, Victorious, NinjaPromo, SmartSites, Intero Digital, Clutch, Measured")</f>
        <v>Funnel Boost Media, Victorious, NinjaPromo, SmartSites, Intero Digital, Clutch, Measured</v>
      </c>
      <c r="I748" s="11">
        <f>IFERROR(__xludf.DUMMYFUNCTION("""COMPUTED_VALUE"""),1.0)</f>
        <v>1</v>
      </c>
      <c r="J748" s="11">
        <f>IFERROR(__xludf.DUMMYFUNCTION("""COMPUTED_VALUE"""),0.0)</f>
        <v>0</v>
      </c>
      <c r="K748" s="11">
        <f>IFERROR(__xludf.DUMMYFUNCTION("""COMPUTED_VALUE"""),0.0)</f>
        <v>0</v>
      </c>
    </row>
    <row r="749" ht="15.75" customHeight="1">
      <c r="A749" s="10" t="str">
        <f>IFERROR(__xludf.DUMMYFUNCTION("""COMPUTED_VALUE"""),"https://www.mayple.com/resources/paid-advertising/top-digital-marketing-companies-in-the-us")</f>
        <v>https://www.mayple.com/resources/paid-advertising/top-digital-marketing-companies-in-the-us</v>
      </c>
      <c r="B749" s="11" t="str">
        <f>IFERROR(__xludf.DUMMYFUNCTION("""COMPUTED_VALUE"""),"Top 10 Digital Marketing Companies - Hire the...")</f>
        <v>Top 10 Digital Marketing Companies - Hire the...</v>
      </c>
      <c r="C749" s="10" t="str">
        <f>IFERROR(__xludf.DUMMYFUNCTION("""COMPUTED_VALUE"""),"mayple.com")</f>
        <v>mayple.com</v>
      </c>
      <c r="D749" s="11" t="str">
        <f>IFERROR(__xludf.DUMMYFUNCTION("""COMPUTED_VALUE"""),"LISTICLE")</f>
        <v>LISTICLE</v>
      </c>
      <c r="E749" s="11" t="str">
        <f>IFERROR(__xludf.DUMMYFUNCTION("""COMPUTED_VALUE"""),"CORPORATE")</f>
        <v>CORPORATE</v>
      </c>
      <c r="F749" s="11" t="str">
        <f>IFERROR(__xludf.DUMMYFUNCTION("""COMPUTED_VALUE"""),"Listicle")</f>
        <v>Listicle</v>
      </c>
      <c r="G749" s="11" t="b">
        <f>IFERROR(__xludf.DUMMYFUNCTION("""COMPUTED_VALUE"""),FALSE)</f>
        <v>0</v>
      </c>
      <c r="H749" s="11"/>
      <c r="I749" s="11">
        <f>IFERROR(__xludf.DUMMYFUNCTION("""COMPUTED_VALUE"""),1.0)</f>
        <v>1</v>
      </c>
      <c r="J749" s="11">
        <f>IFERROR(__xludf.DUMMYFUNCTION("""COMPUTED_VALUE"""),0.0)</f>
        <v>0</v>
      </c>
      <c r="K749" s="11">
        <f>IFERROR(__xludf.DUMMYFUNCTION("""COMPUTED_VALUE"""),1.0)</f>
        <v>1</v>
      </c>
    </row>
    <row r="750" ht="15.75" customHeight="1">
      <c r="A750" s="10" t="str">
        <f>IFERROR(__xludf.DUMMYFUNCTION("""COMPUTED_VALUE"""),"https://measpublishing.co.uk/top-geo-agencies-in-the-uk-for-ai-search-performance-marketing")</f>
        <v>https://measpublishing.co.uk/top-geo-agencies-in-the-uk-for-ai-search-performance-marketing</v>
      </c>
      <c r="B750" s="11" t="str">
        <f>IFERROR(__xludf.DUMMYFUNCTION("""COMPUTED_VALUE"""),"Top GEO Agencies in the UK for AI Search Performance Marketing")</f>
        <v>Top GEO Agencies in the UK for AI Search Performance Marketing</v>
      </c>
      <c r="C750" s="10" t="str">
        <f>IFERROR(__xludf.DUMMYFUNCTION("""COMPUTED_VALUE"""),"measpublishing.co.uk")</f>
        <v>measpublishing.co.uk</v>
      </c>
      <c r="D750" s="11" t="str">
        <f>IFERROR(__xludf.DUMMYFUNCTION("""COMPUTED_VALUE"""),"LISTICLE")</f>
        <v>LISTICLE</v>
      </c>
      <c r="E750" s="11" t="str">
        <f>IFERROR(__xludf.DUMMYFUNCTION("""COMPUTED_VALUE"""),"CORPORATE")</f>
        <v>CORPORATE</v>
      </c>
      <c r="F750" s="11" t="str">
        <f>IFERROR(__xludf.DUMMYFUNCTION("""COMPUTED_VALUE"""),"Listicle")</f>
        <v>Listicle</v>
      </c>
      <c r="G750" s="11" t="b">
        <f>IFERROR(__xludf.DUMMYFUNCTION("""COMPUTED_VALUE"""),FALSE)</f>
        <v>0</v>
      </c>
      <c r="H750" s="11" t="str">
        <f>IFERROR(__xludf.DUMMYFUNCTION("""COMPUTED_VALUE"""),"First Page Sage, Single Grain, iPullRank, Silverback Strategies")</f>
        <v>First Page Sage, Single Grain, iPullRank, Silverback Strategies</v>
      </c>
      <c r="I750" s="11">
        <f>IFERROR(__xludf.DUMMYFUNCTION("""COMPUTED_VALUE"""),1.0)</f>
        <v>1</v>
      </c>
      <c r="J750" s="11">
        <f>IFERROR(__xludf.DUMMYFUNCTION("""COMPUTED_VALUE"""),0.0)</f>
        <v>0</v>
      </c>
      <c r="K750" s="11">
        <f>IFERROR(__xludf.DUMMYFUNCTION("""COMPUTED_VALUE"""),0.0)</f>
        <v>0</v>
      </c>
    </row>
    <row r="751" ht="15.75" customHeight="1">
      <c r="A751" s="10" t="str">
        <f>IFERROR(__xludf.DUMMYFUNCTION("""COMPUTED_VALUE"""),"https://www.medianug.com/blog/10-paid-media-agencies-to-elevate-your-marketing-strategy-in-2026")</f>
        <v>https://www.medianug.com/blog/10-paid-media-agencies-to-elevate-your-marketing-strategy-in-2026</v>
      </c>
      <c r="B751" s="11" t="str">
        <f>IFERROR(__xludf.DUMMYFUNCTION("""COMPUTED_VALUE"""),"10 Paid Media Agencies to Elevate Your Marketing Strategy in 2026")</f>
        <v>10 Paid Media Agencies to Elevate Your Marketing Strategy in 2026</v>
      </c>
      <c r="C751" s="10" t="str">
        <f>IFERROR(__xludf.DUMMYFUNCTION("""COMPUTED_VALUE"""),"medianug.com")</f>
        <v>medianug.com</v>
      </c>
      <c r="D751" s="11" t="str">
        <f>IFERROR(__xludf.DUMMYFUNCTION("""COMPUTED_VALUE"""),"LISTICLE")</f>
        <v>LISTICLE</v>
      </c>
      <c r="E751" s="11" t="str">
        <f>IFERROR(__xludf.DUMMYFUNCTION("""COMPUTED_VALUE"""),"OTHER")</f>
        <v>OTHER</v>
      </c>
      <c r="F751" s="11" t="str">
        <f>IFERROR(__xludf.DUMMYFUNCTION("""COMPUTED_VALUE"""),"Listicle")</f>
        <v>Listicle</v>
      </c>
      <c r="G751" s="11" t="b">
        <f>IFERROR(__xludf.DUMMYFUNCTION("""COMPUTED_VALUE"""),FALSE)</f>
        <v>0</v>
      </c>
      <c r="H751" s="11" t="str">
        <f>IFERROR(__xludf.DUMMYFUNCTION("""COMPUTED_VALUE"""),"Directive, Power Digital, Wpromote, Tinuiti, NP Digital, KlientBoost, Disruptive Advertising, VaynerMedia, WebFX")</f>
        <v>Directive, Power Digital, Wpromote, Tinuiti, NP Digital, KlientBoost, Disruptive Advertising, VaynerMedia, WebFX</v>
      </c>
      <c r="I751" s="11">
        <f>IFERROR(__xludf.DUMMYFUNCTION("""COMPUTED_VALUE"""),1.0)</f>
        <v>1</v>
      </c>
      <c r="J751" s="11">
        <f>IFERROR(__xludf.DUMMYFUNCTION("""COMPUTED_VALUE"""),0.0)</f>
        <v>0</v>
      </c>
      <c r="K751" s="11">
        <f>IFERROR(__xludf.DUMMYFUNCTION("""COMPUTED_VALUE"""),0.0)</f>
        <v>0</v>
      </c>
    </row>
    <row r="752" ht="15.75" customHeight="1">
      <c r="A752" s="10" t="str">
        <f>IFERROR(__xludf.DUMMYFUNCTION("""COMPUTED_VALUE"""),"https://mediavision2020.com/top-50-geofencing-companies-in-2026/#:~:text=Goodway%20Group%20%E2%80%93%20Enterprise%2Dlevel%20programmatic%20agency%20using,Boutique%20agency%20focused%20on%20precise%20geographic%20targeting.")</f>
        <v>https://mediavision2020.com/top-50-geofencing-companies-in-2026/#:~:text=Goodway%20Group%20%E2%80%93%20Enterprise%2Dlevel%20programmatic%20agency%20using,Boutique%20agency%20focused%20on%20precise%20geographic%20targeting.</v>
      </c>
      <c r="B752" s="11" t="str">
        <f>IFERROR(__xludf.DUMMYFUNCTION("""COMPUTED_VALUE"""),"Top 50 Geofencing Companies in 2026")</f>
        <v>Top 50 Geofencing Companies in 2026</v>
      </c>
      <c r="C752" s="10" t="str">
        <f>IFERROR(__xludf.DUMMYFUNCTION("""COMPUTED_VALUE"""),"mediavision2020.com")</f>
        <v>mediavision2020.com</v>
      </c>
      <c r="D752" s="11" t="str">
        <f>IFERROR(__xludf.DUMMYFUNCTION("""COMPUTED_VALUE"""),"LISTICLE")</f>
        <v>LISTICLE</v>
      </c>
      <c r="E752" s="11" t="str">
        <f>IFERROR(__xludf.DUMMYFUNCTION("""COMPUTED_VALUE"""),"CORPORATE")</f>
        <v>CORPORATE</v>
      </c>
      <c r="F752" s="11" t="str">
        <f>IFERROR(__xludf.DUMMYFUNCTION("""COMPUTED_VALUE"""),"Listicle")</f>
        <v>Listicle</v>
      </c>
      <c r="G752" s="11" t="b">
        <f>IFERROR(__xludf.DUMMYFUNCTION("""COMPUTED_VALUE"""),FALSE)</f>
        <v>0</v>
      </c>
      <c r="H752" s="11" t="str">
        <f>IFERROR(__xludf.DUMMYFUNCTION("""COMPUTED_VALUE"""),"WebFX, Silverback Strategies, Ignite Visibility, Thrive Internet Marketing Agency, iPullRank, IBM")</f>
        <v>WebFX, Silverback Strategies, Ignite Visibility, Thrive Internet Marketing Agency, iPullRank, IBM</v>
      </c>
      <c r="I752" s="11">
        <f>IFERROR(__xludf.DUMMYFUNCTION("""COMPUTED_VALUE"""),1.0)</f>
        <v>1</v>
      </c>
      <c r="J752" s="11">
        <f>IFERROR(__xludf.DUMMYFUNCTION("""COMPUTED_VALUE"""),0.0)</f>
        <v>0</v>
      </c>
      <c r="K752" s="11">
        <f>IFERROR(__xludf.DUMMYFUNCTION("""COMPUTED_VALUE"""),3.0)</f>
        <v>3</v>
      </c>
    </row>
    <row r="753" ht="15.75" customHeight="1">
      <c r="A753" s="10" t="str">
        <f>IFERROR(__xludf.DUMMYFUNCTION("""COMPUTED_VALUE"""),"https://medium.com/@naiya.sharma_75305/10-best-digital-marketing-agencies-trusted-by-leading-brands-in-the-usa-db172483a516")</f>
        <v>https://medium.com/@naiya.sharma_75305/10-best-digital-marketing-agencies-trusted-by-leading-brands-in-the-usa-db172483a516</v>
      </c>
      <c r="B753" s="11" t="str">
        <f>IFERROR(__xludf.DUMMYFUNCTION("""COMPUTED_VALUE"""),"10+ Best Digital Marketing Agencies Trusted by Leading Brands in the USA | by Naiya Sharma | Medium")</f>
        <v>10+ Best Digital Marketing Agencies Trusted by Leading Brands in the USA | by Naiya Sharma | Medium</v>
      </c>
      <c r="C753" s="10" t="str">
        <f>IFERROR(__xludf.DUMMYFUNCTION("""COMPUTED_VALUE"""),"medium.com")</f>
        <v>medium.com</v>
      </c>
      <c r="D753" s="11" t="str">
        <f>IFERROR(__xludf.DUMMYFUNCTION("""COMPUTED_VALUE"""),"LISTICLE")</f>
        <v>LISTICLE</v>
      </c>
      <c r="E753" s="11" t="str">
        <f>IFERROR(__xludf.DUMMYFUNCTION("""COMPUTED_VALUE"""),"UGC")</f>
        <v>UGC</v>
      </c>
      <c r="F753" s="11" t="str">
        <f>IFERROR(__xludf.DUMMYFUNCTION("""COMPUTED_VALUE"""),"Listicle")</f>
        <v>Listicle</v>
      </c>
      <c r="G753" s="11" t="b">
        <f>IFERROR(__xludf.DUMMYFUNCTION("""COMPUTED_VALUE"""),FALSE)</f>
        <v>0</v>
      </c>
      <c r="H753" s="11" t="str">
        <f>IFERROR(__xludf.DUMMYFUNCTION("""COMPUTED_VALUE"""),"Ogilvy, IBM, Dentsu, Merkle, Accenture Song, Deloitte Digital, BBDO, Omnicom Media Group, Publicis Groupe, Epsilon, Wieden+Kennedy")</f>
        <v>Ogilvy, IBM, Dentsu, Merkle, Accenture Song, Deloitte Digital, BBDO, Omnicom Media Group, Publicis Groupe, Epsilon, Wieden+Kennedy</v>
      </c>
      <c r="I753" s="11">
        <f>IFERROR(__xludf.DUMMYFUNCTION("""COMPUTED_VALUE"""),1.0)</f>
        <v>1</v>
      </c>
      <c r="J753" s="11">
        <f>IFERROR(__xludf.DUMMYFUNCTION("""COMPUTED_VALUE"""),0.0)</f>
        <v>0</v>
      </c>
      <c r="K753" s="11">
        <f>IFERROR(__xludf.DUMMYFUNCTION("""COMPUTED_VALUE"""),0.0)</f>
        <v>0</v>
      </c>
    </row>
    <row r="754" ht="15.75" customHeight="1">
      <c r="A754" s="10" t="str">
        <f>IFERROR(__xludf.DUMMYFUNCTION("""COMPUTED_VALUE"""),"https://www.metabrand.digital/learn/creative-agencies-to-watch")</f>
        <v>https://www.metabrand.digital/learn/creative-agencies-to-watch</v>
      </c>
      <c r="B754" s="11" t="str">
        <f>IFERROR(__xludf.DUMMYFUNCTION("""COMPUTED_VALUE"""),"Creative Agencies for Startups to Watch in 2026 — Bold Design Leaders")</f>
        <v>Creative Agencies for Startups to Watch in 2026 — Bold Design Leaders</v>
      </c>
      <c r="C754" s="11" t="str">
        <f>IFERROR(__xludf.DUMMYFUNCTION("""COMPUTED_VALUE"""),"metabrand.digital")</f>
        <v>metabrand.digital</v>
      </c>
      <c r="D754" s="11" t="str">
        <f>IFERROR(__xludf.DUMMYFUNCTION("""COMPUTED_VALUE"""),"LISTICLE")</f>
        <v>LISTICLE</v>
      </c>
      <c r="E754" s="11" t="str">
        <f>IFERROR(__xludf.DUMMYFUNCTION("""COMPUTED_VALUE"""),"CORPORATE")</f>
        <v>CORPORATE</v>
      </c>
      <c r="F754" s="11" t="str">
        <f>IFERROR(__xludf.DUMMYFUNCTION("""COMPUTED_VALUE"""),"Listicle")</f>
        <v>Listicle</v>
      </c>
      <c r="G754" s="11" t="b">
        <f>IFERROR(__xludf.DUMMYFUNCTION("""COMPUTED_VALUE"""),FALSE)</f>
        <v>0</v>
      </c>
      <c r="H754" s="11" t="str">
        <f>IFERROR(__xludf.DUMMYFUNCTION("""COMPUTED_VALUE"""),"Momentum, Clay, Clutch")</f>
        <v>Momentum, Clay, Clutch</v>
      </c>
      <c r="I754" s="11">
        <f>IFERROR(__xludf.DUMMYFUNCTION("""COMPUTED_VALUE"""),1.0)</f>
        <v>1</v>
      </c>
      <c r="J754" s="11">
        <f>IFERROR(__xludf.DUMMYFUNCTION("""COMPUTED_VALUE"""),0.0)</f>
        <v>0</v>
      </c>
      <c r="K754" s="11">
        <f>IFERROR(__xludf.DUMMYFUNCTION("""COMPUTED_VALUE"""),1.0)</f>
        <v>1</v>
      </c>
    </row>
    <row r="755" ht="15.75" customHeight="1">
      <c r="A755" s="10" t="str">
        <f>IFERROR(__xludf.DUMMYFUNCTION("""COMPUTED_VALUE"""),"https://metaflow.life/blog/best-ai-native-marketing-agencies-2026")</f>
        <v>https://metaflow.life/blog/best-ai-native-marketing-agencies-2026</v>
      </c>
      <c r="B755" s="11"/>
      <c r="C755" s="11" t="str">
        <f>IFERROR(__xludf.DUMMYFUNCTION("""COMPUTED_VALUE"""),"metaflow.life")</f>
        <v>metaflow.life</v>
      </c>
      <c r="D755" s="11" t="str">
        <f>IFERROR(__xludf.DUMMYFUNCTION("""COMPUTED_VALUE"""),"LISTICLE")</f>
        <v>LISTICLE</v>
      </c>
      <c r="E755" s="11" t="str">
        <f>IFERROR(__xludf.DUMMYFUNCTION("""COMPUTED_VALUE"""),"OTHER")</f>
        <v>OTHER</v>
      </c>
      <c r="F755" s="11" t="str">
        <f>IFERROR(__xludf.DUMMYFUNCTION("""COMPUTED_VALUE"""),"Listicle")</f>
        <v>Listicle</v>
      </c>
      <c r="G755" s="11" t="b">
        <f>IFERROR(__xludf.DUMMYFUNCTION("""COMPUTED_VALUE"""),FALSE)</f>
        <v>0</v>
      </c>
      <c r="H755" s="11" t="str">
        <f>IFERROR(__xludf.DUMMYFUNCTION("""COMPUTED_VALUE"""),"NoGood, Power Digital, Animalz, Victorious, iPullRank")</f>
        <v>NoGood, Power Digital, Animalz, Victorious, iPullRank</v>
      </c>
      <c r="I755" s="11">
        <f>IFERROR(__xludf.DUMMYFUNCTION("""COMPUTED_VALUE"""),1.0)</f>
        <v>1</v>
      </c>
      <c r="J755" s="11">
        <f>IFERROR(__xludf.DUMMYFUNCTION("""COMPUTED_VALUE"""),0.0)</f>
        <v>0</v>
      </c>
      <c r="K755" s="11">
        <f>IFERROR(__xludf.DUMMYFUNCTION("""COMPUTED_VALUE"""),0.0)</f>
        <v>0</v>
      </c>
    </row>
    <row r="756" ht="15.75" customHeight="1">
      <c r="A756" s="10" t="str">
        <f>IFERROR(__xludf.DUMMYFUNCTION("""COMPUTED_VALUE"""),"https://www.midastouchinfotech.com/leading-digital-marketing-agencies-usa/")</f>
        <v>https://www.midastouchinfotech.com/leading-digital-marketing-agencies-usa/</v>
      </c>
      <c r="B756" s="11" t="str">
        <f>IFERROR(__xludf.DUMMYFUNCTION("""COMPUTED_VALUE"""),"List of Top Digital Marketing Agency in USA to Drive Business Growth")</f>
        <v>List of Top Digital Marketing Agency in USA to Drive Business Growth</v>
      </c>
      <c r="C756" s="10" t="str">
        <f>IFERROR(__xludf.DUMMYFUNCTION("""COMPUTED_VALUE"""),"midastouchinfotech.com")</f>
        <v>midastouchinfotech.com</v>
      </c>
      <c r="D756" s="11" t="str">
        <f>IFERROR(__xludf.DUMMYFUNCTION("""COMPUTED_VALUE"""),"LISTICLE")</f>
        <v>LISTICLE</v>
      </c>
      <c r="E756" s="11" t="str">
        <f>IFERROR(__xludf.DUMMYFUNCTION("""COMPUTED_VALUE"""),"CORPORATE")</f>
        <v>CORPORATE</v>
      </c>
      <c r="F756" s="11" t="str">
        <f>IFERROR(__xludf.DUMMYFUNCTION("""COMPUTED_VALUE"""),"Listicle")</f>
        <v>Listicle</v>
      </c>
      <c r="G756" s="11" t="b">
        <f>IFERROR(__xludf.DUMMYFUNCTION("""COMPUTED_VALUE"""),FALSE)</f>
        <v>0</v>
      </c>
      <c r="H756" s="11" t="str">
        <f>IFERROR(__xludf.DUMMYFUNCTION("""COMPUTED_VALUE"""),"Dentsu, Thrive Internet Marketing Agency, SmartSites, PMG")</f>
        <v>Dentsu, Thrive Internet Marketing Agency, SmartSites, PMG</v>
      </c>
      <c r="I756" s="11">
        <f>IFERROR(__xludf.DUMMYFUNCTION("""COMPUTED_VALUE"""),1.0)</f>
        <v>1</v>
      </c>
      <c r="J756" s="11">
        <f>IFERROR(__xludf.DUMMYFUNCTION("""COMPUTED_VALUE"""),0.0)</f>
        <v>0</v>
      </c>
      <c r="K756" s="11">
        <f>IFERROR(__xludf.DUMMYFUNCTION("""COMPUTED_VALUE"""),0.0)</f>
        <v>0</v>
      </c>
    </row>
    <row r="757" ht="15.75" customHeight="1">
      <c r="A757" s="10" t="str">
        <f>IFERROR(__xludf.DUMMYFUNCTION("""COMPUTED_VALUE"""),"https://mikekhorev.com/top-performing-geo-agencies")</f>
        <v>https://mikekhorev.com/top-performing-geo-agencies</v>
      </c>
      <c r="B757" s="11" t="str">
        <f>IFERROR(__xludf.DUMMYFUNCTION("""COMPUTED_VALUE"""),"The Best Performing GEO Agencies")</f>
        <v>The Best Performing GEO Agencies</v>
      </c>
      <c r="C757" s="10" t="str">
        <f>IFERROR(__xludf.DUMMYFUNCTION("""COMPUTED_VALUE"""),"mikekhorev.com")</f>
        <v>mikekhorev.com</v>
      </c>
      <c r="D757" s="11" t="str">
        <f>IFERROR(__xludf.DUMMYFUNCTION("""COMPUTED_VALUE"""),"LISTICLE")</f>
        <v>LISTICLE</v>
      </c>
      <c r="E757" s="11" t="str">
        <f>IFERROR(__xludf.DUMMYFUNCTION("""COMPUTED_VALUE"""),"CORPORATE")</f>
        <v>CORPORATE</v>
      </c>
      <c r="F757" s="11" t="str">
        <f>IFERROR(__xludf.DUMMYFUNCTION("""COMPUTED_VALUE"""),"Listicle")</f>
        <v>Listicle</v>
      </c>
      <c r="G757" s="11" t="b">
        <f>IFERROR(__xludf.DUMMYFUNCTION("""COMPUTED_VALUE"""),FALSE)</f>
        <v>0</v>
      </c>
      <c r="H757" s="11" t="str">
        <f>IFERROR(__xludf.DUMMYFUNCTION("""COMPUTED_VALUE"""),"Intero Digital")</f>
        <v>Intero Digital</v>
      </c>
      <c r="I757" s="11">
        <f>IFERROR(__xludf.DUMMYFUNCTION("""COMPUTED_VALUE"""),1.0)</f>
        <v>1</v>
      </c>
      <c r="J757" s="11">
        <f>IFERROR(__xludf.DUMMYFUNCTION("""COMPUTED_VALUE"""),0.0)</f>
        <v>0</v>
      </c>
      <c r="K757" s="11">
        <f>IFERROR(__xludf.DUMMYFUNCTION("""COMPUTED_VALUE"""),0.0)</f>
        <v>0</v>
      </c>
    </row>
    <row r="758" ht="15.75" customHeight="1">
      <c r="A758" s="10" t="str">
        <f>IFERROR(__xludf.DUMMYFUNCTION("""COMPUTED_VALUE"""),"https://minuttia.com/best-ai-seo-agencies/")</f>
        <v>https://minuttia.com/best-ai-seo-agencies/</v>
      </c>
      <c r="B758" s="11" t="str">
        <f>IFERROR(__xludf.DUMMYFUNCTION("""COMPUTED_VALUE"""),"10 Best AI SEO Agencies in July, 2026 - Minuttia")</f>
        <v>10 Best AI SEO Agencies in July, 2026 - Minuttia</v>
      </c>
      <c r="C758" s="10" t="str">
        <f>IFERROR(__xludf.DUMMYFUNCTION("""COMPUTED_VALUE"""),"minuttia.com")</f>
        <v>minuttia.com</v>
      </c>
      <c r="D758" s="11" t="str">
        <f>IFERROR(__xludf.DUMMYFUNCTION("""COMPUTED_VALUE"""),"LISTICLE")</f>
        <v>LISTICLE</v>
      </c>
      <c r="E758" s="11" t="str">
        <f>IFERROR(__xludf.DUMMYFUNCTION("""COMPUTED_VALUE"""),"CORPORATE")</f>
        <v>CORPORATE</v>
      </c>
      <c r="F758" s="11" t="str">
        <f>IFERROR(__xludf.DUMMYFUNCTION("""COMPUTED_VALUE"""),"Listicle")</f>
        <v>Listicle</v>
      </c>
      <c r="G758" s="11" t="b">
        <f>IFERROR(__xludf.DUMMYFUNCTION("""COMPUTED_VALUE"""),FALSE)</f>
        <v>0</v>
      </c>
      <c r="H758" s="11" t="str">
        <f>IFERROR(__xludf.DUMMYFUNCTION("""COMPUTED_VALUE"""),"iPullRank, Go Fish Digital, NoGood, Clutch")</f>
        <v>iPullRank, Go Fish Digital, NoGood, Clutch</v>
      </c>
      <c r="I758" s="11">
        <f>IFERROR(__xludf.DUMMYFUNCTION("""COMPUTED_VALUE"""),1.0)</f>
        <v>1</v>
      </c>
      <c r="J758" s="11">
        <f>IFERROR(__xludf.DUMMYFUNCTION("""COMPUTED_VALUE"""),0.0)</f>
        <v>0</v>
      </c>
      <c r="K758" s="11">
        <f>IFERROR(__xludf.DUMMYFUNCTION("""COMPUTED_VALUE"""),1.0)</f>
        <v>1</v>
      </c>
    </row>
    <row r="759" ht="15.75" customHeight="1">
      <c r="A759" s="10" t="str">
        <f>IFERROR(__xludf.DUMMYFUNCTION("""COMPUTED_VALUE"""),"https://www.moburst.com/blog/top-media-buying-agencies/")</f>
        <v>https://www.moburst.com/blog/top-media-buying-agencies/</v>
      </c>
      <c r="B759" s="11" t="str">
        <f>IFERROR(__xludf.DUMMYFUNCTION("""COMPUTED_VALUE"""),"Top 10 Media Buying Agencies | Moburst")</f>
        <v>Top 10 Media Buying Agencies | Moburst</v>
      </c>
      <c r="C759" s="10" t="str">
        <f>IFERROR(__xludf.DUMMYFUNCTION("""COMPUTED_VALUE"""),"moburst.com")</f>
        <v>moburst.com</v>
      </c>
      <c r="D759" s="11" t="str">
        <f>IFERROR(__xludf.DUMMYFUNCTION("""COMPUTED_VALUE"""),"LISTICLE")</f>
        <v>LISTICLE</v>
      </c>
      <c r="E759" s="11" t="str">
        <f>IFERROR(__xludf.DUMMYFUNCTION("""COMPUTED_VALUE"""),"CORPORATE")</f>
        <v>CORPORATE</v>
      </c>
      <c r="F759" s="11" t="str">
        <f>IFERROR(__xludf.DUMMYFUNCTION("""COMPUTED_VALUE"""),"Listicle")</f>
        <v>Listicle</v>
      </c>
      <c r="G759" s="11" t="b">
        <f>IFERROR(__xludf.DUMMYFUNCTION("""COMPUTED_VALUE"""),FALSE)</f>
        <v>0</v>
      </c>
      <c r="H759" s="11" t="str">
        <f>IFERROR(__xludf.DUMMYFUNCTION("""COMPUTED_VALUE"""),"Dentsu, inBeat, Single Grain, Percepture")</f>
        <v>Dentsu, inBeat, Single Grain, Percepture</v>
      </c>
      <c r="I759" s="11">
        <f>IFERROR(__xludf.DUMMYFUNCTION("""COMPUTED_VALUE"""),1.0)</f>
        <v>1</v>
      </c>
      <c r="J759" s="11">
        <f>IFERROR(__xludf.DUMMYFUNCTION("""COMPUTED_VALUE"""),0.0)</f>
        <v>0</v>
      </c>
      <c r="K759" s="11">
        <f>IFERROR(__xludf.DUMMYFUNCTION("""COMPUTED_VALUE"""),1.0)</f>
        <v>1</v>
      </c>
    </row>
    <row r="760" ht="15.75" customHeight="1">
      <c r="A760" s="10" t="str">
        <f>IFERROR(__xludf.DUMMYFUNCTION("""COMPUTED_VALUE"""),"https://movingminds.io/famous-marketing-agencies/#:~:text=A%20wild%2C%20funny%20twist%20can,rules%E2%80%94they%20rewrite%20'em.")</f>
        <v>https://movingminds.io/famous-marketing-agencies/#:~:text=A%20wild%2C%20funny%20twist%20can,rules%E2%80%94they%20rewrite%20'em.</v>
      </c>
      <c r="B760" s="11" t="str">
        <f>IFERROR(__xludf.DUMMYFUNCTION("""COMPUTED_VALUE"""),"Famous Marketing Agencies: Iconic Campaigns &amp;amp; Flops")</f>
        <v>Famous Marketing Agencies: Iconic Campaigns &amp;amp; Flops</v>
      </c>
      <c r="C760" s="10" t="str">
        <f>IFERROR(__xludf.DUMMYFUNCTION("""COMPUTED_VALUE"""),"movingminds.io")</f>
        <v>movingminds.io</v>
      </c>
      <c r="D760" s="11" t="str">
        <f>IFERROR(__xludf.DUMMYFUNCTION("""COMPUTED_VALUE"""),"LISTICLE")</f>
        <v>LISTICLE</v>
      </c>
      <c r="E760" s="11" t="str">
        <f>IFERROR(__xludf.DUMMYFUNCTION("""COMPUTED_VALUE"""),"CORPORATE")</f>
        <v>CORPORATE</v>
      </c>
      <c r="F760" s="11" t="str">
        <f>IFERROR(__xludf.DUMMYFUNCTION("""COMPUTED_VALUE"""),"Listicle")</f>
        <v>Listicle</v>
      </c>
      <c r="G760" s="11" t="b">
        <f>IFERROR(__xludf.DUMMYFUNCTION("""COMPUTED_VALUE"""),FALSE)</f>
        <v>0</v>
      </c>
      <c r="H760" s="11" t="str">
        <f>IFERROR(__xludf.DUMMYFUNCTION("""COMPUTED_VALUE"""),"Wieden+Kennedy, BBDO, Droga5, TBWA\Chiat\Day, Anomaly")</f>
        <v>Wieden+Kennedy, BBDO, Droga5, TBWA\Chiat\Day, Anomaly</v>
      </c>
      <c r="I760" s="11">
        <f>IFERROR(__xludf.DUMMYFUNCTION("""COMPUTED_VALUE"""),1.0)</f>
        <v>1</v>
      </c>
      <c r="J760" s="11">
        <f>IFERROR(__xludf.DUMMYFUNCTION("""COMPUTED_VALUE"""),0.0)</f>
        <v>0</v>
      </c>
      <c r="K760" s="11">
        <f>IFERROR(__xludf.DUMMYFUNCTION("""COMPUTED_VALUE"""),2.0)</f>
        <v>2</v>
      </c>
    </row>
    <row r="761" ht="15.75" customHeight="1">
      <c r="A761" s="10" t="str">
        <f>IFERROR(__xludf.DUMMYFUNCTION("""COMPUTED_VALUE"""),"https://www.munro.agency/best-ai-seo-agencies-in-the-usa/")</f>
        <v>https://www.munro.agency/best-ai-seo-agencies-in-the-usa/</v>
      </c>
      <c r="B761" s="11" t="str">
        <f>IFERROR(__xludf.DUMMYFUNCTION("""COMPUTED_VALUE"""),"20 Best AI SEO Agencies in the USA")</f>
        <v>20 Best AI SEO Agencies in the USA</v>
      </c>
      <c r="C761" s="11" t="str">
        <f>IFERROR(__xludf.DUMMYFUNCTION("""COMPUTED_VALUE"""),"munro.agency")</f>
        <v>munro.agency</v>
      </c>
      <c r="D761" s="11" t="str">
        <f>IFERROR(__xludf.DUMMYFUNCTION("""COMPUTED_VALUE"""),"LISTICLE")</f>
        <v>LISTICLE</v>
      </c>
      <c r="E761" s="11" t="str">
        <f>IFERROR(__xludf.DUMMYFUNCTION("""COMPUTED_VALUE"""),"CORPORATE")</f>
        <v>CORPORATE</v>
      </c>
      <c r="F761" s="11" t="str">
        <f>IFERROR(__xludf.DUMMYFUNCTION("""COMPUTED_VALUE"""),"Listicle")</f>
        <v>Listicle</v>
      </c>
      <c r="G761" s="11" t="b">
        <f>IFERROR(__xludf.DUMMYFUNCTION("""COMPUTED_VALUE"""),FALSE)</f>
        <v>0</v>
      </c>
      <c r="H761" s="11" t="str">
        <f>IFERROR(__xludf.DUMMYFUNCTION("""COMPUTED_VALUE"""),"iPullRank, Omniscient Digital, Momentum, First Page Sage, RevenueZen, WebFX, Single Grain, NoGood, Victorious, Intero Digital, Thrive Internet Marketing Agency, Noble Studios")</f>
        <v>iPullRank, Omniscient Digital, Momentum, First Page Sage, RevenueZen, WebFX, Single Grain, NoGood, Victorious, Intero Digital, Thrive Internet Marketing Agency, Noble Studios</v>
      </c>
      <c r="I761" s="11">
        <f>IFERROR(__xludf.DUMMYFUNCTION("""COMPUTED_VALUE"""),1.0)</f>
        <v>1</v>
      </c>
      <c r="J761" s="11">
        <f>IFERROR(__xludf.DUMMYFUNCTION("""COMPUTED_VALUE"""),0.0)</f>
        <v>0</v>
      </c>
      <c r="K761" s="11">
        <f>IFERROR(__xludf.DUMMYFUNCTION("""COMPUTED_VALUE"""),0.0)</f>
        <v>0</v>
      </c>
    </row>
    <row r="762" ht="15.75" customHeight="1">
      <c r="A762" s="10" t="str">
        <f>IFERROR(__xludf.DUMMYFUNCTION("""COMPUTED_VALUE"""),"https://www.munro.agency/insights/top-marketing-companies-in-the-world/")</f>
        <v>https://www.munro.agency/insights/top-marketing-companies-in-the-world/</v>
      </c>
      <c r="B762" s="11" t="str">
        <f>IFERROR(__xludf.DUMMYFUNCTION("""COMPUTED_VALUE"""),"Top 50 Marketing Companies in the World Ranked by Revenue - The Munro Agency")</f>
        <v>Top 50 Marketing Companies in the World Ranked by Revenue - The Munro Agency</v>
      </c>
      <c r="C762" s="11" t="str">
        <f>IFERROR(__xludf.DUMMYFUNCTION("""COMPUTED_VALUE"""),"munro.agency")</f>
        <v>munro.agency</v>
      </c>
      <c r="D762" s="11" t="str">
        <f>IFERROR(__xludf.DUMMYFUNCTION("""COMPUTED_VALUE"""),"LISTICLE")</f>
        <v>LISTICLE</v>
      </c>
      <c r="E762" s="11" t="str">
        <f>IFERROR(__xludf.DUMMYFUNCTION("""COMPUTED_VALUE"""),"CORPORATE")</f>
        <v>CORPORATE</v>
      </c>
      <c r="F762" s="11" t="str">
        <f>IFERROR(__xludf.DUMMYFUNCTION("""COMPUTED_VALUE"""),"Listicle")</f>
        <v>Listicle</v>
      </c>
      <c r="G762" s="11" t="b">
        <f>IFERROR(__xludf.DUMMYFUNCTION("""COMPUTED_VALUE"""),FALSE)</f>
        <v>0</v>
      </c>
      <c r="H762" s="11" t="str">
        <f>IFERROR(__xludf.DUMMYFUNCTION("""COMPUTED_VALUE"""),"IBM, Croud, R/GA, AKQA, VML, Ogilvy, Publicis Sapient, WPP, Digitas, Dentsu, Publicis Groupe, Accenture Song, Deloitte Digital, PwC, BCG, McKinsey")</f>
        <v>IBM, Croud, R/GA, AKQA, VML, Ogilvy, Publicis Sapient, WPP, Digitas, Dentsu, Publicis Groupe, Accenture Song, Deloitte Digital, PwC, BCG, McKinsey</v>
      </c>
      <c r="I762" s="11">
        <f>IFERROR(__xludf.DUMMYFUNCTION("""COMPUTED_VALUE"""),1.0)</f>
        <v>1</v>
      </c>
      <c r="J762" s="11">
        <f>IFERROR(__xludf.DUMMYFUNCTION("""COMPUTED_VALUE"""),0.0)</f>
        <v>0</v>
      </c>
      <c r="K762" s="11">
        <f>IFERROR(__xludf.DUMMYFUNCTION("""COMPUTED_VALUE"""),1.0)</f>
        <v>1</v>
      </c>
    </row>
    <row r="763" ht="15.75" customHeight="1">
      <c r="A763" s="10" t="str">
        <f>IFERROR(__xludf.DUMMYFUNCTION("""COMPUTED_VALUE"""),"https://www.munro.agency/top-10-paid-media-agencies/")</f>
        <v>https://www.munro.agency/top-10-paid-media-agencies/</v>
      </c>
      <c r="B763" s="11" t="str">
        <f>IFERROR(__xludf.DUMMYFUNCTION("""COMPUTED_VALUE"""),"Top 10 Paid Media Agencies for 2026")</f>
        <v>Top 10 Paid Media Agencies for 2026</v>
      </c>
      <c r="C763" s="11" t="str">
        <f>IFERROR(__xludf.DUMMYFUNCTION("""COMPUTED_VALUE"""),"munro.agency")</f>
        <v>munro.agency</v>
      </c>
      <c r="D763" s="11" t="str">
        <f>IFERROR(__xludf.DUMMYFUNCTION("""COMPUTED_VALUE"""),"LISTICLE")</f>
        <v>LISTICLE</v>
      </c>
      <c r="E763" s="11" t="str">
        <f>IFERROR(__xludf.DUMMYFUNCTION("""COMPUTED_VALUE"""),"CORPORATE")</f>
        <v>CORPORATE</v>
      </c>
      <c r="F763" s="11" t="str">
        <f>IFERROR(__xludf.DUMMYFUNCTION("""COMPUTED_VALUE"""),"Listicle")</f>
        <v>Listicle</v>
      </c>
      <c r="G763" s="11" t="b">
        <f>IFERROR(__xludf.DUMMYFUNCTION("""COMPUTED_VALUE"""),FALSE)</f>
        <v>0</v>
      </c>
      <c r="H763" s="11" t="str">
        <f>IFERROR(__xludf.DUMMYFUNCTION("""COMPUTED_VALUE"""),"inBeat, Power Digital")</f>
        <v>inBeat, Power Digital</v>
      </c>
      <c r="I763" s="11">
        <f>IFERROR(__xludf.DUMMYFUNCTION("""COMPUTED_VALUE"""),1.0)</f>
        <v>1</v>
      </c>
      <c r="J763" s="11">
        <f>IFERROR(__xludf.DUMMYFUNCTION("""COMPUTED_VALUE"""),0.0)</f>
        <v>0</v>
      </c>
      <c r="K763" s="11">
        <f>IFERROR(__xludf.DUMMYFUNCTION("""COMPUTED_VALUE"""),0.0)</f>
        <v>0</v>
      </c>
    </row>
    <row r="764" ht="15.75" customHeight="1">
      <c r="A764" s="10" t="str">
        <f>IFERROR(__xludf.DUMMYFUNCTION("""COMPUTED_VALUE"""),"https://www.mythology.com/blog/most-creative-agency-nyc")</f>
        <v>https://www.mythology.com/blog/most-creative-agency-nyc</v>
      </c>
      <c r="B764" s="11" t="str">
        <f>IFERROR(__xludf.DUMMYFUNCTION("""COMPUTED_VALUE"""),"Blog - Best Creative Agency in New York City")</f>
        <v>Blog - Best Creative Agency in New York City</v>
      </c>
      <c r="C764" s="10" t="str">
        <f>IFERROR(__xludf.DUMMYFUNCTION("""COMPUTED_VALUE"""),"mythology.com")</f>
        <v>mythology.com</v>
      </c>
      <c r="D764" s="11" t="str">
        <f>IFERROR(__xludf.DUMMYFUNCTION("""COMPUTED_VALUE"""),"LISTICLE")</f>
        <v>LISTICLE</v>
      </c>
      <c r="E764" s="11" t="str">
        <f>IFERROR(__xludf.DUMMYFUNCTION("""COMPUTED_VALUE"""),"CORPORATE")</f>
        <v>CORPORATE</v>
      </c>
      <c r="F764" s="11" t="str">
        <f>IFERROR(__xludf.DUMMYFUNCTION("""COMPUTED_VALUE"""),"Listicle")</f>
        <v>Listicle</v>
      </c>
      <c r="G764" s="11" t="b">
        <f>IFERROR(__xludf.DUMMYFUNCTION("""COMPUTED_VALUE"""),FALSE)</f>
        <v>0</v>
      </c>
      <c r="H764" s="11" t="str">
        <f>IFERROR(__xludf.DUMMYFUNCTION("""COMPUTED_VALUE"""),"Droga5, R/GA, Anomaly, Pentagram, 72andSunny")</f>
        <v>Droga5, R/GA, Anomaly, Pentagram, 72andSunny</v>
      </c>
      <c r="I764" s="11">
        <f>IFERROR(__xludf.DUMMYFUNCTION("""COMPUTED_VALUE"""),1.0)</f>
        <v>1</v>
      </c>
      <c r="J764" s="11">
        <f>IFERROR(__xludf.DUMMYFUNCTION("""COMPUTED_VALUE"""),0.0)</f>
        <v>0</v>
      </c>
      <c r="K764" s="11">
        <f>IFERROR(__xludf.DUMMYFUNCTION("""COMPUTED_VALUE"""),1.0)</f>
        <v>1</v>
      </c>
    </row>
    <row r="765" ht="15.75" customHeight="1">
      <c r="A765" s="10" t="str">
        <f>IFERROR(__xludf.DUMMYFUNCTION("""COMPUTED_VALUE"""),"https://www.neowork.com/insights/marketing-analytics-outsourcing-companies")</f>
        <v>https://www.neowork.com/insights/marketing-analytics-outsourcing-companies</v>
      </c>
      <c r="B765" s="11" t="str">
        <f>IFERROR(__xludf.DUMMYFUNCTION("""COMPUTED_VALUE"""),"13 Best Marketing Analytics Outsourcing Companies (2026)")</f>
        <v>13 Best Marketing Analytics Outsourcing Companies (2026)</v>
      </c>
      <c r="C765" s="10" t="str">
        <f>IFERROR(__xludf.DUMMYFUNCTION("""COMPUTED_VALUE"""),"neowork.com")</f>
        <v>neowork.com</v>
      </c>
      <c r="D765" s="11" t="str">
        <f>IFERROR(__xludf.DUMMYFUNCTION("""COMPUTED_VALUE"""),"LISTICLE")</f>
        <v>LISTICLE</v>
      </c>
      <c r="E765" s="11" t="str">
        <f>IFERROR(__xludf.DUMMYFUNCTION("""COMPUTED_VALUE"""),"CORPORATE")</f>
        <v>CORPORATE</v>
      </c>
      <c r="F765" s="11" t="str">
        <f>IFERROR(__xludf.DUMMYFUNCTION("""COMPUTED_VALUE"""),"Listicle")</f>
        <v>Listicle</v>
      </c>
      <c r="G765" s="11" t="b">
        <f>IFERROR(__xludf.DUMMYFUNCTION("""COMPUTED_VALUE"""),FALSE)</f>
        <v>0</v>
      </c>
      <c r="H765" s="11"/>
      <c r="I765" s="11">
        <f>IFERROR(__xludf.DUMMYFUNCTION("""COMPUTED_VALUE"""),1.0)</f>
        <v>1</v>
      </c>
      <c r="J765" s="11">
        <f>IFERROR(__xludf.DUMMYFUNCTION("""COMPUTED_VALUE"""),0.0)</f>
        <v>0</v>
      </c>
      <c r="K765" s="11">
        <f>IFERROR(__xludf.DUMMYFUNCTION("""COMPUTED_VALUE"""),0.0)</f>
        <v>0</v>
      </c>
    </row>
    <row r="766" ht="15.75" customHeight="1">
      <c r="A766" s="10" t="str">
        <f>IFERROR(__xludf.DUMMYFUNCTION("""COMPUTED_VALUE"""),"https://www.newform.com/guides/best-performance-creative-agencies-nyc-2026")</f>
        <v>https://www.newform.com/guides/best-performance-creative-agencies-nyc-2026</v>
      </c>
      <c r="B766" s="11" t="str">
        <f>IFERROR(__xludf.DUMMYFUNCTION("""COMPUTED_VALUE"""),"Best Performance Creative Agencies in NYC for 2026 (Ranked) | NewForm")</f>
        <v>Best Performance Creative Agencies in NYC for 2026 (Ranked) | NewForm</v>
      </c>
      <c r="C766" s="10" t="str">
        <f>IFERROR(__xludf.DUMMYFUNCTION("""COMPUTED_VALUE"""),"newform.com")</f>
        <v>newform.com</v>
      </c>
      <c r="D766" s="11" t="str">
        <f>IFERROR(__xludf.DUMMYFUNCTION("""COMPUTED_VALUE"""),"LISTICLE")</f>
        <v>LISTICLE</v>
      </c>
      <c r="E766" s="11" t="str">
        <f>IFERROR(__xludf.DUMMYFUNCTION("""COMPUTED_VALUE"""),"CORPORATE")</f>
        <v>CORPORATE</v>
      </c>
      <c r="F766" s="11" t="str">
        <f>IFERROR(__xludf.DUMMYFUNCTION("""COMPUTED_VALUE"""),"Listicle")</f>
        <v>Listicle</v>
      </c>
      <c r="G766" s="11" t="b">
        <f>IFERROR(__xludf.DUMMYFUNCTION("""COMPUTED_VALUE"""),FALSE)</f>
        <v>0</v>
      </c>
      <c r="H766" s="11" t="str">
        <f>IFERROR(__xludf.DUMMYFUNCTION("""COMPUTED_VALUE"""),"Darkroom, inBeat, NoGood, Tinuiti, Power Digital, Directive, Droga5, Wieden+Kennedy, Ogilvy, R/GA, Huge")</f>
        <v>Darkroom, inBeat, NoGood, Tinuiti, Power Digital, Directive, Droga5, Wieden+Kennedy, Ogilvy, R/GA, Huge</v>
      </c>
      <c r="I766" s="11">
        <f>IFERROR(__xludf.DUMMYFUNCTION("""COMPUTED_VALUE"""),1.0)</f>
        <v>1</v>
      </c>
      <c r="J766" s="11">
        <f>IFERROR(__xludf.DUMMYFUNCTION("""COMPUTED_VALUE"""),0.0)</f>
        <v>0</v>
      </c>
      <c r="K766" s="11">
        <f>IFERROR(__xludf.DUMMYFUNCTION("""COMPUTED_VALUE"""),1.0)</f>
        <v>1</v>
      </c>
    </row>
    <row r="767" ht="15.75" customHeight="1">
      <c r="A767" s="10" t="str">
        <f>IFERROR(__xludf.DUMMYFUNCTION("""COMPUTED_VALUE"""),"https://ninjapromo.io/top-google-ads-agencies")</f>
        <v>https://ninjapromo.io/top-google-ads-agencies</v>
      </c>
      <c r="B767" s="11" t="str">
        <f>IFERROR(__xludf.DUMMYFUNCTION("""COMPUTED_VALUE"""),"12 Best Google Ads Agencies for High-Scale PPC Growth in 2026")</f>
        <v>12 Best Google Ads Agencies for High-Scale PPC Growth in 2026</v>
      </c>
      <c r="C767" s="10" t="str">
        <f>IFERROR(__xludf.DUMMYFUNCTION("""COMPUTED_VALUE"""),"ninjapromo.io")</f>
        <v>ninjapromo.io</v>
      </c>
      <c r="D767" s="11" t="str">
        <f>IFERROR(__xludf.DUMMYFUNCTION("""COMPUTED_VALUE"""),"LISTICLE")</f>
        <v>LISTICLE</v>
      </c>
      <c r="E767" s="11" t="str">
        <f>IFERROR(__xludf.DUMMYFUNCTION("""COMPUTED_VALUE"""),"COMPETITOR")</f>
        <v>COMPETITOR</v>
      </c>
      <c r="F767" s="11" t="str">
        <f>IFERROR(__xludf.DUMMYFUNCTION("""COMPUTED_VALUE"""),"Listicle")</f>
        <v>Listicle</v>
      </c>
      <c r="G767" s="11" t="b">
        <f>IFERROR(__xludf.DUMMYFUNCTION("""COMPUTED_VALUE"""),FALSE)</f>
        <v>0</v>
      </c>
      <c r="H767" s="11" t="str">
        <f>IFERROR(__xludf.DUMMYFUNCTION("""COMPUTED_VALUE"""),"NinjaPromo, WebFX, Clutch, MuteSix, Single Grain")</f>
        <v>NinjaPromo, WebFX, Clutch, MuteSix, Single Grain</v>
      </c>
      <c r="I767" s="11">
        <f>IFERROR(__xludf.DUMMYFUNCTION("""COMPUTED_VALUE"""),1.0)</f>
        <v>1</v>
      </c>
      <c r="J767" s="11">
        <f>IFERROR(__xludf.DUMMYFUNCTION("""COMPUTED_VALUE"""),0.0)</f>
        <v>0</v>
      </c>
      <c r="K767" s="11">
        <f>IFERROR(__xludf.DUMMYFUNCTION("""COMPUTED_VALUE"""),1.0)</f>
        <v>1</v>
      </c>
    </row>
    <row r="768" ht="15.75" customHeight="1">
      <c r="A768" s="10" t="str">
        <f>IFERROR(__xludf.DUMMYFUNCTION("""COMPUTED_VALUE"""),"https://ninjapromo.io/top-graphic-design-companies")</f>
        <v>https://ninjapromo.io/top-graphic-design-companies</v>
      </c>
      <c r="B768" s="11" t="str">
        <f>IFERROR(__xludf.DUMMYFUNCTION("""COMPUTED_VALUE"""),"15 Best Graphic Design Companies Redefining Visual Identity")</f>
        <v>15 Best Graphic Design Companies Redefining Visual Identity</v>
      </c>
      <c r="C768" s="10" t="str">
        <f>IFERROR(__xludf.DUMMYFUNCTION("""COMPUTED_VALUE"""),"ninjapromo.io")</f>
        <v>ninjapromo.io</v>
      </c>
      <c r="D768" s="11" t="str">
        <f>IFERROR(__xludf.DUMMYFUNCTION("""COMPUTED_VALUE"""),"LISTICLE")</f>
        <v>LISTICLE</v>
      </c>
      <c r="E768" s="11" t="str">
        <f>IFERROR(__xludf.DUMMYFUNCTION("""COMPUTED_VALUE"""),"COMPETITOR")</f>
        <v>COMPETITOR</v>
      </c>
      <c r="F768" s="11" t="str">
        <f>IFERROR(__xludf.DUMMYFUNCTION("""COMPUTED_VALUE"""),"Listicle")</f>
        <v>Listicle</v>
      </c>
      <c r="G768" s="11" t="b">
        <f>IFERROR(__xludf.DUMMYFUNCTION("""COMPUTED_VALUE"""),FALSE)</f>
        <v>0</v>
      </c>
      <c r="H768" s="11" t="str">
        <f>IFERROR(__xludf.DUMMYFUNCTION("""COMPUTED_VALUE"""),"NinjaPromo, McKinsey, Pentagram, Superside, IBM, Clutch")</f>
        <v>NinjaPromo, McKinsey, Pentagram, Superside, IBM, Clutch</v>
      </c>
      <c r="I768" s="11">
        <f>IFERROR(__xludf.DUMMYFUNCTION("""COMPUTED_VALUE"""),1.0)</f>
        <v>1</v>
      </c>
      <c r="J768" s="11">
        <f>IFERROR(__xludf.DUMMYFUNCTION("""COMPUTED_VALUE"""),0.0)</f>
        <v>0</v>
      </c>
      <c r="K768" s="11">
        <f>IFERROR(__xludf.DUMMYFUNCTION("""COMPUTED_VALUE"""),1.0)</f>
        <v>1</v>
      </c>
    </row>
    <row r="769" ht="15.75" customHeight="1">
      <c r="A769" s="10" t="str">
        <f>IFERROR(__xludf.DUMMYFUNCTION("""COMPUTED_VALUE"""),"https://nogood.io/blog/b2b-marketing-agencies/")</f>
        <v>https://nogood.io/blog/b2b-marketing-agencies/</v>
      </c>
      <c r="B769" s="11" t="str">
        <f>IFERROR(__xludf.DUMMYFUNCTION("""COMPUTED_VALUE"""),"The Best B2B Marketing Agencies in 2026 | NoGood")</f>
        <v>The Best B2B Marketing Agencies in 2026 | NoGood</v>
      </c>
      <c r="C769" s="10" t="str">
        <f>IFERROR(__xludf.DUMMYFUNCTION("""COMPUTED_VALUE"""),"nogood.io")</f>
        <v>nogood.io</v>
      </c>
      <c r="D769" s="11" t="str">
        <f>IFERROR(__xludf.DUMMYFUNCTION("""COMPUTED_VALUE"""),"LISTICLE")</f>
        <v>LISTICLE</v>
      </c>
      <c r="E769" s="11" t="str">
        <f>IFERROR(__xludf.DUMMYFUNCTION("""COMPUTED_VALUE"""),"COMPETITOR")</f>
        <v>COMPETITOR</v>
      </c>
      <c r="F769" s="11" t="str">
        <f>IFERROR(__xludf.DUMMYFUNCTION("""COMPUTED_VALUE"""),"Listicle")</f>
        <v>Listicle</v>
      </c>
      <c r="G769" s="11" t="b">
        <f>IFERROR(__xludf.DUMMYFUNCTION("""COMPUTED_VALUE"""),FALSE)</f>
        <v>0</v>
      </c>
      <c r="H769" s="11" t="str">
        <f>IFERROR(__xludf.DUMMYFUNCTION("""COMPUTED_VALUE"""),"NoGood, Merkle, Clutch, Jellyfish, Viral Nation, IBM, Disruptive Advertising, Brandtech, Momentum")</f>
        <v>NoGood, Merkle, Clutch, Jellyfish, Viral Nation, IBM, Disruptive Advertising, Brandtech, Momentum</v>
      </c>
      <c r="I769" s="11">
        <f>IFERROR(__xludf.DUMMYFUNCTION("""COMPUTED_VALUE"""),1.0)</f>
        <v>1</v>
      </c>
      <c r="J769" s="11">
        <f>IFERROR(__xludf.DUMMYFUNCTION("""COMPUTED_VALUE"""),0.0)</f>
        <v>0</v>
      </c>
      <c r="K769" s="11">
        <f>IFERROR(__xludf.DUMMYFUNCTION("""COMPUTED_VALUE"""),1.0)</f>
        <v>1</v>
      </c>
    </row>
    <row r="770" ht="15.75" customHeight="1">
      <c r="A770" s="10" t="str">
        <f>IFERROR(__xludf.DUMMYFUNCTION("""COMPUTED_VALUE"""),"https://nogood.io/blog/best-answer-engine-optimization-agencies/")</f>
        <v>https://nogood.io/blog/best-answer-engine-optimization-agencies/</v>
      </c>
      <c r="B770" s="11" t="str">
        <f>IFERROR(__xludf.DUMMYFUNCTION("""COMPUTED_VALUE"""),"Best Answer Engine Optimization (AEO) Agencies 2026 | NoGood")</f>
        <v>Best Answer Engine Optimization (AEO) Agencies 2026 | NoGood</v>
      </c>
      <c r="C770" s="10" t="str">
        <f>IFERROR(__xludf.DUMMYFUNCTION("""COMPUTED_VALUE"""),"nogood.io")</f>
        <v>nogood.io</v>
      </c>
      <c r="D770" s="11" t="str">
        <f>IFERROR(__xludf.DUMMYFUNCTION("""COMPUTED_VALUE"""),"LISTICLE")</f>
        <v>LISTICLE</v>
      </c>
      <c r="E770" s="11" t="str">
        <f>IFERROR(__xludf.DUMMYFUNCTION("""COMPUTED_VALUE"""),"COMPETITOR")</f>
        <v>COMPETITOR</v>
      </c>
      <c r="F770" s="11" t="str">
        <f>IFERROR(__xludf.DUMMYFUNCTION("""COMPUTED_VALUE"""),"Listicle")</f>
        <v>Listicle</v>
      </c>
      <c r="G770" s="11" t="b">
        <f>IFERROR(__xludf.DUMMYFUNCTION("""COMPUTED_VALUE"""),FALSE)</f>
        <v>0</v>
      </c>
      <c r="H770" s="11" t="str">
        <f>IFERROR(__xludf.DUMMYFUNCTION("""COMPUTED_VALUE"""),"NoGood, Avenue Z, iPullRank, Amsive, RevenueZen, Go Fish Digital, Omniscient Digital, Marcel Digital")</f>
        <v>NoGood, Avenue Z, iPullRank, Amsive, RevenueZen, Go Fish Digital, Omniscient Digital, Marcel Digital</v>
      </c>
      <c r="I770" s="11">
        <f>IFERROR(__xludf.DUMMYFUNCTION("""COMPUTED_VALUE"""),1.0)</f>
        <v>1</v>
      </c>
      <c r="J770" s="11">
        <f>IFERROR(__xludf.DUMMYFUNCTION("""COMPUTED_VALUE"""),0.0)</f>
        <v>0</v>
      </c>
      <c r="K770" s="11">
        <f>IFERROR(__xludf.DUMMYFUNCTION("""COMPUTED_VALUE"""),1.0)</f>
        <v>1</v>
      </c>
    </row>
    <row r="771" ht="15.75" customHeight="1">
      <c r="A771" s="10" t="str">
        <f>IFERROR(__xludf.DUMMYFUNCTION("""COMPUTED_VALUE"""),"https://nogood.io/blog/branding-agencies/#:~:text=AKQA%20at%20%232%20earns%20its%20position%20through,way%20that%20few%20agencies%20can%20credibly%20claim.")</f>
        <v>https://nogood.io/blog/branding-agencies/#:~:text=AKQA%20at%20%232%20earns%20its%20position%20through,way%20that%20few%20agencies%20can%20credibly%20claim.</v>
      </c>
      <c r="B771" s="11" t="str">
        <f>IFERROR(__xludf.DUMMYFUNCTION("""COMPUTED_VALUE"""),"The Best Branding Agencies in 2026 | NoGood")</f>
        <v>The Best Branding Agencies in 2026 | NoGood</v>
      </c>
      <c r="C771" s="10" t="str">
        <f>IFERROR(__xludf.DUMMYFUNCTION("""COMPUTED_VALUE"""),"nogood.io")</f>
        <v>nogood.io</v>
      </c>
      <c r="D771" s="11" t="str">
        <f>IFERROR(__xludf.DUMMYFUNCTION("""COMPUTED_VALUE"""),"LISTICLE")</f>
        <v>LISTICLE</v>
      </c>
      <c r="E771" s="11" t="str">
        <f>IFERROR(__xludf.DUMMYFUNCTION("""COMPUTED_VALUE"""),"COMPETITOR")</f>
        <v>COMPETITOR</v>
      </c>
      <c r="F771" s="11" t="str">
        <f>IFERROR(__xludf.DUMMYFUNCTION("""COMPUTED_VALUE"""),"Listicle")</f>
        <v>Listicle</v>
      </c>
      <c r="G771" s="11" t="b">
        <f>IFERROR(__xludf.DUMMYFUNCTION("""COMPUTED_VALUE"""),FALSE)</f>
        <v>0</v>
      </c>
      <c r="H771" s="11" t="str">
        <f>IFERROR(__xludf.DUMMYFUNCTION("""COMPUTED_VALUE"""),"NoGood, Pentagram, Anomaly, AKQA, Dentsu, WPP")</f>
        <v>NoGood, Pentagram, Anomaly, AKQA, Dentsu, WPP</v>
      </c>
      <c r="I771" s="11">
        <f>IFERROR(__xludf.DUMMYFUNCTION("""COMPUTED_VALUE"""),1.0)</f>
        <v>1</v>
      </c>
      <c r="J771" s="11">
        <f>IFERROR(__xludf.DUMMYFUNCTION("""COMPUTED_VALUE"""),0.0)</f>
        <v>0</v>
      </c>
      <c r="K771" s="11">
        <f>IFERROR(__xludf.DUMMYFUNCTION("""COMPUTED_VALUE"""),3.0)</f>
        <v>3</v>
      </c>
    </row>
    <row r="772" ht="15.75" customHeight="1">
      <c r="A772" s="10" t="str">
        <f>IFERROR(__xludf.DUMMYFUNCTION("""COMPUTED_VALUE"""),"https://nogood.io/blog/digital-marketing-agencies-new-york/")</f>
        <v>https://nogood.io/blog/digital-marketing-agencies-new-york/</v>
      </c>
      <c r="B772" s="11" t="str">
        <f>IFERROR(__xludf.DUMMYFUNCTION("""COMPUTED_VALUE"""),"Top Digital Marketing Agencies in New York for 2026 | NoGood")</f>
        <v>Top Digital Marketing Agencies in New York for 2026 | NoGood</v>
      </c>
      <c r="C772" s="10" t="str">
        <f>IFERROR(__xludf.DUMMYFUNCTION("""COMPUTED_VALUE"""),"nogood.io")</f>
        <v>nogood.io</v>
      </c>
      <c r="D772" s="11" t="str">
        <f>IFERROR(__xludf.DUMMYFUNCTION("""COMPUTED_VALUE"""),"LISTICLE")</f>
        <v>LISTICLE</v>
      </c>
      <c r="E772" s="11" t="str">
        <f>IFERROR(__xludf.DUMMYFUNCTION("""COMPUTED_VALUE"""),"COMPETITOR")</f>
        <v>COMPETITOR</v>
      </c>
      <c r="F772" s="11" t="str">
        <f>IFERROR(__xludf.DUMMYFUNCTION("""COMPUTED_VALUE"""),"Listicle")</f>
        <v>Listicle</v>
      </c>
      <c r="G772" s="11" t="b">
        <f>IFERROR(__xludf.DUMMYFUNCTION("""COMPUTED_VALUE"""),FALSE)</f>
        <v>0</v>
      </c>
      <c r="H772" s="11" t="str">
        <f>IFERROR(__xludf.DUMMYFUNCTION("""COMPUTED_VALUE"""),"NoGood, Clutch, Wpromote, VaynerMedia, inBeat, Power Digital, Major Tom")</f>
        <v>NoGood, Clutch, Wpromote, VaynerMedia, inBeat, Power Digital, Major Tom</v>
      </c>
      <c r="I772" s="11">
        <f>IFERROR(__xludf.DUMMYFUNCTION("""COMPUTED_VALUE"""),1.0)</f>
        <v>1</v>
      </c>
      <c r="J772" s="11">
        <f>IFERROR(__xludf.DUMMYFUNCTION("""COMPUTED_VALUE"""),0.0)</f>
        <v>0</v>
      </c>
      <c r="K772" s="11">
        <f>IFERROR(__xludf.DUMMYFUNCTION("""COMPUTED_VALUE"""),1.0)</f>
        <v>1</v>
      </c>
    </row>
    <row r="773" ht="15.75" customHeight="1">
      <c r="A773" s="10" t="str">
        <f>IFERROR(__xludf.DUMMYFUNCTION("""COMPUTED_VALUE"""),"https://nogood.io/blog/global-marketing-agencies/")</f>
        <v>https://nogood.io/blog/global-marketing-agencies/</v>
      </c>
      <c r="B773" s="11" t="str">
        <f>IFERROR(__xludf.DUMMYFUNCTION("""COMPUTED_VALUE"""),"The Best Global Marketing Agencies in 2026 | NoGood")</f>
        <v>The Best Global Marketing Agencies in 2026 | NoGood</v>
      </c>
      <c r="C773" s="10" t="str">
        <f>IFERROR(__xludf.DUMMYFUNCTION("""COMPUTED_VALUE"""),"nogood.io")</f>
        <v>nogood.io</v>
      </c>
      <c r="D773" s="11" t="str">
        <f>IFERROR(__xludf.DUMMYFUNCTION("""COMPUTED_VALUE"""),"LISTICLE")</f>
        <v>LISTICLE</v>
      </c>
      <c r="E773" s="11" t="str">
        <f>IFERROR(__xludf.DUMMYFUNCTION("""COMPUTED_VALUE"""),"COMPETITOR")</f>
        <v>COMPETITOR</v>
      </c>
      <c r="F773" s="11" t="str">
        <f>IFERROR(__xludf.DUMMYFUNCTION("""COMPUTED_VALUE"""),"Listicle")</f>
        <v>Listicle</v>
      </c>
      <c r="G773" s="11" t="b">
        <f>IFERROR(__xludf.DUMMYFUNCTION("""COMPUTED_VALUE"""),FALSE)</f>
        <v>0</v>
      </c>
      <c r="H773" s="11" t="str">
        <f>IFERROR(__xludf.DUMMYFUNCTION("""COMPUTED_VALUE"""),"NoGood, Clutch, Digitas, Publicis Groupe, Omnicom Media Group, Viral Nation")</f>
        <v>NoGood, Clutch, Digitas, Publicis Groupe, Omnicom Media Group, Viral Nation</v>
      </c>
      <c r="I773" s="11">
        <f>IFERROR(__xludf.DUMMYFUNCTION("""COMPUTED_VALUE"""),1.0)</f>
        <v>1</v>
      </c>
      <c r="J773" s="11">
        <f>IFERROR(__xludf.DUMMYFUNCTION("""COMPUTED_VALUE"""),0.0)</f>
        <v>0</v>
      </c>
      <c r="K773" s="11">
        <f>IFERROR(__xludf.DUMMYFUNCTION("""COMPUTED_VALUE"""),0.0)</f>
        <v>0</v>
      </c>
    </row>
    <row r="774" ht="15.75" customHeight="1">
      <c r="A774" s="10" t="str">
        <f>IFERROR(__xludf.DUMMYFUNCTION("""COMPUTED_VALUE"""),"https://nogood.io/blog/instagram-marketing-agencies/")</f>
        <v>https://nogood.io/blog/instagram-marketing-agencies/</v>
      </c>
      <c r="B774" s="11" t="str">
        <f>IFERROR(__xludf.DUMMYFUNCTION("""COMPUTED_VALUE"""),"The Instagram Marketing Agencies for 2026 | NoGood")</f>
        <v>The Instagram Marketing Agencies for 2026 | NoGood</v>
      </c>
      <c r="C774" s="10" t="str">
        <f>IFERROR(__xludf.DUMMYFUNCTION("""COMPUTED_VALUE"""),"nogood.io")</f>
        <v>nogood.io</v>
      </c>
      <c r="D774" s="11" t="str">
        <f>IFERROR(__xludf.DUMMYFUNCTION("""COMPUTED_VALUE"""),"LISTICLE")</f>
        <v>LISTICLE</v>
      </c>
      <c r="E774" s="11" t="str">
        <f>IFERROR(__xludf.DUMMYFUNCTION("""COMPUTED_VALUE"""),"COMPETITOR")</f>
        <v>COMPETITOR</v>
      </c>
      <c r="F774" s="11" t="str">
        <f>IFERROR(__xludf.DUMMYFUNCTION("""COMPUTED_VALUE"""),"Listicle")</f>
        <v>Listicle</v>
      </c>
      <c r="G774" s="11" t="b">
        <f>IFERROR(__xludf.DUMMYFUNCTION("""COMPUTED_VALUE"""),FALSE)</f>
        <v>0</v>
      </c>
      <c r="H774" s="11" t="str">
        <f>IFERROR(__xludf.DUMMYFUNCTION("""COMPUTED_VALUE"""),"NoGood, inBeat, Viral Nation, Sociallyin, LYFE Marketing, Storm Brain, Clutch")</f>
        <v>NoGood, inBeat, Viral Nation, Sociallyin, LYFE Marketing, Storm Brain, Clutch</v>
      </c>
      <c r="I774" s="11">
        <f>IFERROR(__xludf.DUMMYFUNCTION("""COMPUTED_VALUE"""),1.0)</f>
        <v>1</v>
      </c>
      <c r="J774" s="11">
        <f>IFERROR(__xludf.DUMMYFUNCTION("""COMPUTED_VALUE"""),0.0)</f>
        <v>0</v>
      </c>
      <c r="K774" s="11">
        <f>IFERROR(__xludf.DUMMYFUNCTION("""COMPUTED_VALUE"""),1.0)</f>
        <v>1</v>
      </c>
    </row>
    <row r="775" ht="15.75" customHeight="1">
      <c r="A775" s="10" t="str">
        <f>IFERROR(__xludf.DUMMYFUNCTION("""COMPUTED_VALUE"""),"https://nogood.io/blog/marketing-attribution-tools/")</f>
        <v>https://nogood.io/blog/marketing-attribution-tools/</v>
      </c>
      <c r="B775" s="11" t="str">
        <f>IFERROR(__xludf.DUMMYFUNCTION("""COMPUTED_VALUE"""),"Top 10 Marketing Attribution Tools for 2025 [Updated] | NoGood")</f>
        <v>Top 10 Marketing Attribution Tools for 2025 [Updated] | NoGood</v>
      </c>
      <c r="C775" s="10" t="str">
        <f>IFERROR(__xludf.DUMMYFUNCTION("""COMPUTED_VALUE"""),"nogood.io")</f>
        <v>nogood.io</v>
      </c>
      <c r="D775" s="11" t="str">
        <f>IFERROR(__xludf.DUMMYFUNCTION("""COMPUTED_VALUE"""),"LISTICLE")</f>
        <v>LISTICLE</v>
      </c>
      <c r="E775" s="11" t="str">
        <f>IFERROR(__xludf.DUMMYFUNCTION("""COMPUTED_VALUE"""),"COMPETITOR")</f>
        <v>COMPETITOR</v>
      </c>
      <c r="F775" s="11" t="str">
        <f>IFERROR(__xludf.DUMMYFUNCTION("""COMPUTED_VALUE"""),"Listicle")</f>
        <v>Listicle</v>
      </c>
      <c r="G775" s="11" t="b">
        <f>IFERROR(__xludf.DUMMYFUNCTION("""COMPUTED_VALUE"""),FALSE)</f>
        <v>0</v>
      </c>
      <c r="H775" s="11" t="str">
        <f>IFERROR(__xludf.DUMMYFUNCTION("""COMPUTED_VALUE"""),"NoGood, Measured, Rockerbox, LifeSight, Triple Whale, Northbeam")</f>
        <v>NoGood, Measured, Rockerbox, LifeSight, Triple Whale, Northbeam</v>
      </c>
      <c r="I775" s="11">
        <f>IFERROR(__xludf.DUMMYFUNCTION("""COMPUTED_VALUE"""),1.0)</f>
        <v>1</v>
      </c>
      <c r="J775" s="11">
        <f>IFERROR(__xludf.DUMMYFUNCTION("""COMPUTED_VALUE"""),0.0)</f>
        <v>0</v>
      </c>
      <c r="K775" s="11">
        <f>IFERROR(__xludf.DUMMYFUNCTION("""COMPUTED_VALUE"""),0.0)</f>
        <v>0</v>
      </c>
    </row>
    <row r="776" ht="15.75" customHeight="1">
      <c r="A776" s="10" t="str">
        <f>IFERROR(__xludf.DUMMYFUNCTION("""COMPUTED_VALUE"""),"https://northquery.com/best-aeo-agency/enterprise")</f>
        <v>https://northquery.com/best-aeo-agency/enterprise</v>
      </c>
      <c r="B776" s="11" t="str">
        <f>IFERROR(__xludf.DUMMYFUNCTION("""COMPUTED_VALUE"""),"Best AEO Agency for Enterprise 2026: I Ranked 8 (With Honest Scores) | Northquery")</f>
        <v>Best AEO Agency for Enterprise 2026: I Ranked 8 (With Honest Scores) | Northquery</v>
      </c>
      <c r="C776" s="10" t="str">
        <f>IFERROR(__xludf.DUMMYFUNCTION("""COMPUTED_VALUE"""),"northquery.com")</f>
        <v>northquery.com</v>
      </c>
      <c r="D776" s="11" t="str">
        <f>IFERROR(__xludf.DUMMYFUNCTION("""COMPUTED_VALUE"""),"LISTICLE")</f>
        <v>LISTICLE</v>
      </c>
      <c r="E776" s="11" t="str">
        <f>IFERROR(__xludf.DUMMYFUNCTION("""COMPUTED_VALUE"""),"CORPORATE")</f>
        <v>CORPORATE</v>
      </c>
      <c r="F776" s="11" t="str">
        <f>IFERROR(__xludf.DUMMYFUNCTION("""COMPUTED_VALUE"""),"Listicle")</f>
        <v>Listicle</v>
      </c>
      <c r="G776" s="11" t="b">
        <f>IFERROR(__xludf.DUMMYFUNCTION("""COMPUTED_VALUE"""),FALSE)</f>
        <v>0</v>
      </c>
      <c r="H776" s="11" t="str">
        <f>IFERROR(__xludf.DUMMYFUNCTION("""COMPUTED_VALUE"""),"Siege Media, Wpromote, Jellyfish, Merkle, Dentsu, Graphite, NP Digital")</f>
        <v>Siege Media, Wpromote, Jellyfish, Merkle, Dentsu, Graphite, NP Digital</v>
      </c>
      <c r="I776" s="11">
        <f>IFERROR(__xludf.DUMMYFUNCTION("""COMPUTED_VALUE"""),1.0)</f>
        <v>1</v>
      </c>
      <c r="J776" s="11">
        <f>IFERROR(__xludf.DUMMYFUNCTION("""COMPUTED_VALUE"""),0.0)</f>
        <v>0</v>
      </c>
      <c r="K776" s="11">
        <f>IFERROR(__xludf.DUMMYFUNCTION("""COMPUTED_VALUE"""),0.0)</f>
        <v>0</v>
      </c>
    </row>
    <row r="777" ht="15.75" customHeight="1">
      <c r="A777" s="10" t="str">
        <f>IFERROR(__xludf.DUMMYFUNCTION("""COMPUTED_VALUE"""),"https://www.norvelljefferson.com/insights/top-25-creative-agencies-amsterdam-2026")</f>
        <v>https://www.norvelljefferson.com/insights/top-25-creative-agencies-amsterdam-2026</v>
      </c>
      <c r="B777" s="11" t="str">
        <f>IFERROR(__xludf.DUMMYFUNCTION("""COMPUTED_VALUE"""),"Top 25 Creative Agencies in Amsterdam 2026||Top 25 Creative Agencies in Amsterdam 2026")</f>
        <v>Top 25 Creative Agencies in Amsterdam 2026||Top 25 Creative Agencies in Amsterdam 2026</v>
      </c>
      <c r="C777" s="10" t="str">
        <f>IFERROR(__xludf.DUMMYFUNCTION("""COMPUTED_VALUE"""),"norvelljefferson.com")</f>
        <v>norvelljefferson.com</v>
      </c>
      <c r="D777" s="11" t="str">
        <f>IFERROR(__xludf.DUMMYFUNCTION("""COMPUTED_VALUE"""),"LISTICLE")</f>
        <v>LISTICLE</v>
      </c>
      <c r="E777" s="11" t="str">
        <f>IFERROR(__xludf.DUMMYFUNCTION("""COMPUTED_VALUE"""),"CORPORATE")</f>
        <v>CORPORATE</v>
      </c>
      <c r="F777" s="11" t="str">
        <f>IFERROR(__xludf.DUMMYFUNCTION("""COMPUTED_VALUE"""),"Listicle")</f>
        <v>Listicle</v>
      </c>
      <c r="G777" s="11" t="b">
        <f>IFERROR(__xludf.DUMMYFUNCTION("""COMPUTED_VALUE"""),FALSE)</f>
        <v>0</v>
      </c>
      <c r="H777" s="11" t="str">
        <f>IFERROR(__xludf.DUMMYFUNCTION("""COMPUTED_VALUE"""),"Wieden+Kennedy, Dentsu, Publicis Groupe, Monks, 72andSunny, Ogilvy")</f>
        <v>Wieden+Kennedy, Dentsu, Publicis Groupe, Monks, 72andSunny, Ogilvy</v>
      </c>
      <c r="I777" s="11">
        <f>IFERROR(__xludf.DUMMYFUNCTION("""COMPUTED_VALUE"""),1.0)</f>
        <v>1</v>
      </c>
      <c r="J777" s="11">
        <f>IFERROR(__xludf.DUMMYFUNCTION("""COMPUTED_VALUE"""),0.0)</f>
        <v>0</v>
      </c>
      <c r="K777" s="11">
        <f>IFERROR(__xludf.DUMMYFUNCTION("""COMPUTED_VALUE"""),1.0)</f>
        <v>1</v>
      </c>
    </row>
    <row r="778" ht="15.75" customHeight="1">
      <c r="A778" s="10" t="str">
        <f>IFERROR(__xludf.DUMMYFUNCTION("""COMPUTED_VALUE"""),"https://www.nutshell.com/blog/best-ai-seo-companies")</f>
        <v>https://www.nutshell.com/blog/best-ai-seo-companies</v>
      </c>
      <c r="B778" s="11" t="str">
        <f>IFERROR(__xludf.DUMMYFUNCTION("""COMPUTED_VALUE"""),"The 7 Best AI SEO Companies You Can Hire to Get Results")</f>
        <v>The 7 Best AI SEO Companies You Can Hire to Get Results</v>
      </c>
      <c r="C778" s="10" t="str">
        <f>IFERROR(__xludf.DUMMYFUNCTION("""COMPUTED_VALUE"""),"nutshell.com")</f>
        <v>nutshell.com</v>
      </c>
      <c r="D778" s="11" t="str">
        <f>IFERROR(__xludf.DUMMYFUNCTION("""COMPUTED_VALUE"""),"LISTICLE")</f>
        <v>LISTICLE</v>
      </c>
      <c r="E778" s="11" t="str">
        <f>IFERROR(__xludf.DUMMYFUNCTION("""COMPUTED_VALUE"""),"CORPORATE")</f>
        <v>CORPORATE</v>
      </c>
      <c r="F778" s="11" t="str">
        <f>IFERROR(__xludf.DUMMYFUNCTION("""COMPUTED_VALUE"""),"Listicle")</f>
        <v>Listicle</v>
      </c>
      <c r="G778" s="11" t="b">
        <f>IFERROR(__xludf.DUMMYFUNCTION("""COMPUTED_VALUE"""),FALSE)</f>
        <v>0</v>
      </c>
      <c r="H778" s="11" t="str">
        <f>IFERROR(__xludf.DUMMYFUNCTION("""COMPUTED_VALUE"""),"Clutch, WebFX, The SEO Works")</f>
        <v>Clutch, WebFX, The SEO Works</v>
      </c>
      <c r="I778" s="11">
        <f>IFERROR(__xludf.DUMMYFUNCTION("""COMPUTED_VALUE"""),1.0)</f>
        <v>1</v>
      </c>
      <c r="J778" s="11">
        <f>IFERROR(__xludf.DUMMYFUNCTION("""COMPUTED_VALUE"""),0.0)</f>
        <v>0</v>
      </c>
      <c r="K778" s="11">
        <f>IFERROR(__xludf.DUMMYFUNCTION("""COMPUTED_VALUE"""),0.0)</f>
        <v>0</v>
      </c>
    </row>
    <row r="779" ht="15.75" customHeight="1">
      <c r="A779" s="10" t="str">
        <f>IFERROR(__xludf.DUMMYFUNCTION("""COMPUTED_VALUE"""),"https://nuundigital.com/insights/strategy/top-growth-agencies-north-america")</f>
        <v>https://nuundigital.com/insights/strategy/top-growth-agencies-north-america</v>
      </c>
      <c r="B779" s="11" t="str">
        <f>IFERROR(__xludf.DUMMYFUNCTION("""COMPUTED_VALUE"""),"Top Growth Agencies in North America 2026 | NUUN Digital | NUUN Digital")</f>
        <v>Top Growth Agencies in North America 2026 | NUUN Digital | NUUN Digital</v>
      </c>
      <c r="C779" s="10" t="str">
        <f>IFERROR(__xludf.DUMMYFUNCTION("""COMPUTED_VALUE"""),"nuundigital.com")</f>
        <v>nuundigital.com</v>
      </c>
      <c r="D779" s="11" t="str">
        <f>IFERROR(__xludf.DUMMYFUNCTION("""COMPUTED_VALUE"""),"LISTICLE")</f>
        <v>LISTICLE</v>
      </c>
      <c r="E779" s="11" t="str">
        <f>IFERROR(__xludf.DUMMYFUNCTION("""COMPUTED_VALUE"""),"CORPORATE")</f>
        <v>CORPORATE</v>
      </c>
      <c r="F779" s="11" t="str">
        <f>IFERROR(__xludf.DUMMYFUNCTION("""COMPUTED_VALUE"""),"Listicle")</f>
        <v>Listicle</v>
      </c>
      <c r="G779" s="11" t="b">
        <f>IFERROR(__xludf.DUMMYFUNCTION("""COMPUTED_VALUE"""),FALSE)</f>
        <v>0</v>
      </c>
      <c r="H779" s="11" t="str">
        <f>IFERROR(__xludf.DUMMYFUNCTION("""COMPUTED_VALUE"""),"Tinuiti, Wpromote, NoGood, Jellyfish, VaynerMedia, R/GA, Huge, AKQA, Single Grain, Brandtech, WPP, GroupM, Dentsu, Measured, MuteSix")</f>
        <v>Tinuiti, Wpromote, NoGood, Jellyfish, VaynerMedia, R/GA, Huge, AKQA, Single Grain, Brandtech, WPP, GroupM, Dentsu, Measured, MuteSix</v>
      </c>
      <c r="I779" s="11">
        <f>IFERROR(__xludf.DUMMYFUNCTION("""COMPUTED_VALUE"""),1.0)</f>
        <v>1</v>
      </c>
      <c r="J779" s="11">
        <f>IFERROR(__xludf.DUMMYFUNCTION("""COMPUTED_VALUE"""),0.0)</f>
        <v>0</v>
      </c>
      <c r="K779" s="11">
        <f>IFERROR(__xludf.DUMMYFUNCTION("""COMPUTED_VALUE"""),0.0)</f>
        <v>0</v>
      </c>
    </row>
    <row r="780" ht="15.75" customHeight="1">
      <c r="A780" s="10" t="str">
        <f>IFERROR(__xludf.DUMMYFUNCTION("""COMPUTED_VALUE"""),"https://oakpool.xyz/drift/top-10-geo-aeo-ai-search-agencies/")</f>
        <v>https://oakpool.xyz/drift/top-10-geo-aeo-ai-search-agencies/</v>
      </c>
      <c r="B780" s="11" t="str">
        <f>IFERROR(__xludf.DUMMYFUNCTION("""COMPUTED_VALUE"""),"Top 10 GEO Agencies for AI Search in 2026")</f>
        <v>Top 10 GEO Agencies for AI Search in 2026</v>
      </c>
      <c r="C780" s="10" t="str">
        <f>IFERROR(__xludf.DUMMYFUNCTION("""COMPUTED_VALUE"""),"oakpool.xyz")</f>
        <v>oakpool.xyz</v>
      </c>
      <c r="D780" s="11" t="str">
        <f>IFERROR(__xludf.DUMMYFUNCTION("""COMPUTED_VALUE"""),"LISTICLE")</f>
        <v>LISTICLE</v>
      </c>
      <c r="E780" s="11" t="str">
        <f>IFERROR(__xludf.DUMMYFUNCTION("""COMPUTED_VALUE"""),"CORPORATE")</f>
        <v>CORPORATE</v>
      </c>
      <c r="F780" s="11" t="str">
        <f>IFERROR(__xludf.DUMMYFUNCTION("""COMPUTED_VALUE"""),"Listicle")</f>
        <v>Listicle</v>
      </c>
      <c r="G780" s="11" t="b">
        <f>IFERROR(__xludf.DUMMYFUNCTION("""COMPUTED_VALUE"""),FALSE)</f>
        <v>0</v>
      </c>
      <c r="H780" s="11" t="str">
        <f>IFERROR(__xludf.DUMMYFUNCTION("""COMPUTED_VALUE"""),"First Page Sage, iPullRank, Seer Interactive, Intero Digital, NoGood")</f>
        <v>First Page Sage, iPullRank, Seer Interactive, Intero Digital, NoGood</v>
      </c>
      <c r="I780" s="11">
        <f>IFERROR(__xludf.DUMMYFUNCTION("""COMPUTED_VALUE"""),1.0)</f>
        <v>1</v>
      </c>
      <c r="J780" s="11">
        <f>IFERROR(__xludf.DUMMYFUNCTION("""COMPUTED_VALUE"""),0.0)</f>
        <v>0</v>
      </c>
      <c r="K780" s="11">
        <f>IFERROR(__xludf.DUMMYFUNCTION("""COMPUTED_VALUE"""),0.0)</f>
        <v>0</v>
      </c>
    </row>
    <row r="781" ht="15.75" customHeight="1">
      <c r="A781" s="10" t="str">
        <f>IFERROR(__xludf.DUMMYFUNCTION("""COMPUTED_VALUE"""),"https://www.omdena.com/blog/ai-agent-development-companies")</f>
        <v>https://www.omdena.com/blog/ai-agent-development-companies</v>
      </c>
      <c r="B781" s="11" t="str">
        <f>IFERROR(__xludf.DUMMYFUNCTION("""COMPUTED_VALUE"""),"AI Agent Development Companies: Top Picks for 2026")</f>
        <v>AI Agent Development Companies: Top Picks for 2026</v>
      </c>
      <c r="C781" s="10" t="str">
        <f>IFERROR(__xludf.DUMMYFUNCTION("""COMPUTED_VALUE"""),"omdena.com")</f>
        <v>omdena.com</v>
      </c>
      <c r="D781" s="11" t="str">
        <f>IFERROR(__xludf.DUMMYFUNCTION("""COMPUTED_VALUE"""),"LISTICLE")</f>
        <v>LISTICLE</v>
      </c>
      <c r="E781" s="11" t="str">
        <f>IFERROR(__xludf.DUMMYFUNCTION("""COMPUTED_VALUE"""),"OTHER")</f>
        <v>OTHER</v>
      </c>
      <c r="F781" s="11" t="str">
        <f>IFERROR(__xludf.DUMMYFUNCTION("""COMPUTED_VALUE"""),"Listicle")</f>
        <v>Listicle</v>
      </c>
      <c r="G781" s="11" t="b">
        <f>IFERROR(__xludf.DUMMYFUNCTION("""COMPUTED_VALUE"""),FALSE)</f>
        <v>0</v>
      </c>
      <c r="H781" s="11" t="str">
        <f>IFERROR(__xludf.DUMMYFUNCTION("""COMPUTED_VALUE"""),"IBM")</f>
        <v>IBM</v>
      </c>
      <c r="I781" s="11">
        <f>IFERROR(__xludf.DUMMYFUNCTION("""COMPUTED_VALUE"""),1.0)</f>
        <v>1</v>
      </c>
      <c r="J781" s="11">
        <f>IFERROR(__xludf.DUMMYFUNCTION("""COMPUTED_VALUE"""),0.0)</f>
        <v>0</v>
      </c>
      <c r="K781" s="11">
        <f>IFERROR(__xludf.DUMMYFUNCTION("""COMPUTED_VALUE"""),1.0)</f>
        <v>1</v>
      </c>
    </row>
    <row r="782" ht="15.75" customHeight="1">
      <c r="A782" s="10" t="str">
        <f>IFERROR(__xludf.DUMMYFUNCTION("""COMPUTED_VALUE"""),"https://www.omnibound.ai/blog/first-party-data-statistics")</f>
        <v>https://www.omnibound.ai/blog/first-party-data-statistics</v>
      </c>
      <c r="B782" s="11" t="str">
        <f>IFERROR(__xludf.DUMMYFUNCTION("""COMPUTED_VALUE"""),"First-Party Data Statistics (2026): 52+ Data Points on Adoption, ROI, Privacy Drivers, and the CDP Transition")</f>
        <v>First-Party Data Statistics (2026): 52+ Data Points on Adoption, ROI, Privacy Drivers, and the CDP Transition</v>
      </c>
      <c r="C782" s="10" t="str">
        <f>IFERROR(__xludf.DUMMYFUNCTION("""COMPUTED_VALUE"""),"omnibound.ai")</f>
        <v>omnibound.ai</v>
      </c>
      <c r="D782" s="11" t="str">
        <f>IFERROR(__xludf.DUMMYFUNCTION("""COMPUTED_VALUE"""),"LISTICLE")</f>
        <v>LISTICLE</v>
      </c>
      <c r="E782" s="11" t="str">
        <f>IFERROR(__xludf.DUMMYFUNCTION("""COMPUTED_VALUE"""),"CORPORATE")</f>
        <v>CORPORATE</v>
      </c>
      <c r="F782" s="11" t="str">
        <f>IFERROR(__xludf.DUMMYFUNCTION("""COMPUTED_VALUE"""),"Listicle")</f>
        <v>Listicle</v>
      </c>
      <c r="G782" s="11" t="b">
        <f>IFERROR(__xludf.DUMMYFUNCTION("""COMPUTED_VALUE"""),FALSE)</f>
        <v>0</v>
      </c>
      <c r="H782" s="11" t="str">
        <f>IFERROR(__xludf.DUMMYFUNCTION("""COMPUTED_VALUE"""),"BCG, McKinsey, Measured, Deloitte Digital")</f>
        <v>BCG, McKinsey, Measured, Deloitte Digital</v>
      </c>
      <c r="I782" s="11">
        <f>IFERROR(__xludf.DUMMYFUNCTION("""COMPUTED_VALUE"""),1.0)</f>
        <v>1</v>
      </c>
      <c r="J782" s="11">
        <f>IFERROR(__xludf.DUMMYFUNCTION("""COMPUTED_VALUE"""),0.0)</f>
        <v>0</v>
      </c>
      <c r="K782" s="11">
        <f>IFERROR(__xludf.DUMMYFUNCTION("""COMPUTED_VALUE"""),1.0)</f>
        <v>1</v>
      </c>
    </row>
    <row r="783" ht="15.75" customHeight="1">
      <c r="A783" s="10" t="str">
        <f>IFERROR(__xludf.DUMMYFUNCTION("""COMPUTED_VALUE"""),"https://www.omnius.so/blog/best-answer-engine-optimization-agencies#:~:text=2%20%7C%20Position%20Digital%20%7C%20%2F%20%7C,B2B%20SaaS%20multi%2Dsurface%20AEO%20%26%20pipeline%20attribution")</f>
        <v>https://www.omnius.so/blog/best-answer-engine-optimization-agencies#:~:text=2%20%7C%20Position%20Digital%20%7C%20%2F%20%7C,B2B%20SaaS%20multi%2Dsurface%20AEO%20%26%20pipeline%20attribution</v>
      </c>
      <c r="B783" s="11" t="str">
        <f>IFERROR(__xludf.DUMMYFUNCTION("""COMPUTED_VALUE"""),"16 Best Answer Engine Optimization (AEO) Agencies in 2026")</f>
        <v>16 Best Answer Engine Optimization (AEO) Agencies in 2026</v>
      </c>
      <c r="C783" s="10" t="str">
        <f>IFERROR(__xludf.DUMMYFUNCTION("""COMPUTED_VALUE"""),"omnius.so")</f>
        <v>omnius.so</v>
      </c>
      <c r="D783" s="11" t="str">
        <f>IFERROR(__xludf.DUMMYFUNCTION("""COMPUTED_VALUE"""),"LISTICLE")</f>
        <v>LISTICLE</v>
      </c>
      <c r="E783" s="11" t="str">
        <f>IFERROR(__xludf.DUMMYFUNCTION("""COMPUTED_VALUE"""),"OTHER")</f>
        <v>OTHER</v>
      </c>
      <c r="F783" s="11" t="str">
        <f>IFERROR(__xludf.DUMMYFUNCTION("""COMPUTED_VALUE"""),"Listicle")</f>
        <v>Listicle</v>
      </c>
      <c r="G783" s="11" t="b">
        <f>IFERROR(__xludf.DUMMYFUNCTION("""COMPUTED_VALUE"""),FALSE)</f>
        <v>0</v>
      </c>
      <c r="H783" s="11" t="str">
        <f>IFERROR(__xludf.DUMMYFUNCTION("""COMPUTED_VALUE"""),"Clutch, Omniscient Digital, iPullRank, Single Grain, Go Fish Digital, Seer Interactive")</f>
        <v>Clutch, Omniscient Digital, iPullRank, Single Grain, Go Fish Digital, Seer Interactive</v>
      </c>
      <c r="I783" s="11">
        <f>IFERROR(__xludf.DUMMYFUNCTION("""COMPUTED_VALUE"""),1.0)</f>
        <v>1</v>
      </c>
      <c r="J783" s="11">
        <f>IFERROR(__xludf.DUMMYFUNCTION("""COMPUTED_VALUE"""),0.0)</f>
        <v>0</v>
      </c>
      <c r="K783" s="11">
        <f>IFERROR(__xludf.DUMMYFUNCTION("""COMPUTED_VALUE"""),1.0)</f>
        <v>1</v>
      </c>
    </row>
    <row r="784" ht="15.75" customHeight="1">
      <c r="A784" s="10" t="str">
        <f>IFERROR(__xludf.DUMMYFUNCTION("""COMPUTED_VALUE"""),"https://www.omnius.so/blog/best-geo-agencies")</f>
        <v>https://www.omnius.so/blog/best-geo-agencies</v>
      </c>
      <c r="B784" s="11" t="str">
        <f>IFERROR(__xludf.DUMMYFUNCTION("""COMPUTED_VALUE"""),"Top 15 Generative Engine Optimization (GEO) Agencies (2026)")</f>
        <v>Top 15 Generative Engine Optimization (GEO) Agencies (2026)</v>
      </c>
      <c r="C784" s="10" t="str">
        <f>IFERROR(__xludf.DUMMYFUNCTION("""COMPUTED_VALUE"""),"omnius.so")</f>
        <v>omnius.so</v>
      </c>
      <c r="D784" s="11" t="str">
        <f>IFERROR(__xludf.DUMMYFUNCTION("""COMPUTED_VALUE"""),"LISTICLE")</f>
        <v>LISTICLE</v>
      </c>
      <c r="E784" s="11" t="str">
        <f>IFERROR(__xludf.DUMMYFUNCTION("""COMPUTED_VALUE"""),"OTHER")</f>
        <v>OTHER</v>
      </c>
      <c r="F784" s="11" t="str">
        <f>IFERROR(__xludf.DUMMYFUNCTION("""COMPUTED_VALUE"""),"Listicle")</f>
        <v>Listicle</v>
      </c>
      <c r="G784" s="11" t="b">
        <f>IFERROR(__xludf.DUMMYFUNCTION("""COMPUTED_VALUE"""),FALSE)</f>
        <v>0</v>
      </c>
      <c r="H784" s="11" t="str">
        <f>IFERROR(__xludf.DUMMYFUNCTION("""COMPUTED_VALUE"""),"iPullRank, The SEO Works, First Page Sage, WebFX, Ignite Visibility, NoGood, Avenue Z, Victorious")</f>
        <v>iPullRank, The SEO Works, First Page Sage, WebFX, Ignite Visibility, NoGood, Avenue Z, Victorious</v>
      </c>
      <c r="I784" s="11">
        <f>IFERROR(__xludf.DUMMYFUNCTION("""COMPUTED_VALUE"""),1.0)</f>
        <v>1</v>
      </c>
      <c r="J784" s="11">
        <f>IFERROR(__xludf.DUMMYFUNCTION("""COMPUTED_VALUE"""),0.0)</f>
        <v>0</v>
      </c>
      <c r="K784" s="11">
        <f>IFERROR(__xludf.DUMMYFUNCTION("""COMPUTED_VALUE"""),1.0)</f>
        <v>1</v>
      </c>
    </row>
    <row r="785" ht="15.75" customHeight="1">
      <c r="A785" s="10" t="str">
        <f>IFERROR(__xludf.DUMMYFUNCTION("""COMPUTED_VALUE"""),"https://www.omnius.so/blog/marketing-agencies-for-small-businesses")</f>
        <v>https://www.omnius.so/blog/marketing-agencies-for-small-businesses</v>
      </c>
      <c r="B785" s="11" t="str">
        <f>IFERROR(__xludf.DUMMYFUNCTION("""COMPUTED_VALUE"""),"15 Best Marketing Agencies for Small Businesses in 2026")</f>
        <v>15 Best Marketing Agencies for Small Businesses in 2026</v>
      </c>
      <c r="C785" s="10" t="str">
        <f>IFERROR(__xludf.DUMMYFUNCTION("""COMPUTED_VALUE"""),"omnius.so")</f>
        <v>omnius.so</v>
      </c>
      <c r="D785" s="11" t="str">
        <f>IFERROR(__xludf.DUMMYFUNCTION("""COMPUTED_VALUE"""),"LISTICLE")</f>
        <v>LISTICLE</v>
      </c>
      <c r="E785" s="11" t="str">
        <f>IFERROR(__xludf.DUMMYFUNCTION("""COMPUTED_VALUE"""),"OTHER")</f>
        <v>OTHER</v>
      </c>
      <c r="F785" s="11" t="str">
        <f>IFERROR(__xludf.DUMMYFUNCTION("""COMPUTED_VALUE"""),"Listicle")</f>
        <v>Listicle</v>
      </c>
      <c r="G785" s="11" t="b">
        <f>IFERROR(__xludf.DUMMYFUNCTION("""COMPUTED_VALUE"""),FALSE)</f>
        <v>0</v>
      </c>
      <c r="H785" s="11" t="str">
        <f>IFERROR(__xludf.DUMMYFUNCTION("""COMPUTED_VALUE"""),"Clutch, LYFE Marketing, Disruptive Advertising, NoGood, WebFX, NinjaPromo, Ignite Visibility, SmartSites")</f>
        <v>Clutch, LYFE Marketing, Disruptive Advertising, NoGood, WebFX, NinjaPromo, Ignite Visibility, SmartSites</v>
      </c>
      <c r="I785" s="11">
        <f>IFERROR(__xludf.DUMMYFUNCTION("""COMPUTED_VALUE"""),1.0)</f>
        <v>1</v>
      </c>
      <c r="J785" s="11">
        <f>IFERROR(__xludf.DUMMYFUNCTION("""COMPUTED_VALUE"""),0.0)</f>
        <v>0</v>
      </c>
      <c r="K785" s="11">
        <f>IFERROR(__xludf.DUMMYFUNCTION("""COMPUTED_VALUE"""),1.0)</f>
        <v>1</v>
      </c>
    </row>
    <row r="786" ht="15.75" customHeight="1">
      <c r="A786" s="10" t="str">
        <f>IFERROR(__xludf.DUMMYFUNCTION("""COMPUTED_VALUE"""),"https://onelittleweb.com/top-agencies/b2b-seo-agency/")</f>
        <v>https://onelittleweb.com/top-agencies/b2b-seo-agency/</v>
      </c>
      <c r="B786" s="11" t="str">
        <f>IFERROR(__xludf.DUMMYFUNCTION("""COMPUTED_VALUE"""),"Top B2B SEO Agencies in the USA 2026 (Ranked &amp;amp; Reviewed)")</f>
        <v>Top B2B SEO Agencies in the USA 2026 (Ranked &amp;amp; Reviewed)</v>
      </c>
      <c r="C786" s="10" t="str">
        <f>IFERROR(__xludf.DUMMYFUNCTION("""COMPUTED_VALUE"""),"onelittleweb.com")</f>
        <v>onelittleweb.com</v>
      </c>
      <c r="D786" s="11" t="str">
        <f>IFERROR(__xludf.DUMMYFUNCTION("""COMPUTED_VALUE"""),"LISTICLE")</f>
        <v>LISTICLE</v>
      </c>
      <c r="E786" s="11" t="str">
        <f>IFERROR(__xludf.DUMMYFUNCTION("""COMPUTED_VALUE"""),"CORPORATE")</f>
        <v>CORPORATE</v>
      </c>
      <c r="F786" s="11" t="str">
        <f>IFERROR(__xludf.DUMMYFUNCTION("""COMPUTED_VALUE"""),"Listicle")</f>
        <v>Listicle</v>
      </c>
      <c r="G786" s="11" t="b">
        <f>IFERROR(__xludf.DUMMYFUNCTION("""COMPUTED_VALUE"""),FALSE)</f>
        <v>0</v>
      </c>
      <c r="H786" s="11" t="str">
        <f>IFERROR(__xludf.DUMMYFUNCTION("""COMPUTED_VALUE"""),"Clutch, WebFX, KlientBoost, Disruptive Advertising, Power Digital, SmartSites, Thrive Internet Marketing Agency, Intero Digital, Searchbloom, Funnel Boost Media, NinjaPromo, Siege Media, Go Fish Digital, Silverback Strategies, HawkSEM, Marcel Digital, Str"&amp;"atabeat, Storm Brain, Huge, Momentum")</f>
        <v>Clutch, WebFX, KlientBoost, Disruptive Advertising, Power Digital, SmartSites, Thrive Internet Marketing Agency, Intero Digital, Searchbloom, Funnel Boost Media, NinjaPromo, Siege Media, Go Fish Digital, Silverback Strategies, HawkSEM, Marcel Digital, Stratabeat, Storm Brain, Huge, Momentum</v>
      </c>
      <c r="I786" s="11">
        <f>IFERROR(__xludf.DUMMYFUNCTION("""COMPUTED_VALUE"""),1.0)</f>
        <v>1</v>
      </c>
      <c r="J786" s="11">
        <f>IFERROR(__xludf.DUMMYFUNCTION("""COMPUTED_VALUE"""),0.0)</f>
        <v>0</v>
      </c>
      <c r="K786" s="11">
        <f>IFERROR(__xludf.DUMMYFUNCTION("""COMPUTED_VALUE"""),1.0)</f>
        <v>1</v>
      </c>
    </row>
    <row r="787" ht="15.75" customHeight="1">
      <c r="A787" s="10" t="str">
        <f>IFERROR(__xludf.DUMMYFUNCTION("""COMPUTED_VALUE"""),"https://onelittleweb.com/top-agencies/top-ai-seo-agencies/")</f>
        <v>https://onelittleweb.com/top-agencies/top-ai-seo-agencies/</v>
      </c>
      <c r="B787" s="11" t="str">
        <f>IFERROR(__xludf.DUMMYFUNCTION("""COMPUTED_VALUE"""),"Top AI SEO Agencies 2026 – Best GEO &amp;amp; AI SEO Services")</f>
        <v>Top AI SEO Agencies 2026 – Best GEO &amp;amp; AI SEO Services</v>
      </c>
      <c r="C787" s="10" t="str">
        <f>IFERROR(__xludf.DUMMYFUNCTION("""COMPUTED_VALUE"""),"onelittleweb.com")</f>
        <v>onelittleweb.com</v>
      </c>
      <c r="D787" s="11" t="str">
        <f>IFERROR(__xludf.DUMMYFUNCTION("""COMPUTED_VALUE"""),"LISTICLE")</f>
        <v>LISTICLE</v>
      </c>
      <c r="E787" s="11" t="str">
        <f>IFERROR(__xludf.DUMMYFUNCTION("""COMPUTED_VALUE"""),"CORPORATE")</f>
        <v>CORPORATE</v>
      </c>
      <c r="F787" s="11" t="str">
        <f>IFERROR(__xludf.DUMMYFUNCTION("""COMPUTED_VALUE"""),"Listicle")</f>
        <v>Listicle</v>
      </c>
      <c r="G787" s="11" t="b">
        <f>IFERROR(__xludf.DUMMYFUNCTION("""COMPUTED_VALUE"""),FALSE)</f>
        <v>0</v>
      </c>
      <c r="H787" s="11" t="str">
        <f>IFERROR(__xludf.DUMMYFUNCTION("""COMPUTED_VALUE"""),"WebFX, Intero Digital, Measured, Clutch, SmartSites, Funnel Boost Media, Elit-Web, The SEO Works, Momentum, Directive, Ignite Visibility")</f>
        <v>WebFX, Intero Digital, Measured, Clutch, SmartSites, Funnel Boost Media, Elit-Web, The SEO Works, Momentum, Directive, Ignite Visibility</v>
      </c>
      <c r="I787" s="11">
        <f>IFERROR(__xludf.DUMMYFUNCTION("""COMPUTED_VALUE"""),1.0)</f>
        <v>1</v>
      </c>
      <c r="J787" s="11">
        <f>IFERROR(__xludf.DUMMYFUNCTION("""COMPUTED_VALUE"""),0.0)</f>
        <v>0</v>
      </c>
      <c r="K787" s="11">
        <f>IFERROR(__xludf.DUMMYFUNCTION("""COMPUTED_VALUE"""),1.0)</f>
        <v>1</v>
      </c>
    </row>
    <row r="788" ht="15.75" customHeight="1">
      <c r="A788" s="10" t="str">
        <f>IFERROR(__xludf.DUMMYFUNCTION("""COMPUTED_VALUE"""),"https://www.onely.com/blog/best-geo-agencies-for-enterprise-brands/")</f>
        <v>https://www.onely.com/blog/best-geo-agencies-for-enterprise-brands/</v>
      </c>
      <c r="B788" s="11" t="str">
        <f>IFERROR(__xludf.DUMMYFUNCTION("""COMPUTED_VALUE"""),"6 Best GEO Agencies for Enterprise Brands (2026) - Onely")</f>
        <v>6 Best GEO Agencies for Enterprise Brands (2026) - Onely</v>
      </c>
      <c r="C788" s="10" t="str">
        <f>IFERROR(__xludf.DUMMYFUNCTION("""COMPUTED_VALUE"""),"onely.com")</f>
        <v>onely.com</v>
      </c>
      <c r="D788" s="11" t="str">
        <f>IFERROR(__xludf.DUMMYFUNCTION("""COMPUTED_VALUE"""),"LISTICLE")</f>
        <v>LISTICLE</v>
      </c>
      <c r="E788" s="11" t="str">
        <f>IFERROR(__xludf.DUMMYFUNCTION("""COMPUTED_VALUE"""),"CORPORATE")</f>
        <v>CORPORATE</v>
      </c>
      <c r="F788" s="11" t="str">
        <f>IFERROR(__xludf.DUMMYFUNCTION("""COMPUTED_VALUE"""),"Listicle")</f>
        <v>Listicle</v>
      </c>
      <c r="G788" s="11" t="b">
        <f>IFERROR(__xludf.DUMMYFUNCTION("""COMPUTED_VALUE"""),FALSE)</f>
        <v>0</v>
      </c>
      <c r="H788" s="11" t="str">
        <f>IFERROR(__xludf.DUMMYFUNCTION("""COMPUTED_VALUE"""),"First Page Sage, iPullRank, Go Fish Digital, Siege Media, Intero Digital, Clutch")</f>
        <v>First Page Sage, iPullRank, Go Fish Digital, Siege Media, Intero Digital, Clutch</v>
      </c>
      <c r="I788" s="11">
        <f>IFERROR(__xludf.DUMMYFUNCTION("""COMPUTED_VALUE"""),1.0)</f>
        <v>1</v>
      </c>
      <c r="J788" s="11">
        <f>IFERROR(__xludf.DUMMYFUNCTION("""COMPUTED_VALUE"""),0.0)</f>
        <v>0</v>
      </c>
      <c r="K788" s="11">
        <f>IFERROR(__xludf.DUMMYFUNCTION("""COMPUTED_VALUE"""),0.0)</f>
        <v>0</v>
      </c>
    </row>
    <row r="789" ht="15.75" customHeight="1">
      <c r="A789" s="10" t="str">
        <f>IFERROR(__xludf.DUMMYFUNCTION("""COMPUTED_VALUE"""),"https://onlineoptimism.com/learn/the-best-aeo-agencies-for-b2b-companies/")</f>
        <v>https://onlineoptimism.com/learn/the-best-aeo-agencies-for-b2b-companies/</v>
      </c>
      <c r="B789" s="11" t="str">
        <f>IFERROR(__xludf.DUMMYFUNCTION("""COMPUTED_VALUE"""),"The Best AEO Agencies for B2B Companies | Online Optimism")</f>
        <v>The Best AEO Agencies for B2B Companies | Online Optimism</v>
      </c>
      <c r="C789" s="10" t="str">
        <f>IFERROR(__xludf.DUMMYFUNCTION("""COMPUTED_VALUE"""),"onlineoptimism.com")</f>
        <v>onlineoptimism.com</v>
      </c>
      <c r="D789" s="11" t="str">
        <f>IFERROR(__xludf.DUMMYFUNCTION("""COMPUTED_VALUE"""),"LISTICLE")</f>
        <v>LISTICLE</v>
      </c>
      <c r="E789" s="11" t="str">
        <f>IFERROR(__xludf.DUMMYFUNCTION("""COMPUTED_VALUE"""),"CORPORATE")</f>
        <v>CORPORATE</v>
      </c>
      <c r="F789" s="11" t="str">
        <f>IFERROR(__xludf.DUMMYFUNCTION("""COMPUTED_VALUE"""),"Listicle")</f>
        <v>Listicle</v>
      </c>
      <c r="G789" s="11" t="b">
        <f>IFERROR(__xludf.DUMMYFUNCTION("""COMPUTED_VALUE"""),FALSE)</f>
        <v>0</v>
      </c>
      <c r="H789" s="11" t="str">
        <f>IFERROR(__xludf.DUMMYFUNCTION("""COMPUTED_VALUE"""),"Optimist")</f>
        <v>Optimist</v>
      </c>
      <c r="I789" s="11">
        <f>IFERROR(__xludf.DUMMYFUNCTION("""COMPUTED_VALUE"""),1.0)</f>
        <v>1</v>
      </c>
      <c r="J789" s="11">
        <f>IFERROR(__xludf.DUMMYFUNCTION("""COMPUTED_VALUE"""),0.0)</f>
        <v>0</v>
      </c>
      <c r="K789" s="11">
        <f>IFERROR(__xludf.DUMMYFUNCTION("""COMPUTED_VALUE"""),1.0)</f>
        <v>1</v>
      </c>
    </row>
    <row r="790" ht="15.75" customHeight="1">
      <c r="A790" s="10" t="str">
        <f>IFERROR(__xludf.DUMMYFUNCTION("""COMPUTED_VALUE"""),"https://openmoves.com/blog/the-50-best-b2b-social-media-companies/")</f>
        <v>https://openmoves.com/blog/the-50-best-b2b-social-media-companies/</v>
      </c>
      <c r="B790" s="11" t="str">
        <f>IFERROR(__xludf.DUMMYFUNCTION("""COMPUTED_VALUE"""),"The 50 Best BtoB Social Media Companies - OpenMoves - Digital Marketing Agency NY")</f>
        <v>The 50 Best BtoB Social Media Companies - OpenMoves - Digital Marketing Agency NY</v>
      </c>
      <c r="C790" s="10" t="str">
        <f>IFERROR(__xludf.DUMMYFUNCTION("""COMPUTED_VALUE"""),"openmoves.com")</f>
        <v>openmoves.com</v>
      </c>
      <c r="D790" s="11" t="str">
        <f>IFERROR(__xludf.DUMMYFUNCTION("""COMPUTED_VALUE"""),"LISTICLE")</f>
        <v>LISTICLE</v>
      </c>
      <c r="E790" s="11" t="str">
        <f>IFERROR(__xludf.DUMMYFUNCTION("""COMPUTED_VALUE"""),"CORPORATE")</f>
        <v>CORPORATE</v>
      </c>
      <c r="F790" s="11" t="str">
        <f>IFERROR(__xludf.DUMMYFUNCTION("""COMPUTED_VALUE"""),"Listicle")</f>
        <v>Listicle</v>
      </c>
      <c r="G790" s="11" t="b">
        <f>IFERROR(__xludf.DUMMYFUNCTION("""COMPUTED_VALUE"""),FALSE)</f>
        <v>0</v>
      </c>
      <c r="H790" s="11" t="str">
        <f>IFERROR(__xludf.DUMMYFUNCTION("""COMPUTED_VALUE"""),"WebFX, Clutch, The Social Shepherd, Sociallyin, Single Grain, Directive, Jellyfish, Intero Digital, Merkle, Ignite Visibility, Silverback Strategies, Power Digital, LYFE Marketing, Wpromote, Tinuiti")</f>
        <v>WebFX, Clutch, The Social Shepherd, Sociallyin, Single Grain, Directive, Jellyfish, Intero Digital, Merkle, Ignite Visibility, Silverback Strategies, Power Digital, LYFE Marketing, Wpromote, Tinuiti</v>
      </c>
      <c r="I790" s="11">
        <f>IFERROR(__xludf.DUMMYFUNCTION("""COMPUTED_VALUE"""),1.0)</f>
        <v>1</v>
      </c>
      <c r="J790" s="11">
        <f>IFERROR(__xludf.DUMMYFUNCTION("""COMPUTED_VALUE"""),0.0)</f>
        <v>0</v>
      </c>
      <c r="K790" s="11">
        <f>IFERROR(__xludf.DUMMYFUNCTION("""COMPUTED_VALUE"""),1.0)</f>
        <v>1</v>
      </c>
    </row>
    <row r="791" ht="15.75" customHeight="1">
      <c r="A791" s="10" t="str">
        <f>IFERROR(__xludf.DUMMYFUNCTION("""COMPUTED_VALUE"""),"https://www.opinosis-analytics.com/blog/best-ai-consulting-firms/")</f>
        <v>https://www.opinosis-analytics.com/blog/best-ai-consulting-firms/</v>
      </c>
      <c r="B791" s="11" t="str">
        <f>IFERROR(__xludf.DUMMYFUNCTION("""COMPUTED_VALUE"""),"Best AI Consulting Firms in 2026: 10 Options to Consider &amp;amp; How to Choose the Right One for Your Business | Opinosis Analytics")</f>
        <v>Best AI Consulting Firms in 2026: 10 Options to Consider &amp;amp; How to Choose the Right One for Your Business | Opinosis Analytics</v>
      </c>
      <c r="C791" s="10" t="str">
        <f>IFERROR(__xludf.DUMMYFUNCTION("""COMPUTED_VALUE"""),"opinosis-analytics.com")</f>
        <v>opinosis-analytics.com</v>
      </c>
      <c r="D791" s="11" t="str">
        <f>IFERROR(__xludf.DUMMYFUNCTION("""COMPUTED_VALUE"""),"LISTICLE")</f>
        <v>LISTICLE</v>
      </c>
      <c r="E791" s="11" t="str">
        <f>IFERROR(__xludf.DUMMYFUNCTION("""COMPUTED_VALUE"""),"CORPORATE")</f>
        <v>CORPORATE</v>
      </c>
      <c r="F791" s="11" t="str">
        <f>IFERROR(__xludf.DUMMYFUNCTION("""COMPUTED_VALUE"""),"Listicle")</f>
        <v>Listicle</v>
      </c>
      <c r="G791" s="11" t="b">
        <f>IFERROR(__xludf.DUMMYFUNCTION("""COMPUTED_VALUE"""),FALSE)</f>
        <v>0</v>
      </c>
      <c r="H791" s="11" t="str">
        <f>IFERROR(__xludf.DUMMYFUNCTION("""COMPUTED_VALUE"""),"IBM, McKinsey, QuantumBlack, BCG, PwC, Fractal Analytics, Bain &amp; Company")</f>
        <v>IBM, McKinsey, QuantumBlack, BCG, PwC, Fractal Analytics, Bain &amp; Company</v>
      </c>
      <c r="I791" s="11">
        <f>IFERROR(__xludf.DUMMYFUNCTION("""COMPUTED_VALUE"""),1.0)</f>
        <v>1</v>
      </c>
      <c r="J791" s="11">
        <f>IFERROR(__xludf.DUMMYFUNCTION("""COMPUTED_VALUE"""),0.0)</f>
        <v>0</v>
      </c>
      <c r="K791" s="11">
        <f>IFERROR(__xludf.DUMMYFUNCTION("""COMPUTED_VALUE"""),1.0)</f>
        <v>1</v>
      </c>
    </row>
    <row r="792" ht="15.75" customHeight="1">
      <c r="A792" s="10" t="str">
        <f>IFERROR(__xludf.DUMMYFUNCTION("""COMPUTED_VALUE"""),"https://orm-tech.com/blog/best-marketing-attribution-software/")</f>
        <v>https://orm-tech.com/blog/best-marketing-attribution-software/</v>
      </c>
      <c r="B792" s="11" t="str">
        <f>IFERROR(__xludf.DUMMYFUNCTION("""COMPUTED_VALUE"""),"9 Best Marketing Attribution Software for B2B (2026) | ORM")</f>
        <v>9 Best Marketing Attribution Software for B2B (2026) | ORM</v>
      </c>
      <c r="C792" s="10" t="str">
        <f>IFERROR(__xludf.DUMMYFUNCTION("""COMPUTED_VALUE"""),"orm-tech.com")</f>
        <v>orm-tech.com</v>
      </c>
      <c r="D792" s="11" t="str">
        <f>IFERROR(__xludf.DUMMYFUNCTION("""COMPUTED_VALUE"""),"LISTICLE")</f>
        <v>LISTICLE</v>
      </c>
      <c r="E792" s="11" t="str">
        <f>IFERROR(__xludf.DUMMYFUNCTION("""COMPUTED_VALUE"""),"CORPORATE")</f>
        <v>CORPORATE</v>
      </c>
      <c r="F792" s="11" t="str">
        <f>IFERROR(__xludf.DUMMYFUNCTION("""COMPUTED_VALUE"""),"Listicle")</f>
        <v>Listicle</v>
      </c>
      <c r="G792" s="11" t="b">
        <f>IFERROR(__xludf.DUMMYFUNCTION("""COMPUTED_VALUE"""),FALSE)</f>
        <v>0</v>
      </c>
      <c r="H792" s="11"/>
      <c r="I792" s="11">
        <f>IFERROR(__xludf.DUMMYFUNCTION("""COMPUTED_VALUE"""),1.0)</f>
        <v>1</v>
      </c>
      <c r="J792" s="11">
        <f>IFERROR(__xludf.DUMMYFUNCTION("""COMPUTED_VALUE"""),0.0)</f>
        <v>0</v>
      </c>
      <c r="K792" s="11">
        <f>IFERROR(__xludf.DUMMYFUNCTION("""COMPUTED_VALUE"""),1.0)</f>
        <v>1</v>
      </c>
    </row>
    <row r="793" ht="15.75" customHeight="1">
      <c r="A793" s="10" t="str">
        <f>IFERROR(__xludf.DUMMYFUNCTION("""COMPUTED_VALUE"""),"https://oski.site/blog/sales-and-marketing-analytics-usa/")</f>
        <v>https://oski.site/blog/sales-and-marketing-analytics-usa/</v>
      </c>
      <c r="B793" s="11" t="str">
        <f>IFERROR(__xludf.DUMMYFUNCTION("""COMPUTED_VALUE"""),"10 Best Sales and Marketing Analytics Companies in the USA (2026)")</f>
        <v>10 Best Sales and Marketing Analytics Companies in the USA (2026)</v>
      </c>
      <c r="C793" s="11" t="str">
        <f>IFERROR(__xludf.DUMMYFUNCTION("""COMPUTED_VALUE"""),"oski.site")</f>
        <v>oski.site</v>
      </c>
      <c r="D793" s="11" t="str">
        <f>IFERROR(__xludf.DUMMYFUNCTION("""COMPUTED_VALUE"""),"LISTICLE")</f>
        <v>LISTICLE</v>
      </c>
      <c r="E793" s="11" t="str">
        <f>IFERROR(__xludf.DUMMYFUNCTION("""COMPUTED_VALUE"""),"OTHER")</f>
        <v>OTHER</v>
      </c>
      <c r="F793" s="11" t="str">
        <f>IFERROR(__xludf.DUMMYFUNCTION("""COMPUTED_VALUE"""),"Listicle")</f>
        <v>Listicle</v>
      </c>
      <c r="G793" s="11" t="b">
        <f>IFERROR(__xludf.DUMMYFUNCTION("""COMPUTED_VALUE"""),FALSE)</f>
        <v>0</v>
      </c>
      <c r="H793" s="11" t="str">
        <f>IFERROR(__xludf.DUMMYFUNCTION("""COMPUTED_VALUE"""),"Circana")</f>
        <v>Circana</v>
      </c>
      <c r="I793" s="11">
        <f>IFERROR(__xludf.DUMMYFUNCTION("""COMPUTED_VALUE"""),1.0)</f>
        <v>1</v>
      </c>
      <c r="J793" s="11">
        <f>IFERROR(__xludf.DUMMYFUNCTION("""COMPUTED_VALUE"""),0.0)</f>
        <v>0</v>
      </c>
      <c r="K793" s="11">
        <f>IFERROR(__xludf.DUMMYFUNCTION("""COMPUTED_VALUE"""),1.0)</f>
        <v>1</v>
      </c>
    </row>
    <row r="794" ht="15.75" customHeight="1">
      <c r="A794" s="10" t="str">
        <f>IFERROR(__xludf.DUMMYFUNCTION("""COMPUTED_VALUE"""),"https://ossisto.com/blog/display-advertising-companies/")</f>
        <v>https://ossisto.com/blog/display-advertising-companies/</v>
      </c>
      <c r="B794" s="11" t="str">
        <f>IFERROR(__xludf.DUMMYFUNCTION("""COMPUTED_VALUE"""),"10 Best Display Advertising Companies for 2026")</f>
        <v>10 Best Display Advertising Companies for 2026</v>
      </c>
      <c r="C794" s="10" t="str">
        <f>IFERROR(__xludf.DUMMYFUNCTION("""COMPUTED_VALUE"""),"ossisto.com")</f>
        <v>ossisto.com</v>
      </c>
      <c r="D794" s="11" t="str">
        <f>IFERROR(__xludf.DUMMYFUNCTION("""COMPUTED_VALUE"""),"LISTICLE")</f>
        <v>LISTICLE</v>
      </c>
      <c r="E794" s="11" t="str">
        <f>IFERROR(__xludf.DUMMYFUNCTION("""COMPUTED_VALUE"""),"CORPORATE")</f>
        <v>CORPORATE</v>
      </c>
      <c r="F794" s="11" t="str">
        <f>IFERROR(__xludf.DUMMYFUNCTION("""COMPUTED_VALUE"""),"Listicle")</f>
        <v>Listicle</v>
      </c>
      <c r="G794" s="11" t="b">
        <f>IFERROR(__xludf.DUMMYFUNCTION("""COMPUTED_VALUE"""),FALSE)</f>
        <v>0</v>
      </c>
      <c r="H794" s="11" t="str">
        <f>IFERROR(__xludf.DUMMYFUNCTION("""COMPUTED_VALUE"""),"Measured")</f>
        <v>Measured</v>
      </c>
      <c r="I794" s="11">
        <f>IFERROR(__xludf.DUMMYFUNCTION("""COMPUTED_VALUE"""),1.0)</f>
        <v>1</v>
      </c>
      <c r="J794" s="11">
        <f>IFERROR(__xludf.DUMMYFUNCTION("""COMPUTED_VALUE"""),0.0)</f>
        <v>0</v>
      </c>
      <c r="K794" s="11">
        <f>IFERROR(__xludf.DUMMYFUNCTION("""COMPUTED_VALUE"""),0.0)</f>
        <v>0</v>
      </c>
    </row>
    <row r="795" ht="15.75" customHeight="1">
      <c r="A795" s="10" t="str">
        <f>IFERROR(__xludf.DUMMYFUNCTION("""COMPUTED_VALUE"""),"https://outpaceseo.com/article/best-seo-agencies/")</f>
        <v>https://outpaceseo.com/article/best-seo-agencies/</v>
      </c>
      <c r="B795" s="11" t="str">
        <f>IFERROR(__xludf.DUMMYFUNCTION("""COMPUTED_VALUE"""),"25 Best SEO Agencies in the US [2026] - Top SEO Companies Reviewed")</f>
        <v>25 Best SEO Agencies in the US [2026] - Top SEO Companies Reviewed</v>
      </c>
      <c r="C795" s="10" t="str">
        <f>IFERROR(__xludf.DUMMYFUNCTION("""COMPUTED_VALUE"""),"outpaceseo.com")</f>
        <v>outpaceseo.com</v>
      </c>
      <c r="D795" s="11" t="str">
        <f>IFERROR(__xludf.DUMMYFUNCTION("""COMPUTED_VALUE"""),"LISTICLE")</f>
        <v>LISTICLE</v>
      </c>
      <c r="E795" s="11" t="str">
        <f>IFERROR(__xludf.DUMMYFUNCTION("""COMPUTED_VALUE"""),"CORPORATE")</f>
        <v>CORPORATE</v>
      </c>
      <c r="F795" s="11" t="str">
        <f>IFERROR(__xludf.DUMMYFUNCTION("""COMPUTED_VALUE"""),"Listicle")</f>
        <v>Listicle</v>
      </c>
      <c r="G795" s="11" t="b">
        <f>IFERROR(__xludf.DUMMYFUNCTION("""COMPUTED_VALUE"""),FALSE)</f>
        <v>0</v>
      </c>
      <c r="H795" s="11" t="str">
        <f>IFERROR(__xludf.DUMMYFUNCTION("""COMPUTED_VALUE"""),"WebFX, SmartSites, Ignite Visibility, Searchbloom, Victorious, HawkSEM, Funnel Boost Media, First Page Sage, Darkroom, Clay, Momentum, Clutch")</f>
        <v>WebFX, SmartSites, Ignite Visibility, Searchbloom, Victorious, HawkSEM, Funnel Boost Media, First Page Sage, Darkroom, Clay, Momentum, Clutch</v>
      </c>
      <c r="I795" s="11">
        <f>IFERROR(__xludf.DUMMYFUNCTION("""COMPUTED_VALUE"""),1.0)</f>
        <v>1</v>
      </c>
      <c r="J795" s="11">
        <f>IFERROR(__xludf.DUMMYFUNCTION("""COMPUTED_VALUE"""),0.0)</f>
        <v>0</v>
      </c>
      <c r="K795" s="11">
        <f>IFERROR(__xludf.DUMMYFUNCTION("""COMPUTED_VALUE"""),1.0)</f>
        <v>1</v>
      </c>
    </row>
    <row r="796" ht="15.75" customHeight="1">
      <c r="A796" s="10" t="str">
        <f>IFERROR(__xludf.DUMMYFUNCTION("""COMPUTED_VALUE"""),"https://outreachz.com/blog/10-best-ai-seo-agencies-in-2026/")</f>
        <v>https://outreachz.com/blog/10-best-ai-seo-agencies-in-2026/</v>
      </c>
      <c r="B796" s="11" t="str">
        <f>IFERROR(__xludf.DUMMYFUNCTION("""COMPUTED_VALUE"""),"10 Best AI SEO Agencies in 2026: Top Firms for AI Search, AEO, and GEO")</f>
        <v>10 Best AI SEO Agencies in 2026: Top Firms for AI Search, AEO, and GEO</v>
      </c>
      <c r="C796" s="10" t="str">
        <f>IFERROR(__xludf.DUMMYFUNCTION("""COMPUTED_VALUE"""),"outreachz.com")</f>
        <v>outreachz.com</v>
      </c>
      <c r="D796" s="11" t="str">
        <f>IFERROR(__xludf.DUMMYFUNCTION("""COMPUTED_VALUE"""),"LISTICLE")</f>
        <v>LISTICLE</v>
      </c>
      <c r="E796" s="11" t="str">
        <f>IFERROR(__xludf.DUMMYFUNCTION("""COMPUTED_VALUE"""),"CORPORATE")</f>
        <v>CORPORATE</v>
      </c>
      <c r="F796" s="11" t="str">
        <f>IFERROR(__xludf.DUMMYFUNCTION("""COMPUTED_VALUE"""),"Listicle")</f>
        <v>Listicle</v>
      </c>
      <c r="G796" s="11" t="b">
        <f>IFERROR(__xludf.DUMMYFUNCTION("""COMPUTED_VALUE"""),FALSE)</f>
        <v>0</v>
      </c>
      <c r="H796" s="11" t="str">
        <f>IFERROR(__xludf.DUMMYFUNCTION("""COMPUTED_VALUE"""),"First Page Sage, NoGood, WebFX, Directive, Amsive, Victorious, iPullRank, Searchbloom")</f>
        <v>First Page Sage, NoGood, WebFX, Directive, Amsive, Victorious, iPullRank, Searchbloom</v>
      </c>
      <c r="I796" s="11">
        <f>IFERROR(__xludf.DUMMYFUNCTION("""COMPUTED_VALUE"""),1.0)</f>
        <v>1</v>
      </c>
      <c r="J796" s="11">
        <f>IFERROR(__xludf.DUMMYFUNCTION("""COMPUTED_VALUE"""),0.0)</f>
        <v>0</v>
      </c>
      <c r="K796" s="11">
        <f>IFERROR(__xludf.DUMMYFUNCTION("""COMPUTED_VALUE"""),0.0)</f>
        <v>0</v>
      </c>
    </row>
    <row r="797" ht="15.75" customHeight="1">
      <c r="A797" s="10" t="str">
        <f>IFERROR(__xludf.DUMMYFUNCTION("""COMPUTED_VALUE"""),"https://www.outsourceaccelerator.com/guide/top-digital-marketing-companies-in-the-us/")</f>
        <v>https://www.outsourceaccelerator.com/guide/top-digital-marketing-companies-in-the-us/</v>
      </c>
      <c r="B797" s="11" t="str">
        <f>IFERROR(__xludf.DUMMYFUNCTION("""COMPUTED_VALUE"""),"Top 50 digital marketing companies in the US | Outsource Accelerator")</f>
        <v>Top 50 digital marketing companies in the US | Outsource Accelerator</v>
      </c>
      <c r="C797" s="10" t="str">
        <f>IFERROR(__xludf.DUMMYFUNCTION("""COMPUTED_VALUE"""),"outsourceaccelerator.com")</f>
        <v>outsourceaccelerator.com</v>
      </c>
      <c r="D797" s="11" t="str">
        <f>IFERROR(__xludf.DUMMYFUNCTION("""COMPUTED_VALUE"""),"LISTICLE")</f>
        <v>LISTICLE</v>
      </c>
      <c r="E797" s="11" t="str">
        <f>IFERROR(__xludf.DUMMYFUNCTION("""COMPUTED_VALUE"""),"INSTITUTIONAL")</f>
        <v>INSTITUTIONAL</v>
      </c>
      <c r="F797" s="11" t="str">
        <f>IFERROR(__xludf.DUMMYFUNCTION("""COMPUTED_VALUE"""),"Listicle")</f>
        <v>Listicle</v>
      </c>
      <c r="G797" s="11" t="b">
        <f>IFERROR(__xludf.DUMMYFUNCTION("""COMPUTED_VALUE"""),FALSE)</f>
        <v>0</v>
      </c>
      <c r="H797" s="11" t="str">
        <f>IFERROR(__xludf.DUMMYFUNCTION("""COMPUTED_VALUE"""),"WebFX, LYFE Marketing, Ignite Visibility, SmartSites, VaynerMedia, Merkle")</f>
        <v>WebFX, LYFE Marketing, Ignite Visibility, SmartSites, VaynerMedia, Merkle</v>
      </c>
      <c r="I797" s="11">
        <f>IFERROR(__xludf.DUMMYFUNCTION("""COMPUTED_VALUE"""),1.0)</f>
        <v>1</v>
      </c>
      <c r="J797" s="11">
        <f>IFERROR(__xludf.DUMMYFUNCTION("""COMPUTED_VALUE"""),0.0)</f>
        <v>0</v>
      </c>
      <c r="K797" s="11">
        <f>IFERROR(__xludf.DUMMYFUNCTION("""COMPUTED_VALUE"""),0.0)</f>
        <v>0</v>
      </c>
    </row>
    <row r="798" ht="15.75" customHeight="1">
      <c r="A798" s="10" t="str">
        <f>IFERROR(__xludf.DUMMYFUNCTION("""COMPUTED_VALUE"""),"https://www.patientprism.com/blog/best-marketing-attribution-tools-healthcare/")</f>
        <v>https://www.patientprism.com/blog/best-marketing-attribution-tools-healthcare/</v>
      </c>
      <c r="B798" s="11" t="str">
        <f>IFERROR(__xludf.DUMMYFUNCTION("""COMPUTED_VALUE"""),"Best Marketing Attribution Tools for Healthcare (Revenue-Focused Comparison): 2026 - Patient Prism")</f>
        <v>Best Marketing Attribution Tools for Healthcare (Revenue-Focused Comparison): 2026 - Patient Prism</v>
      </c>
      <c r="C798" s="10" t="str">
        <f>IFERROR(__xludf.DUMMYFUNCTION("""COMPUTED_VALUE"""),"patientprism.com")</f>
        <v>patientprism.com</v>
      </c>
      <c r="D798" s="11" t="str">
        <f>IFERROR(__xludf.DUMMYFUNCTION("""COMPUTED_VALUE"""),"LISTICLE")</f>
        <v>LISTICLE</v>
      </c>
      <c r="E798" s="11" t="str">
        <f>IFERROR(__xludf.DUMMYFUNCTION("""COMPUTED_VALUE"""),"CORPORATE")</f>
        <v>CORPORATE</v>
      </c>
      <c r="F798" s="11" t="str">
        <f>IFERROR(__xludf.DUMMYFUNCTION("""COMPUTED_VALUE"""),"Listicle")</f>
        <v>Listicle</v>
      </c>
      <c r="G798" s="11" t="b">
        <f>IFERROR(__xludf.DUMMYFUNCTION("""COMPUTED_VALUE"""),FALSE)</f>
        <v>0</v>
      </c>
      <c r="H798" s="11" t="str">
        <f>IFERROR(__xludf.DUMMYFUNCTION("""COMPUTED_VALUE"""),"Ruler Analytics, HockeyStack")</f>
        <v>Ruler Analytics, HockeyStack</v>
      </c>
      <c r="I798" s="11">
        <f>IFERROR(__xludf.DUMMYFUNCTION("""COMPUTED_VALUE"""),1.0)</f>
        <v>1</v>
      </c>
      <c r="J798" s="11">
        <f>IFERROR(__xludf.DUMMYFUNCTION("""COMPUTED_VALUE"""),0.0)</f>
        <v>0</v>
      </c>
      <c r="K798" s="11">
        <f>IFERROR(__xludf.DUMMYFUNCTION("""COMPUTED_VALUE"""),1.0)</f>
        <v>1</v>
      </c>
    </row>
    <row r="799" ht="15.75" customHeight="1">
      <c r="A799" s="10" t="str">
        <f>IFERROR(__xludf.DUMMYFUNCTION("""COMPUTED_VALUE"""),"https://pearllemonleads.com/top-10-lead-generation-companies/")</f>
        <v>https://pearllemonleads.com/top-10-lead-generation-companies/</v>
      </c>
      <c r="B799" s="11" t="str">
        <f>IFERROR(__xludf.DUMMYFUNCTION("""COMPUTED_VALUE"""),"10 Leading Lead Generation Companies for Small Businesses")</f>
        <v>10 Leading Lead Generation Companies for Small Businesses</v>
      </c>
      <c r="C799" s="10" t="str">
        <f>IFERROR(__xludf.DUMMYFUNCTION("""COMPUTED_VALUE"""),"pearllemonleads.com")</f>
        <v>pearllemonleads.com</v>
      </c>
      <c r="D799" s="11" t="str">
        <f>IFERROR(__xludf.DUMMYFUNCTION("""COMPUTED_VALUE"""),"LISTICLE")</f>
        <v>LISTICLE</v>
      </c>
      <c r="E799" s="11" t="str">
        <f>IFERROR(__xludf.DUMMYFUNCTION("""COMPUTED_VALUE"""),"CORPORATE")</f>
        <v>CORPORATE</v>
      </c>
      <c r="F799" s="11" t="str">
        <f>IFERROR(__xludf.DUMMYFUNCTION("""COMPUTED_VALUE"""),"Listicle")</f>
        <v>Listicle</v>
      </c>
      <c r="G799" s="11" t="b">
        <f>IFERROR(__xludf.DUMMYFUNCTION("""COMPUTED_VALUE"""),FALSE)</f>
        <v>0</v>
      </c>
      <c r="H799" s="11" t="str">
        <f>IFERROR(__xludf.DUMMYFUNCTION("""COMPUTED_VALUE"""),"DEPT")</f>
        <v>DEPT</v>
      </c>
      <c r="I799" s="11">
        <f>IFERROR(__xludf.DUMMYFUNCTION("""COMPUTED_VALUE"""),1.0)</f>
        <v>1</v>
      </c>
      <c r="J799" s="11">
        <f>IFERROR(__xludf.DUMMYFUNCTION("""COMPUTED_VALUE"""),0.0)</f>
        <v>0</v>
      </c>
      <c r="K799" s="11">
        <f>IFERROR(__xludf.DUMMYFUNCTION("""COMPUTED_VALUE"""),1.0)</f>
        <v>1</v>
      </c>
    </row>
    <row r="800" ht="15.75" customHeight="1">
      <c r="A800" s="10" t="str">
        <f>IFERROR(__xludf.DUMMYFUNCTION("""COMPUTED_VALUE"""),"https://www.pedowitzgroup.com/blog/best-revenue-marketing-consulting-firms-for-fortune-1000-enterprises?hs_amp=true")</f>
        <v>https://www.pedowitzgroup.com/blog/best-revenue-marketing-consulting-firms-for-fortune-1000-enterprises?hs_amp=true</v>
      </c>
      <c r="B800" s="11" t="str">
        <f>IFERROR(__xludf.DUMMYFUNCTION("""COMPUTED_VALUE"""),"Best Revenue Marketing Consulting Firms for Fortune 1000 Enterprises")</f>
        <v>Best Revenue Marketing Consulting Firms for Fortune 1000 Enterprises</v>
      </c>
      <c r="C800" s="10" t="str">
        <f>IFERROR(__xludf.DUMMYFUNCTION("""COMPUTED_VALUE"""),"pedowitzgroup.com")</f>
        <v>pedowitzgroup.com</v>
      </c>
      <c r="D800" s="11" t="str">
        <f>IFERROR(__xludf.DUMMYFUNCTION("""COMPUTED_VALUE"""),"LISTICLE")</f>
        <v>LISTICLE</v>
      </c>
      <c r="E800" s="11" t="str">
        <f>IFERROR(__xludf.DUMMYFUNCTION("""COMPUTED_VALUE"""),"CORPORATE")</f>
        <v>CORPORATE</v>
      </c>
      <c r="F800" s="11" t="str">
        <f>IFERROR(__xludf.DUMMYFUNCTION("""COMPUTED_VALUE"""),"Listicle")</f>
        <v>Listicle</v>
      </c>
      <c r="G800" s="11" t="b">
        <f>IFERROR(__xludf.DUMMYFUNCTION("""COMPUTED_VALUE"""),FALSE)</f>
        <v>0</v>
      </c>
      <c r="H800" s="11" t="str">
        <f>IFERROR(__xludf.DUMMYFUNCTION("""COMPUTED_VALUE"""),"IBM, Accenture Song, Deloitte Digital, PwC, Publicis Sapient, Slalom, Merkle, Dentsu, McKinsey, BCG")</f>
        <v>IBM, Accenture Song, Deloitte Digital, PwC, Publicis Sapient, Slalom, Merkle, Dentsu, McKinsey, BCG</v>
      </c>
      <c r="I800" s="11">
        <f>IFERROR(__xludf.DUMMYFUNCTION("""COMPUTED_VALUE"""),1.0)</f>
        <v>1</v>
      </c>
      <c r="J800" s="11">
        <f>IFERROR(__xludf.DUMMYFUNCTION("""COMPUTED_VALUE"""),0.0)</f>
        <v>0</v>
      </c>
      <c r="K800" s="11">
        <f>IFERROR(__xludf.DUMMYFUNCTION("""COMPUTED_VALUE"""),0.0)</f>
        <v>0</v>
      </c>
    </row>
    <row r="801" ht="15.75" customHeight="1">
      <c r="A801" s="10" t="str">
        <f>IFERROR(__xludf.DUMMYFUNCTION("""COMPUTED_VALUE"""),"https://www.phable.io/top-creative-agencies/leading-creative-agencies-in-new-york-masters-of-branding-content-creation-and-digital-innovation")</f>
        <v>https://www.phable.io/top-creative-agencies/leading-creative-agencies-in-new-york-masters-of-branding-content-creation-and-digital-innovation</v>
      </c>
      <c r="B801" s="11" t="str">
        <f>IFERROR(__xludf.DUMMYFUNCTION("""COMPUTED_VALUE"""),"Top Creative Agencies in New York | Leaders in Branding and Digital Innovation — Branding And Content Marketing For Technology")</f>
        <v>Top Creative Agencies in New York | Leaders in Branding and Digital Innovation — Branding And Content Marketing For Technology</v>
      </c>
      <c r="C801" s="10" t="str">
        <f>IFERROR(__xludf.DUMMYFUNCTION("""COMPUTED_VALUE"""),"phable.io")</f>
        <v>phable.io</v>
      </c>
      <c r="D801" s="11" t="str">
        <f>IFERROR(__xludf.DUMMYFUNCTION("""COMPUTED_VALUE"""),"LISTICLE")</f>
        <v>LISTICLE</v>
      </c>
      <c r="E801" s="11" t="str">
        <f>IFERROR(__xludf.DUMMYFUNCTION("""COMPUTED_VALUE"""),"CORPORATE")</f>
        <v>CORPORATE</v>
      </c>
      <c r="F801" s="11" t="str">
        <f>IFERROR(__xludf.DUMMYFUNCTION("""COMPUTED_VALUE"""),"Listicle")</f>
        <v>Listicle</v>
      </c>
      <c r="G801" s="11" t="b">
        <f>IFERROR(__xludf.DUMMYFUNCTION("""COMPUTED_VALUE"""),FALSE)</f>
        <v>0</v>
      </c>
      <c r="H801" s="11" t="str">
        <f>IFERROR(__xludf.DUMMYFUNCTION("""COMPUTED_VALUE"""),"Pentagram, Huge, R/GA, Droga5, Wieden+Kennedy, Ogilvy, IBM, AKQA")</f>
        <v>Pentagram, Huge, R/GA, Droga5, Wieden+Kennedy, Ogilvy, IBM, AKQA</v>
      </c>
      <c r="I801" s="11">
        <f>IFERROR(__xludf.DUMMYFUNCTION("""COMPUTED_VALUE"""),1.0)</f>
        <v>1</v>
      </c>
      <c r="J801" s="11">
        <f>IFERROR(__xludf.DUMMYFUNCTION("""COMPUTED_VALUE"""),0.0)</f>
        <v>0</v>
      </c>
      <c r="K801" s="11">
        <f>IFERROR(__xludf.DUMMYFUNCTION("""COMPUTED_VALUE"""),1.0)</f>
        <v>1</v>
      </c>
    </row>
    <row r="802" ht="15.75" customHeight="1">
      <c r="A802" s="10" t="str">
        <f>IFERROR(__xludf.DUMMYFUNCTION("""COMPUTED_VALUE"""),"https://pipeline.zoominfo.com/marketing/digital-marketing-tools")</f>
        <v>https://pipeline.zoominfo.com/marketing/digital-marketing-tools</v>
      </c>
      <c r="B802" s="11" t="str">
        <f>IFERROR(__xludf.DUMMYFUNCTION("""COMPUTED_VALUE"""),"Digital Marketing Tools: 12 Best Platforms Compared for 2026")</f>
        <v>Digital Marketing Tools: 12 Best Platforms Compared for 2026</v>
      </c>
      <c r="C802" s="10" t="str">
        <f>IFERROR(__xludf.DUMMYFUNCTION("""COMPUTED_VALUE"""),"zoominfo.com")</f>
        <v>zoominfo.com</v>
      </c>
      <c r="D802" s="11" t="str">
        <f>IFERROR(__xludf.DUMMYFUNCTION("""COMPUTED_VALUE"""),"LISTICLE")</f>
        <v>LISTICLE</v>
      </c>
      <c r="E802" s="11" t="str">
        <f>IFERROR(__xludf.DUMMYFUNCTION("""COMPUTED_VALUE"""),"CORPORATE")</f>
        <v>CORPORATE</v>
      </c>
      <c r="F802" s="11" t="str">
        <f>IFERROR(__xludf.DUMMYFUNCTION("""COMPUTED_VALUE"""),"Listicle")</f>
        <v>Listicle</v>
      </c>
      <c r="G802" s="11" t="b">
        <f>IFERROR(__xludf.DUMMYFUNCTION("""COMPUTED_VALUE"""),FALSE)</f>
        <v>0</v>
      </c>
      <c r="H802" s="11"/>
      <c r="I802" s="11">
        <f>IFERROR(__xludf.DUMMYFUNCTION("""COMPUTED_VALUE"""),1.0)</f>
        <v>1</v>
      </c>
      <c r="J802" s="11">
        <f>IFERROR(__xludf.DUMMYFUNCTION("""COMPUTED_VALUE"""),0.0)</f>
        <v>0</v>
      </c>
      <c r="K802" s="11">
        <f>IFERROR(__xludf.DUMMYFUNCTION("""COMPUTED_VALUE"""),1.0)</f>
        <v>1</v>
      </c>
    </row>
    <row r="803" ht="15.75" customHeight="1">
      <c r="A803" s="10" t="str">
        <f>IFERROR(__xludf.DUMMYFUNCTION("""COMPUTED_VALUE"""),"https://www.pitchkitchen.com/best-ai-sales-marketing-agencies")</f>
        <v>https://www.pitchkitchen.com/best-ai-sales-marketing-agencies</v>
      </c>
      <c r="B803" s="11" t="str">
        <f>IFERROR(__xludf.DUMMYFUNCTION("""COMPUTED_VALUE"""),"Best AI Sales and Marketing Agencies for B2B in 2026 | PitchKitchen")</f>
        <v>Best AI Sales and Marketing Agencies for B2B in 2026 | PitchKitchen</v>
      </c>
      <c r="C803" s="10" t="str">
        <f>IFERROR(__xludf.DUMMYFUNCTION("""COMPUTED_VALUE"""),"pitchkitchen.com")</f>
        <v>pitchkitchen.com</v>
      </c>
      <c r="D803" s="11" t="str">
        <f>IFERROR(__xludf.DUMMYFUNCTION("""COMPUTED_VALUE"""),"LISTICLE")</f>
        <v>LISTICLE</v>
      </c>
      <c r="E803" s="11" t="str">
        <f>IFERROR(__xludf.DUMMYFUNCTION("""COMPUTED_VALUE"""),"CORPORATE")</f>
        <v>CORPORATE</v>
      </c>
      <c r="F803" s="11" t="str">
        <f>IFERROR(__xludf.DUMMYFUNCTION("""COMPUTED_VALUE"""),"Listicle")</f>
        <v>Listicle</v>
      </c>
      <c r="G803" s="11" t="b">
        <f>IFERROR(__xludf.DUMMYFUNCTION("""COMPUTED_VALUE"""),FALSE)</f>
        <v>0</v>
      </c>
      <c r="H803" s="11" t="str">
        <f>IFERROR(__xludf.DUMMYFUNCTION("""COMPUTED_VALUE"""),"Directive")</f>
        <v>Directive</v>
      </c>
      <c r="I803" s="11">
        <f>IFERROR(__xludf.DUMMYFUNCTION("""COMPUTED_VALUE"""),1.0)</f>
        <v>1</v>
      </c>
      <c r="J803" s="11">
        <f>IFERROR(__xludf.DUMMYFUNCTION("""COMPUTED_VALUE"""),0.0)</f>
        <v>0</v>
      </c>
      <c r="K803" s="11">
        <f>IFERROR(__xludf.DUMMYFUNCTION("""COMPUTED_VALUE"""),0.0)</f>
        <v>0</v>
      </c>
    </row>
    <row r="804" ht="15.75" customHeight="1">
      <c r="A804" s="10" t="str">
        <f>IFERROR(__xludf.DUMMYFUNCTION("""COMPUTED_VALUE"""),"https://www.pleiadesconsultancy.com/blog/best-ai-search-agencies-2026")</f>
        <v>https://www.pleiadesconsultancy.com/blog/best-ai-search-agencies-2026</v>
      </c>
      <c r="B804" s="11" t="str">
        <f>IFERROR(__xludf.DUMMYFUNCTION("""COMPUTED_VALUE"""),"Best AI Search Optimization Agencies in 2026, Compared")</f>
        <v>Best AI Search Optimization Agencies in 2026, Compared</v>
      </c>
      <c r="C804" s="10" t="str">
        <f>IFERROR(__xludf.DUMMYFUNCTION("""COMPUTED_VALUE"""),"pleiadesconsultancy.com")</f>
        <v>pleiadesconsultancy.com</v>
      </c>
      <c r="D804" s="11" t="str">
        <f>IFERROR(__xludf.DUMMYFUNCTION("""COMPUTED_VALUE"""),"LISTICLE")</f>
        <v>LISTICLE</v>
      </c>
      <c r="E804" s="11" t="str">
        <f>IFERROR(__xludf.DUMMYFUNCTION("""COMPUTED_VALUE"""),"CORPORATE")</f>
        <v>CORPORATE</v>
      </c>
      <c r="F804" s="11" t="str">
        <f>IFERROR(__xludf.DUMMYFUNCTION("""COMPUTED_VALUE"""),"Listicle")</f>
        <v>Listicle</v>
      </c>
      <c r="G804" s="11" t="b">
        <f>IFERROR(__xludf.DUMMYFUNCTION("""COMPUTED_VALUE"""),FALSE)</f>
        <v>0</v>
      </c>
      <c r="H804" s="11"/>
      <c r="I804" s="11">
        <f>IFERROR(__xludf.DUMMYFUNCTION("""COMPUTED_VALUE"""),1.0)</f>
        <v>1</v>
      </c>
      <c r="J804" s="11">
        <f>IFERROR(__xludf.DUMMYFUNCTION("""COMPUTED_VALUE"""),0.0)</f>
        <v>0</v>
      </c>
      <c r="K804" s="11">
        <f>IFERROR(__xludf.DUMMYFUNCTION("""COMPUTED_VALUE"""),0.0)</f>
        <v>0</v>
      </c>
    </row>
    <row r="805" ht="15.75" customHeight="1">
      <c r="A805" s="10" t="str">
        <f>IFERROR(__xludf.DUMMYFUNCTION("""COMPUTED_VALUE"""),"https://www.plerdy.com/blog/performance-marketing/")</f>
        <v>https://www.plerdy.com/blog/performance-marketing/</v>
      </c>
      <c r="B805" s="11" t="str">
        <f>IFERROR(__xludf.DUMMYFUNCTION("""COMPUTED_VALUE"""),"Top 15 Performance Marketing Agencies – Plerdy")</f>
        <v>Top 15 Performance Marketing Agencies – Plerdy</v>
      </c>
      <c r="C805" s="10" t="str">
        <f>IFERROR(__xludf.DUMMYFUNCTION("""COMPUTED_VALUE"""),"plerdy.com")</f>
        <v>plerdy.com</v>
      </c>
      <c r="D805" s="11" t="str">
        <f>IFERROR(__xludf.DUMMYFUNCTION("""COMPUTED_VALUE"""),"LISTICLE")</f>
        <v>LISTICLE</v>
      </c>
      <c r="E805" s="11" t="str">
        <f>IFERROR(__xludf.DUMMYFUNCTION("""COMPUTED_VALUE"""),"CORPORATE")</f>
        <v>CORPORATE</v>
      </c>
      <c r="F805" s="11" t="str">
        <f>IFERROR(__xludf.DUMMYFUNCTION("""COMPUTED_VALUE"""),"Listicle")</f>
        <v>Listicle</v>
      </c>
      <c r="G805" s="11" t="b">
        <f>IFERROR(__xludf.DUMMYFUNCTION("""COMPUTED_VALUE"""),FALSE)</f>
        <v>0</v>
      </c>
      <c r="H805" s="11" t="str">
        <f>IFERROR(__xludf.DUMMYFUNCTION("""COMPUTED_VALUE"""),"Clutch, Disruptive Advertising, WebFX, Ignite Visibility, Directive, Kobe Digital, Publicis Groupe")</f>
        <v>Clutch, Disruptive Advertising, WebFX, Ignite Visibility, Directive, Kobe Digital, Publicis Groupe</v>
      </c>
      <c r="I805" s="11">
        <f>IFERROR(__xludf.DUMMYFUNCTION("""COMPUTED_VALUE"""),1.0)</f>
        <v>1</v>
      </c>
      <c r="J805" s="11">
        <f>IFERROR(__xludf.DUMMYFUNCTION("""COMPUTED_VALUE"""),0.0)</f>
        <v>0</v>
      </c>
      <c r="K805" s="11">
        <f>IFERROR(__xludf.DUMMYFUNCTION("""COMPUTED_VALUE"""),0.0)</f>
        <v>0</v>
      </c>
    </row>
    <row r="806" ht="15.75" customHeight="1">
      <c r="A806" s="10" t="str">
        <f>IFERROR(__xludf.DUMMYFUNCTION("""COMPUTED_VALUE"""),"https://www.plerdy.com/blog/social-media-marketing-agencies/")</f>
        <v>https://www.plerdy.com/blog/social-media-marketing-agencies/</v>
      </c>
      <c r="B806" s="11" t="str">
        <f>IFERROR(__xludf.DUMMYFUNCTION("""COMPUTED_VALUE"""),"Top 15 Social Media Marketing Agencies for 2025 – Plerdy")</f>
        <v>Top 15 Social Media Marketing Agencies for 2025 – Plerdy</v>
      </c>
      <c r="C806" s="10" t="str">
        <f>IFERROR(__xludf.DUMMYFUNCTION("""COMPUTED_VALUE"""),"plerdy.com")</f>
        <v>plerdy.com</v>
      </c>
      <c r="D806" s="11" t="str">
        <f>IFERROR(__xludf.DUMMYFUNCTION("""COMPUTED_VALUE"""),"LISTICLE")</f>
        <v>LISTICLE</v>
      </c>
      <c r="E806" s="11" t="str">
        <f>IFERROR(__xludf.DUMMYFUNCTION("""COMPUTED_VALUE"""),"CORPORATE")</f>
        <v>CORPORATE</v>
      </c>
      <c r="F806" s="11" t="str">
        <f>IFERROR(__xludf.DUMMYFUNCTION("""COMPUTED_VALUE"""),"Listicle")</f>
        <v>Listicle</v>
      </c>
      <c r="G806" s="11" t="b">
        <f>IFERROR(__xludf.DUMMYFUNCTION("""COMPUTED_VALUE"""),FALSE)</f>
        <v>0</v>
      </c>
      <c r="H806" s="11" t="str">
        <f>IFERROR(__xludf.DUMMYFUNCTION("""COMPUTED_VALUE"""),"LYFE Marketing, Sociallyin, Clutch, Power Digital")</f>
        <v>LYFE Marketing, Sociallyin, Clutch, Power Digital</v>
      </c>
      <c r="I806" s="11">
        <f>IFERROR(__xludf.DUMMYFUNCTION("""COMPUTED_VALUE"""),1.0)</f>
        <v>1</v>
      </c>
      <c r="J806" s="11">
        <f>IFERROR(__xludf.DUMMYFUNCTION("""COMPUTED_VALUE"""),0.0)</f>
        <v>0</v>
      </c>
      <c r="K806" s="11">
        <f>IFERROR(__xludf.DUMMYFUNCTION("""COMPUTED_VALUE"""),1.0)</f>
        <v>1</v>
      </c>
    </row>
    <row r="807" ht="15.75" customHeight="1">
      <c r="A807" s="10" t="str">
        <f>IFERROR(__xludf.DUMMYFUNCTION("""COMPUTED_VALUE"""),"https://www.portofino.marketing/client-portfolio.html")</f>
        <v>https://www.portofino.marketing/client-portfolio.html</v>
      </c>
      <c r="B807" s="11" t="str">
        <f>IFERROR(__xludf.DUMMYFUNCTION("""COMPUTED_VALUE"""),"U.S. Digital Marketing Case Studies | Portofino Marketing")</f>
        <v>U.S. Digital Marketing Case Studies | Portofino Marketing</v>
      </c>
      <c r="C807" s="11" t="str">
        <f>IFERROR(__xludf.DUMMYFUNCTION("""COMPUTED_VALUE"""),"portofino.marketing")</f>
        <v>portofino.marketing</v>
      </c>
      <c r="D807" s="11" t="str">
        <f>IFERROR(__xludf.DUMMYFUNCTION("""COMPUTED_VALUE"""),"LISTICLE")</f>
        <v>LISTICLE</v>
      </c>
      <c r="E807" s="11" t="str">
        <f>IFERROR(__xludf.DUMMYFUNCTION("""COMPUTED_VALUE"""),"CORPORATE")</f>
        <v>CORPORATE</v>
      </c>
      <c r="F807" s="11" t="str">
        <f>IFERROR(__xludf.DUMMYFUNCTION("""COMPUTED_VALUE"""),"Listicle")</f>
        <v>Listicle</v>
      </c>
      <c r="G807" s="11" t="b">
        <f>IFERROR(__xludf.DUMMYFUNCTION("""COMPUTED_VALUE"""),FALSE)</f>
        <v>0</v>
      </c>
      <c r="H807" s="11"/>
      <c r="I807" s="11">
        <f>IFERROR(__xludf.DUMMYFUNCTION("""COMPUTED_VALUE"""),1.0)</f>
        <v>1</v>
      </c>
      <c r="J807" s="11">
        <f>IFERROR(__xludf.DUMMYFUNCTION("""COMPUTED_VALUE"""),0.0)</f>
        <v>0</v>
      </c>
      <c r="K807" s="11">
        <f>IFERROR(__xludf.DUMMYFUNCTION("""COMPUTED_VALUE"""),0.0)</f>
        <v>0</v>
      </c>
    </row>
    <row r="808" ht="15.75" customHeight="1">
      <c r="A808" s="10" t="str">
        <f>IFERROR(__xludf.DUMMYFUNCTION("""COMPUTED_VALUE"""),"https://powerdigitalmarketing.com/blog/best-digital-marketing-agency/")</f>
        <v>https://powerdigitalmarketing.com/blog/best-digital-marketing-agency/</v>
      </c>
      <c r="B808" s="11" t="str">
        <f>IFERROR(__xludf.DUMMYFUNCTION("""COMPUTED_VALUE"""),"10 Best Digital Marketing Agencies | Power Digital Marketing")</f>
        <v>10 Best Digital Marketing Agencies | Power Digital Marketing</v>
      </c>
      <c r="C808" s="10" t="str">
        <f>IFERROR(__xludf.DUMMYFUNCTION("""COMPUTED_VALUE"""),"powerdigitalmarketing.com")</f>
        <v>powerdigitalmarketing.com</v>
      </c>
      <c r="D808" s="11" t="str">
        <f>IFERROR(__xludf.DUMMYFUNCTION("""COMPUTED_VALUE"""),"LISTICLE")</f>
        <v>LISTICLE</v>
      </c>
      <c r="E808" s="11" t="str">
        <f>IFERROR(__xludf.DUMMYFUNCTION("""COMPUTED_VALUE"""),"COMPETITOR")</f>
        <v>COMPETITOR</v>
      </c>
      <c r="F808" s="11" t="str">
        <f>IFERROR(__xludf.DUMMYFUNCTION("""COMPUTED_VALUE"""),"Listicle")</f>
        <v>Listicle</v>
      </c>
      <c r="G808" s="11" t="b">
        <f>IFERROR(__xludf.DUMMYFUNCTION("""COMPUTED_VALUE"""),FALSE)</f>
        <v>0</v>
      </c>
      <c r="H808" s="11" t="str">
        <f>IFERROR(__xludf.DUMMYFUNCTION("""COMPUTED_VALUE"""),"Power Digital, NoGood")</f>
        <v>Power Digital, NoGood</v>
      </c>
      <c r="I808" s="11">
        <f>IFERROR(__xludf.DUMMYFUNCTION("""COMPUTED_VALUE"""),1.0)</f>
        <v>1</v>
      </c>
      <c r="J808" s="11">
        <f>IFERROR(__xludf.DUMMYFUNCTION("""COMPUTED_VALUE"""),0.0)</f>
        <v>0</v>
      </c>
      <c r="K808" s="11">
        <f>IFERROR(__xludf.DUMMYFUNCTION("""COMPUTED_VALUE"""),1.0)</f>
        <v>1</v>
      </c>
    </row>
    <row r="809" ht="15.75" customHeight="1">
      <c r="A809" s="10" t="str">
        <f>IFERROR(__xludf.DUMMYFUNCTION("""COMPUTED_VALUE"""),"https://www.pravaahconsulting.com/post/agentic-ai-development-companies")</f>
        <v>https://www.pravaahconsulting.com/post/agentic-ai-development-companies</v>
      </c>
      <c r="B809" s="11" t="str">
        <f>IFERROR(__xludf.DUMMYFUNCTION("""COMPUTED_VALUE"""),"Agentic AI Companies Shaping the Future - 2026 Rankings")</f>
        <v>Agentic AI Companies Shaping the Future - 2026 Rankings</v>
      </c>
      <c r="C809" s="10" t="str">
        <f>IFERROR(__xludf.DUMMYFUNCTION("""COMPUTED_VALUE"""),"pravaahconsulting.com")</f>
        <v>pravaahconsulting.com</v>
      </c>
      <c r="D809" s="11" t="str">
        <f>IFERROR(__xludf.DUMMYFUNCTION("""COMPUTED_VALUE"""),"LISTICLE")</f>
        <v>LISTICLE</v>
      </c>
      <c r="E809" s="11" t="str">
        <f>IFERROR(__xludf.DUMMYFUNCTION("""COMPUTED_VALUE"""),"CORPORATE")</f>
        <v>CORPORATE</v>
      </c>
      <c r="F809" s="11" t="str">
        <f>IFERROR(__xludf.DUMMYFUNCTION("""COMPUTED_VALUE"""),"Listicle")</f>
        <v>Listicle</v>
      </c>
      <c r="G809" s="11" t="b">
        <f>IFERROR(__xludf.DUMMYFUNCTION("""COMPUTED_VALUE"""),FALSE)</f>
        <v>0</v>
      </c>
      <c r="H809" s="11" t="str">
        <f>IFERROR(__xludf.DUMMYFUNCTION("""COMPUTED_VALUE"""),"IBM, Fractal Analytics, McKinsey, QuantumBlack")</f>
        <v>IBM, Fractal Analytics, McKinsey, QuantumBlack</v>
      </c>
      <c r="I809" s="11">
        <f>IFERROR(__xludf.DUMMYFUNCTION("""COMPUTED_VALUE"""),1.0)</f>
        <v>1</v>
      </c>
      <c r="J809" s="11">
        <f>IFERROR(__xludf.DUMMYFUNCTION("""COMPUTED_VALUE"""),0.0)</f>
        <v>0</v>
      </c>
      <c r="K809" s="11">
        <f>IFERROR(__xludf.DUMMYFUNCTION("""COMPUTED_VALUE"""),1.0)</f>
        <v>1</v>
      </c>
    </row>
    <row r="810" ht="15.75" customHeight="1">
      <c r="A810" s="10" t="str">
        <f>IFERROR(__xludf.DUMMYFUNCTION("""COMPUTED_VALUE"""),"https://prerender.io/blog/best-technical-geo-and-ai-se-tools/")</f>
        <v>https://prerender.io/blog/best-technical-geo-and-ai-se-tools/</v>
      </c>
      <c r="B810" s="11" t="str">
        <f>IFERROR(__xludf.DUMMYFUNCTION("""COMPUTED_VALUE"""),"7 Best Technical GEO Tools for 2026 (AI Search Optimization)")</f>
        <v>7 Best Technical GEO Tools for 2026 (AI Search Optimization)</v>
      </c>
      <c r="C810" s="10" t="str">
        <f>IFERROR(__xludf.DUMMYFUNCTION("""COMPUTED_VALUE"""),"prerender.io")</f>
        <v>prerender.io</v>
      </c>
      <c r="D810" s="11" t="str">
        <f>IFERROR(__xludf.DUMMYFUNCTION("""COMPUTED_VALUE"""),"LISTICLE")</f>
        <v>LISTICLE</v>
      </c>
      <c r="E810" s="11" t="str">
        <f>IFERROR(__xludf.DUMMYFUNCTION("""COMPUTED_VALUE"""),"CORPORATE")</f>
        <v>CORPORATE</v>
      </c>
      <c r="F810" s="11" t="str">
        <f>IFERROR(__xludf.DUMMYFUNCTION("""COMPUTED_VALUE"""),"Listicle")</f>
        <v>Listicle</v>
      </c>
      <c r="G810" s="11" t="b">
        <f>IFERROR(__xludf.DUMMYFUNCTION("""COMPUTED_VALUE"""),FALSE)</f>
        <v>0</v>
      </c>
      <c r="H810" s="11" t="str">
        <f>IFERROR(__xludf.DUMMYFUNCTION("""COMPUTED_VALUE"""),"IBM")</f>
        <v>IBM</v>
      </c>
      <c r="I810" s="11">
        <f>IFERROR(__xludf.DUMMYFUNCTION("""COMPUTED_VALUE"""),1.0)</f>
        <v>1</v>
      </c>
      <c r="J810" s="11">
        <f>IFERROR(__xludf.DUMMYFUNCTION("""COMPUTED_VALUE"""),0.0)</f>
        <v>0</v>
      </c>
      <c r="K810" s="11">
        <f>IFERROR(__xludf.DUMMYFUNCTION("""COMPUTED_VALUE"""),1.0)</f>
        <v>1</v>
      </c>
    </row>
    <row r="811" ht="15.75" customHeight="1">
      <c r="A811" s="10" t="str">
        <f>IFERROR(__xludf.DUMMYFUNCTION("""COMPUTED_VALUE"""),"https://projectmanagers.net/top-a-b-testing-agencies-delivering-proven-results/")</f>
        <v>https://projectmanagers.net/top-a-b-testing-agencies-delivering-proven-results/</v>
      </c>
      <c r="B811" s="11" t="str">
        <f>IFERROR(__xludf.DUMMYFUNCTION("""COMPUTED_VALUE"""),"Top 8 Testing Agencies Delivering Proven Results in 2025")</f>
        <v>Top 8 Testing Agencies Delivering Proven Results in 2025</v>
      </c>
      <c r="C811" s="10" t="str">
        <f>IFERROR(__xludf.DUMMYFUNCTION("""COMPUTED_VALUE"""),"projectmanagers.net")</f>
        <v>projectmanagers.net</v>
      </c>
      <c r="D811" s="11" t="str">
        <f>IFERROR(__xludf.DUMMYFUNCTION("""COMPUTED_VALUE"""),"LISTICLE")</f>
        <v>LISTICLE</v>
      </c>
      <c r="E811" s="11" t="str">
        <f>IFERROR(__xludf.DUMMYFUNCTION("""COMPUTED_VALUE"""),"CORPORATE")</f>
        <v>CORPORATE</v>
      </c>
      <c r="F811" s="11" t="str">
        <f>IFERROR(__xludf.DUMMYFUNCTION("""COMPUTED_VALUE"""),"Listicle")</f>
        <v>Listicle</v>
      </c>
      <c r="G811" s="11" t="b">
        <f>IFERROR(__xludf.DUMMYFUNCTION("""COMPUTED_VALUE"""),FALSE)</f>
        <v>0</v>
      </c>
      <c r="H811" s="11" t="str">
        <f>IFERROR(__xludf.DUMMYFUNCTION("""COMPUTED_VALUE"""),"KlientBoost")</f>
        <v>KlientBoost</v>
      </c>
      <c r="I811" s="11">
        <f>IFERROR(__xludf.DUMMYFUNCTION("""COMPUTED_VALUE"""),1.0)</f>
        <v>1</v>
      </c>
      <c r="J811" s="11">
        <f>IFERROR(__xludf.DUMMYFUNCTION("""COMPUTED_VALUE"""),0.0)</f>
        <v>0</v>
      </c>
      <c r="K811" s="11">
        <f>IFERROR(__xludf.DUMMYFUNCTION("""COMPUTED_VALUE"""),1.0)</f>
        <v>1</v>
      </c>
    </row>
    <row r="812" ht="15.75" customHeight="1">
      <c r="A812" s="10" t="str">
        <f>IFERROR(__xludf.DUMMYFUNCTION("""COMPUTED_VALUE"""),"https://www.promodo.com/blog/best-geo-agencies")</f>
        <v>https://www.promodo.com/blog/best-geo-agencies</v>
      </c>
      <c r="B812" s="11" t="str">
        <f>IFERROR(__xludf.DUMMYFUNCTION("""COMPUTED_VALUE"""),"Top GEO Agencies in 2026: Get Your Brand Cited by AI Search")</f>
        <v>Top GEO Agencies in 2026: Get Your Brand Cited by AI Search</v>
      </c>
      <c r="C812" s="10" t="str">
        <f>IFERROR(__xludf.DUMMYFUNCTION("""COMPUTED_VALUE"""),"promodo.com")</f>
        <v>promodo.com</v>
      </c>
      <c r="D812" s="11" t="str">
        <f>IFERROR(__xludf.DUMMYFUNCTION("""COMPUTED_VALUE"""),"LISTICLE")</f>
        <v>LISTICLE</v>
      </c>
      <c r="E812" s="11" t="str">
        <f>IFERROR(__xludf.DUMMYFUNCTION("""COMPUTED_VALUE"""),"CORPORATE")</f>
        <v>CORPORATE</v>
      </c>
      <c r="F812" s="11" t="str">
        <f>IFERROR(__xludf.DUMMYFUNCTION("""COMPUTED_VALUE"""),"Listicle")</f>
        <v>Listicle</v>
      </c>
      <c r="G812" s="11" t="b">
        <f>IFERROR(__xludf.DUMMYFUNCTION("""COMPUTED_VALUE"""),FALSE)</f>
        <v>0</v>
      </c>
      <c r="H812" s="11" t="str">
        <f>IFERROR(__xludf.DUMMYFUNCTION("""COMPUTED_VALUE"""),"Clutch, Searchbloom, Directive, Siege Media, The SEO Works, Go Fish Digital, Intero Digital, Measured")</f>
        <v>Clutch, Searchbloom, Directive, Siege Media, The SEO Works, Go Fish Digital, Intero Digital, Measured</v>
      </c>
      <c r="I812" s="11">
        <f>IFERROR(__xludf.DUMMYFUNCTION("""COMPUTED_VALUE"""),1.0)</f>
        <v>1</v>
      </c>
      <c r="J812" s="11">
        <f>IFERROR(__xludf.DUMMYFUNCTION("""COMPUTED_VALUE"""),0.0)</f>
        <v>0</v>
      </c>
      <c r="K812" s="11">
        <f>IFERROR(__xludf.DUMMYFUNCTION("""COMPUTED_VALUE"""),1.0)</f>
        <v>1</v>
      </c>
    </row>
    <row r="813" ht="15.75" customHeight="1">
      <c r="A813" s="10" t="str">
        <f>IFERROR(__xludf.DUMMYFUNCTION("""COMPUTED_VALUE"""),"https://www.provokemedia.com/ranking-and-data/global-pr-agency-rankings/2025-pr-agency-rankings/top-250")</f>
        <v>https://www.provokemedia.com/ranking-and-data/global-pr-agency-rankings/2025-pr-agency-rankings/top-250</v>
      </c>
      <c r="B813" s="11" t="str">
        <f>IFERROR(__xludf.DUMMYFUNCTION("""COMPUTED_VALUE"""),"Global Top 250 PR Agency Ranking 2025 \| PRovoke Media")</f>
        <v>Global Top 250 PR Agency Ranking 2025 \| PRovoke Media</v>
      </c>
      <c r="C813" s="10" t="str">
        <f>IFERROR(__xludf.DUMMYFUNCTION("""COMPUTED_VALUE"""),"provokemedia.com")</f>
        <v>provokemedia.com</v>
      </c>
      <c r="D813" s="11" t="str">
        <f>IFERROR(__xludf.DUMMYFUNCTION("""COMPUTED_VALUE"""),"LISTICLE")</f>
        <v>LISTICLE</v>
      </c>
      <c r="E813" s="11" t="str">
        <f>IFERROR(__xludf.DUMMYFUNCTION("""COMPUTED_VALUE"""),"CORPORATE")</f>
        <v>CORPORATE</v>
      </c>
      <c r="F813" s="11" t="str">
        <f>IFERROR(__xludf.DUMMYFUNCTION("""COMPUTED_VALUE"""),"Listicle")</f>
        <v>Listicle</v>
      </c>
      <c r="G813" s="11" t="b">
        <f>IFERROR(__xludf.DUMMYFUNCTION("""COMPUTED_VALUE"""),FALSE)</f>
        <v>0</v>
      </c>
      <c r="H813" s="11"/>
      <c r="I813" s="11">
        <f>IFERROR(__xludf.DUMMYFUNCTION("""COMPUTED_VALUE"""),1.0)</f>
        <v>1</v>
      </c>
      <c r="J813" s="11">
        <f>IFERROR(__xludf.DUMMYFUNCTION("""COMPUTED_VALUE"""),0.0)</f>
        <v>0</v>
      </c>
      <c r="K813" s="11">
        <f>IFERROR(__xludf.DUMMYFUNCTION("""COMPUTED_VALUE"""),0.0)</f>
        <v>0</v>
      </c>
    </row>
    <row r="814" ht="15.75" customHeight="1">
      <c r="A814" s="10" t="str">
        <f>IFERROR(__xludf.DUMMYFUNCTION("""COMPUTED_VALUE"""),"https://punchcut.com/perspectives/best-ai-design-agencies/")</f>
        <v>https://punchcut.com/perspectives/best-ai-design-agencies/</v>
      </c>
      <c r="B814" s="11" t="str">
        <f>IFERROR(__xludf.DUMMYFUNCTION("""COMPUTED_VALUE"""),"The 8 Best AI Design Agencies in 2026: An Honest Comparison")</f>
        <v>The 8 Best AI Design Agencies in 2026: An Honest Comparison</v>
      </c>
      <c r="C814" s="10" t="str">
        <f>IFERROR(__xludf.DUMMYFUNCTION("""COMPUTED_VALUE"""),"punchcut.com")</f>
        <v>punchcut.com</v>
      </c>
      <c r="D814" s="11" t="str">
        <f>IFERROR(__xludf.DUMMYFUNCTION("""COMPUTED_VALUE"""),"LISTICLE")</f>
        <v>LISTICLE</v>
      </c>
      <c r="E814" s="11" t="str">
        <f>IFERROR(__xludf.DUMMYFUNCTION("""COMPUTED_VALUE"""),"CORPORATE")</f>
        <v>CORPORATE</v>
      </c>
      <c r="F814" s="11" t="str">
        <f>IFERROR(__xludf.DUMMYFUNCTION("""COMPUTED_VALUE"""),"Listicle")</f>
        <v>Listicle</v>
      </c>
      <c r="G814" s="11" t="b">
        <f>IFERROR(__xludf.DUMMYFUNCTION("""COMPUTED_VALUE"""),FALSE)</f>
        <v>0</v>
      </c>
      <c r="H814" s="11" t="str">
        <f>IFERROR(__xludf.DUMMYFUNCTION("""COMPUTED_VALUE"""),"Accenture Song, Huge, Clay, McKinsey, QuantumBlack")</f>
        <v>Accenture Song, Huge, Clay, McKinsey, QuantumBlack</v>
      </c>
      <c r="I814" s="11">
        <f>IFERROR(__xludf.DUMMYFUNCTION("""COMPUTED_VALUE"""),1.0)</f>
        <v>1</v>
      </c>
      <c r="J814" s="11">
        <f>IFERROR(__xludf.DUMMYFUNCTION("""COMPUTED_VALUE"""),0.0)</f>
        <v>0</v>
      </c>
      <c r="K814" s="11">
        <f>IFERROR(__xludf.DUMMYFUNCTION("""COMPUTED_VALUE"""),1.0)</f>
        <v>1</v>
      </c>
    </row>
    <row r="815" ht="15.75" customHeight="1">
      <c r="A815" s="10" t="str">
        <f>IFERROR(__xludf.DUMMYFUNCTION("""COMPUTED_VALUE"""),"https://www.q3tech.com/blogs/ai-agent-development-companies-in-usa/")</f>
        <v>https://www.q3tech.com/blogs/ai-agent-development-companies-in-usa/</v>
      </c>
      <c r="B815" s="11" t="str">
        <f>IFERROR(__xludf.DUMMYFUNCTION("""COMPUTED_VALUE"""),"Top 10 AI Agent Development Companies in the USA (2026)")</f>
        <v>Top 10 AI Agent Development Companies in the USA (2026)</v>
      </c>
      <c r="C815" s="10" t="str">
        <f>IFERROR(__xludf.DUMMYFUNCTION("""COMPUTED_VALUE"""),"q3tech.com")</f>
        <v>q3tech.com</v>
      </c>
      <c r="D815" s="11" t="str">
        <f>IFERROR(__xludf.DUMMYFUNCTION("""COMPUTED_VALUE"""),"LISTICLE")</f>
        <v>LISTICLE</v>
      </c>
      <c r="E815" s="11" t="str">
        <f>IFERROR(__xludf.DUMMYFUNCTION("""COMPUTED_VALUE"""),"CORPORATE")</f>
        <v>CORPORATE</v>
      </c>
      <c r="F815" s="11" t="str">
        <f>IFERROR(__xludf.DUMMYFUNCTION("""COMPUTED_VALUE"""),"Listicle")</f>
        <v>Listicle</v>
      </c>
      <c r="G815" s="11" t="b">
        <f>IFERROR(__xludf.DUMMYFUNCTION("""COMPUTED_VALUE"""),FALSE)</f>
        <v>0</v>
      </c>
      <c r="H815" s="11" t="str">
        <f>IFERROR(__xludf.DUMMYFUNCTION("""COMPUTED_VALUE"""),"Momentum, Measured, IBM")</f>
        <v>Momentum, Measured, IBM</v>
      </c>
      <c r="I815" s="11">
        <f>IFERROR(__xludf.DUMMYFUNCTION("""COMPUTED_VALUE"""),1.0)</f>
        <v>1</v>
      </c>
      <c r="J815" s="11">
        <f>IFERROR(__xludf.DUMMYFUNCTION("""COMPUTED_VALUE"""),0.0)</f>
        <v>0</v>
      </c>
      <c r="K815" s="11">
        <f>IFERROR(__xludf.DUMMYFUNCTION("""COMPUTED_VALUE"""),1.0)</f>
        <v>1</v>
      </c>
    </row>
    <row r="816" ht="15.75" customHeight="1">
      <c r="A816" s="10" t="str">
        <f>IFERROR(__xludf.DUMMYFUNCTION("""COMPUTED_VALUE"""),"https://www.quoleady.com/aeo-agencies/")</f>
        <v>https://www.quoleady.com/aeo-agencies/</v>
      </c>
      <c r="B816" s="11" t="str">
        <f>IFERROR(__xludf.DUMMYFUNCTION("""COMPUTED_VALUE"""),"8 Best AEO Agencies in 2026: Who's Optimizing for AI Answers")</f>
        <v>8 Best AEO Agencies in 2026: Who's Optimizing for AI Answers</v>
      </c>
      <c r="C816" s="10" t="str">
        <f>IFERROR(__xludf.DUMMYFUNCTION("""COMPUTED_VALUE"""),"quoleady.com")</f>
        <v>quoleady.com</v>
      </c>
      <c r="D816" s="11" t="str">
        <f>IFERROR(__xludf.DUMMYFUNCTION("""COMPUTED_VALUE"""),"LISTICLE")</f>
        <v>LISTICLE</v>
      </c>
      <c r="E816" s="11" t="str">
        <f>IFERROR(__xludf.DUMMYFUNCTION("""COMPUTED_VALUE"""),"CORPORATE")</f>
        <v>CORPORATE</v>
      </c>
      <c r="F816" s="11" t="str">
        <f>IFERROR(__xludf.DUMMYFUNCTION("""COMPUTED_VALUE"""),"Listicle")</f>
        <v>Listicle</v>
      </c>
      <c r="G816" s="11" t="b">
        <f>IFERROR(__xludf.DUMMYFUNCTION("""COMPUTED_VALUE"""),FALSE)</f>
        <v>0</v>
      </c>
      <c r="H816" s="11" t="str">
        <f>IFERROR(__xludf.DUMMYFUNCTION("""COMPUTED_VALUE"""),"Measured, Darkroom, Omniscient Digital, Discovered Labs, NoGood")</f>
        <v>Measured, Darkroom, Omniscient Digital, Discovered Labs, NoGood</v>
      </c>
      <c r="I816" s="11">
        <f>IFERROR(__xludf.DUMMYFUNCTION("""COMPUTED_VALUE"""),1.0)</f>
        <v>1</v>
      </c>
      <c r="J816" s="11">
        <f>IFERROR(__xludf.DUMMYFUNCTION("""COMPUTED_VALUE"""),0.0)</f>
        <v>0</v>
      </c>
      <c r="K816" s="11">
        <f>IFERROR(__xludf.DUMMYFUNCTION("""COMPUTED_VALUE"""),1.0)</f>
        <v>1</v>
      </c>
    </row>
    <row r="817" ht="15.75" customHeight="1">
      <c r="A817" s="10" t="str">
        <f>IFERROR(__xludf.DUMMYFUNCTION("""COMPUTED_VALUE"""),"https://www.ramotion.com/blog/top-branding-agencies/")</f>
        <v>https://www.ramotion.com/blog/top-branding-agencies/</v>
      </c>
      <c r="B817" s="11" t="str">
        <f>IFERROR(__xludf.DUMMYFUNCTION("""COMPUTED_VALUE"""),"Top Branding Agencies in 2026 | Ramotion")</f>
        <v>Top Branding Agencies in 2026 | Ramotion</v>
      </c>
      <c r="C817" s="10" t="str">
        <f>IFERROR(__xludf.DUMMYFUNCTION("""COMPUTED_VALUE"""),"ramotion.com")</f>
        <v>ramotion.com</v>
      </c>
      <c r="D817" s="11" t="str">
        <f>IFERROR(__xludf.DUMMYFUNCTION("""COMPUTED_VALUE"""),"LISTICLE")</f>
        <v>LISTICLE</v>
      </c>
      <c r="E817" s="11" t="str">
        <f>IFERROR(__xludf.DUMMYFUNCTION("""COMPUTED_VALUE"""),"CORPORATE")</f>
        <v>CORPORATE</v>
      </c>
      <c r="F817" s="11" t="str">
        <f>IFERROR(__xludf.DUMMYFUNCTION("""COMPUTED_VALUE"""),"Listicle")</f>
        <v>Listicle</v>
      </c>
      <c r="G817" s="11" t="b">
        <f>IFERROR(__xludf.DUMMYFUNCTION("""COMPUTED_VALUE"""),FALSE)</f>
        <v>0</v>
      </c>
      <c r="H817" s="11" t="str">
        <f>IFERROR(__xludf.DUMMYFUNCTION("""COMPUTED_VALUE"""),"Wolff Olins, Pentagram, BBDO")</f>
        <v>Wolff Olins, Pentagram, BBDO</v>
      </c>
      <c r="I817" s="11">
        <f>IFERROR(__xludf.DUMMYFUNCTION("""COMPUTED_VALUE"""),1.0)</f>
        <v>1</v>
      </c>
      <c r="J817" s="11">
        <f>IFERROR(__xludf.DUMMYFUNCTION("""COMPUTED_VALUE"""),0.0)</f>
        <v>0</v>
      </c>
      <c r="K817" s="11">
        <f>IFERROR(__xludf.DUMMYFUNCTION("""COMPUTED_VALUE"""),1.0)</f>
        <v>1</v>
      </c>
    </row>
    <row r="818" ht="15.75" customHeight="1">
      <c r="A818" s="10" t="str">
        <f>IFERROR(__xludf.DUMMYFUNCTION("""COMPUTED_VALUE"""),"https://rankai.ai/articles/best-geo-agencies")</f>
        <v>https://rankai.ai/articles/best-geo-agencies</v>
      </c>
      <c r="B818" s="11" t="str">
        <f>IFERROR(__xludf.DUMMYFUNCTION("""COMPUTED_VALUE"""),"Best GEO Agencies in 2026 — Ranked for AI Search Optimization")</f>
        <v>Best GEO Agencies in 2026 — Ranked for AI Search Optimization</v>
      </c>
      <c r="C818" s="10" t="str">
        <f>IFERROR(__xludf.DUMMYFUNCTION("""COMPUTED_VALUE"""),"rankai.ai")</f>
        <v>rankai.ai</v>
      </c>
      <c r="D818" s="11" t="str">
        <f>IFERROR(__xludf.DUMMYFUNCTION("""COMPUTED_VALUE"""),"LISTICLE")</f>
        <v>LISTICLE</v>
      </c>
      <c r="E818" s="11" t="str">
        <f>IFERROR(__xludf.DUMMYFUNCTION("""COMPUTED_VALUE"""),"CORPORATE")</f>
        <v>CORPORATE</v>
      </c>
      <c r="F818" s="11" t="str">
        <f>IFERROR(__xludf.DUMMYFUNCTION("""COMPUTED_VALUE"""),"Listicle")</f>
        <v>Listicle</v>
      </c>
      <c r="G818" s="11" t="b">
        <f>IFERROR(__xludf.DUMMYFUNCTION("""COMPUTED_VALUE"""),FALSE)</f>
        <v>0</v>
      </c>
      <c r="H818" s="11" t="str">
        <f>IFERROR(__xludf.DUMMYFUNCTION("""COMPUTED_VALUE"""),"Daydream, Graphite, iPullRank, Clay")</f>
        <v>Daydream, Graphite, iPullRank, Clay</v>
      </c>
      <c r="I818" s="11">
        <f>IFERROR(__xludf.DUMMYFUNCTION("""COMPUTED_VALUE"""),1.0)</f>
        <v>1</v>
      </c>
      <c r="J818" s="11">
        <f>IFERROR(__xludf.DUMMYFUNCTION("""COMPUTED_VALUE"""),0.0)</f>
        <v>0</v>
      </c>
      <c r="K818" s="11">
        <f>IFERROR(__xludf.DUMMYFUNCTION("""COMPUTED_VALUE"""),0.0)</f>
        <v>0</v>
      </c>
    </row>
    <row r="819" ht="15.75" customHeight="1">
      <c r="A819" s="10" t="str">
        <f>IFERROR(__xludf.DUMMYFUNCTION("""COMPUTED_VALUE"""),"https://www.rankshift.ai/blog/generative-engine-optimization-tools/")</f>
        <v>https://www.rankshift.ai/blog/generative-engine-optimization-tools/</v>
      </c>
      <c r="B819" s="11" t="str">
        <f>IFERROR(__xludf.DUMMYFUNCTION("""COMPUTED_VALUE"""),"14 Generative Engine Optimization (GEO) Tools Worth Paying For in 2026 - Rankshift")</f>
        <v>14 Generative Engine Optimization (GEO) Tools Worth Paying For in 2026 - Rankshift</v>
      </c>
      <c r="C819" s="10" t="str">
        <f>IFERROR(__xludf.DUMMYFUNCTION("""COMPUTED_VALUE"""),"rankshift.ai")</f>
        <v>rankshift.ai</v>
      </c>
      <c r="D819" s="11" t="str">
        <f>IFERROR(__xludf.DUMMYFUNCTION("""COMPUTED_VALUE"""),"LISTICLE")</f>
        <v>LISTICLE</v>
      </c>
      <c r="E819" s="11" t="str">
        <f>IFERROR(__xludf.DUMMYFUNCTION("""COMPUTED_VALUE"""),"CORPORATE")</f>
        <v>CORPORATE</v>
      </c>
      <c r="F819" s="11" t="str">
        <f>IFERROR(__xludf.DUMMYFUNCTION("""COMPUTED_VALUE"""),"Listicle")</f>
        <v>Listicle</v>
      </c>
      <c r="G819" s="11" t="b">
        <f>IFERROR(__xludf.DUMMYFUNCTION("""COMPUTED_VALUE"""),FALSE)</f>
        <v>0</v>
      </c>
      <c r="H819" s="11" t="str">
        <f>IFERROR(__xludf.DUMMYFUNCTION("""COMPUTED_VALUE"""),"Measured")</f>
        <v>Measured</v>
      </c>
      <c r="I819" s="11">
        <f>IFERROR(__xludf.DUMMYFUNCTION("""COMPUTED_VALUE"""),1.0)</f>
        <v>1</v>
      </c>
      <c r="J819" s="11">
        <f>IFERROR(__xludf.DUMMYFUNCTION("""COMPUTED_VALUE"""),0.0)</f>
        <v>0</v>
      </c>
      <c r="K819" s="11">
        <f>IFERROR(__xludf.DUMMYFUNCTION("""COMPUTED_VALUE"""),0.0)</f>
        <v>0</v>
      </c>
    </row>
    <row r="820" ht="15.75" customHeight="1">
      <c r="A820" s="10" t="str">
        <f>IFERROR(__xludf.DUMMYFUNCTION("""COMPUTED_VALUE"""),"https://ranktix.co.uk/best-answer-engine-optimization-tools/")</f>
        <v>https://ranktix.co.uk/best-answer-engine-optimization-tools/</v>
      </c>
      <c r="B820" s="11" t="str">
        <f>IFERROR(__xludf.DUMMYFUNCTION("""COMPUTED_VALUE"""),"10 Best Answer Engine Optimization Tools In 2026 – Ranktix")</f>
        <v>10 Best Answer Engine Optimization Tools In 2026 – Ranktix</v>
      </c>
      <c r="C820" s="10" t="str">
        <f>IFERROR(__xludf.DUMMYFUNCTION("""COMPUTED_VALUE"""),"ranktix.co.uk")</f>
        <v>ranktix.co.uk</v>
      </c>
      <c r="D820" s="11" t="str">
        <f>IFERROR(__xludf.DUMMYFUNCTION("""COMPUTED_VALUE"""),"LISTICLE")</f>
        <v>LISTICLE</v>
      </c>
      <c r="E820" s="11" t="str">
        <f>IFERROR(__xludf.DUMMYFUNCTION("""COMPUTED_VALUE"""),"CORPORATE")</f>
        <v>CORPORATE</v>
      </c>
      <c r="F820" s="11" t="str">
        <f>IFERROR(__xludf.DUMMYFUNCTION("""COMPUTED_VALUE"""),"Listicle")</f>
        <v>Listicle</v>
      </c>
      <c r="G820" s="11" t="b">
        <f>IFERROR(__xludf.DUMMYFUNCTION("""COMPUTED_VALUE"""),FALSE)</f>
        <v>0</v>
      </c>
      <c r="H820" s="11" t="str">
        <f>IFERROR(__xludf.DUMMYFUNCTION("""COMPUTED_VALUE"""),"Momentum")</f>
        <v>Momentum</v>
      </c>
      <c r="I820" s="11">
        <f>IFERROR(__xludf.DUMMYFUNCTION("""COMPUTED_VALUE"""),1.0)</f>
        <v>1</v>
      </c>
      <c r="J820" s="11">
        <f>IFERROR(__xludf.DUMMYFUNCTION("""COMPUTED_VALUE"""),0.0)</f>
        <v>0</v>
      </c>
      <c r="K820" s="11">
        <f>IFERROR(__xludf.DUMMYFUNCTION("""COMPUTED_VALUE"""),1.0)</f>
        <v>1</v>
      </c>
    </row>
    <row r="821" ht="15.75" customHeight="1">
      <c r="A821" s="10" t="str">
        <f>IFERROR(__xludf.DUMMYFUNCTION("""COMPUTED_VALUE"""),"https://www.ranktracker.com/blog/best-aiseo-agencies/")</f>
        <v>https://www.ranktracker.com/blog/best-aiseo-agencies/</v>
      </c>
      <c r="B821" s="11" t="str">
        <f>IFERROR(__xludf.DUMMYFUNCTION("""COMPUTED_VALUE"""),"8 Best AI Visibility (AISEO) Agencies in 2026")</f>
        <v>8 Best AI Visibility (AISEO) Agencies in 2026</v>
      </c>
      <c r="C821" s="10" t="str">
        <f>IFERROR(__xludf.DUMMYFUNCTION("""COMPUTED_VALUE"""),"ranktracker.com")</f>
        <v>ranktracker.com</v>
      </c>
      <c r="D821" s="11" t="str">
        <f>IFERROR(__xludf.DUMMYFUNCTION("""COMPUTED_VALUE"""),"LISTICLE")</f>
        <v>LISTICLE</v>
      </c>
      <c r="E821" s="11" t="str">
        <f>IFERROR(__xludf.DUMMYFUNCTION("""COMPUTED_VALUE"""),"CORPORATE")</f>
        <v>CORPORATE</v>
      </c>
      <c r="F821" s="11" t="str">
        <f>IFERROR(__xludf.DUMMYFUNCTION("""COMPUTED_VALUE"""),"Listicle")</f>
        <v>Listicle</v>
      </c>
      <c r="G821" s="11" t="b">
        <f>IFERROR(__xludf.DUMMYFUNCTION("""COMPUTED_VALUE"""),FALSE)</f>
        <v>0</v>
      </c>
      <c r="H821" s="11" t="str">
        <f>IFERROR(__xludf.DUMMYFUNCTION("""COMPUTED_VALUE"""),"Clutch, Momentum, Ignite Visibility, Single Grain, First Page Sage, Intero Digital")</f>
        <v>Clutch, Momentum, Ignite Visibility, Single Grain, First Page Sage, Intero Digital</v>
      </c>
      <c r="I821" s="11">
        <f>IFERROR(__xludf.DUMMYFUNCTION("""COMPUTED_VALUE"""),1.0)</f>
        <v>1</v>
      </c>
      <c r="J821" s="11">
        <f>IFERROR(__xludf.DUMMYFUNCTION("""COMPUTED_VALUE"""),0.0)</f>
        <v>0</v>
      </c>
      <c r="K821" s="11">
        <f>IFERROR(__xludf.DUMMYFUNCTION("""COMPUTED_VALUE"""),0.0)</f>
        <v>0</v>
      </c>
    </row>
    <row r="822" ht="15.75" customHeight="1">
      <c r="A822" s="10" t="str">
        <f>IFERROR(__xludf.DUMMYFUNCTION("""COMPUTED_VALUE"""),"https://www.ranktracker.com/blog/generative-engine-optimization-agencies/")</f>
        <v>https://www.ranktracker.com/blog/generative-engine-optimization-agencies/</v>
      </c>
      <c r="B822" s="11" t="str">
        <f>IFERROR(__xludf.DUMMYFUNCTION("""COMPUTED_VALUE"""),"7 Top Generative Engine Optimization (GEO) Agencies to Get Your Brand Found in AI Search")</f>
        <v>7 Top Generative Engine Optimization (GEO) Agencies to Get Your Brand Found in AI Search</v>
      </c>
      <c r="C822" s="10" t="str">
        <f>IFERROR(__xludf.DUMMYFUNCTION("""COMPUTED_VALUE"""),"ranktracker.com")</f>
        <v>ranktracker.com</v>
      </c>
      <c r="D822" s="11" t="str">
        <f>IFERROR(__xludf.DUMMYFUNCTION("""COMPUTED_VALUE"""),"LISTICLE")</f>
        <v>LISTICLE</v>
      </c>
      <c r="E822" s="11" t="str">
        <f>IFERROR(__xludf.DUMMYFUNCTION("""COMPUTED_VALUE"""),"CORPORATE")</f>
        <v>CORPORATE</v>
      </c>
      <c r="F822" s="11" t="str">
        <f>IFERROR(__xludf.DUMMYFUNCTION("""COMPUTED_VALUE"""),"Listicle")</f>
        <v>Listicle</v>
      </c>
      <c r="G822" s="11" t="b">
        <f>IFERROR(__xludf.DUMMYFUNCTION("""COMPUTED_VALUE"""),FALSE)</f>
        <v>0</v>
      </c>
      <c r="H822" s="11" t="str">
        <f>IFERROR(__xludf.DUMMYFUNCTION("""COMPUTED_VALUE"""),"IBM")</f>
        <v>IBM</v>
      </c>
      <c r="I822" s="11">
        <f>IFERROR(__xludf.DUMMYFUNCTION("""COMPUTED_VALUE"""),1.0)</f>
        <v>1</v>
      </c>
      <c r="J822" s="11">
        <f>IFERROR(__xludf.DUMMYFUNCTION("""COMPUTED_VALUE"""),0.0)</f>
        <v>0</v>
      </c>
      <c r="K822" s="11">
        <f>IFERROR(__xludf.DUMMYFUNCTION("""COMPUTED_VALUE"""),0.0)</f>
        <v>0</v>
      </c>
    </row>
    <row r="823" ht="15.75" customHeight="1">
      <c r="A823" s="10" t="str">
        <f>IFERROR(__xludf.DUMMYFUNCTION("""COMPUTED_VALUE"""),"https://rankz.co/blog/best-agencies-for-ai-search-optimization/")</f>
        <v>https://rankz.co/blog/best-agencies-for-ai-search-optimization/</v>
      </c>
      <c r="B823" s="11" t="str">
        <f>IFERROR(__xludf.DUMMYFUNCTION("""COMPUTED_VALUE"""),"Best Agencies for AI Search Optimization: 12 Top Picks for 2026")</f>
        <v>Best Agencies for AI Search Optimization: 12 Top Picks for 2026</v>
      </c>
      <c r="C823" s="10" t="str">
        <f>IFERROR(__xludf.DUMMYFUNCTION("""COMPUTED_VALUE"""),"rankz.co")</f>
        <v>rankz.co</v>
      </c>
      <c r="D823" s="11" t="str">
        <f>IFERROR(__xludf.DUMMYFUNCTION("""COMPUTED_VALUE"""),"LISTICLE")</f>
        <v>LISTICLE</v>
      </c>
      <c r="E823" s="11" t="str">
        <f>IFERROR(__xludf.DUMMYFUNCTION("""COMPUTED_VALUE"""),"OTHER")</f>
        <v>OTHER</v>
      </c>
      <c r="F823" s="11" t="str">
        <f>IFERROR(__xludf.DUMMYFUNCTION("""COMPUTED_VALUE"""),"Listicle")</f>
        <v>Listicle</v>
      </c>
      <c r="G823" s="11" t="b">
        <f>IFERROR(__xludf.DUMMYFUNCTION("""COMPUTED_VALUE"""),FALSE)</f>
        <v>0</v>
      </c>
      <c r="H823" s="11" t="str">
        <f>IFERROR(__xludf.DUMMYFUNCTION("""COMPUTED_VALUE"""),"iPullRank, First Page Sage, Avenue Z, NoGood, Single Grain")</f>
        <v>iPullRank, First Page Sage, Avenue Z, NoGood, Single Grain</v>
      </c>
      <c r="I823" s="11">
        <f>IFERROR(__xludf.DUMMYFUNCTION("""COMPUTED_VALUE"""),1.0)</f>
        <v>1</v>
      </c>
      <c r="J823" s="11">
        <f>IFERROR(__xludf.DUMMYFUNCTION("""COMPUTED_VALUE"""),0.0)</f>
        <v>0</v>
      </c>
      <c r="K823" s="11">
        <f>IFERROR(__xludf.DUMMYFUNCTION("""COMPUTED_VALUE"""),0.0)</f>
        <v>0</v>
      </c>
    </row>
    <row r="824" ht="15.75" customHeight="1">
      <c r="A824" s="10" t="str">
        <f>IFERROR(__xludf.DUMMYFUNCTION("""COMPUTED_VALUE"""),"https://rankz.co/blog/best-ai-marketing-agencies/")</f>
        <v>https://rankz.co/blog/best-ai-marketing-agencies/</v>
      </c>
      <c r="B824" s="11" t="str">
        <f>IFERROR(__xludf.DUMMYFUNCTION("""COMPUTED_VALUE"""),"Best AI Marketing Agencies (2026): Top Picks for Smarter Growth")</f>
        <v>Best AI Marketing Agencies (2026): Top Picks for Smarter Growth</v>
      </c>
      <c r="C824" s="10" t="str">
        <f>IFERROR(__xludf.DUMMYFUNCTION("""COMPUTED_VALUE"""),"rankz.co")</f>
        <v>rankz.co</v>
      </c>
      <c r="D824" s="11" t="str">
        <f>IFERROR(__xludf.DUMMYFUNCTION("""COMPUTED_VALUE"""),"LISTICLE")</f>
        <v>LISTICLE</v>
      </c>
      <c r="E824" s="11" t="str">
        <f>IFERROR(__xludf.DUMMYFUNCTION("""COMPUTED_VALUE"""),"OTHER")</f>
        <v>OTHER</v>
      </c>
      <c r="F824" s="11" t="str">
        <f>IFERROR(__xludf.DUMMYFUNCTION("""COMPUTED_VALUE"""),"Listicle")</f>
        <v>Listicle</v>
      </c>
      <c r="G824" s="11" t="b">
        <f>IFERROR(__xludf.DUMMYFUNCTION("""COMPUTED_VALUE"""),FALSE)</f>
        <v>0</v>
      </c>
      <c r="H824" s="11" t="str">
        <f>IFERROR(__xludf.DUMMYFUNCTION("""COMPUTED_VALUE"""),"Anomaly, WebFX, IBM, Single Grain, NP Digital, Disruptive Advertising, SmartSites, Directive, Siege Media, Tinuiti, Thrive Internet Marketing Agency, Clutch")</f>
        <v>Anomaly, WebFX, IBM, Single Grain, NP Digital, Disruptive Advertising, SmartSites, Directive, Siege Media, Tinuiti, Thrive Internet Marketing Agency, Clutch</v>
      </c>
      <c r="I824" s="11">
        <f>IFERROR(__xludf.DUMMYFUNCTION("""COMPUTED_VALUE"""),1.0)</f>
        <v>1</v>
      </c>
      <c r="J824" s="11">
        <f>IFERROR(__xludf.DUMMYFUNCTION("""COMPUTED_VALUE"""),0.0)</f>
        <v>0</v>
      </c>
      <c r="K824" s="11">
        <f>IFERROR(__xludf.DUMMYFUNCTION("""COMPUTED_VALUE"""),6.0)</f>
        <v>6</v>
      </c>
    </row>
    <row r="825" ht="15.75" customHeight="1">
      <c r="A825" s="10" t="str">
        <f>IFERROR(__xludf.DUMMYFUNCTION("""COMPUTED_VALUE"""),"https://rankz.co/blog/top-ai-marketing-agencies/")</f>
        <v>https://rankz.co/blog/top-ai-marketing-agencies/</v>
      </c>
      <c r="B825" s="11" t="str">
        <f>IFERROR(__xludf.DUMMYFUNCTION("""COMPUTED_VALUE"""),"Top AI Marketing Agencies in 2026: Best Partners for SEO, Paid Media, Content, and AI Search Growth - RankZ Blog")</f>
        <v>Top AI Marketing Agencies in 2026: Best Partners for SEO, Paid Media, Content, and AI Search Growth - RankZ Blog</v>
      </c>
      <c r="C825" s="10" t="str">
        <f>IFERROR(__xludf.DUMMYFUNCTION("""COMPUTED_VALUE"""),"rankz.co")</f>
        <v>rankz.co</v>
      </c>
      <c r="D825" s="11" t="str">
        <f>IFERROR(__xludf.DUMMYFUNCTION("""COMPUTED_VALUE"""),"LISTICLE")</f>
        <v>LISTICLE</v>
      </c>
      <c r="E825" s="11" t="str">
        <f>IFERROR(__xludf.DUMMYFUNCTION("""COMPUTED_VALUE"""),"OTHER")</f>
        <v>OTHER</v>
      </c>
      <c r="F825" s="11" t="str">
        <f>IFERROR(__xludf.DUMMYFUNCTION("""COMPUTED_VALUE"""),"Listicle")</f>
        <v>Listicle</v>
      </c>
      <c r="G825" s="11" t="b">
        <f>IFERROR(__xludf.DUMMYFUNCTION("""COMPUTED_VALUE"""),FALSE)</f>
        <v>0</v>
      </c>
      <c r="H825" s="11" t="str">
        <f>IFERROR(__xludf.DUMMYFUNCTION("""COMPUTED_VALUE"""),"McKinsey, WebFX, NoGood, Single Grain, NP Digital, Jellyfish, Keenfolks, SmartSites, Huge")</f>
        <v>McKinsey, WebFX, NoGood, Single Grain, NP Digital, Jellyfish, Keenfolks, SmartSites, Huge</v>
      </c>
      <c r="I825" s="11">
        <f>IFERROR(__xludf.DUMMYFUNCTION("""COMPUTED_VALUE"""),1.0)</f>
        <v>1</v>
      </c>
      <c r="J825" s="11">
        <f>IFERROR(__xludf.DUMMYFUNCTION("""COMPUTED_VALUE"""),0.0)</f>
        <v>0</v>
      </c>
      <c r="K825" s="11">
        <f>IFERROR(__xludf.DUMMYFUNCTION("""COMPUTED_VALUE"""),0.0)</f>
        <v>0</v>
      </c>
    </row>
    <row r="826" ht="15.75" customHeight="1">
      <c r="A826" s="10" t="str">
        <f>IFERROR(__xludf.DUMMYFUNCTION("""COMPUTED_VALUE"""),"https://www.rebootonline.com/data-marketing/best-data-marketing-agencies/")</f>
        <v>https://www.rebootonline.com/data-marketing/best-data-marketing-agencies/</v>
      </c>
      <c r="B826" s="11" t="str">
        <f>IFERROR(__xludf.DUMMYFUNCTION("""COMPUTED_VALUE"""),"Best Data Marketing Agencies 2026 | Ultimate Top 10 List Ranked &amp;amp; Rated")</f>
        <v>Best Data Marketing Agencies 2026 | Ultimate Top 10 List Ranked &amp;amp; Rated</v>
      </c>
      <c r="C826" s="10" t="str">
        <f>IFERROR(__xludf.DUMMYFUNCTION("""COMPUTED_VALUE"""),"rebootonline.com")</f>
        <v>rebootonline.com</v>
      </c>
      <c r="D826" s="11" t="str">
        <f>IFERROR(__xludf.DUMMYFUNCTION("""COMPUTED_VALUE"""),"LISTICLE")</f>
        <v>LISTICLE</v>
      </c>
      <c r="E826" s="11" t="str">
        <f>IFERROR(__xludf.DUMMYFUNCTION("""COMPUTED_VALUE"""),"OTHER")</f>
        <v>OTHER</v>
      </c>
      <c r="F826" s="11" t="str">
        <f>IFERROR(__xludf.DUMMYFUNCTION("""COMPUTED_VALUE"""),"Listicle")</f>
        <v>Listicle</v>
      </c>
      <c r="G826" s="11" t="b">
        <f>IFERROR(__xludf.DUMMYFUNCTION("""COMPUTED_VALUE"""),FALSE)</f>
        <v>0</v>
      </c>
      <c r="H826" s="11" t="str">
        <f>IFERROR(__xludf.DUMMYFUNCTION("""COMPUTED_VALUE"""),"Brainlabs, PMG, Directive")</f>
        <v>Brainlabs, PMG, Directive</v>
      </c>
      <c r="I826" s="11">
        <f>IFERROR(__xludf.DUMMYFUNCTION("""COMPUTED_VALUE"""),1.0)</f>
        <v>1</v>
      </c>
      <c r="J826" s="11">
        <f>IFERROR(__xludf.DUMMYFUNCTION("""COMPUTED_VALUE"""),0.0)</f>
        <v>0</v>
      </c>
      <c r="K826" s="11">
        <f>IFERROR(__xludf.DUMMYFUNCTION("""COMPUTED_VALUE"""),1.0)</f>
        <v>1</v>
      </c>
    </row>
    <row r="827" ht="15.75" customHeight="1">
      <c r="A827" s="10" t="str">
        <f>IFERROR(__xludf.DUMMYFUNCTION("""COMPUTED_VALUE"""),"https://www.rebootonline.com/seo/best-seo-agencies/")</f>
        <v>https://www.rebootonline.com/seo/best-seo-agencies/</v>
      </c>
      <c r="B827" s="11" t="str">
        <f>IFERROR(__xludf.DUMMYFUNCTION("""COMPUTED_VALUE"""),"Best SEO Agencies for 2026 | Ultimate Top 20 List Ranked &amp;amp; Rated")</f>
        <v>Best SEO Agencies for 2026 | Ultimate Top 20 List Ranked &amp;amp; Rated</v>
      </c>
      <c r="C827" s="10" t="str">
        <f>IFERROR(__xludf.DUMMYFUNCTION("""COMPUTED_VALUE"""),"rebootonline.com")</f>
        <v>rebootonline.com</v>
      </c>
      <c r="D827" s="11" t="str">
        <f>IFERROR(__xludf.DUMMYFUNCTION("""COMPUTED_VALUE"""),"LISTICLE")</f>
        <v>LISTICLE</v>
      </c>
      <c r="E827" s="11" t="str">
        <f>IFERROR(__xludf.DUMMYFUNCTION("""COMPUTED_VALUE"""),"OTHER")</f>
        <v>OTHER</v>
      </c>
      <c r="F827" s="11" t="str">
        <f>IFERROR(__xludf.DUMMYFUNCTION("""COMPUTED_VALUE"""),"Listicle")</f>
        <v>Listicle</v>
      </c>
      <c r="G827" s="11" t="b">
        <f>IFERROR(__xludf.DUMMYFUNCTION("""COMPUTED_VALUE"""),FALSE)</f>
        <v>0</v>
      </c>
      <c r="H827" s="11" t="str">
        <f>IFERROR(__xludf.DUMMYFUNCTION("""COMPUTED_VALUE"""),"The SEO Works, NP Digital, WebFX, Clutch")</f>
        <v>The SEO Works, NP Digital, WebFX, Clutch</v>
      </c>
      <c r="I827" s="11">
        <f>IFERROR(__xludf.DUMMYFUNCTION("""COMPUTED_VALUE"""),1.0)</f>
        <v>1</v>
      </c>
      <c r="J827" s="11">
        <f>IFERROR(__xludf.DUMMYFUNCTION("""COMPUTED_VALUE"""),0.0)</f>
        <v>0</v>
      </c>
      <c r="K827" s="11">
        <f>IFERROR(__xludf.DUMMYFUNCTION("""COMPUTED_VALUE"""),0.0)</f>
        <v>0</v>
      </c>
    </row>
    <row r="828" ht="15.75" customHeight="1">
      <c r="A828" s="10" t="str">
        <f>IFERROR(__xludf.DUMMYFUNCTION("""COMPUTED_VALUE"""),"https://red-engage.com/blog/best-ai-seo-agencies")</f>
        <v>https://red-engage.com/blog/best-ai-seo-agencies</v>
      </c>
      <c r="B828" s="11" t="str">
        <f>IFERROR(__xludf.DUMMYFUNCTION("""COMPUTED_VALUE"""),"10 Best Answer Engine Optimization (AEO) Agencies in 2026")</f>
        <v>10 Best Answer Engine Optimization (AEO) Agencies in 2026</v>
      </c>
      <c r="C828" s="10" t="str">
        <f>IFERROR(__xludf.DUMMYFUNCTION("""COMPUTED_VALUE"""),"red-engage.com")</f>
        <v>red-engage.com</v>
      </c>
      <c r="D828" s="11" t="str">
        <f>IFERROR(__xludf.DUMMYFUNCTION("""COMPUTED_VALUE"""),"LISTICLE")</f>
        <v>LISTICLE</v>
      </c>
      <c r="E828" s="11" t="str">
        <f>IFERROR(__xludf.DUMMYFUNCTION("""COMPUTED_VALUE"""),"CORPORATE")</f>
        <v>CORPORATE</v>
      </c>
      <c r="F828" s="11" t="str">
        <f>IFERROR(__xludf.DUMMYFUNCTION("""COMPUTED_VALUE"""),"Listicle")</f>
        <v>Listicle</v>
      </c>
      <c r="G828" s="11" t="b">
        <f>IFERROR(__xludf.DUMMYFUNCTION("""COMPUTED_VALUE"""),FALSE)</f>
        <v>0</v>
      </c>
      <c r="H828" s="11" t="str">
        <f>IFERROR(__xludf.DUMMYFUNCTION("""COMPUTED_VALUE"""),"iPullRank, Amsive, Sociallyin, First Page Sage, Single Grain, Clutch")</f>
        <v>iPullRank, Amsive, Sociallyin, First Page Sage, Single Grain, Clutch</v>
      </c>
      <c r="I828" s="11">
        <f>IFERROR(__xludf.DUMMYFUNCTION("""COMPUTED_VALUE"""),1.0)</f>
        <v>1</v>
      </c>
      <c r="J828" s="11">
        <f>IFERROR(__xludf.DUMMYFUNCTION("""COMPUTED_VALUE"""),0.0)</f>
        <v>0</v>
      </c>
      <c r="K828" s="11">
        <f>IFERROR(__xludf.DUMMYFUNCTION("""COMPUTED_VALUE"""),0.0)</f>
        <v>0</v>
      </c>
    </row>
    <row r="829" ht="15.75" customHeight="1">
      <c r="A829" s="10" t="str">
        <f>IFERROR(__xludf.DUMMYFUNCTION("""COMPUTED_VALUE"""),"https://www.redcubedigital.com/blog/what-makes-a-good-digital-marketing-agency-stand-out-from-the-rest/?srsltid=AfmBOopgDFexWeUnEVvdyjTw74fggMn1x6hFr0gGxI7ClMpnUl40GA8K")</f>
        <v>https://www.redcubedigital.com/blog/what-makes-a-good-digital-marketing-agency-stand-out-from-the-rest/?srsltid=AfmBOopgDFexWeUnEVvdyjTw74fggMn1x6hFr0gGxI7ClMpnUl40GA8K</v>
      </c>
      <c r="B829" s="11" t="str">
        <f>IFERROR(__xludf.DUMMYFUNCTION("""COMPUTED_VALUE"""),"What Makes a Good Digital Marketing Agency Stand out from the Rest?")</f>
        <v>What Makes a Good Digital Marketing Agency Stand out from the Rest?</v>
      </c>
      <c r="C829" s="10" t="str">
        <f>IFERROR(__xludf.DUMMYFUNCTION("""COMPUTED_VALUE"""),"redcubedigital.com")</f>
        <v>redcubedigital.com</v>
      </c>
      <c r="D829" s="11" t="str">
        <f>IFERROR(__xludf.DUMMYFUNCTION("""COMPUTED_VALUE"""),"LISTICLE")</f>
        <v>LISTICLE</v>
      </c>
      <c r="E829" s="11" t="str">
        <f>IFERROR(__xludf.DUMMYFUNCTION("""COMPUTED_VALUE"""),"CORPORATE")</f>
        <v>CORPORATE</v>
      </c>
      <c r="F829" s="11" t="str">
        <f>IFERROR(__xludf.DUMMYFUNCTION("""COMPUTED_VALUE"""),"Listicle")</f>
        <v>Listicle</v>
      </c>
      <c r="G829" s="11" t="b">
        <f>IFERROR(__xludf.DUMMYFUNCTION("""COMPUTED_VALUE"""),FALSE)</f>
        <v>0</v>
      </c>
      <c r="H829" s="11"/>
      <c r="I829" s="11">
        <f>IFERROR(__xludf.DUMMYFUNCTION("""COMPUTED_VALUE"""),1.0)</f>
        <v>1</v>
      </c>
      <c r="J829" s="11">
        <f>IFERROR(__xludf.DUMMYFUNCTION("""COMPUTED_VALUE"""),0.0)</f>
        <v>0</v>
      </c>
      <c r="K829" s="11">
        <f>IFERROR(__xludf.DUMMYFUNCTION("""COMPUTED_VALUE"""),0.0)</f>
        <v>0</v>
      </c>
    </row>
    <row r="830" ht="15.75" customHeight="1">
      <c r="A830" s="10" t="str">
        <f>IFERROR(__xludf.DUMMYFUNCTION("""COMPUTED_VALUE"""),"https://www.responsify.com/b2b-content-marketing-agencies")</f>
        <v>https://www.responsify.com/b2b-content-marketing-agencies</v>
      </c>
      <c r="B830" s="11" t="str">
        <f>IFERROR(__xludf.DUMMYFUNCTION("""COMPUTED_VALUE"""),"Best B2B Content Marketing Agencies: Options to Consider &amp;amp; How to Choose - Responsify")</f>
        <v>Best B2B Content Marketing Agencies: Options to Consider &amp;amp; How to Choose - Responsify</v>
      </c>
      <c r="C830" s="10" t="str">
        <f>IFERROR(__xludf.DUMMYFUNCTION("""COMPUTED_VALUE"""),"responsify.com")</f>
        <v>responsify.com</v>
      </c>
      <c r="D830" s="11" t="str">
        <f>IFERROR(__xludf.DUMMYFUNCTION("""COMPUTED_VALUE"""),"LISTICLE")</f>
        <v>LISTICLE</v>
      </c>
      <c r="E830" s="11" t="str">
        <f>IFERROR(__xludf.DUMMYFUNCTION("""COMPUTED_VALUE"""),"CORPORATE")</f>
        <v>CORPORATE</v>
      </c>
      <c r="F830" s="11" t="str">
        <f>IFERROR(__xludf.DUMMYFUNCTION("""COMPUTED_VALUE"""),"Listicle")</f>
        <v>Listicle</v>
      </c>
      <c r="G830" s="11" t="b">
        <f>IFERROR(__xludf.DUMMYFUNCTION("""COMPUTED_VALUE"""),FALSE)</f>
        <v>0</v>
      </c>
      <c r="H830" s="11" t="str">
        <f>IFERROR(__xludf.DUMMYFUNCTION("""COMPUTED_VALUE"""),"Clutch, Siege Media, Omniscient Digital")</f>
        <v>Clutch, Siege Media, Omniscient Digital</v>
      </c>
      <c r="I830" s="11">
        <f>IFERROR(__xludf.DUMMYFUNCTION("""COMPUTED_VALUE"""),1.0)</f>
        <v>1</v>
      </c>
      <c r="J830" s="11">
        <f>IFERROR(__xludf.DUMMYFUNCTION("""COMPUTED_VALUE"""),0.0)</f>
        <v>0</v>
      </c>
      <c r="K830" s="11">
        <f>IFERROR(__xludf.DUMMYFUNCTION("""COMPUTED_VALUE"""),0.0)</f>
        <v>0</v>
      </c>
    </row>
    <row r="831" ht="15.75" customHeight="1">
      <c r="A831" s="10" t="str">
        <f>IFERROR(__xludf.DUMMYFUNCTION("""COMPUTED_VALUE"""),"https://www.resultfirst.com/blog/ecommerce-seo/top-ecommerce-seo-agencies/")</f>
        <v>https://www.resultfirst.com/blog/ecommerce-seo/top-ecommerce-seo-agencies/</v>
      </c>
      <c r="B831" s="11" t="str">
        <f>IFERROR(__xludf.DUMMYFUNCTION("""COMPUTED_VALUE"""),"Best Ecommerce SEO Agencies in the US [2026] | ResultFirst")</f>
        <v>Best Ecommerce SEO Agencies in the US [2026] | ResultFirst</v>
      </c>
      <c r="C831" s="10" t="str">
        <f>IFERROR(__xludf.DUMMYFUNCTION("""COMPUTED_VALUE"""),"resultfirst.com")</f>
        <v>resultfirst.com</v>
      </c>
      <c r="D831" s="11" t="str">
        <f>IFERROR(__xludf.DUMMYFUNCTION("""COMPUTED_VALUE"""),"LISTICLE")</f>
        <v>LISTICLE</v>
      </c>
      <c r="E831" s="11" t="str">
        <f>IFERROR(__xludf.DUMMYFUNCTION("""COMPUTED_VALUE"""),"OTHER")</f>
        <v>OTHER</v>
      </c>
      <c r="F831" s="11" t="str">
        <f>IFERROR(__xludf.DUMMYFUNCTION("""COMPUTED_VALUE"""),"Listicle")</f>
        <v>Listicle</v>
      </c>
      <c r="G831" s="11" t="b">
        <f>IFERROR(__xludf.DUMMYFUNCTION("""COMPUTED_VALUE"""),FALSE)</f>
        <v>0</v>
      </c>
      <c r="H831" s="11" t="str">
        <f>IFERROR(__xludf.DUMMYFUNCTION("""COMPUTED_VALUE"""),"Thrive Internet Marketing Agency, First Page Sage, Siege Media, Searchbloom, Measured, Clutch")</f>
        <v>Thrive Internet Marketing Agency, First Page Sage, Siege Media, Searchbloom, Measured, Clutch</v>
      </c>
      <c r="I831" s="11">
        <f>IFERROR(__xludf.DUMMYFUNCTION("""COMPUTED_VALUE"""),1.0)</f>
        <v>1</v>
      </c>
      <c r="J831" s="11">
        <f>IFERROR(__xludf.DUMMYFUNCTION("""COMPUTED_VALUE"""),0.0)</f>
        <v>0</v>
      </c>
      <c r="K831" s="11">
        <f>IFERROR(__xludf.DUMMYFUNCTION("""COMPUTED_VALUE"""),1.0)</f>
        <v>1</v>
      </c>
    </row>
    <row r="832" ht="15.75" customHeight="1">
      <c r="A832" s="10" t="str">
        <f>IFERROR(__xludf.DUMMYFUNCTION("""COMPUTED_VALUE"""),"https://revealmobile.com/blog/measuring-ooh-sales-lift-how-to-choose-the-right-partner")</f>
        <v>https://revealmobile.com/blog/measuring-ooh-sales-lift-how-to-choose-the-right-partner</v>
      </c>
      <c r="B832" s="11" t="str">
        <f>IFERROR(__xludf.DUMMYFUNCTION("""COMPUTED_VALUE"""),"Measuring OOH Sales Lift: How to Choose the Right Partner | Reveal Blog")</f>
        <v>Measuring OOH Sales Lift: How to Choose the Right Partner | Reveal Blog</v>
      </c>
      <c r="C832" s="10" t="str">
        <f>IFERROR(__xludf.DUMMYFUNCTION("""COMPUTED_VALUE"""),"revealmobile.com")</f>
        <v>revealmobile.com</v>
      </c>
      <c r="D832" s="11" t="str">
        <f>IFERROR(__xludf.DUMMYFUNCTION("""COMPUTED_VALUE"""),"LISTICLE")</f>
        <v>LISTICLE</v>
      </c>
      <c r="E832" s="11" t="str">
        <f>IFERROR(__xludf.DUMMYFUNCTION("""COMPUTED_VALUE"""),"CORPORATE")</f>
        <v>CORPORATE</v>
      </c>
      <c r="F832" s="11" t="str">
        <f>IFERROR(__xludf.DUMMYFUNCTION("""COMPUTED_VALUE"""),"Listicle")</f>
        <v>Listicle</v>
      </c>
      <c r="G832" s="11" t="b">
        <f>IFERROR(__xludf.DUMMYFUNCTION("""COMPUTED_VALUE"""),FALSE)</f>
        <v>0</v>
      </c>
      <c r="H832" s="11"/>
      <c r="I832" s="11">
        <f>IFERROR(__xludf.DUMMYFUNCTION("""COMPUTED_VALUE"""),1.0)</f>
        <v>1</v>
      </c>
      <c r="J832" s="11">
        <f>IFERROR(__xludf.DUMMYFUNCTION("""COMPUTED_VALUE"""),0.0)</f>
        <v>0</v>
      </c>
      <c r="K832" s="11">
        <f>IFERROR(__xludf.DUMMYFUNCTION("""COMPUTED_VALUE"""),1.0)</f>
        <v>1</v>
      </c>
    </row>
    <row r="833" ht="15.75" customHeight="1">
      <c r="A833" s="10" t="str">
        <f>IFERROR(__xludf.DUMMYFUNCTION("""COMPUTED_VALUE"""),"https://www.revvgrowth.com/geo/enterprise-geo-agency")</f>
        <v>https://www.revvgrowth.com/geo/enterprise-geo-agency</v>
      </c>
      <c r="B833" s="11" t="str">
        <f>IFERROR(__xludf.DUMMYFUNCTION("""COMPUTED_VALUE"""),"10 Best Enterprise GEO Agencies in 2026 | AI Search Optimization")</f>
        <v>10 Best Enterprise GEO Agencies in 2026 | AI Search Optimization</v>
      </c>
      <c r="C833" s="10" t="str">
        <f>IFERROR(__xludf.DUMMYFUNCTION("""COMPUTED_VALUE"""),"revvgrowth.com")</f>
        <v>revvgrowth.com</v>
      </c>
      <c r="D833" s="11" t="str">
        <f>IFERROR(__xludf.DUMMYFUNCTION("""COMPUTED_VALUE"""),"LISTICLE")</f>
        <v>LISTICLE</v>
      </c>
      <c r="E833" s="11" t="str">
        <f>IFERROR(__xludf.DUMMYFUNCTION("""COMPUTED_VALUE"""),"CORPORATE")</f>
        <v>CORPORATE</v>
      </c>
      <c r="F833" s="11" t="str">
        <f>IFERROR(__xludf.DUMMYFUNCTION("""COMPUTED_VALUE"""),"Listicle")</f>
        <v>Listicle</v>
      </c>
      <c r="G833" s="11" t="b">
        <f>IFERROR(__xludf.DUMMYFUNCTION("""COMPUTED_VALUE"""),FALSE)</f>
        <v>0</v>
      </c>
      <c r="H833" s="11" t="str">
        <f>IFERROR(__xludf.DUMMYFUNCTION("""COMPUTED_VALUE"""),"First Page Sage, Intero Digital, Siege Media, Go Fish Digital, WebFX, Omniscient Digital, iPullRank, NoGood, Clutch, Single Grain, Measured")</f>
        <v>First Page Sage, Intero Digital, Siege Media, Go Fish Digital, WebFX, Omniscient Digital, iPullRank, NoGood, Clutch, Single Grain, Measured</v>
      </c>
      <c r="I833" s="11">
        <f>IFERROR(__xludf.DUMMYFUNCTION("""COMPUTED_VALUE"""),1.0)</f>
        <v>1</v>
      </c>
      <c r="J833" s="11">
        <f>IFERROR(__xludf.DUMMYFUNCTION("""COMPUTED_VALUE"""),0.0)</f>
        <v>0</v>
      </c>
      <c r="K833" s="11">
        <f>IFERROR(__xludf.DUMMYFUNCTION("""COMPUTED_VALUE"""),1.0)</f>
        <v>1</v>
      </c>
    </row>
    <row r="834" ht="15.75" customHeight="1">
      <c r="A834" s="10" t="str">
        <f>IFERROR(__xludf.DUMMYFUNCTION("""COMPUTED_VALUE"""),"https://www.rightsideup.com/blog/top-fractional-marketing-agencies")</f>
        <v>https://www.rightsideup.com/blog/top-fractional-marketing-agencies</v>
      </c>
      <c r="B834" s="11" t="str">
        <f>IFERROR(__xludf.DUMMYFUNCTION("""COMPUTED_VALUE"""),"The Top 7 Fractional Marketing Agencies in 2026 (and How to Choose the Right One)")</f>
        <v>The Top 7 Fractional Marketing Agencies in 2026 (and How to Choose the Right One)</v>
      </c>
      <c r="C834" s="10" t="str">
        <f>IFERROR(__xludf.DUMMYFUNCTION("""COMPUTED_VALUE"""),"rightsideup.com")</f>
        <v>rightsideup.com</v>
      </c>
      <c r="D834" s="11" t="str">
        <f>IFERROR(__xludf.DUMMYFUNCTION("""COMPUTED_VALUE"""),"LISTICLE")</f>
        <v>LISTICLE</v>
      </c>
      <c r="E834" s="11" t="str">
        <f>IFERROR(__xludf.DUMMYFUNCTION("""COMPUTED_VALUE"""),"COMPETITOR")</f>
        <v>COMPETITOR</v>
      </c>
      <c r="F834" s="11" t="str">
        <f>IFERROR(__xludf.DUMMYFUNCTION("""COMPUTED_VALUE"""),"Listicle")</f>
        <v>Listicle</v>
      </c>
      <c r="G834" s="11" t="b">
        <f>IFERROR(__xludf.DUMMYFUNCTION("""COMPUTED_VALUE"""),FALSE)</f>
        <v>0</v>
      </c>
      <c r="H834" s="11" t="str">
        <f>IFERROR(__xludf.DUMMYFUNCTION("""COMPUTED_VALUE"""),"Right Side Up, Huge")</f>
        <v>Right Side Up, Huge</v>
      </c>
      <c r="I834" s="11">
        <f>IFERROR(__xludf.DUMMYFUNCTION("""COMPUTED_VALUE"""),1.0)</f>
        <v>1</v>
      </c>
      <c r="J834" s="11">
        <f>IFERROR(__xludf.DUMMYFUNCTION("""COMPUTED_VALUE"""),0.0)</f>
        <v>0</v>
      </c>
      <c r="K834" s="11">
        <f>IFERROR(__xludf.DUMMYFUNCTION("""COMPUTED_VALUE"""),1.0)</f>
        <v>1</v>
      </c>
    </row>
    <row r="835" ht="15.75" customHeight="1">
      <c r="A835" s="10" t="str">
        <f>IFERROR(__xludf.DUMMYFUNCTION("""COMPUTED_VALUE"""),"https://riverjournalonline.com/news/best-amazon-ppc-agencies-to-lower-acos-in-2026/300535/")</f>
        <v>https://riverjournalonline.com/news/best-amazon-ppc-agencies-to-lower-acos-in-2026/300535/</v>
      </c>
      <c r="B835" s="11" t="str">
        <f>IFERROR(__xludf.DUMMYFUNCTION("""COMPUTED_VALUE"""),"Best Amazon PPC Agencies to Lower ACoS in 2026 - River Journal Online - News for Tarrytown, Sleepy Hollow, Irvington, Ossining, Briarcliff Manor, Croton-on-Hudson, Cortlandt and Peekskill")</f>
        <v>Best Amazon PPC Agencies to Lower ACoS in 2026 - River Journal Online - News for Tarrytown, Sleepy Hollow, Irvington, Ossining, Briarcliff Manor, Croton-on-Hudson, Cortlandt and Peekskill</v>
      </c>
      <c r="C835" s="10" t="str">
        <f>IFERROR(__xludf.DUMMYFUNCTION("""COMPUTED_VALUE"""),"riverjournalonline.com")</f>
        <v>riverjournalonline.com</v>
      </c>
      <c r="D835" s="11" t="str">
        <f>IFERROR(__xludf.DUMMYFUNCTION("""COMPUTED_VALUE"""),"LISTICLE")</f>
        <v>LISTICLE</v>
      </c>
      <c r="E835" s="11" t="str">
        <f>IFERROR(__xludf.DUMMYFUNCTION("""COMPUTED_VALUE"""),"EDITORIAL")</f>
        <v>EDITORIAL</v>
      </c>
      <c r="F835" s="11" t="str">
        <f>IFERROR(__xludf.DUMMYFUNCTION("""COMPUTED_VALUE"""),"Listicle")</f>
        <v>Listicle</v>
      </c>
      <c r="G835" s="11" t="b">
        <f>IFERROR(__xludf.DUMMYFUNCTION("""COMPUTED_VALUE"""),FALSE)</f>
        <v>0</v>
      </c>
      <c r="H835" s="11" t="str">
        <f>IFERROR(__xludf.DUMMYFUNCTION("""COMPUTED_VALUE"""),"Tinuiti")</f>
        <v>Tinuiti</v>
      </c>
      <c r="I835" s="11">
        <f>IFERROR(__xludf.DUMMYFUNCTION("""COMPUTED_VALUE"""),1.0)</f>
        <v>1</v>
      </c>
      <c r="J835" s="11">
        <f>IFERROR(__xludf.DUMMYFUNCTION("""COMPUTED_VALUE"""),0.0)</f>
        <v>0</v>
      </c>
      <c r="K835" s="11">
        <f>IFERROR(__xludf.DUMMYFUNCTION("""COMPUTED_VALUE"""),1.0)</f>
        <v>1</v>
      </c>
    </row>
    <row r="836" ht="15.75" customHeight="1">
      <c r="A836" s="10" t="str">
        <f>IFERROR(__xludf.DUMMYFUNCTION("""COMPUTED_VALUE"""),"https://www.rzlt.io/blog/10-best-growth-marketing-agencies-for-startups-in-2026#:~:text=NoGood%20is%20a%20growth%20marketing,%2C%20content%2C%20and%20lifecycle%20marketing.")</f>
        <v>https://www.rzlt.io/blog/10-best-growth-marketing-agencies-for-startups-in-2026#:~:text=NoGood%20is%20a%20growth%20marketing,%2C%20content%2C%20and%20lifecycle%20marketing.</v>
      </c>
      <c r="B836" s="11" t="str">
        <f>IFERROR(__xludf.DUMMYFUNCTION("""COMPUTED_VALUE"""),"10 Growth Marketing Agencies for Startups in 2026")</f>
        <v>10 Growth Marketing Agencies for Startups in 2026</v>
      </c>
      <c r="C836" s="10" t="str">
        <f>IFERROR(__xludf.DUMMYFUNCTION("""COMPUTED_VALUE"""),"rzlt.io")</f>
        <v>rzlt.io</v>
      </c>
      <c r="D836" s="11" t="str">
        <f>IFERROR(__xludf.DUMMYFUNCTION("""COMPUTED_VALUE"""),"LISTICLE")</f>
        <v>LISTICLE</v>
      </c>
      <c r="E836" s="11" t="str">
        <f>IFERROR(__xludf.DUMMYFUNCTION("""COMPUTED_VALUE"""),"CORPORATE")</f>
        <v>CORPORATE</v>
      </c>
      <c r="F836" s="11" t="str">
        <f>IFERROR(__xludf.DUMMYFUNCTION("""COMPUTED_VALUE"""),"Listicle")</f>
        <v>Listicle</v>
      </c>
      <c r="G836" s="11" t="b">
        <f>IFERROR(__xludf.DUMMYFUNCTION("""COMPUTED_VALUE"""),FALSE)</f>
        <v>0</v>
      </c>
      <c r="H836" s="11" t="str">
        <f>IFERROR(__xludf.DUMMYFUNCTION("""COMPUTED_VALUE"""),"NoGood, NinjaPromo, Single Grain, Clutch")</f>
        <v>NoGood, NinjaPromo, Single Grain, Clutch</v>
      </c>
      <c r="I836" s="11">
        <f>IFERROR(__xludf.DUMMYFUNCTION("""COMPUTED_VALUE"""),1.0)</f>
        <v>1</v>
      </c>
      <c r="J836" s="11">
        <f>IFERROR(__xludf.DUMMYFUNCTION("""COMPUTED_VALUE"""),0.0)</f>
        <v>0</v>
      </c>
      <c r="K836" s="11">
        <f>IFERROR(__xludf.DUMMYFUNCTION("""COMPUTED_VALUE"""),1.0)</f>
        <v>1</v>
      </c>
    </row>
    <row r="837" ht="15.75" customHeight="1">
      <c r="A837" s="10" t="str">
        <f>IFERROR(__xludf.DUMMYFUNCTION("""COMPUTED_VALUE"""),"https://s3da-design.com/guest-contribution/best-remodeling-digital-marketing-agencies-in-2025/")</f>
        <v>https://s3da-design.com/guest-contribution/best-remodeling-digital-marketing-agencies-in-2025/</v>
      </c>
      <c r="B837" s="11" t="str">
        <f>IFERROR(__xludf.DUMMYFUNCTION("""COMPUTED_VALUE"""),"Best Remodeling Digital Marketing &amp;amp; SEO Agencies for Contractors 2025")</f>
        <v>Best Remodeling Digital Marketing &amp;amp; SEO Agencies for Contractors 2025</v>
      </c>
      <c r="C837" s="10" t="str">
        <f>IFERROR(__xludf.DUMMYFUNCTION("""COMPUTED_VALUE"""),"s3da-design.com")</f>
        <v>s3da-design.com</v>
      </c>
      <c r="D837" s="11" t="str">
        <f>IFERROR(__xludf.DUMMYFUNCTION("""COMPUTED_VALUE"""),"LISTICLE")</f>
        <v>LISTICLE</v>
      </c>
      <c r="E837" s="11" t="str">
        <f>IFERROR(__xludf.DUMMYFUNCTION("""COMPUTED_VALUE"""),"CORPORATE")</f>
        <v>CORPORATE</v>
      </c>
      <c r="F837" s="11" t="str">
        <f>IFERROR(__xludf.DUMMYFUNCTION("""COMPUTED_VALUE"""),"Listicle")</f>
        <v>Listicle</v>
      </c>
      <c r="G837" s="11" t="b">
        <f>IFERROR(__xludf.DUMMYFUNCTION("""COMPUTED_VALUE"""),FALSE)</f>
        <v>0</v>
      </c>
      <c r="H837" s="11" t="str">
        <f>IFERROR(__xludf.DUMMYFUNCTION("""COMPUTED_VALUE"""),"NP Digital")</f>
        <v>NP Digital</v>
      </c>
      <c r="I837" s="11">
        <f>IFERROR(__xludf.DUMMYFUNCTION("""COMPUTED_VALUE"""),1.0)</f>
        <v>1</v>
      </c>
      <c r="J837" s="11">
        <f>IFERROR(__xludf.DUMMYFUNCTION("""COMPUTED_VALUE"""),0.0)</f>
        <v>0</v>
      </c>
      <c r="K837" s="11">
        <f>IFERROR(__xludf.DUMMYFUNCTION("""COMPUTED_VALUE"""),0.0)</f>
        <v>0</v>
      </c>
    </row>
    <row r="838" ht="15.75" customHeight="1">
      <c r="A838" s="10" t="str">
        <f>IFERROR(__xludf.DUMMYFUNCTION("""COMPUTED_VALUE"""),"https://scopicstudios.com/blog/top-ai-marketing-agencies/")</f>
        <v>https://scopicstudios.com/blog/top-ai-marketing-agencies/</v>
      </c>
      <c r="B838" s="11" t="str">
        <f>IFERROR(__xludf.DUMMYFUNCTION("""COMPUTED_VALUE"""),"10 Best AI Marketing Agencies in 2026 (Ranked &amp;amp; Reviewed)")</f>
        <v>10 Best AI Marketing Agencies in 2026 (Ranked &amp;amp; Reviewed)</v>
      </c>
      <c r="C838" s="10" t="str">
        <f>IFERROR(__xludf.DUMMYFUNCTION("""COMPUTED_VALUE"""),"scopicstudios.com")</f>
        <v>scopicstudios.com</v>
      </c>
      <c r="D838" s="11" t="str">
        <f>IFERROR(__xludf.DUMMYFUNCTION("""COMPUTED_VALUE"""),"LISTICLE")</f>
        <v>LISTICLE</v>
      </c>
      <c r="E838" s="11" t="str">
        <f>IFERROR(__xludf.DUMMYFUNCTION("""COMPUTED_VALUE"""),"CORPORATE")</f>
        <v>CORPORATE</v>
      </c>
      <c r="F838" s="11" t="str">
        <f>IFERROR(__xludf.DUMMYFUNCTION("""COMPUTED_VALUE"""),"Listicle")</f>
        <v>Listicle</v>
      </c>
      <c r="G838" s="11" t="b">
        <f>IFERROR(__xludf.DUMMYFUNCTION("""COMPUTED_VALUE"""),FALSE)</f>
        <v>0</v>
      </c>
      <c r="H838" s="11" t="str">
        <f>IFERROR(__xludf.DUMMYFUNCTION("""COMPUTED_VALUE"""),"Clutch, NoGood, Single Grain, Keenfolks, Anomaly")</f>
        <v>Clutch, NoGood, Single Grain, Keenfolks, Anomaly</v>
      </c>
      <c r="I838" s="11">
        <f>IFERROR(__xludf.DUMMYFUNCTION("""COMPUTED_VALUE"""),1.0)</f>
        <v>1</v>
      </c>
      <c r="J838" s="11">
        <f>IFERROR(__xludf.DUMMYFUNCTION("""COMPUTED_VALUE"""),0.0)</f>
        <v>0</v>
      </c>
      <c r="K838" s="11">
        <f>IFERROR(__xludf.DUMMYFUNCTION("""COMPUTED_VALUE"""),0.0)</f>
        <v>0</v>
      </c>
    </row>
    <row r="839" ht="15.75" customHeight="1">
      <c r="A839" s="10" t="str">
        <f>IFERROR(__xludf.DUMMYFUNCTION("""COMPUTED_VALUE"""),"https://searchconversions.com/the-10-best-answer-engine-optimization-aeo-agencies/")</f>
        <v>https://searchconversions.com/the-10-best-answer-engine-optimization-aeo-agencies/</v>
      </c>
      <c r="B839" s="11" t="str">
        <f>IFERROR(__xludf.DUMMYFUNCTION("""COMPUTED_VALUE"""),"The 10 Best Answer Engine Optimization (AEO) Agencies")</f>
        <v>The 10 Best Answer Engine Optimization (AEO) Agencies</v>
      </c>
      <c r="C839" s="10" t="str">
        <f>IFERROR(__xludf.DUMMYFUNCTION("""COMPUTED_VALUE"""),"searchconversions.com")</f>
        <v>searchconversions.com</v>
      </c>
      <c r="D839" s="11" t="str">
        <f>IFERROR(__xludf.DUMMYFUNCTION("""COMPUTED_VALUE"""),"LISTICLE")</f>
        <v>LISTICLE</v>
      </c>
      <c r="E839" s="11" t="str">
        <f>IFERROR(__xludf.DUMMYFUNCTION("""COMPUTED_VALUE"""),"CORPORATE")</f>
        <v>CORPORATE</v>
      </c>
      <c r="F839" s="11" t="str">
        <f>IFERROR(__xludf.DUMMYFUNCTION("""COMPUTED_VALUE"""),"Listicle")</f>
        <v>Listicle</v>
      </c>
      <c r="G839" s="11" t="b">
        <f>IFERROR(__xludf.DUMMYFUNCTION("""COMPUTED_VALUE"""),FALSE)</f>
        <v>0</v>
      </c>
      <c r="H839" s="11" t="str">
        <f>IFERROR(__xludf.DUMMYFUNCTION("""COMPUTED_VALUE"""),"Omniscient Digital, iPullRank, NoGood, Ignite Visibility, Single Grain")</f>
        <v>Omniscient Digital, iPullRank, NoGood, Ignite Visibility, Single Grain</v>
      </c>
      <c r="I839" s="11">
        <f>IFERROR(__xludf.DUMMYFUNCTION("""COMPUTED_VALUE"""),1.0)</f>
        <v>1</v>
      </c>
      <c r="J839" s="11">
        <f>IFERROR(__xludf.DUMMYFUNCTION("""COMPUTED_VALUE"""),0.0)</f>
        <v>0</v>
      </c>
      <c r="K839" s="11">
        <f>IFERROR(__xludf.DUMMYFUNCTION("""COMPUTED_VALUE"""),0.0)</f>
        <v>0</v>
      </c>
    </row>
    <row r="840" ht="15.75" customHeight="1">
      <c r="A840" s="10" t="str">
        <f>IFERROR(__xludf.DUMMYFUNCTION("""COMPUTED_VALUE"""),"https://segmentstream.com/blog/articles/best-marketing-intelligence-tools")</f>
        <v>https://segmentstream.com/blog/articles/best-marketing-intelligence-tools</v>
      </c>
      <c r="B840" s="11" t="str">
        <f>IFERROR(__xludf.DUMMYFUNCTION("""COMPUTED_VALUE"""),"10 Best Marketing Intelligence Tools &amp;amp; Platforms for 2026 — SegmentStream")</f>
        <v>10 Best Marketing Intelligence Tools &amp;amp; Platforms for 2026 — SegmentStream</v>
      </c>
      <c r="C840" s="10" t="str">
        <f>IFERROR(__xludf.DUMMYFUNCTION("""COMPUTED_VALUE"""),"segmentstream.com")</f>
        <v>segmentstream.com</v>
      </c>
      <c r="D840" s="11" t="str">
        <f>IFERROR(__xludf.DUMMYFUNCTION("""COMPUTED_VALUE"""),"LISTICLE")</f>
        <v>LISTICLE</v>
      </c>
      <c r="E840" s="11" t="str">
        <f>IFERROR(__xludf.DUMMYFUNCTION("""COMPUTED_VALUE"""),"COMPETITOR")</f>
        <v>COMPETITOR</v>
      </c>
      <c r="F840" s="11" t="str">
        <f>IFERROR(__xludf.DUMMYFUNCTION("""COMPUTED_VALUE"""),"Listicle")</f>
        <v>Listicle</v>
      </c>
      <c r="G840" s="11" t="b">
        <f>IFERROR(__xludf.DUMMYFUNCTION("""COMPUTED_VALUE"""),FALSE)</f>
        <v>0</v>
      </c>
      <c r="H840" s="11" t="str">
        <f>IFERROR(__xludf.DUMMYFUNCTION("""COMPUTED_VALUE"""),"SegmentStream, LifeSight, Northbeam, Measured, Rockerbox, Anomaly")</f>
        <v>SegmentStream, LifeSight, Northbeam, Measured, Rockerbox, Anomaly</v>
      </c>
      <c r="I840" s="11">
        <f>IFERROR(__xludf.DUMMYFUNCTION("""COMPUTED_VALUE"""),1.0)</f>
        <v>1</v>
      </c>
      <c r="J840" s="11">
        <f>IFERROR(__xludf.DUMMYFUNCTION("""COMPUTED_VALUE"""),0.0)</f>
        <v>0</v>
      </c>
      <c r="K840" s="11">
        <f>IFERROR(__xludf.DUMMYFUNCTION("""COMPUTED_VALUE"""),1.0)</f>
        <v>1</v>
      </c>
    </row>
    <row r="841" ht="15.75" customHeight="1">
      <c r="A841" s="10" t="str">
        <f>IFERROR(__xludf.DUMMYFUNCTION("""COMPUTED_VALUE"""),"https://segmetrics.io/articles/the-best-marketing-attribution-tools-for-2026-and-how-to-choose-the-right-one/")</f>
        <v>https://segmetrics.io/articles/the-best-marketing-attribution-tools-for-2026-and-how-to-choose-the-right-one/</v>
      </c>
      <c r="B841" s="11" t="str">
        <f>IFERROR(__xludf.DUMMYFUNCTION("""COMPUTED_VALUE"""),"The Best Marketing Attribution Tools for 2026 (And How to Choose the Right One) - SegMetrics")</f>
        <v>The Best Marketing Attribution Tools for 2026 (And How to Choose the Right One) - SegMetrics</v>
      </c>
      <c r="C841" s="10" t="str">
        <f>IFERROR(__xludf.DUMMYFUNCTION("""COMPUTED_VALUE"""),"segmetrics.io")</f>
        <v>segmetrics.io</v>
      </c>
      <c r="D841" s="11" t="str">
        <f>IFERROR(__xludf.DUMMYFUNCTION("""COMPUTED_VALUE"""),"LISTICLE")</f>
        <v>LISTICLE</v>
      </c>
      <c r="E841" s="11" t="str">
        <f>IFERROR(__xludf.DUMMYFUNCTION("""COMPUTED_VALUE"""),"CORPORATE")</f>
        <v>CORPORATE</v>
      </c>
      <c r="F841" s="11" t="str">
        <f>IFERROR(__xludf.DUMMYFUNCTION("""COMPUTED_VALUE"""),"Listicle")</f>
        <v>Listicle</v>
      </c>
      <c r="G841" s="11" t="b">
        <f>IFERROR(__xludf.DUMMYFUNCTION("""COMPUTED_VALUE"""),FALSE)</f>
        <v>0</v>
      </c>
      <c r="H841" s="11" t="str">
        <f>IFERROR(__xludf.DUMMYFUNCTION("""COMPUTED_VALUE"""),"Triple Whale, Northbeam, Cometly")</f>
        <v>Triple Whale, Northbeam, Cometly</v>
      </c>
      <c r="I841" s="11">
        <f>IFERROR(__xludf.DUMMYFUNCTION("""COMPUTED_VALUE"""),1.0)</f>
        <v>1</v>
      </c>
      <c r="J841" s="11">
        <f>IFERROR(__xludf.DUMMYFUNCTION("""COMPUTED_VALUE"""),0.0)</f>
        <v>0</v>
      </c>
      <c r="K841" s="11">
        <f>IFERROR(__xludf.DUMMYFUNCTION("""COMPUTED_VALUE"""),2.0)</f>
        <v>2</v>
      </c>
    </row>
    <row r="842" ht="15.75" customHeight="1">
      <c r="A842" s="10" t="str">
        <f>IFERROR(__xludf.DUMMYFUNCTION("""COMPUTED_VALUE"""),"https://semnexus.com/top-ai-powered-marketing-agencies-in-2026-ranked-by-innovation-performance/")</f>
        <v>https://semnexus.com/top-ai-powered-marketing-agencies-in-2026-ranked-by-innovation-performance/</v>
      </c>
      <c r="B842" s="11" t="str">
        <f>IFERROR(__xludf.DUMMYFUNCTION("""COMPUTED_VALUE"""),"Top AI-Powered Marketing Agencies in 2026 (Ranked by Innovation &amp;amp; Performance) | SEM Nexus")</f>
        <v>Top AI-Powered Marketing Agencies in 2026 (Ranked by Innovation &amp;amp; Performance) | SEM Nexus</v>
      </c>
      <c r="C842" s="10" t="str">
        <f>IFERROR(__xludf.DUMMYFUNCTION("""COMPUTED_VALUE"""),"semnexus.com")</f>
        <v>semnexus.com</v>
      </c>
      <c r="D842" s="11" t="str">
        <f>IFERROR(__xludf.DUMMYFUNCTION("""COMPUTED_VALUE"""),"LISTICLE")</f>
        <v>LISTICLE</v>
      </c>
      <c r="E842" s="11" t="str">
        <f>IFERROR(__xludf.DUMMYFUNCTION("""COMPUTED_VALUE"""),"OTHER")</f>
        <v>OTHER</v>
      </c>
      <c r="F842" s="11" t="str">
        <f>IFERROR(__xludf.DUMMYFUNCTION("""COMPUTED_VALUE"""),"Listicle")</f>
        <v>Listicle</v>
      </c>
      <c r="G842" s="11" t="b">
        <f>IFERROR(__xludf.DUMMYFUNCTION("""COMPUTED_VALUE"""),FALSE)</f>
        <v>0</v>
      </c>
      <c r="H842" s="11" t="str">
        <f>IFERROR(__xludf.DUMMYFUNCTION("""COMPUTED_VALUE"""),"Jellyfish, Wpromote, NoGood")</f>
        <v>Jellyfish, Wpromote, NoGood</v>
      </c>
      <c r="I842" s="11">
        <f>IFERROR(__xludf.DUMMYFUNCTION("""COMPUTED_VALUE"""),1.0)</f>
        <v>1</v>
      </c>
      <c r="J842" s="11">
        <f>IFERROR(__xludf.DUMMYFUNCTION("""COMPUTED_VALUE"""),0.0)</f>
        <v>0</v>
      </c>
      <c r="K842" s="11">
        <f>IFERROR(__xludf.DUMMYFUNCTION("""COMPUTED_VALUE"""),0.0)</f>
        <v>0</v>
      </c>
    </row>
    <row r="843" ht="15.75" customHeight="1">
      <c r="A843" s="10" t="str">
        <f>IFERROR(__xludf.DUMMYFUNCTION("""COMPUTED_VALUE"""),"https://seostrategylab.com/blog/best-llm-seo-agencies-usa/")</f>
        <v>https://seostrategylab.com/blog/best-llm-seo-agencies-usa/</v>
      </c>
      <c r="B843" s="11" t="str">
        <f>IFERROR(__xludf.DUMMYFUNCTION("""COMPUTED_VALUE"""),"Best LLM SEO Agencies in the USA for AI Search Growth")</f>
        <v>Best LLM SEO Agencies in the USA for AI Search Growth</v>
      </c>
      <c r="C843" s="10" t="str">
        <f>IFERROR(__xludf.DUMMYFUNCTION("""COMPUTED_VALUE"""),"seostrategylab.com")</f>
        <v>seostrategylab.com</v>
      </c>
      <c r="D843" s="11" t="str">
        <f>IFERROR(__xludf.DUMMYFUNCTION("""COMPUTED_VALUE"""),"LISTICLE")</f>
        <v>LISTICLE</v>
      </c>
      <c r="E843" s="11" t="str">
        <f>IFERROR(__xludf.DUMMYFUNCTION("""COMPUTED_VALUE"""),"CORPORATE")</f>
        <v>CORPORATE</v>
      </c>
      <c r="F843" s="11" t="str">
        <f>IFERROR(__xludf.DUMMYFUNCTION("""COMPUTED_VALUE"""),"Listicle")</f>
        <v>Listicle</v>
      </c>
      <c r="G843" s="11" t="b">
        <f>IFERROR(__xludf.DUMMYFUNCTION("""COMPUTED_VALUE"""),FALSE)</f>
        <v>0</v>
      </c>
      <c r="H843" s="11" t="str">
        <f>IFERROR(__xludf.DUMMYFUNCTION("""COMPUTED_VALUE"""),"Omniscient Digital, iPullRank, Go Fish Digital, Thrive Internet Marketing Agency")</f>
        <v>Omniscient Digital, iPullRank, Go Fish Digital, Thrive Internet Marketing Agency</v>
      </c>
      <c r="I843" s="11">
        <f>IFERROR(__xludf.DUMMYFUNCTION("""COMPUTED_VALUE"""),1.0)</f>
        <v>1</v>
      </c>
      <c r="J843" s="11">
        <f>IFERROR(__xludf.DUMMYFUNCTION("""COMPUTED_VALUE"""),0.0)</f>
        <v>0</v>
      </c>
      <c r="K843" s="11">
        <f>IFERROR(__xludf.DUMMYFUNCTION("""COMPUTED_VALUE"""),0.0)</f>
        <v>0</v>
      </c>
    </row>
    <row r="844" ht="15.75" customHeight="1">
      <c r="A844" s="10" t="str">
        <f>IFERROR(__xludf.DUMMYFUNCTION("""COMPUTED_VALUE"""),"https://seostrategylab.com/blog/best-technical-seo-agencies-usa/")</f>
        <v>https://seostrategylab.com/blog/best-technical-seo-agencies-usa/</v>
      </c>
      <c r="B844" s="11" t="str">
        <f>IFERROR(__xludf.DUMMYFUNCTION("""COMPUTED_VALUE"""),"Best Technical SEO Agencies in the USA (2026 Edition) | SEO Strategy Lab")</f>
        <v>Best Technical SEO Agencies in the USA (2026 Edition) | SEO Strategy Lab</v>
      </c>
      <c r="C844" s="10" t="str">
        <f>IFERROR(__xludf.DUMMYFUNCTION("""COMPUTED_VALUE"""),"seostrategylab.com")</f>
        <v>seostrategylab.com</v>
      </c>
      <c r="D844" s="11" t="str">
        <f>IFERROR(__xludf.DUMMYFUNCTION("""COMPUTED_VALUE"""),"LISTICLE")</f>
        <v>LISTICLE</v>
      </c>
      <c r="E844" s="11" t="str">
        <f>IFERROR(__xludf.DUMMYFUNCTION("""COMPUTED_VALUE"""),"CORPORATE")</f>
        <v>CORPORATE</v>
      </c>
      <c r="F844" s="11" t="str">
        <f>IFERROR(__xludf.DUMMYFUNCTION("""COMPUTED_VALUE"""),"Listicle")</f>
        <v>Listicle</v>
      </c>
      <c r="G844" s="11" t="b">
        <f>IFERROR(__xludf.DUMMYFUNCTION("""COMPUTED_VALUE"""),FALSE)</f>
        <v>0</v>
      </c>
      <c r="H844" s="11" t="str">
        <f>IFERROR(__xludf.DUMMYFUNCTION("""COMPUTED_VALUE"""),"iPullRank, Darkroom, Single Grain")</f>
        <v>iPullRank, Darkroom, Single Grain</v>
      </c>
      <c r="I844" s="11">
        <f>IFERROR(__xludf.DUMMYFUNCTION("""COMPUTED_VALUE"""),1.0)</f>
        <v>1</v>
      </c>
      <c r="J844" s="11">
        <f>IFERROR(__xludf.DUMMYFUNCTION("""COMPUTED_VALUE"""),0.0)</f>
        <v>0</v>
      </c>
      <c r="K844" s="11">
        <f>IFERROR(__xludf.DUMMYFUNCTION("""COMPUTED_VALUE"""),1.0)</f>
        <v>1</v>
      </c>
    </row>
    <row r="845" ht="15.75" customHeight="1">
      <c r="A845" s="10" t="str">
        <f>IFERROR(__xludf.DUMMYFUNCTION("""COMPUTED_VALUE"""),"https://www.sianamarketing.com/resources/the-top-geo-agencies-2026")</f>
        <v>https://www.sianamarketing.com/resources/the-top-geo-agencies-2026</v>
      </c>
      <c r="B845" s="11" t="str">
        <f>IFERROR(__xludf.DUMMYFUNCTION("""COMPUTED_VALUE"""),"The Top GEO Agencies of 2026 — Siana")</f>
        <v>The Top GEO Agencies of 2026 — Siana</v>
      </c>
      <c r="C845" s="10" t="str">
        <f>IFERROR(__xludf.DUMMYFUNCTION("""COMPUTED_VALUE"""),"sianamarketing.com")</f>
        <v>sianamarketing.com</v>
      </c>
      <c r="D845" s="11" t="str">
        <f>IFERROR(__xludf.DUMMYFUNCTION("""COMPUTED_VALUE"""),"LISTICLE")</f>
        <v>LISTICLE</v>
      </c>
      <c r="E845" s="11" t="str">
        <f>IFERROR(__xludf.DUMMYFUNCTION("""COMPUTED_VALUE"""),"CORPORATE")</f>
        <v>CORPORATE</v>
      </c>
      <c r="F845" s="11" t="str">
        <f>IFERROR(__xludf.DUMMYFUNCTION("""COMPUTED_VALUE"""),"Listicle")</f>
        <v>Listicle</v>
      </c>
      <c r="G845" s="11" t="b">
        <f>IFERROR(__xludf.DUMMYFUNCTION("""COMPUTED_VALUE"""),FALSE)</f>
        <v>0</v>
      </c>
      <c r="H845" s="11" t="str">
        <f>IFERROR(__xludf.DUMMYFUNCTION("""COMPUTED_VALUE"""),"Clutch, First Page Sage, Intero Digital, Graphite")</f>
        <v>Clutch, First Page Sage, Intero Digital, Graphite</v>
      </c>
      <c r="I845" s="11">
        <f>IFERROR(__xludf.DUMMYFUNCTION("""COMPUTED_VALUE"""),1.0)</f>
        <v>1</v>
      </c>
      <c r="J845" s="11">
        <f>IFERROR(__xludf.DUMMYFUNCTION("""COMPUTED_VALUE"""),0.0)</f>
        <v>0</v>
      </c>
      <c r="K845" s="11">
        <f>IFERROR(__xludf.DUMMYFUNCTION("""COMPUTED_VALUE"""),0.0)</f>
        <v>0</v>
      </c>
    </row>
    <row r="846" ht="15.75" customHeight="1">
      <c r="A846" s="10" t="str">
        <f>IFERROR(__xludf.DUMMYFUNCTION("""COMPUTED_VALUE"""),"https://www.siegemedia.com/strategy/best-link-building-services")</f>
        <v>https://www.siegemedia.com/strategy/best-link-building-services</v>
      </c>
      <c r="B846" s="11" t="str">
        <f>IFERROR(__xludf.DUMMYFUNCTION("""COMPUTED_VALUE"""),"The 12 Best Link Building Services for Authority &amp;amp; Mentions in 2026")</f>
        <v>The 12 Best Link Building Services for Authority &amp;amp; Mentions in 2026</v>
      </c>
      <c r="C846" s="10" t="str">
        <f>IFERROR(__xludf.DUMMYFUNCTION("""COMPUTED_VALUE"""),"siegemedia.com")</f>
        <v>siegemedia.com</v>
      </c>
      <c r="D846" s="11" t="str">
        <f>IFERROR(__xludf.DUMMYFUNCTION("""COMPUTED_VALUE"""),"LISTICLE")</f>
        <v>LISTICLE</v>
      </c>
      <c r="E846" s="11" t="str">
        <f>IFERROR(__xludf.DUMMYFUNCTION("""COMPUTED_VALUE"""),"COMPETITOR")</f>
        <v>COMPETITOR</v>
      </c>
      <c r="F846" s="11" t="str">
        <f>IFERROR(__xludf.DUMMYFUNCTION("""COMPUTED_VALUE"""),"Listicle")</f>
        <v>Listicle</v>
      </c>
      <c r="G846" s="11" t="b">
        <f>IFERROR(__xludf.DUMMYFUNCTION("""COMPUTED_VALUE"""),FALSE)</f>
        <v>0</v>
      </c>
      <c r="H846" s="11" t="str">
        <f>IFERROR(__xludf.DUMMYFUNCTION("""COMPUTED_VALUE"""),"Siege Media")</f>
        <v>Siege Media</v>
      </c>
      <c r="I846" s="11">
        <f>IFERROR(__xludf.DUMMYFUNCTION("""COMPUTED_VALUE"""),1.0)</f>
        <v>1</v>
      </c>
      <c r="J846" s="11">
        <f>IFERROR(__xludf.DUMMYFUNCTION("""COMPUTED_VALUE"""),0.0)</f>
        <v>0</v>
      </c>
      <c r="K846" s="11">
        <f>IFERROR(__xludf.DUMMYFUNCTION("""COMPUTED_VALUE"""),1.0)</f>
        <v>1</v>
      </c>
    </row>
    <row r="847" ht="15.75" customHeight="1">
      <c r="A847" s="10" t="str">
        <f>IFERROR(__xludf.DUMMYFUNCTION("""COMPUTED_VALUE"""),"https://www.siegemedia.com/strategy/content-strategy-agency")</f>
        <v>https://www.siegemedia.com/strategy/content-strategy-agency</v>
      </c>
      <c r="B847" s="11" t="str">
        <f>IFERROR(__xludf.DUMMYFUNCTION("""COMPUTED_VALUE"""),"12 Best Content Strategy Agencies That Drive Results (2026)")</f>
        <v>12 Best Content Strategy Agencies That Drive Results (2026)</v>
      </c>
      <c r="C847" s="10" t="str">
        <f>IFERROR(__xludf.DUMMYFUNCTION("""COMPUTED_VALUE"""),"siegemedia.com")</f>
        <v>siegemedia.com</v>
      </c>
      <c r="D847" s="11" t="str">
        <f>IFERROR(__xludf.DUMMYFUNCTION("""COMPUTED_VALUE"""),"LISTICLE")</f>
        <v>LISTICLE</v>
      </c>
      <c r="E847" s="11" t="str">
        <f>IFERROR(__xludf.DUMMYFUNCTION("""COMPUTED_VALUE"""),"COMPETITOR")</f>
        <v>COMPETITOR</v>
      </c>
      <c r="F847" s="11" t="str">
        <f>IFERROR(__xludf.DUMMYFUNCTION("""COMPUTED_VALUE"""),"Listicle")</f>
        <v>Listicle</v>
      </c>
      <c r="G847" s="11" t="b">
        <f>IFERROR(__xludf.DUMMYFUNCTION("""COMPUTED_VALUE"""),FALSE)</f>
        <v>0</v>
      </c>
      <c r="H847" s="11" t="str">
        <f>IFERROR(__xludf.DUMMYFUNCTION("""COMPUTED_VALUE"""),"Siege Media, Omniscient Digital, Animalz, NP Digital, Power Digital, Single Grain")</f>
        <v>Siege Media, Omniscient Digital, Animalz, NP Digital, Power Digital, Single Grain</v>
      </c>
      <c r="I847" s="11">
        <f>IFERROR(__xludf.DUMMYFUNCTION("""COMPUTED_VALUE"""),1.0)</f>
        <v>1</v>
      </c>
      <c r="J847" s="11">
        <f>IFERROR(__xludf.DUMMYFUNCTION("""COMPUTED_VALUE"""),0.0)</f>
        <v>0</v>
      </c>
      <c r="K847" s="11">
        <f>IFERROR(__xludf.DUMMYFUNCTION("""COMPUTED_VALUE"""),0.0)</f>
        <v>0</v>
      </c>
    </row>
    <row r="848" ht="15.75" customHeight="1">
      <c r="A848" s="10" t="str">
        <f>IFERROR(__xludf.DUMMYFUNCTION("""COMPUTED_VALUE"""),"https://www.signitysolutions.com/blog/top-ai-consulting-firms")</f>
        <v>https://www.signitysolutions.com/blog/top-ai-consulting-firms</v>
      </c>
      <c r="B848" s="11" t="str">
        <f>IFERROR(__xludf.DUMMYFUNCTION("""COMPUTED_VALUE"""),"Top 10 AI Consulting Companies 2026")</f>
        <v>Top 10 AI Consulting Companies 2026</v>
      </c>
      <c r="C848" s="10" t="str">
        <f>IFERROR(__xludf.DUMMYFUNCTION("""COMPUTED_VALUE"""),"signitysolutions.com")</f>
        <v>signitysolutions.com</v>
      </c>
      <c r="D848" s="11" t="str">
        <f>IFERROR(__xludf.DUMMYFUNCTION("""COMPUTED_VALUE"""),"LISTICLE")</f>
        <v>LISTICLE</v>
      </c>
      <c r="E848" s="11" t="str">
        <f>IFERROR(__xludf.DUMMYFUNCTION("""COMPUTED_VALUE"""),"CORPORATE")</f>
        <v>CORPORATE</v>
      </c>
      <c r="F848" s="11" t="str">
        <f>IFERROR(__xludf.DUMMYFUNCTION("""COMPUTED_VALUE"""),"Listicle")</f>
        <v>Listicle</v>
      </c>
      <c r="G848" s="11" t="b">
        <f>IFERROR(__xludf.DUMMYFUNCTION("""COMPUTED_VALUE"""),FALSE)</f>
        <v>0</v>
      </c>
      <c r="H848" s="11" t="str">
        <f>IFERROR(__xludf.DUMMYFUNCTION("""COMPUTED_VALUE"""),"Clutch, McKinsey, QuantumBlack, IBM, PwC, BCG")</f>
        <v>Clutch, McKinsey, QuantumBlack, IBM, PwC, BCG</v>
      </c>
      <c r="I848" s="11">
        <f>IFERROR(__xludf.DUMMYFUNCTION("""COMPUTED_VALUE"""),1.0)</f>
        <v>1</v>
      </c>
      <c r="J848" s="11">
        <f>IFERROR(__xludf.DUMMYFUNCTION("""COMPUTED_VALUE"""),0.0)</f>
        <v>0</v>
      </c>
      <c r="K848" s="11">
        <f>IFERROR(__xludf.DUMMYFUNCTION("""COMPUTED_VALUE"""),1.0)</f>
        <v>1</v>
      </c>
    </row>
    <row r="849" ht="15.75" customHeight="1">
      <c r="A849" s="10" t="str">
        <f>IFERROR(__xludf.DUMMYFUNCTION("""COMPUTED_VALUE"""),"https://www.silverbackstrategies.com/lists/best-ecommerce-agencies-in-the-us-ranked-reviewed/")</f>
        <v>https://www.silverbackstrategies.com/lists/best-ecommerce-agencies-in-the-us-ranked-reviewed/</v>
      </c>
      <c r="B849" s="11" t="str">
        <f>IFERROR(__xludf.DUMMYFUNCTION("""COMPUTED_VALUE"""),"Best eCommerce Agencies in the U.S. in 2026 (Ranked &amp;amp; Reviewed) | Silverback Strategies")</f>
        <v>Best eCommerce Agencies in the U.S. in 2026 (Ranked &amp;amp; Reviewed) | Silverback Strategies</v>
      </c>
      <c r="C849" s="10" t="str">
        <f>IFERROR(__xludf.DUMMYFUNCTION("""COMPUTED_VALUE"""),"silverbackstrategies.com")</f>
        <v>silverbackstrategies.com</v>
      </c>
      <c r="D849" s="11" t="str">
        <f>IFERROR(__xludf.DUMMYFUNCTION("""COMPUTED_VALUE"""),"LISTICLE")</f>
        <v>LISTICLE</v>
      </c>
      <c r="E849" s="11" t="str">
        <f>IFERROR(__xludf.DUMMYFUNCTION("""COMPUTED_VALUE"""),"COMPETITOR")</f>
        <v>COMPETITOR</v>
      </c>
      <c r="F849" s="11" t="str">
        <f>IFERROR(__xludf.DUMMYFUNCTION("""COMPUTED_VALUE"""),"Listicle")</f>
        <v>Listicle</v>
      </c>
      <c r="G849" s="11" t="b">
        <f>IFERROR(__xludf.DUMMYFUNCTION("""COMPUTED_VALUE"""),FALSE)</f>
        <v>0</v>
      </c>
      <c r="H849" s="11" t="str">
        <f>IFERROR(__xludf.DUMMYFUNCTION("""COMPUTED_VALUE"""),"Silverback Strategies, Measured, Clutch, Disruptive Advertising, Ignite Visibility, Accelerated Digital Media, NinjaPromo, Elit-Web")</f>
        <v>Silverback Strategies, Measured, Clutch, Disruptive Advertising, Ignite Visibility, Accelerated Digital Media, NinjaPromo, Elit-Web</v>
      </c>
      <c r="I849" s="11">
        <f>IFERROR(__xludf.DUMMYFUNCTION("""COMPUTED_VALUE"""),1.0)</f>
        <v>1</v>
      </c>
      <c r="J849" s="11">
        <f>IFERROR(__xludf.DUMMYFUNCTION("""COMPUTED_VALUE"""),0.0)</f>
        <v>0</v>
      </c>
      <c r="K849" s="11">
        <f>IFERROR(__xludf.DUMMYFUNCTION("""COMPUTED_VALUE"""),1.0)</f>
        <v>1</v>
      </c>
    </row>
    <row r="850" ht="15.75" customHeight="1">
      <c r="A850" s="10" t="str">
        <f>IFERROR(__xludf.DUMMYFUNCTION("""COMPUTED_VALUE"""),"https://simplythebestdigital.com/best-digital-marketing-agencies-usa/")</f>
        <v>https://simplythebestdigital.com/best-digital-marketing-agencies-usa/</v>
      </c>
      <c r="B850" s="11" t="str">
        <f>IFERROR(__xludf.DUMMYFUNCTION("""COMPUTED_VALUE"""),"Best Digital Marketing Agencies in the USA 2026 (Ranked &amp;amp; Reviewed) | Simply The Best Digital")</f>
        <v>Best Digital Marketing Agencies in the USA 2026 (Ranked &amp;amp; Reviewed) | Simply The Best Digital</v>
      </c>
      <c r="C850" s="10" t="str">
        <f>IFERROR(__xludf.DUMMYFUNCTION("""COMPUTED_VALUE"""),"simplythebestdigital.com")</f>
        <v>simplythebestdigital.com</v>
      </c>
      <c r="D850" s="11" t="str">
        <f>IFERROR(__xludf.DUMMYFUNCTION("""COMPUTED_VALUE"""),"LISTICLE")</f>
        <v>LISTICLE</v>
      </c>
      <c r="E850" s="11" t="str">
        <f>IFERROR(__xludf.DUMMYFUNCTION("""COMPUTED_VALUE"""),"CORPORATE")</f>
        <v>CORPORATE</v>
      </c>
      <c r="F850" s="11" t="str">
        <f>IFERROR(__xludf.DUMMYFUNCTION("""COMPUTED_VALUE"""),"Listicle")</f>
        <v>Listicle</v>
      </c>
      <c r="G850" s="11" t="b">
        <f>IFERROR(__xludf.DUMMYFUNCTION("""COMPUTED_VALUE"""),FALSE)</f>
        <v>0</v>
      </c>
      <c r="H850" s="11" t="str">
        <f>IFERROR(__xludf.DUMMYFUNCTION("""COMPUTED_VALUE"""),"WebFX, Ignite Visibility, SmartSites, Disruptive Advertising, First Page Sage, Power Digital, Clutch")</f>
        <v>WebFX, Ignite Visibility, SmartSites, Disruptive Advertising, First Page Sage, Power Digital, Clutch</v>
      </c>
      <c r="I850" s="11">
        <f>IFERROR(__xludf.DUMMYFUNCTION("""COMPUTED_VALUE"""),1.0)</f>
        <v>1</v>
      </c>
      <c r="J850" s="11">
        <f>IFERROR(__xludf.DUMMYFUNCTION("""COMPUTED_VALUE"""),0.0)</f>
        <v>0</v>
      </c>
      <c r="K850" s="11">
        <f>IFERROR(__xludf.DUMMYFUNCTION("""COMPUTED_VALUE"""),0.0)</f>
        <v>0</v>
      </c>
    </row>
    <row r="851" ht="15.75" customHeight="1">
      <c r="A851" s="10" t="str">
        <f>IFERROR(__xludf.DUMMYFUNCTION("""COMPUTED_VALUE"""),"https://www.singlestoneconsulting.com/blog/best-data-modernization-services")</f>
        <v>https://www.singlestoneconsulting.com/blog/best-data-modernization-services</v>
      </c>
      <c r="B851" s="11" t="str">
        <f>IFERROR(__xludf.DUMMYFUNCTION("""COMPUTED_VALUE"""),"SingleStone - The 6 Best Data Modernization Services of 2026")</f>
        <v>SingleStone - The 6 Best Data Modernization Services of 2026</v>
      </c>
      <c r="C851" s="10" t="str">
        <f>IFERROR(__xludf.DUMMYFUNCTION("""COMPUTED_VALUE"""),"singlestoneconsulting.com")</f>
        <v>singlestoneconsulting.com</v>
      </c>
      <c r="D851" s="11" t="str">
        <f>IFERROR(__xludf.DUMMYFUNCTION("""COMPUTED_VALUE"""),"LISTICLE")</f>
        <v>LISTICLE</v>
      </c>
      <c r="E851" s="11" t="str">
        <f>IFERROR(__xludf.DUMMYFUNCTION("""COMPUTED_VALUE"""),"CORPORATE")</f>
        <v>CORPORATE</v>
      </c>
      <c r="F851" s="11" t="str">
        <f>IFERROR(__xludf.DUMMYFUNCTION("""COMPUTED_VALUE"""),"Listicle")</f>
        <v>Listicle</v>
      </c>
      <c r="G851" s="11" t="b">
        <f>IFERROR(__xludf.DUMMYFUNCTION("""COMPUTED_VALUE"""),FALSE)</f>
        <v>0</v>
      </c>
      <c r="H851" s="11" t="str">
        <f>IFERROR(__xludf.DUMMYFUNCTION("""COMPUTED_VALUE"""),"Slalom, PwC")</f>
        <v>Slalom, PwC</v>
      </c>
      <c r="I851" s="11">
        <f>IFERROR(__xludf.DUMMYFUNCTION("""COMPUTED_VALUE"""),1.0)</f>
        <v>1</v>
      </c>
      <c r="J851" s="11">
        <f>IFERROR(__xludf.DUMMYFUNCTION("""COMPUTED_VALUE"""),0.0)</f>
        <v>0</v>
      </c>
      <c r="K851" s="11">
        <f>IFERROR(__xludf.DUMMYFUNCTION("""COMPUTED_VALUE"""),1.0)</f>
        <v>1</v>
      </c>
    </row>
    <row r="852" ht="15.75" customHeight="1">
      <c r="A852" s="10" t="str">
        <f>IFERROR(__xludf.DUMMYFUNCTION("""COMPUTED_VALUE"""),"https://skai.io/blog/a-dozen-examples-of-incrementality-tests/")</f>
        <v>https://skai.io/blog/a-dozen-examples-of-incrementality-tests/</v>
      </c>
      <c r="B852" s="11" t="str">
        <f>IFERROR(__xludf.DUMMYFUNCTION("""COMPUTED_VALUE"""),"What Is Incrementality Testing | The Marketers Experiment Guide")</f>
        <v>What Is Incrementality Testing | The Marketers Experiment Guide</v>
      </c>
      <c r="C852" s="10" t="str">
        <f>IFERROR(__xludf.DUMMYFUNCTION("""COMPUTED_VALUE"""),"skai.io")</f>
        <v>skai.io</v>
      </c>
      <c r="D852" s="11" t="str">
        <f>IFERROR(__xludf.DUMMYFUNCTION("""COMPUTED_VALUE"""),"LISTICLE")</f>
        <v>LISTICLE</v>
      </c>
      <c r="E852" s="11" t="str">
        <f>IFERROR(__xludf.DUMMYFUNCTION("""COMPUTED_VALUE"""),"CORPORATE")</f>
        <v>CORPORATE</v>
      </c>
      <c r="F852" s="11" t="str">
        <f>IFERROR(__xludf.DUMMYFUNCTION("""COMPUTED_VALUE"""),"Listicle")</f>
        <v>Listicle</v>
      </c>
      <c r="G852" s="11" t="b">
        <f>IFERROR(__xludf.DUMMYFUNCTION("""COMPUTED_VALUE"""),FALSE)</f>
        <v>0</v>
      </c>
      <c r="H852" s="11"/>
      <c r="I852" s="11">
        <f>IFERROR(__xludf.DUMMYFUNCTION("""COMPUTED_VALUE"""),1.0)</f>
        <v>1</v>
      </c>
      <c r="J852" s="11">
        <f>IFERROR(__xludf.DUMMYFUNCTION("""COMPUTED_VALUE"""),0.0)</f>
        <v>0</v>
      </c>
      <c r="K852" s="11">
        <f>IFERROR(__xludf.DUMMYFUNCTION("""COMPUTED_VALUE"""),2.0)</f>
        <v>2</v>
      </c>
    </row>
    <row r="853" ht="15.75" customHeight="1">
      <c r="A853" s="10" t="str">
        <f>IFERROR(__xludf.DUMMYFUNCTION("""COMPUTED_VALUE"""),"https://www.smartsites.com/blog/the-different-types-of-ppc-ads/")</f>
        <v>https://www.smartsites.com/blog/the-different-types-of-ppc-ads/</v>
      </c>
      <c r="B853" s="11" t="str">
        <f>IFERROR(__xludf.DUMMYFUNCTION("""COMPUTED_VALUE"""),"The Different Types Of PPC Ads - SmartSites")</f>
        <v>The Different Types Of PPC Ads - SmartSites</v>
      </c>
      <c r="C853" s="10" t="str">
        <f>IFERROR(__xludf.DUMMYFUNCTION("""COMPUTED_VALUE"""),"smartsites.com")</f>
        <v>smartsites.com</v>
      </c>
      <c r="D853" s="11" t="str">
        <f>IFERROR(__xludf.DUMMYFUNCTION("""COMPUTED_VALUE"""),"LISTICLE")</f>
        <v>LISTICLE</v>
      </c>
      <c r="E853" s="11" t="str">
        <f>IFERROR(__xludf.DUMMYFUNCTION("""COMPUTED_VALUE"""),"COMPETITOR")</f>
        <v>COMPETITOR</v>
      </c>
      <c r="F853" s="11" t="str">
        <f>IFERROR(__xludf.DUMMYFUNCTION("""COMPUTED_VALUE"""),"Listicle")</f>
        <v>Listicle</v>
      </c>
      <c r="G853" s="11" t="b">
        <f>IFERROR(__xludf.DUMMYFUNCTION("""COMPUTED_VALUE"""),FALSE)</f>
        <v>0</v>
      </c>
      <c r="H853" s="11" t="str">
        <f>IFERROR(__xludf.DUMMYFUNCTION("""COMPUTED_VALUE"""),"SmartSites")</f>
        <v>SmartSites</v>
      </c>
      <c r="I853" s="11">
        <f>IFERROR(__xludf.DUMMYFUNCTION("""COMPUTED_VALUE"""),1.0)</f>
        <v>1</v>
      </c>
      <c r="J853" s="11">
        <f>IFERROR(__xludf.DUMMYFUNCTION("""COMPUTED_VALUE"""),0.0)</f>
        <v>0</v>
      </c>
      <c r="K853" s="11">
        <f>IFERROR(__xludf.DUMMYFUNCTION("""COMPUTED_VALUE"""),1.0)</f>
        <v>1</v>
      </c>
    </row>
    <row r="854" ht="15.75" customHeight="1">
      <c r="A854" s="10" t="str">
        <f>IFERROR(__xludf.DUMMYFUNCTION("""COMPUTED_VALUE"""),"https://snov.io/blog/best-digital-marketing-platforms/")</f>
        <v>https://snov.io/blog/best-digital-marketing-platforms/</v>
      </c>
      <c r="B854" s="11" t="str">
        <f>IFERROR(__xludf.DUMMYFUNCTION("""COMPUTED_VALUE"""),"13 best digital marketing platforms in 2026 (reviewed &amp;amp; ranked)")</f>
        <v>13 best digital marketing platforms in 2026 (reviewed &amp;amp; ranked)</v>
      </c>
      <c r="C854" s="10" t="str">
        <f>IFERROR(__xludf.DUMMYFUNCTION("""COMPUTED_VALUE"""),"snov.io")</f>
        <v>snov.io</v>
      </c>
      <c r="D854" s="11" t="str">
        <f>IFERROR(__xludf.DUMMYFUNCTION("""COMPUTED_VALUE"""),"LISTICLE")</f>
        <v>LISTICLE</v>
      </c>
      <c r="E854" s="11" t="str">
        <f>IFERROR(__xludf.DUMMYFUNCTION("""COMPUTED_VALUE"""),"CORPORATE")</f>
        <v>CORPORATE</v>
      </c>
      <c r="F854" s="11" t="str">
        <f>IFERROR(__xludf.DUMMYFUNCTION("""COMPUTED_VALUE"""),"Listicle")</f>
        <v>Listicle</v>
      </c>
      <c r="G854" s="11" t="b">
        <f>IFERROR(__xludf.DUMMYFUNCTION("""COMPUTED_VALUE"""),FALSE)</f>
        <v>0</v>
      </c>
      <c r="H854" s="11" t="str">
        <f>IFERROR(__xludf.DUMMYFUNCTION("""COMPUTED_VALUE"""),"Clay")</f>
        <v>Clay</v>
      </c>
      <c r="I854" s="11">
        <f>IFERROR(__xludf.DUMMYFUNCTION("""COMPUTED_VALUE"""),1.0)</f>
        <v>1</v>
      </c>
      <c r="J854" s="11">
        <f>IFERROR(__xludf.DUMMYFUNCTION("""COMPUTED_VALUE"""),0.0)</f>
        <v>0</v>
      </c>
      <c r="K854" s="11">
        <f>IFERROR(__xludf.DUMMYFUNCTION("""COMPUTED_VALUE"""),1.0)</f>
        <v>1</v>
      </c>
    </row>
    <row r="855" ht="15.75" customHeight="1">
      <c r="A855" s="10" t="str">
        <f>IFERROR(__xludf.DUMMYFUNCTION("""COMPUTED_VALUE"""),"https://socialander.com/top-digital-marketing-companies-in-usa/")</f>
        <v>https://socialander.com/top-digital-marketing-companies-in-usa/</v>
      </c>
      <c r="B855" s="11" t="str">
        <f>IFERROR(__xludf.DUMMYFUNCTION("""COMPUTED_VALUE"""),"Top 17 Digital Marketing Companies in USA")</f>
        <v>Top 17 Digital Marketing Companies in USA</v>
      </c>
      <c r="C855" s="10" t="str">
        <f>IFERROR(__xludf.DUMMYFUNCTION("""COMPUTED_VALUE"""),"socialander.com")</f>
        <v>socialander.com</v>
      </c>
      <c r="D855" s="11" t="str">
        <f>IFERROR(__xludf.DUMMYFUNCTION("""COMPUTED_VALUE"""),"LISTICLE")</f>
        <v>LISTICLE</v>
      </c>
      <c r="E855" s="11" t="str">
        <f>IFERROR(__xludf.DUMMYFUNCTION("""COMPUTED_VALUE"""),"CORPORATE")</f>
        <v>CORPORATE</v>
      </c>
      <c r="F855" s="11" t="str">
        <f>IFERROR(__xludf.DUMMYFUNCTION("""COMPUTED_VALUE"""),"Listicle")</f>
        <v>Listicle</v>
      </c>
      <c r="G855" s="11" t="b">
        <f>IFERROR(__xludf.DUMMYFUNCTION("""COMPUTED_VALUE"""),FALSE)</f>
        <v>0</v>
      </c>
      <c r="H855" s="11" t="str">
        <f>IFERROR(__xludf.DUMMYFUNCTION("""COMPUTED_VALUE"""),"Ignite Visibility, WebFX, Disruptive Advertising, KlientBoost, LYFE Marketing, Searchbloom, Thrive Internet Marketing Agency, SmartSites")</f>
        <v>Ignite Visibility, WebFX, Disruptive Advertising, KlientBoost, LYFE Marketing, Searchbloom, Thrive Internet Marketing Agency, SmartSites</v>
      </c>
      <c r="I855" s="11">
        <f>IFERROR(__xludf.DUMMYFUNCTION("""COMPUTED_VALUE"""),1.0)</f>
        <v>1</v>
      </c>
      <c r="J855" s="11">
        <f>IFERROR(__xludf.DUMMYFUNCTION("""COMPUTED_VALUE"""),0.0)</f>
        <v>0</v>
      </c>
      <c r="K855" s="11">
        <f>IFERROR(__xludf.DUMMYFUNCTION("""COMPUTED_VALUE"""),1.0)</f>
        <v>1</v>
      </c>
    </row>
    <row r="856" ht="15.75" customHeight="1">
      <c r="A856" s="10" t="str">
        <f>IFERROR(__xludf.DUMMYFUNCTION("""COMPUTED_VALUE"""),"https://sociallyin.com/resources/top-creative-strategy-agencies-us/")</f>
        <v>https://sociallyin.com/resources/top-creative-strategy-agencies-us/</v>
      </c>
      <c r="B856" s="11" t="str">
        <f>IFERROR(__xludf.DUMMYFUNCTION("""COMPUTED_VALUE"""),"Top 5 Creative Strategy Agencies in the US (2026 Rankings)")</f>
        <v>Top 5 Creative Strategy Agencies in the US (2026 Rankings)</v>
      </c>
      <c r="C856" s="10" t="str">
        <f>IFERROR(__xludf.DUMMYFUNCTION("""COMPUTED_VALUE"""),"sociallyin.com")</f>
        <v>sociallyin.com</v>
      </c>
      <c r="D856" s="11" t="str">
        <f>IFERROR(__xludf.DUMMYFUNCTION("""COMPUTED_VALUE"""),"LISTICLE")</f>
        <v>LISTICLE</v>
      </c>
      <c r="E856" s="11" t="str">
        <f>IFERROR(__xludf.DUMMYFUNCTION("""COMPUTED_VALUE"""),"COMPETITOR")</f>
        <v>COMPETITOR</v>
      </c>
      <c r="F856" s="11" t="str">
        <f>IFERROR(__xludf.DUMMYFUNCTION("""COMPUTED_VALUE"""),"Listicle")</f>
        <v>Listicle</v>
      </c>
      <c r="G856" s="11" t="b">
        <f>IFERROR(__xludf.DUMMYFUNCTION("""COMPUTED_VALUE"""),FALSE)</f>
        <v>0</v>
      </c>
      <c r="H856" s="11" t="str">
        <f>IFERROR(__xludf.DUMMYFUNCTION("""COMPUTED_VALUE"""),"Sociallyin, Wieden+Kennedy, Droga5, Accenture Song, R/GA, BBDO, Measured")</f>
        <v>Sociallyin, Wieden+Kennedy, Droga5, Accenture Song, R/GA, BBDO, Measured</v>
      </c>
      <c r="I856" s="11">
        <f>IFERROR(__xludf.DUMMYFUNCTION("""COMPUTED_VALUE"""),1.0)</f>
        <v>1</v>
      </c>
      <c r="J856" s="11">
        <f>IFERROR(__xludf.DUMMYFUNCTION("""COMPUTED_VALUE"""),0.0)</f>
        <v>0</v>
      </c>
      <c r="K856" s="11">
        <f>IFERROR(__xludf.DUMMYFUNCTION("""COMPUTED_VALUE"""),0.0)</f>
        <v>0</v>
      </c>
    </row>
    <row r="857" ht="15.75" customHeight="1">
      <c r="A857" s="10" t="str">
        <f>IFERROR(__xludf.DUMMYFUNCTION("""COMPUTED_VALUE"""),"https://sociallyin.com/resources/top-social-media-agencies-in-us/")</f>
        <v>https://sociallyin.com/resources/top-social-media-agencies-in-us/</v>
      </c>
      <c r="B857" s="11" t="str">
        <f>IFERROR(__xludf.DUMMYFUNCTION("""COMPUTED_VALUE"""),"Top 5 Social Media Marketing Agencies in the US (2026)")</f>
        <v>Top 5 Social Media Marketing Agencies in the US (2026)</v>
      </c>
      <c r="C857" s="10" t="str">
        <f>IFERROR(__xludf.DUMMYFUNCTION("""COMPUTED_VALUE"""),"sociallyin.com")</f>
        <v>sociallyin.com</v>
      </c>
      <c r="D857" s="11" t="str">
        <f>IFERROR(__xludf.DUMMYFUNCTION("""COMPUTED_VALUE"""),"LISTICLE")</f>
        <v>LISTICLE</v>
      </c>
      <c r="E857" s="11" t="str">
        <f>IFERROR(__xludf.DUMMYFUNCTION("""COMPUTED_VALUE"""),"COMPETITOR")</f>
        <v>COMPETITOR</v>
      </c>
      <c r="F857" s="11" t="str">
        <f>IFERROR(__xludf.DUMMYFUNCTION("""COMPUTED_VALUE"""),"Listicle")</f>
        <v>Listicle</v>
      </c>
      <c r="G857" s="11" t="b">
        <f>IFERROR(__xludf.DUMMYFUNCTION("""COMPUTED_VALUE"""),FALSE)</f>
        <v>0</v>
      </c>
      <c r="H857" s="11" t="str">
        <f>IFERROR(__xludf.DUMMYFUNCTION("""COMPUTED_VALUE"""),"Sociallyin, Clutch, Viral Nation, Measured, Momentum")</f>
        <v>Sociallyin, Clutch, Viral Nation, Measured, Momentum</v>
      </c>
      <c r="I857" s="11">
        <f>IFERROR(__xludf.DUMMYFUNCTION("""COMPUTED_VALUE"""),1.0)</f>
        <v>1</v>
      </c>
      <c r="J857" s="11">
        <f>IFERROR(__xludf.DUMMYFUNCTION("""COMPUTED_VALUE"""),0.0)</f>
        <v>0</v>
      </c>
      <c r="K857" s="11">
        <f>IFERROR(__xludf.DUMMYFUNCTION("""COMPUTED_VALUE"""),0.0)</f>
        <v>0</v>
      </c>
    </row>
    <row r="858" ht="15.75" customHeight="1">
      <c r="A858" s="10" t="str">
        <f>IFERROR(__xludf.DUMMYFUNCTION("""COMPUTED_VALUE"""),"https://sociallypowerful.com/post/top-international-marketing-agencies")</f>
        <v>https://sociallypowerful.com/post/top-international-marketing-agencies</v>
      </c>
      <c r="B858" s="11" t="str">
        <f>IFERROR(__xludf.DUMMYFUNCTION("""COMPUTED_VALUE"""),"Top 25 International Marketing Agencies")</f>
        <v>Top 25 International Marketing Agencies</v>
      </c>
      <c r="C858" s="10" t="str">
        <f>IFERROR(__xludf.DUMMYFUNCTION("""COMPUTED_VALUE"""),"sociallypowerful.com")</f>
        <v>sociallypowerful.com</v>
      </c>
      <c r="D858" s="11" t="str">
        <f>IFERROR(__xludf.DUMMYFUNCTION("""COMPUTED_VALUE"""),"LISTICLE")</f>
        <v>LISTICLE</v>
      </c>
      <c r="E858" s="11" t="str">
        <f>IFERROR(__xludf.DUMMYFUNCTION("""COMPUTED_VALUE"""),"CORPORATE")</f>
        <v>CORPORATE</v>
      </c>
      <c r="F858" s="11" t="str">
        <f>IFERROR(__xludf.DUMMYFUNCTION("""COMPUTED_VALUE"""),"Listicle")</f>
        <v>Listicle</v>
      </c>
      <c r="G858" s="11" t="b">
        <f>IFERROR(__xludf.DUMMYFUNCTION("""COMPUTED_VALUE"""),FALSE)</f>
        <v>0</v>
      </c>
      <c r="H858" s="11" t="str">
        <f>IFERROR(__xludf.DUMMYFUNCTION("""COMPUTED_VALUE"""),"NoGood, AKQA, inBeat, Web Tonic, R/GA, Ignite Visibility, WebFX")</f>
        <v>NoGood, AKQA, inBeat, Web Tonic, R/GA, Ignite Visibility, WebFX</v>
      </c>
      <c r="I858" s="11">
        <f>IFERROR(__xludf.DUMMYFUNCTION("""COMPUTED_VALUE"""),1.0)</f>
        <v>1</v>
      </c>
      <c r="J858" s="11">
        <f>IFERROR(__xludf.DUMMYFUNCTION("""COMPUTED_VALUE"""),0.0)</f>
        <v>0</v>
      </c>
      <c r="K858" s="11">
        <f>IFERROR(__xludf.DUMMYFUNCTION("""COMPUTED_VALUE"""),0.0)</f>
        <v>0</v>
      </c>
    </row>
    <row r="859" ht="15.75" customHeight="1">
      <c r="A859" s="10" t="str">
        <f>IFERROR(__xludf.DUMMYFUNCTION("""COMPUTED_VALUE"""),"https://sociallypowerful.com/post/top-retail-marketing-agencies")</f>
        <v>https://sociallypowerful.com/post/top-retail-marketing-agencies</v>
      </c>
      <c r="B859" s="11" t="str">
        <f>IFERROR(__xludf.DUMMYFUNCTION("""COMPUTED_VALUE"""),"Top 30 Retail Marketing Agencies (2025)")</f>
        <v>Top 30 Retail Marketing Agencies (2025)</v>
      </c>
      <c r="C859" s="10" t="str">
        <f>IFERROR(__xludf.DUMMYFUNCTION("""COMPUTED_VALUE"""),"sociallypowerful.com")</f>
        <v>sociallypowerful.com</v>
      </c>
      <c r="D859" s="11" t="str">
        <f>IFERROR(__xludf.DUMMYFUNCTION("""COMPUTED_VALUE"""),"LISTICLE")</f>
        <v>LISTICLE</v>
      </c>
      <c r="E859" s="11" t="str">
        <f>IFERROR(__xludf.DUMMYFUNCTION("""COMPUTED_VALUE"""),"CORPORATE")</f>
        <v>CORPORATE</v>
      </c>
      <c r="F859" s="11" t="str">
        <f>IFERROR(__xludf.DUMMYFUNCTION("""COMPUTED_VALUE"""),"Listicle")</f>
        <v>Listicle</v>
      </c>
      <c r="G859" s="11" t="b">
        <f>IFERROR(__xludf.DUMMYFUNCTION("""COMPUTED_VALUE"""),FALSE)</f>
        <v>0</v>
      </c>
      <c r="H859" s="11" t="str">
        <f>IFERROR(__xludf.DUMMYFUNCTION("""COMPUTED_VALUE"""),"SmartSites, Disruptive Advertising, NoGood, BBDO, Web Tonic")</f>
        <v>SmartSites, Disruptive Advertising, NoGood, BBDO, Web Tonic</v>
      </c>
      <c r="I859" s="11">
        <f>IFERROR(__xludf.DUMMYFUNCTION("""COMPUTED_VALUE"""),1.0)</f>
        <v>1</v>
      </c>
      <c r="J859" s="11">
        <f>IFERROR(__xludf.DUMMYFUNCTION("""COMPUTED_VALUE"""),0.0)</f>
        <v>0</v>
      </c>
      <c r="K859" s="11">
        <f>IFERROR(__xludf.DUMMYFUNCTION("""COMPUTED_VALUE"""),1.0)</f>
        <v>1</v>
      </c>
    </row>
    <row r="860" ht="15.75" customHeight="1">
      <c r="A860" s="10" t="str">
        <f>IFERROR(__xludf.DUMMYFUNCTION("""COMPUTED_VALUE"""),"https://sociolabs.in/top-indian-generative-engine-optimization-companies/")</f>
        <v>https://sociolabs.in/top-indian-generative-engine-optimization-companies/</v>
      </c>
      <c r="B860" s="11" t="str">
        <f>IFERROR(__xludf.DUMMYFUNCTION("""COMPUTED_VALUE"""),"Top Indian Companies in Generative Engine Optimization")</f>
        <v>Top Indian Companies in Generative Engine Optimization</v>
      </c>
      <c r="C860" s="10" t="str">
        <f>IFERROR(__xludf.DUMMYFUNCTION("""COMPUTED_VALUE"""),"sociolabs.in")</f>
        <v>sociolabs.in</v>
      </c>
      <c r="D860" s="11" t="str">
        <f>IFERROR(__xludf.DUMMYFUNCTION("""COMPUTED_VALUE"""),"LISTICLE")</f>
        <v>LISTICLE</v>
      </c>
      <c r="E860" s="11" t="str">
        <f>IFERROR(__xludf.DUMMYFUNCTION("""COMPUTED_VALUE"""),"CORPORATE")</f>
        <v>CORPORATE</v>
      </c>
      <c r="F860" s="11" t="str">
        <f>IFERROR(__xludf.DUMMYFUNCTION("""COMPUTED_VALUE"""),"Listicle")</f>
        <v>Listicle</v>
      </c>
      <c r="G860" s="11" t="b">
        <f>IFERROR(__xludf.DUMMYFUNCTION("""COMPUTED_VALUE"""),FALSE)</f>
        <v>0</v>
      </c>
      <c r="H860" s="11"/>
      <c r="I860" s="11">
        <f>IFERROR(__xludf.DUMMYFUNCTION("""COMPUTED_VALUE"""),1.0)</f>
        <v>1</v>
      </c>
      <c r="J860" s="11">
        <f>IFERROR(__xludf.DUMMYFUNCTION("""COMPUTED_VALUE"""),0.0)</f>
        <v>0</v>
      </c>
      <c r="K860" s="11">
        <f>IFERROR(__xludf.DUMMYFUNCTION("""COMPUTED_VALUE"""),1.0)</f>
        <v>1</v>
      </c>
    </row>
    <row r="861" ht="15.75" customHeight="1">
      <c r="A861" s="10" t="str">
        <f>IFERROR(__xludf.DUMMYFUNCTION("""COMPUTED_VALUE"""),"https://www.sona.com/blog/vendors-supporting-first-party-intent-data-targeting-for-b2b-sales-prospecting-a-comprehensive-activation-guide")</f>
        <v>https://www.sona.com/blog/vendors-supporting-first-party-intent-data-targeting-for-b2b-sales-prospecting-a-comprehensive-activation-guide</v>
      </c>
      <c r="B861" s="11" t="str">
        <f>IFERROR(__xludf.DUMMYFUNCTION("""COMPUTED_VALUE"""),"Vendors Supporting First-Party Intent Data Targeting for B2B Sales Prospecting: A Comprehensive Activation Guide | Sona")</f>
        <v>Vendors Supporting First-Party Intent Data Targeting for B2B Sales Prospecting: A Comprehensive Activation Guide | Sona</v>
      </c>
      <c r="C861" s="10" t="str">
        <f>IFERROR(__xludf.DUMMYFUNCTION("""COMPUTED_VALUE"""),"sona.com")</f>
        <v>sona.com</v>
      </c>
      <c r="D861" s="11" t="str">
        <f>IFERROR(__xludf.DUMMYFUNCTION("""COMPUTED_VALUE"""),"LISTICLE")</f>
        <v>LISTICLE</v>
      </c>
      <c r="E861" s="11" t="str">
        <f>IFERROR(__xludf.DUMMYFUNCTION("""COMPUTED_VALUE"""),"CORPORATE")</f>
        <v>CORPORATE</v>
      </c>
      <c r="F861" s="11" t="str">
        <f>IFERROR(__xludf.DUMMYFUNCTION("""COMPUTED_VALUE"""),"Listicle")</f>
        <v>Listicle</v>
      </c>
      <c r="G861" s="11" t="b">
        <f>IFERROR(__xludf.DUMMYFUNCTION("""COMPUTED_VALUE"""),FALSE)</f>
        <v>0</v>
      </c>
      <c r="H861" s="11"/>
      <c r="I861" s="11">
        <f>IFERROR(__xludf.DUMMYFUNCTION("""COMPUTED_VALUE"""),1.0)</f>
        <v>1</v>
      </c>
      <c r="J861" s="11">
        <f>IFERROR(__xludf.DUMMYFUNCTION("""COMPUTED_VALUE"""),0.0)</f>
        <v>0</v>
      </c>
      <c r="K861" s="11">
        <f>IFERROR(__xludf.DUMMYFUNCTION("""COMPUTED_VALUE"""),0.0)</f>
        <v>0</v>
      </c>
    </row>
    <row r="862" ht="15.75" customHeight="1">
      <c r="A862" s="10" t="str">
        <f>IFERROR(__xludf.DUMMYFUNCTION("""COMPUTED_VALUE"""),"https://sourceforge.net/software/incrementality-testing/usa/")</f>
        <v>https://sourceforge.net/software/incrementality-testing/usa/</v>
      </c>
      <c r="B862" s="11" t="str">
        <f>IFERROR(__xludf.DUMMYFUNCTION("""COMPUTED_VALUE"""),"Best Incrementality Testing Tools in the USA of 2026 - Reviews &amp;amp; Comparison")</f>
        <v>Best Incrementality Testing Tools in the USA of 2026 - Reviews &amp;amp; Comparison</v>
      </c>
      <c r="C862" s="10" t="str">
        <f>IFERROR(__xludf.DUMMYFUNCTION("""COMPUTED_VALUE"""),"sourceforge.net")</f>
        <v>sourceforge.net</v>
      </c>
      <c r="D862" s="11" t="str">
        <f>IFERROR(__xludf.DUMMYFUNCTION("""COMPUTED_VALUE"""),"LISTICLE")</f>
        <v>LISTICLE</v>
      </c>
      <c r="E862" s="11" t="str">
        <f>IFERROR(__xludf.DUMMYFUNCTION("""COMPUTED_VALUE"""),"OTHER")</f>
        <v>OTHER</v>
      </c>
      <c r="F862" s="11" t="str">
        <f>IFERROR(__xludf.DUMMYFUNCTION("""COMPUTED_VALUE"""),"Listicle")</f>
        <v>Listicle</v>
      </c>
      <c r="G862" s="11" t="b">
        <f>IFERROR(__xludf.DUMMYFUNCTION("""COMPUTED_VALUE"""),FALSE)</f>
        <v>0</v>
      </c>
      <c r="H862" s="11" t="str">
        <f>IFERROR(__xludf.DUMMYFUNCTION("""COMPUTED_VALUE"""),"Measured, LifeSight, Sellforte, Rockerbox, Recast, Haus, Analytic Partners")</f>
        <v>Measured, LifeSight, Sellforte, Rockerbox, Recast, Haus, Analytic Partners</v>
      </c>
      <c r="I862" s="11">
        <f>IFERROR(__xludf.DUMMYFUNCTION("""COMPUTED_VALUE"""),1.0)</f>
        <v>1</v>
      </c>
      <c r="J862" s="11">
        <f>IFERROR(__xludf.DUMMYFUNCTION("""COMPUTED_VALUE"""),0.0)</f>
        <v>0</v>
      </c>
      <c r="K862" s="11">
        <f>IFERROR(__xludf.DUMMYFUNCTION("""COMPUTED_VALUE"""),0.0)</f>
        <v>0</v>
      </c>
    </row>
    <row r="863" ht="15.75" customHeight="1">
      <c r="A863" s="10" t="str">
        <f>IFERROR(__xludf.DUMMYFUNCTION("""COMPUTED_VALUE"""),"https://www.sparkouttech.com/ui-ux-design-agencies-usa/")</f>
        <v>https://www.sparkouttech.com/ui-ux-design-agencies-usa/</v>
      </c>
      <c r="B863" s="11" t="str">
        <f>IFERROR(__xludf.DUMMYFUNCTION("""COMPUTED_VALUE"""),"Discover Top 10 UI/UX Design Agencies in USA For Businesses")</f>
        <v>Discover Top 10 UI/UX Design Agencies in USA For Businesses</v>
      </c>
      <c r="C863" s="10" t="str">
        <f>IFERROR(__xludf.DUMMYFUNCTION("""COMPUTED_VALUE"""),"sparkouttech.com")</f>
        <v>sparkouttech.com</v>
      </c>
      <c r="D863" s="11" t="str">
        <f>IFERROR(__xludf.DUMMYFUNCTION("""COMPUTED_VALUE"""),"LISTICLE")</f>
        <v>LISTICLE</v>
      </c>
      <c r="E863" s="11" t="str">
        <f>IFERROR(__xludf.DUMMYFUNCTION("""COMPUTED_VALUE"""),"CORPORATE")</f>
        <v>CORPORATE</v>
      </c>
      <c r="F863" s="11" t="str">
        <f>IFERROR(__xludf.DUMMYFUNCTION("""COMPUTED_VALUE"""),"Listicle")</f>
        <v>Listicle</v>
      </c>
      <c r="G863" s="11" t="b">
        <f>IFERROR(__xludf.DUMMYFUNCTION("""COMPUTED_VALUE"""),FALSE)</f>
        <v>0</v>
      </c>
      <c r="H863" s="11" t="str">
        <f>IFERROR(__xludf.DUMMYFUNCTION("""COMPUTED_VALUE"""),"Clay, Momentum, IBM, Haus")</f>
        <v>Clay, Momentum, IBM, Haus</v>
      </c>
      <c r="I863" s="11">
        <f>IFERROR(__xludf.DUMMYFUNCTION("""COMPUTED_VALUE"""),1.0)</f>
        <v>1</v>
      </c>
      <c r="J863" s="11">
        <f>IFERROR(__xludf.DUMMYFUNCTION("""COMPUTED_VALUE"""),0.0)</f>
        <v>0</v>
      </c>
      <c r="K863" s="11">
        <f>IFERROR(__xludf.DUMMYFUNCTION("""COMPUTED_VALUE"""),0.0)</f>
        <v>0</v>
      </c>
    </row>
    <row r="864" ht="15.75" customHeight="1">
      <c r="A864" s="10" t="str">
        <f>IFERROR(__xludf.DUMMYFUNCTION("""COMPUTED_VALUE"""),"https://www.spicymargarita.co/blog/top-ai-seo-agencies-for-b2b")</f>
        <v>https://www.spicymargarita.co/blog/top-ai-seo-agencies-for-b2b</v>
      </c>
      <c r="B864" s="11" t="str">
        <f>IFERROR(__xludf.DUMMYFUNCTION("""COMPUTED_VALUE"""),"8 Top AI SEO Agencies for B2B | The Best AI SEO Agencies in 2026")</f>
        <v>8 Top AI SEO Agencies for B2B | The Best AI SEO Agencies in 2026</v>
      </c>
      <c r="C864" s="10" t="str">
        <f>IFERROR(__xludf.DUMMYFUNCTION("""COMPUTED_VALUE"""),"spicymargarita.co")</f>
        <v>spicymargarita.co</v>
      </c>
      <c r="D864" s="11" t="str">
        <f>IFERROR(__xludf.DUMMYFUNCTION("""COMPUTED_VALUE"""),"LISTICLE")</f>
        <v>LISTICLE</v>
      </c>
      <c r="E864" s="11" t="str">
        <f>IFERROR(__xludf.DUMMYFUNCTION("""COMPUTED_VALUE"""),"CORPORATE")</f>
        <v>CORPORATE</v>
      </c>
      <c r="F864" s="11" t="str">
        <f>IFERROR(__xludf.DUMMYFUNCTION("""COMPUTED_VALUE"""),"Listicle")</f>
        <v>Listicle</v>
      </c>
      <c r="G864" s="11" t="b">
        <f>IFERROR(__xludf.DUMMYFUNCTION("""COMPUTED_VALUE"""),FALSE)</f>
        <v>0</v>
      </c>
      <c r="H864" s="11" t="str">
        <f>IFERROR(__xludf.DUMMYFUNCTION("""COMPUTED_VALUE"""),"Go Fish Digital, Intero Digital")</f>
        <v>Go Fish Digital, Intero Digital</v>
      </c>
      <c r="I864" s="11">
        <f>IFERROR(__xludf.DUMMYFUNCTION("""COMPUTED_VALUE"""),1.0)</f>
        <v>1</v>
      </c>
      <c r="J864" s="11">
        <f>IFERROR(__xludf.DUMMYFUNCTION("""COMPUTED_VALUE"""),0.0)</f>
        <v>0</v>
      </c>
      <c r="K864" s="11">
        <f>IFERROR(__xludf.DUMMYFUNCTION("""COMPUTED_VALUE"""),2.0)</f>
        <v>2</v>
      </c>
    </row>
    <row r="865" ht="15.75" customHeight="1">
      <c r="A865" s="10" t="str">
        <f>IFERROR(__xludf.DUMMYFUNCTION("""COMPUTED_VALUE"""),"https://www.stackmatix.com/blog/best-facebook-ads-agencies")</f>
        <v>https://www.stackmatix.com/blog/best-facebook-ads-agencies</v>
      </c>
      <c r="B865" s="11" t="str">
        <f>IFERROR(__xludf.DUMMYFUNCTION("""COMPUTED_VALUE"""),"15 Best Facebook Ads Agencies in 2026 (Vetted &amp;amp; Compared)")</f>
        <v>15 Best Facebook Ads Agencies in 2026 (Vetted &amp;amp; Compared)</v>
      </c>
      <c r="C865" s="10" t="str">
        <f>IFERROR(__xludf.DUMMYFUNCTION("""COMPUTED_VALUE"""),"stackmatix.com")</f>
        <v>stackmatix.com</v>
      </c>
      <c r="D865" s="11" t="str">
        <f>IFERROR(__xludf.DUMMYFUNCTION("""COMPUTED_VALUE"""),"LISTICLE")</f>
        <v>LISTICLE</v>
      </c>
      <c r="E865" s="11" t="str">
        <f>IFERROR(__xludf.DUMMYFUNCTION("""COMPUTED_VALUE"""),"UGC")</f>
        <v>UGC</v>
      </c>
      <c r="F865" s="11" t="str">
        <f>IFERROR(__xludf.DUMMYFUNCTION("""COMPUTED_VALUE"""),"Listicle")</f>
        <v>Listicle</v>
      </c>
      <c r="G865" s="11" t="b">
        <f>IFERROR(__xludf.DUMMYFUNCTION("""COMPUTED_VALUE"""),FALSE)</f>
        <v>0</v>
      </c>
      <c r="H865" s="11" t="str">
        <f>IFERROR(__xludf.DUMMYFUNCTION("""COMPUTED_VALUE"""),"Disruptive Advertising, Clutch, KlientBoost, SmartSites, WebFX, LYFE Marketing, Thrive Internet Marketing Agency, The Social Shepherd, Brighter Click, Power Digital, Single Grain")</f>
        <v>Disruptive Advertising, Clutch, KlientBoost, SmartSites, WebFX, LYFE Marketing, Thrive Internet Marketing Agency, The Social Shepherd, Brighter Click, Power Digital, Single Grain</v>
      </c>
      <c r="I865" s="11">
        <f>IFERROR(__xludf.DUMMYFUNCTION("""COMPUTED_VALUE"""),1.0)</f>
        <v>1</v>
      </c>
      <c r="J865" s="11">
        <f>IFERROR(__xludf.DUMMYFUNCTION("""COMPUTED_VALUE"""),0.0)</f>
        <v>0</v>
      </c>
      <c r="K865" s="11">
        <f>IFERROR(__xludf.DUMMYFUNCTION("""COMPUTED_VALUE"""),1.0)</f>
        <v>1</v>
      </c>
    </row>
    <row r="866" ht="15.75" customHeight="1">
      <c r="A866" s="10" t="str">
        <f>IFERROR(__xludf.DUMMYFUNCTION("""COMPUTED_VALUE"""),"https://stridec.com/blog/best-ai-seo-agencies/")</f>
        <v>https://stridec.com/blog/best-ai-seo-agencies/</v>
      </c>
      <c r="B866" s="11" t="str">
        <f>IFERROR(__xludf.DUMMYFUNCTION("""COMPUTED_VALUE"""),"7 Best AI SEO Agencies in 2026 (Ranked by Results)")</f>
        <v>7 Best AI SEO Agencies in 2026 (Ranked by Results)</v>
      </c>
      <c r="C866" s="10" t="str">
        <f>IFERROR(__xludf.DUMMYFUNCTION("""COMPUTED_VALUE"""),"stridec.com")</f>
        <v>stridec.com</v>
      </c>
      <c r="D866" s="11" t="str">
        <f>IFERROR(__xludf.DUMMYFUNCTION("""COMPUTED_VALUE"""),"LISTICLE")</f>
        <v>LISTICLE</v>
      </c>
      <c r="E866" s="11" t="str">
        <f>IFERROR(__xludf.DUMMYFUNCTION("""COMPUTED_VALUE"""),"CORPORATE")</f>
        <v>CORPORATE</v>
      </c>
      <c r="F866" s="11" t="str">
        <f>IFERROR(__xludf.DUMMYFUNCTION("""COMPUTED_VALUE"""),"Listicle")</f>
        <v>Listicle</v>
      </c>
      <c r="G866" s="11" t="b">
        <f>IFERROR(__xludf.DUMMYFUNCTION("""COMPUTED_VALUE"""),FALSE)</f>
        <v>0</v>
      </c>
      <c r="H866" s="11" t="str">
        <f>IFERROR(__xludf.DUMMYFUNCTION("""COMPUTED_VALUE"""),"First Page Sage, Siege Media, WebFX")</f>
        <v>First Page Sage, Siege Media, WebFX</v>
      </c>
      <c r="I866" s="11">
        <f>IFERROR(__xludf.DUMMYFUNCTION("""COMPUTED_VALUE"""),1.0)</f>
        <v>1</v>
      </c>
      <c r="J866" s="11">
        <f>IFERROR(__xludf.DUMMYFUNCTION("""COMPUTED_VALUE"""),0.0)</f>
        <v>0</v>
      </c>
      <c r="K866" s="11">
        <f>IFERROR(__xludf.DUMMYFUNCTION("""COMPUTED_VALUE"""),5.0)</f>
        <v>5</v>
      </c>
    </row>
    <row r="867" ht="15.75" customHeight="1">
      <c r="A867" s="10" t="str">
        <f>IFERROR(__xludf.DUMMYFUNCTION("""COMPUTED_VALUE"""),"https://stridec.com/blog/best-geo-tools-ai-search/")</f>
        <v>https://stridec.com/blog/best-geo-tools-ai-search/</v>
      </c>
      <c r="B867" s="11" t="str">
        <f>IFERROR(__xludf.DUMMYFUNCTION("""COMPUTED_VALUE"""),"10 Best GEO Tools for AI Search Optimization (2026 Guide)")</f>
        <v>10 Best GEO Tools for AI Search Optimization (2026 Guide)</v>
      </c>
      <c r="C867" s="10" t="str">
        <f>IFERROR(__xludf.DUMMYFUNCTION("""COMPUTED_VALUE"""),"stridec.com")</f>
        <v>stridec.com</v>
      </c>
      <c r="D867" s="11" t="str">
        <f>IFERROR(__xludf.DUMMYFUNCTION("""COMPUTED_VALUE"""),"LISTICLE")</f>
        <v>LISTICLE</v>
      </c>
      <c r="E867" s="11" t="str">
        <f>IFERROR(__xludf.DUMMYFUNCTION("""COMPUTED_VALUE"""),"CORPORATE")</f>
        <v>CORPORATE</v>
      </c>
      <c r="F867" s="11" t="str">
        <f>IFERROR(__xludf.DUMMYFUNCTION("""COMPUTED_VALUE"""),"Listicle")</f>
        <v>Listicle</v>
      </c>
      <c r="G867" s="11" t="b">
        <f>IFERROR(__xludf.DUMMYFUNCTION("""COMPUTED_VALUE"""),FALSE)</f>
        <v>0</v>
      </c>
      <c r="H867" s="11"/>
      <c r="I867" s="11">
        <f>IFERROR(__xludf.DUMMYFUNCTION("""COMPUTED_VALUE"""),1.0)</f>
        <v>1</v>
      </c>
      <c r="J867" s="11">
        <f>IFERROR(__xludf.DUMMYFUNCTION("""COMPUTED_VALUE"""),0.0)</f>
        <v>0</v>
      </c>
      <c r="K867" s="11">
        <f>IFERROR(__xludf.DUMMYFUNCTION("""COMPUTED_VALUE"""),1.0)</f>
        <v>1</v>
      </c>
    </row>
    <row r="868" ht="15.75" customHeight="1">
      <c r="A868" s="10" t="str">
        <f>IFERROR(__xludf.DUMMYFUNCTION("""COMPUTED_VALUE"""),"https://www.stryde.com/best-ecommerce-paid-search-agencies-in-the-us/")</f>
        <v>https://www.stryde.com/best-ecommerce-paid-search-agencies-in-the-us/</v>
      </c>
      <c r="B868" s="11" t="str">
        <f>IFERROR(__xludf.DUMMYFUNCTION("""COMPUTED_VALUE"""),"Best Ecommerce Paid Search Agencies in the US in 2026 - STRYDE")</f>
        <v>Best Ecommerce Paid Search Agencies in the US in 2026 - STRYDE</v>
      </c>
      <c r="C868" s="10" t="str">
        <f>IFERROR(__xludf.DUMMYFUNCTION("""COMPUTED_VALUE"""),"stryde.com")</f>
        <v>stryde.com</v>
      </c>
      <c r="D868" s="11" t="str">
        <f>IFERROR(__xludf.DUMMYFUNCTION("""COMPUTED_VALUE"""),"LISTICLE")</f>
        <v>LISTICLE</v>
      </c>
      <c r="E868" s="11" t="str">
        <f>IFERROR(__xludf.DUMMYFUNCTION("""COMPUTED_VALUE"""),"CORPORATE")</f>
        <v>CORPORATE</v>
      </c>
      <c r="F868" s="11" t="str">
        <f>IFERROR(__xludf.DUMMYFUNCTION("""COMPUTED_VALUE"""),"Listicle")</f>
        <v>Listicle</v>
      </c>
      <c r="G868" s="11" t="b">
        <f>IFERROR(__xludf.DUMMYFUNCTION("""COMPUTED_VALUE"""),FALSE)</f>
        <v>0</v>
      </c>
      <c r="H868" s="11" t="str">
        <f>IFERROR(__xludf.DUMMYFUNCTION("""COMPUTED_VALUE"""),"NoGood, HawkSEM, Disruptive Advertising, Thrive Internet Marketing Agency, Seer Interactive, Tinuiti, Huge")</f>
        <v>NoGood, HawkSEM, Disruptive Advertising, Thrive Internet Marketing Agency, Seer Interactive, Tinuiti, Huge</v>
      </c>
      <c r="I868" s="11">
        <f>IFERROR(__xludf.DUMMYFUNCTION("""COMPUTED_VALUE"""),1.0)</f>
        <v>1</v>
      </c>
      <c r="J868" s="11">
        <f>IFERROR(__xludf.DUMMYFUNCTION("""COMPUTED_VALUE"""),0.0)</f>
        <v>0</v>
      </c>
      <c r="K868" s="11">
        <f>IFERROR(__xludf.DUMMYFUNCTION("""COMPUTED_VALUE"""),1.0)</f>
        <v>1</v>
      </c>
    </row>
    <row r="869" ht="15.75" customHeight="1">
      <c r="A869" s="10" t="str">
        <f>IFERROR(__xludf.DUMMYFUNCTION("""COMPUTED_VALUE"""),"https://superbcompanies.com/categories/media-planning-buying-agencies-in-the-usa/")</f>
        <v>https://superbcompanies.com/categories/media-planning-buying-agencies-in-the-usa/</v>
      </c>
      <c r="B869" s="11" t="str">
        <f>IFERROR(__xludf.DUMMYFUNCTION("""COMPUTED_VALUE"""),"Top 50 Media Planning &amp;amp; Buying Agencies in the United States - Jul 2026 | Ranking | SuperbCompanies")</f>
        <v>Top 50 Media Planning &amp;amp; Buying Agencies in the United States - Jul 2026 | Ranking | SuperbCompanies</v>
      </c>
      <c r="C869" s="10" t="str">
        <f>IFERROR(__xludf.DUMMYFUNCTION("""COMPUTED_VALUE"""),"superbcompanies.com")</f>
        <v>superbcompanies.com</v>
      </c>
      <c r="D869" s="11" t="str">
        <f>IFERROR(__xludf.DUMMYFUNCTION("""COMPUTED_VALUE"""),"LISTICLE")</f>
        <v>LISTICLE</v>
      </c>
      <c r="E869" s="11" t="str">
        <f>IFERROR(__xludf.DUMMYFUNCTION("""COMPUTED_VALUE"""),"REFERENCE")</f>
        <v>REFERENCE</v>
      </c>
      <c r="F869" s="11" t="str">
        <f>IFERROR(__xludf.DUMMYFUNCTION("""COMPUTED_VALUE"""),"Listicle")</f>
        <v>Listicle</v>
      </c>
      <c r="G869" s="11" t="b">
        <f>IFERROR(__xludf.DUMMYFUNCTION("""COMPUTED_VALUE"""),FALSE)</f>
        <v>0</v>
      </c>
      <c r="H869" s="11"/>
      <c r="I869" s="11">
        <f>IFERROR(__xludf.DUMMYFUNCTION("""COMPUTED_VALUE"""),1.0)</f>
        <v>1</v>
      </c>
      <c r="J869" s="11">
        <f>IFERROR(__xludf.DUMMYFUNCTION("""COMPUTED_VALUE"""),0.0)</f>
        <v>0</v>
      </c>
      <c r="K869" s="11">
        <f>IFERROR(__xludf.DUMMYFUNCTION("""COMPUTED_VALUE"""),0.0)</f>
        <v>0</v>
      </c>
    </row>
    <row r="870" ht="15.75" customHeight="1">
      <c r="A870" s="10" t="str">
        <f>IFERROR(__xludf.DUMMYFUNCTION("""COMPUTED_VALUE"""),"https://www.superside.com/blog/ai-powered-agencies")</f>
        <v>https://www.superside.com/blog/ai-powered-agencies</v>
      </c>
      <c r="B870" s="11" t="str">
        <f>IFERROR(__xludf.DUMMYFUNCTION("""COMPUTED_VALUE"""),"10 AI-Powered Agencies Blending Automation and Creativity in 2026")</f>
        <v>10 AI-Powered Agencies Blending Automation and Creativity in 2026</v>
      </c>
      <c r="C870" s="10" t="str">
        <f>IFERROR(__xludf.DUMMYFUNCTION("""COMPUTED_VALUE"""),"superside.com")</f>
        <v>superside.com</v>
      </c>
      <c r="D870" s="11" t="str">
        <f>IFERROR(__xludf.DUMMYFUNCTION("""COMPUTED_VALUE"""),"LISTICLE")</f>
        <v>LISTICLE</v>
      </c>
      <c r="E870" s="11" t="str">
        <f>IFERROR(__xludf.DUMMYFUNCTION("""COMPUTED_VALUE"""),"COMPETITOR")</f>
        <v>COMPETITOR</v>
      </c>
      <c r="F870" s="11" t="str">
        <f>IFERROR(__xludf.DUMMYFUNCTION("""COMPUTED_VALUE"""),"Listicle")</f>
        <v>Listicle</v>
      </c>
      <c r="G870" s="11" t="b">
        <f>IFERROR(__xludf.DUMMYFUNCTION("""COMPUTED_VALUE"""),FALSE)</f>
        <v>0</v>
      </c>
      <c r="H870" s="11" t="str">
        <f>IFERROR(__xludf.DUMMYFUNCTION("""COMPUTED_VALUE"""),"Superside, PwC, Jellyfish, Brandtech, Keenfolks, NoGood")</f>
        <v>Superside, PwC, Jellyfish, Brandtech, Keenfolks, NoGood</v>
      </c>
      <c r="I870" s="11">
        <f>IFERROR(__xludf.DUMMYFUNCTION("""COMPUTED_VALUE"""),1.0)</f>
        <v>1</v>
      </c>
      <c r="J870" s="11">
        <f>IFERROR(__xludf.DUMMYFUNCTION("""COMPUTED_VALUE"""),0.0)</f>
        <v>0</v>
      </c>
      <c r="K870" s="11">
        <f>IFERROR(__xludf.DUMMYFUNCTION("""COMPUTED_VALUE"""),2.0)</f>
        <v>2</v>
      </c>
    </row>
    <row r="871" ht="15.75" customHeight="1">
      <c r="A871" s="10" t="str">
        <f>IFERROR(__xludf.DUMMYFUNCTION("""COMPUTED_VALUE"""),"https://www.superside.com/blog/creative-content-agencies")</f>
        <v>https://www.superside.com/blog/creative-content-agencies</v>
      </c>
      <c r="B871" s="11" t="str">
        <f>IFERROR(__xludf.DUMMYFUNCTION("""COMPUTED_VALUE"""),"10 Creative Content Agencies Making Brands Shine in 2026")</f>
        <v>10 Creative Content Agencies Making Brands Shine in 2026</v>
      </c>
      <c r="C871" s="10" t="str">
        <f>IFERROR(__xludf.DUMMYFUNCTION("""COMPUTED_VALUE"""),"superside.com")</f>
        <v>superside.com</v>
      </c>
      <c r="D871" s="11" t="str">
        <f>IFERROR(__xludf.DUMMYFUNCTION("""COMPUTED_VALUE"""),"LISTICLE")</f>
        <v>LISTICLE</v>
      </c>
      <c r="E871" s="11" t="str">
        <f>IFERROR(__xludf.DUMMYFUNCTION("""COMPUTED_VALUE"""),"COMPETITOR")</f>
        <v>COMPETITOR</v>
      </c>
      <c r="F871" s="11" t="str">
        <f>IFERROR(__xludf.DUMMYFUNCTION("""COMPUTED_VALUE"""),"Listicle")</f>
        <v>Listicle</v>
      </c>
      <c r="G871" s="11" t="b">
        <f>IFERROR(__xludf.DUMMYFUNCTION("""COMPUTED_VALUE"""),FALSE)</f>
        <v>0</v>
      </c>
      <c r="H871" s="11" t="str">
        <f>IFERROR(__xludf.DUMMYFUNCTION("""COMPUTED_VALUE"""),"Superside, Animalz")</f>
        <v>Superside, Animalz</v>
      </c>
      <c r="I871" s="11">
        <f>IFERROR(__xludf.DUMMYFUNCTION("""COMPUTED_VALUE"""),1.0)</f>
        <v>1</v>
      </c>
      <c r="J871" s="11">
        <f>IFERROR(__xludf.DUMMYFUNCTION("""COMPUTED_VALUE"""),0.0)</f>
        <v>0</v>
      </c>
      <c r="K871" s="11">
        <f>IFERROR(__xludf.DUMMYFUNCTION("""COMPUTED_VALUE"""),0.0)</f>
        <v>0</v>
      </c>
    </row>
    <row r="872" ht="15.75" customHeight="1">
      <c r="A872" s="10" t="str">
        <f>IFERROR(__xludf.DUMMYFUNCTION("""COMPUTED_VALUE"""),"https://www.superside.com/blog/creative-performance-agencies")</f>
        <v>https://www.superside.com/blog/creative-performance-agencies</v>
      </c>
      <c r="B872" s="11" t="str">
        <f>IFERROR(__xludf.DUMMYFUNCTION("""COMPUTED_VALUE"""),"12 Strategic Creative Performance Agencies for Brands in 2026")</f>
        <v>12 Strategic Creative Performance Agencies for Brands in 2026</v>
      </c>
      <c r="C872" s="10" t="str">
        <f>IFERROR(__xludf.DUMMYFUNCTION("""COMPUTED_VALUE"""),"superside.com")</f>
        <v>superside.com</v>
      </c>
      <c r="D872" s="11" t="str">
        <f>IFERROR(__xludf.DUMMYFUNCTION("""COMPUTED_VALUE"""),"LISTICLE")</f>
        <v>LISTICLE</v>
      </c>
      <c r="E872" s="11" t="str">
        <f>IFERROR(__xludf.DUMMYFUNCTION("""COMPUTED_VALUE"""),"COMPETITOR")</f>
        <v>COMPETITOR</v>
      </c>
      <c r="F872" s="11" t="str">
        <f>IFERROR(__xludf.DUMMYFUNCTION("""COMPUTED_VALUE"""),"Listicle")</f>
        <v>Listicle</v>
      </c>
      <c r="G872" s="11" t="b">
        <f>IFERROR(__xludf.DUMMYFUNCTION("""COMPUTED_VALUE"""),FALSE)</f>
        <v>0</v>
      </c>
      <c r="H872" s="11" t="str">
        <f>IFERROR(__xludf.DUMMYFUNCTION("""COMPUTED_VALUE"""),"Superside, Huge, Silverback Strategies, Croud, Noble Studios")</f>
        <v>Superside, Huge, Silverback Strategies, Croud, Noble Studios</v>
      </c>
      <c r="I872" s="11">
        <f>IFERROR(__xludf.DUMMYFUNCTION("""COMPUTED_VALUE"""),1.0)</f>
        <v>1</v>
      </c>
      <c r="J872" s="11">
        <f>IFERROR(__xludf.DUMMYFUNCTION("""COMPUTED_VALUE"""),0.0)</f>
        <v>0</v>
      </c>
      <c r="K872" s="11">
        <f>IFERROR(__xludf.DUMMYFUNCTION("""COMPUTED_VALUE"""),0.0)</f>
        <v>0</v>
      </c>
    </row>
    <row r="873" ht="15.75" customHeight="1">
      <c r="A873" s="10" t="str">
        <f>IFERROR(__xludf.DUMMYFUNCTION("""COMPUTED_VALUE"""),"https://www.superside.com/blog/financial-services-creative-agencies")</f>
        <v>https://www.superside.com/blog/financial-services-creative-agencies</v>
      </c>
      <c r="B873" s="11" t="str">
        <f>IFERROR(__xludf.DUMMYFUNCTION("""COMPUTED_VALUE"""),"The 7 Best Financial Services Creative Agencies in 2026")</f>
        <v>The 7 Best Financial Services Creative Agencies in 2026</v>
      </c>
      <c r="C873" s="10" t="str">
        <f>IFERROR(__xludf.DUMMYFUNCTION("""COMPUTED_VALUE"""),"superside.com")</f>
        <v>superside.com</v>
      </c>
      <c r="D873" s="11" t="str">
        <f>IFERROR(__xludf.DUMMYFUNCTION("""COMPUTED_VALUE"""),"LISTICLE")</f>
        <v>LISTICLE</v>
      </c>
      <c r="E873" s="11" t="str">
        <f>IFERROR(__xludf.DUMMYFUNCTION("""COMPUTED_VALUE"""),"COMPETITOR")</f>
        <v>COMPETITOR</v>
      </c>
      <c r="F873" s="11" t="str">
        <f>IFERROR(__xludf.DUMMYFUNCTION("""COMPUTED_VALUE"""),"Listicle")</f>
        <v>Listicle</v>
      </c>
      <c r="G873" s="11" t="b">
        <f>IFERROR(__xludf.DUMMYFUNCTION("""COMPUTED_VALUE"""),FALSE)</f>
        <v>0</v>
      </c>
      <c r="H873" s="11" t="str">
        <f>IFERROR(__xludf.DUMMYFUNCTION("""COMPUTED_VALUE"""),"Superside, Ogilvy, Droga5, Accenture Song, BBDO, VML, WPP, R/GA, Dentsu, Merkle")</f>
        <v>Superside, Ogilvy, Droga5, Accenture Song, BBDO, VML, WPP, R/GA, Dentsu, Merkle</v>
      </c>
      <c r="I873" s="11">
        <f>IFERROR(__xludf.DUMMYFUNCTION("""COMPUTED_VALUE"""),1.0)</f>
        <v>1</v>
      </c>
      <c r="J873" s="11">
        <f>IFERROR(__xludf.DUMMYFUNCTION("""COMPUTED_VALUE"""),0.0)</f>
        <v>0</v>
      </c>
      <c r="K873" s="11">
        <f>IFERROR(__xludf.DUMMYFUNCTION("""COMPUTED_VALUE"""),2.0)</f>
        <v>2</v>
      </c>
    </row>
    <row r="874" ht="15.75" customHeight="1">
      <c r="A874" s="10" t="str">
        <f>IFERROR(__xludf.DUMMYFUNCTION("""COMPUTED_VALUE"""),"https://www.superside.com/blog/omnichannel-design-partners")</f>
        <v>https://www.superside.com/blog/omnichannel-design-partners</v>
      </c>
      <c r="B874" s="11" t="str">
        <f>IFERROR(__xludf.DUMMYFUNCTION("""COMPUTED_VALUE"""),"The 10 best omnichannel design partners for enterprise brands")</f>
        <v>The 10 best omnichannel design partners for enterprise brands</v>
      </c>
      <c r="C874" s="10" t="str">
        <f>IFERROR(__xludf.DUMMYFUNCTION("""COMPUTED_VALUE"""),"superside.com")</f>
        <v>superside.com</v>
      </c>
      <c r="D874" s="11" t="str">
        <f>IFERROR(__xludf.DUMMYFUNCTION("""COMPUTED_VALUE"""),"LISTICLE")</f>
        <v>LISTICLE</v>
      </c>
      <c r="E874" s="11" t="str">
        <f>IFERROR(__xludf.DUMMYFUNCTION("""COMPUTED_VALUE"""),"COMPETITOR")</f>
        <v>COMPETITOR</v>
      </c>
      <c r="F874" s="11" t="str">
        <f>IFERROR(__xludf.DUMMYFUNCTION("""COMPUTED_VALUE"""),"Listicle")</f>
        <v>Listicle</v>
      </c>
      <c r="G874" s="11" t="b">
        <f>IFERROR(__xludf.DUMMYFUNCTION("""COMPUTED_VALUE"""),FALSE)</f>
        <v>0</v>
      </c>
      <c r="H874" s="11" t="str">
        <f>IFERROR(__xludf.DUMMYFUNCTION("""COMPUTED_VALUE"""),"Superside, Momentum, Accenture Song, DEPT, Wieden+Kennedy, Monks, R/GA, Huge")</f>
        <v>Superside, Momentum, Accenture Song, DEPT, Wieden+Kennedy, Monks, R/GA, Huge</v>
      </c>
      <c r="I874" s="11">
        <f>IFERROR(__xludf.DUMMYFUNCTION("""COMPUTED_VALUE"""),1.0)</f>
        <v>1</v>
      </c>
      <c r="J874" s="11">
        <f>IFERROR(__xludf.DUMMYFUNCTION("""COMPUTED_VALUE"""),0.0)</f>
        <v>0</v>
      </c>
      <c r="K874" s="11">
        <f>IFERROR(__xludf.DUMMYFUNCTION("""COMPUTED_VALUE"""),1.0)</f>
        <v>1</v>
      </c>
    </row>
    <row r="875" ht="15.75" customHeight="1">
      <c r="A875" s="10" t="str">
        <f>IFERROR(__xludf.DUMMYFUNCTION("""COMPUTED_VALUE"""),"https://sweatpantsagency.com/the-top-9-digital-marketing-agencies")</f>
        <v>https://sweatpantsagency.com/the-top-9-digital-marketing-agencies</v>
      </c>
      <c r="B875" s="11" t="str">
        <f>IFERROR(__xludf.DUMMYFUNCTION("""COMPUTED_VALUE"""),"The Top 9 Digital Marketing Agencies in 2026 | Sweat Pants Agency")</f>
        <v>The Top 9 Digital Marketing Agencies in 2026 | Sweat Pants Agency</v>
      </c>
      <c r="C875" s="10" t="str">
        <f>IFERROR(__xludf.DUMMYFUNCTION("""COMPUTED_VALUE"""),"sweatpantsagency.com")</f>
        <v>sweatpantsagency.com</v>
      </c>
      <c r="D875" s="11" t="str">
        <f>IFERROR(__xludf.DUMMYFUNCTION("""COMPUTED_VALUE"""),"LISTICLE")</f>
        <v>LISTICLE</v>
      </c>
      <c r="E875" s="11" t="str">
        <f>IFERROR(__xludf.DUMMYFUNCTION("""COMPUTED_VALUE"""),"CORPORATE")</f>
        <v>CORPORATE</v>
      </c>
      <c r="F875" s="11" t="str">
        <f>IFERROR(__xludf.DUMMYFUNCTION("""COMPUTED_VALUE"""),"Listicle")</f>
        <v>Listicle</v>
      </c>
      <c r="G875" s="11" t="b">
        <f>IFERROR(__xludf.DUMMYFUNCTION("""COMPUTED_VALUE"""),FALSE)</f>
        <v>0</v>
      </c>
      <c r="H875" s="11" t="str">
        <f>IFERROR(__xludf.DUMMYFUNCTION("""COMPUTED_VALUE"""),"Wieden+Kennedy, NoGood, WebFX, The Social Shepherd, LYFE Marketing, First Page Sage, Disruptive Advertising")</f>
        <v>Wieden+Kennedy, NoGood, WebFX, The Social Shepherd, LYFE Marketing, First Page Sage, Disruptive Advertising</v>
      </c>
      <c r="I875" s="11">
        <f>IFERROR(__xludf.DUMMYFUNCTION("""COMPUTED_VALUE"""),1.0)</f>
        <v>1</v>
      </c>
      <c r="J875" s="11">
        <f>IFERROR(__xludf.DUMMYFUNCTION("""COMPUTED_VALUE"""),0.0)</f>
        <v>0</v>
      </c>
      <c r="K875" s="11">
        <f>IFERROR(__xludf.DUMMYFUNCTION("""COMPUTED_VALUE"""),1.0)</f>
        <v>1</v>
      </c>
    </row>
    <row r="876" ht="15.75" customHeight="1">
      <c r="A876" s="10" t="str">
        <f>IFERROR(__xludf.DUMMYFUNCTION("""COMPUTED_VALUE"""),"https://taqwah.agency/blog/top-saas-landing-page-design-agencies")</f>
        <v>https://taqwah.agency/blog/top-saas-landing-page-design-agencies</v>
      </c>
      <c r="B876" s="11" t="str">
        <f>IFERROR(__xludf.DUMMYFUNCTION("""COMPUTED_VALUE"""),"Top 10 SaaS Landing Page Design Agencies 2026")</f>
        <v>Top 10 SaaS Landing Page Design Agencies 2026</v>
      </c>
      <c r="C876" s="11" t="str">
        <f>IFERROR(__xludf.DUMMYFUNCTION("""COMPUTED_VALUE"""),"taqwah.agency")</f>
        <v>taqwah.agency</v>
      </c>
      <c r="D876" s="11" t="str">
        <f>IFERROR(__xludf.DUMMYFUNCTION("""COMPUTED_VALUE"""),"LISTICLE")</f>
        <v>LISTICLE</v>
      </c>
      <c r="E876" s="11" t="str">
        <f>IFERROR(__xludf.DUMMYFUNCTION("""COMPUTED_VALUE"""),"CORPORATE")</f>
        <v>CORPORATE</v>
      </c>
      <c r="F876" s="11" t="str">
        <f>IFERROR(__xludf.DUMMYFUNCTION("""COMPUTED_VALUE"""),"Listicle")</f>
        <v>Listicle</v>
      </c>
      <c r="G876" s="11" t="b">
        <f>IFERROR(__xludf.DUMMYFUNCTION("""COMPUTED_VALUE"""),FALSE)</f>
        <v>0</v>
      </c>
      <c r="H876" s="11" t="str">
        <f>IFERROR(__xludf.DUMMYFUNCTION("""COMPUTED_VALUE"""),"Clay, Clutch")</f>
        <v>Clay, Clutch</v>
      </c>
      <c r="I876" s="11">
        <f>IFERROR(__xludf.DUMMYFUNCTION("""COMPUTED_VALUE"""),1.0)</f>
        <v>1</v>
      </c>
      <c r="J876" s="11">
        <f>IFERROR(__xludf.DUMMYFUNCTION("""COMPUTED_VALUE"""),0.0)</f>
        <v>0</v>
      </c>
      <c r="K876" s="11">
        <f>IFERROR(__xludf.DUMMYFUNCTION("""COMPUTED_VALUE"""),0.0)</f>
        <v>0</v>
      </c>
    </row>
    <row r="877" ht="15.75" customHeight="1">
      <c r="A877" s="10" t="str">
        <f>IFERROR(__xludf.DUMMYFUNCTION("""COMPUTED_VALUE"""),"https://techradiant.co/agencies/social-media-marketing/")</f>
        <v>https://techradiant.co/agencies/social-media-marketing/</v>
      </c>
      <c r="B877" s="11" t="str">
        <f>IFERROR(__xludf.DUMMYFUNCTION("""COMPUTED_VALUE"""),"Best Social Media Marketing Agencies 2026 | Top SMM Experts - Techradiant")</f>
        <v>Best Social Media Marketing Agencies 2026 | Top SMM Experts - Techradiant</v>
      </c>
      <c r="C877" s="10" t="str">
        <f>IFERROR(__xludf.DUMMYFUNCTION("""COMPUTED_VALUE"""),"techradiant.co")</f>
        <v>techradiant.co</v>
      </c>
      <c r="D877" s="11" t="str">
        <f>IFERROR(__xludf.DUMMYFUNCTION("""COMPUTED_VALUE"""),"LISTICLE")</f>
        <v>LISTICLE</v>
      </c>
      <c r="E877" s="11" t="str">
        <f>IFERROR(__xludf.DUMMYFUNCTION("""COMPUTED_VALUE"""),"REFERENCE")</f>
        <v>REFERENCE</v>
      </c>
      <c r="F877" s="11" t="str">
        <f>IFERROR(__xludf.DUMMYFUNCTION("""COMPUTED_VALUE"""),"Listicle")</f>
        <v>Listicle</v>
      </c>
      <c r="G877" s="11" t="b">
        <f>IFERROR(__xludf.DUMMYFUNCTION("""COMPUTED_VALUE"""),FALSE)</f>
        <v>0</v>
      </c>
      <c r="H877" s="11" t="str">
        <f>IFERROR(__xludf.DUMMYFUNCTION("""COMPUTED_VALUE"""),"Power Digital, Sociallyin, Elit-Web")</f>
        <v>Power Digital, Sociallyin, Elit-Web</v>
      </c>
      <c r="I877" s="11">
        <f>IFERROR(__xludf.DUMMYFUNCTION("""COMPUTED_VALUE"""),1.0)</f>
        <v>1</v>
      </c>
      <c r="J877" s="11">
        <f>IFERROR(__xludf.DUMMYFUNCTION("""COMPUTED_VALUE"""),0.0)</f>
        <v>0</v>
      </c>
      <c r="K877" s="11">
        <f>IFERROR(__xludf.DUMMYFUNCTION("""COMPUTED_VALUE"""),0.0)</f>
        <v>0</v>
      </c>
    </row>
    <row r="878" ht="15.75" customHeight="1">
      <c r="A878" s="10" t="str">
        <f>IFERROR(__xludf.DUMMYFUNCTION("""COMPUTED_VALUE"""),"https://techreviewer.co/digital-marketing")</f>
        <v>https://techreviewer.co/digital-marketing</v>
      </c>
      <c r="B878" s="11" t="str">
        <f>IFERROR(__xludf.DUMMYFUNCTION("""COMPUTED_VALUE"""),"Top Digital Marketing Agencies in 2026 | Techreviewer.co")</f>
        <v>Top Digital Marketing Agencies in 2026 | Techreviewer.co</v>
      </c>
      <c r="C878" s="10" t="str">
        <f>IFERROR(__xludf.DUMMYFUNCTION("""COMPUTED_VALUE"""),"techreviewer.co")</f>
        <v>techreviewer.co</v>
      </c>
      <c r="D878" s="11" t="str">
        <f>IFERROR(__xludf.DUMMYFUNCTION("""COMPUTED_VALUE"""),"LISTICLE")</f>
        <v>LISTICLE</v>
      </c>
      <c r="E878" s="11" t="str">
        <f>IFERROR(__xludf.DUMMYFUNCTION("""COMPUTED_VALUE"""),"REFERENCE")</f>
        <v>REFERENCE</v>
      </c>
      <c r="F878" s="11" t="str">
        <f>IFERROR(__xludf.DUMMYFUNCTION("""COMPUTED_VALUE"""),"Listicle")</f>
        <v>Listicle</v>
      </c>
      <c r="G878" s="11" t="b">
        <f>IFERROR(__xludf.DUMMYFUNCTION("""COMPUTED_VALUE"""),FALSE)</f>
        <v>0</v>
      </c>
      <c r="H878" s="11" t="str">
        <f>IFERROR(__xludf.DUMMYFUNCTION("""COMPUTED_VALUE"""),"inBeat, Clutch, Huge")</f>
        <v>inBeat, Clutch, Huge</v>
      </c>
      <c r="I878" s="11">
        <f>IFERROR(__xludf.DUMMYFUNCTION("""COMPUTED_VALUE"""),1.0)</f>
        <v>1</v>
      </c>
      <c r="J878" s="11">
        <f>IFERROR(__xludf.DUMMYFUNCTION("""COMPUTED_VALUE"""),0.0)</f>
        <v>0</v>
      </c>
      <c r="K878" s="11">
        <f>IFERROR(__xludf.DUMMYFUNCTION("""COMPUTED_VALUE"""),1.0)</f>
        <v>1</v>
      </c>
    </row>
    <row r="879" ht="15.75" customHeight="1">
      <c r="A879" s="10" t="str">
        <f>IFERROR(__xludf.DUMMYFUNCTION("""COMPUTED_VALUE"""),"https://www.tenspeed.io/blog/best-content-marketing-agencies")</f>
        <v>https://www.tenspeed.io/blog/best-content-marketing-agencies</v>
      </c>
      <c r="B879" s="11" t="str">
        <f>IFERROR(__xludf.DUMMYFUNCTION("""COMPUTED_VALUE"""),"The 8 Best Content Marketing Agencies in 2026 | Ten Speed")</f>
        <v>The 8 Best Content Marketing Agencies in 2026 | Ten Speed</v>
      </c>
      <c r="C879" s="10" t="str">
        <f>IFERROR(__xludf.DUMMYFUNCTION("""COMPUTED_VALUE"""),"tenspeed.io")</f>
        <v>tenspeed.io</v>
      </c>
      <c r="D879" s="11" t="str">
        <f>IFERROR(__xludf.DUMMYFUNCTION("""COMPUTED_VALUE"""),"LISTICLE")</f>
        <v>LISTICLE</v>
      </c>
      <c r="E879" s="11" t="str">
        <f>IFERROR(__xludf.DUMMYFUNCTION("""COMPUTED_VALUE"""),"CORPORATE")</f>
        <v>CORPORATE</v>
      </c>
      <c r="F879" s="11" t="str">
        <f>IFERROR(__xludf.DUMMYFUNCTION("""COMPUTED_VALUE"""),"Listicle")</f>
        <v>Listicle</v>
      </c>
      <c r="G879" s="11" t="b">
        <f>IFERROR(__xludf.DUMMYFUNCTION("""COMPUTED_VALUE"""),FALSE)</f>
        <v>0</v>
      </c>
      <c r="H879" s="11" t="str">
        <f>IFERROR(__xludf.DUMMYFUNCTION("""COMPUTED_VALUE"""),"Single Grain, Siege Media, Omniscient Digital, Animalz, Power Digital, Clutch")</f>
        <v>Single Grain, Siege Media, Omniscient Digital, Animalz, Power Digital, Clutch</v>
      </c>
      <c r="I879" s="11">
        <f>IFERROR(__xludf.DUMMYFUNCTION("""COMPUTED_VALUE"""),1.0)</f>
        <v>1</v>
      </c>
      <c r="J879" s="11">
        <f>IFERROR(__xludf.DUMMYFUNCTION("""COMPUTED_VALUE"""),0.0)</f>
        <v>0</v>
      </c>
      <c r="K879" s="11">
        <f>IFERROR(__xludf.DUMMYFUNCTION("""COMPUTED_VALUE"""),0.0)</f>
        <v>0</v>
      </c>
    </row>
    <row r="880" ht="15.75" customHeight="1">
      <c r="A880" s="10" t="str">
        <f>IFERROR(__xludf.DUMMYFUNCTION("""COMPUTED_VALUE"""),"https://theb2bplaybook.com/best-google-ads-agencies-for-b2b")</f>
        <v>https://theb2bplaybook.com/best-google-ads-agencies-for-b2b</v>
      </c>
      <c r="B880" s="11" t="str">
        <f>IFERROR(__xludf.DUMMYFUNCTION("""COMPUTED_VALUE"""),"12 Best Google Ads Agencies for B2B Companies [2026]")</f>
        <v>12 Best Google Ads Agencies for B2B Companies [2026]</v>
      </c>
      <c r="C880" s="10" t="str">
        <f>IFERROR(__xludf.DUMMYFUNCTION("""COMPUTED_VALUE"""),"theb2bplaybook.com")</f>
        <v>theb2bplaybook.com</v>
      </c>
      <c r="D880" s="11" t="str">
        <f>IFERROR(__xludf.DUMMYFUNCTION("""COMPUTED_VALUE"""),"LISTICLE")</f>
        <v>LISTICLE</v>
      </c>
      <c r="E880" s="11" t="str">
        <f>IFERROR(__xludf.DUMMYFUNCTION("""COMPUTED_VALUE"""),"EDITORIAL")</f>
        <v>EDITORIAL</v>
      </c>
      <c r="F880" s="11" t="str">
        <f>IFERROR(__xludf.DUMMYFUNCTION("""COMPUTED_VALUE"""),"Listicle")</f>
        <v>Listicle</v>
      </c>
      <c r="G880" s="11" t="b">
        <f>IFERROR(__xludf.DUMMYFUNCTION("""COMPUTED_VALUE"""),FALSE)</f>
        <v>0</v>
      </c>
      <c r="H880" s="11" t="str">
        <f>IFERROR(__xludf.DUMMYFUNCTION("""COMPUTED_VALUE"""),"Directive, McKinsey, KlientBoost, HawkSEM, Disruptive Advertising, WebFX, Single Grain, Silverback Strategies, NP Digital, Momentum, Clutch")</f>
        <v>Directive, McKinsey, KlientBoost, HawkSEM, Disruptive Advertising, WebFX, Single Grain, Silverback Strategies, NP Digital, Momentum, Clutch</v>
      </c>
      <c r="I880" s="11">
        <f>IFERROR(__xludf.DUMMYFUNCTION("""COMPUTED_VALUE"""),1.0)</f>
        <v>1</v>
      </c>
      <c r="J880" s="11">
        <f>IFERROR(__xludf.DUMMYFUNCTION("""COMPUTED_VALUE"""),0.0)</f>
        <v>0</v>
      </c>
      <c r="K880" s="11">
        <f>IFERROR(__xludf.DUMMYFUNCTION("""COMPUTED_VALUE"""),1.0)</f>
        <v>1</v>
      </c>
    </row>
    <row r="881" ht="15.75" customHeight="1">
      <c r="A881" s="10" t="str">
        <f>IFERROR(__xludf.DUMMYFUNCTION("""COMPUTED_VALUE"""),"https://www.thebusinessrover.com/blog/best-ppc-agencies")</f>
        <v>https://www.thebusinessrover.com/blog/best-ppc-agencies</v>
      </c>
      <c r="B881" s="11" t="str">
        <f>IFERROR(__xludf.DUMMYFUNCTION("""COMPUTED_VALUE"""),"21 Best PPC Agencies in 2026 | The Business Rover")</f>
        <v>21 Best PPC Agencies in 2026 | The Business Rover</v>
      </c>
      <c r="C881" s="10" t="str">
        <f>IFERROR(__xludf.DUMMYFUNCTION("""COMPUTED_VALUE"""),"thebusinessrover.com")</f>
        <v>thebusinessrover.com</v>
      </c>
      <c r="D881" s="11" t="str">
        <f>IFERROR(__xludf.DUMMYFUNCTION("""COMPUTED_VALUE"""),"LISTICLE")</f>
        <v>LISTICLE</v>
      </c>
      <c r="E881" s="11" t="str">
        <f>IFERROR(__xludf.DUMMYFUNCTION("""COMPUTED_VALUE"""),"CORPORATE")</f>
        <v>CORPORATE</v>
      </c>
      <c r="F881" s="11" t="str">
        <f>IFERROR(__xludf.DUMMYFUNCTION("""COMPUTED_VALUE"""),"Listicle")</f>
        <v>Listicle</v>
      </c>
      <c r="G881" s="11" t="b">
        <f>IFERROR(__xludf.DUMMYFUNCTION("""COMPUTED_VALUE"""),FALSE)</f>
        <v>0</v>
      </c>
      <c r="H881" s="11" t="str">
        <f>IFERROR(__xludf.DUMMYFUNCTION("""COMPUTED_VALUE"""),"Disruptive Advertising, KlientBoost, Directive, Tinuiti, AdVenture Media, Brainlabs, Merkle, iProspect, DEPT, Wpromote, Jellyfish, Momentum, Dentsu, TransUnion")</f>
        <v>Disruptive Advertising, KlientBoost, Directive, Tinuiti, AdVenture Media, Brainlabs, Merkle, iProspect, DEPT, Wpromote, Jellyfish, Momentum, Dentsu, TransUnion</v>
      </c>
      <c r="I881" s="11">
        <f>IFERROR(__xludf.DUMMYFUNCTION("""COMPUTED_VALUE"""),1.0)</f>
        <v>1</v>
      </c>
      <c r="J881" s="11">
        <f>IFERROR(__xludf.DUMMYFUNCTION("""COMPUTED_VALUE"""),0.0)</f>
        <v>0</v>
      </c>
      <c r="K881" s="11">
        <f>IFERROR(__xludf.DUMMYFUNCTION("""COMPUTED_VALUE"""),2.0)</f>
        <v>2</v>
      </c>
    </row>
    <row r="882" ht="15.75" customHeight="1">
      <c r="A882" s="10" t="str">
        <f>IFERROR(__xludf.DUMMYFUNCTION("""COMPUTED_VALUE"""),"https://www.thebusinessrover.com/sv/blog/growth-marketing-agencies#:~:text=Right%20Side%20Up%20is%20a,house%2C%20not%20junior%20account%20managers.")</f>
        <v>https://www.thebusinessrover.com/sv/blog/growth-marketing-agencies#:~:text=Right%20Side%20Up%20is%20a,house%2C%20not%20junior%20account%20managers.</v>
      </c>
      <c r="B882" s="11" t="str">
        <f>IFERROR(__xludf.DUMMYFUNCTION("""COMPUTED_VALUE"""),"14 Best Growth Marketing Agencies in 2026 | Business Rover")</f>
        <v>14 Best Growth Marketing Agencies in 2026 | Business Rover</v>
      </c>
      <c r="C882" s="10" t="str">
        <f>IFERROR(__xludf.DUMMYFUNCTION("""COMPUTED_VALUE"""),"thebusinessrover.com")</f>
        <v>thebusinessrover.com</v>
      </c>
      <c r="D882" s="11" t="str">
        <f>IFERROR(__xludf.DUMMYFUNCTION("""COMPUTED_VALUE"""),"LISTICLE")</f>
        <v>LISTICLE</v>
      </c>
      <c r="E882" s="11" t="str">
        <f>IFERROR(__xludf.DUMMYFUNCTION("""COMPUTED_VALUE"""),"CORPORATE")</f>
        <v>CORPORATE</v>
      </c>
      <c r="F882" s="11" t="str">
        <f>IFERROR(__xludf.DUMMYFUNCTION("""COMPUTED_VALUE"""),"Listicle")</f>
        <v>Listicle</v>
      </c>
      <c r="G882" s="11" t="b">
        <f>IFERROR(__xludf.DUMMYFUNCTION("""COMPUTED_VALUE"""),FALSE)</f>
        <v>0</v>
      </c>
      <c r="H882" s="11" t="str">
        <f>IFERROR(__xludf.DUMMYFUNCTION("""COMPUTED_VALUE"""),"NoGood, NP Digital, Right Side Up, Wpromote, Omniscient Digital, Single Grain, Refine Labs, TransUnion")</f>
        <v>NoGood, NP Digital, Right Side Up, Wpromote, Omniscient Digital, Single Grain, Refine Labs, TransUnion</v>
      </c>
      <c r="I882" s="11">
        <f>IFERROR(__xludf.DUMMYFUNCTION("""COMPUTED_VALUE"""),1.0)</f>
        <v>1</v>
      </c>
      <c r="J882" s="11">
        <f>IFERROR(__xludf.DUMMYFUNCTION("""COMPUTED_VALUE"""),0.0)</f>
        <v>0</v>
      </c>
      <c r="K882" s="11">
        <f>IFERROR(__xludf.DUMMYFUNCTION("""COMPUTED_VALUE"""),2.0)</f>
        <v>2</v>
      </c>
    </row>
    <row r="883" ht="15.75" customHeight="1">
      <c r="A883" s="10" t="str">
        <f>IFERROR(__xludf.DUMMYFUNCTION("""COMPUTED_VALUE"""),"https://thecmo.com/services/best-digital-marketing-agency/")</f>
        <v>https://thecmo.com/services/best-digital-marketing-agency/</v>
      </c>
      <c r="B883" s="11" t="str">
        <f>IFERROR(__xludf.DUMMYFUNCTION("""COMPUTED_VALUE"""),"10 Best Digital Marketing Agency Reviewed in 2026")</f>
        <v>10 Best Digital Marketing Agency Reviewed in 2026</v>
      </c>
      <c r="C883" s="10" t="str">
        <f>IFERROR(__xludf.DUMMYFUNCTION("""COMPUTED_VALUE"""),"thecmo.com")</f>
        <v>thecmo.com</v>
      </c>
      <c r="D883" s="11" t="str">
        <f>IFERROR(__xludf.DUMMYFUNCTION("""COMPUTED_VALUE"""),"LISTICLE")</f>
        <v>LISTICLE</v>
      </c>
      <c r="E883" s="11" t="str">
        <f>IFERROR(__xludf.DUMMYFUNCTION("""COMPUTED_VALUE"""),"OTHER")</f>
        <v>OTHER</v>
      </c>
      <c r="F883" s="11" t="str">
        <f>IFERROR(__xludf.DUMMYFUNCTION("""COMPUTED_VALUE"""),"Listicle")</f>
        <v>Listicle</v>
      </c>
      <c r="G883" s="11" t="b">
        <f>IFERROR(__xludf.DUMMYFUNCTION("""COMPUTED_VALUE"""),FALSE)</f>
        <v>0</v>
      </c>
      <c r="H883" s="11" t="str">
        <f>IFERROR(__xludf.DUMMYFUNCTION("""COMPUTED_VALUE"""),"Victorious, Searchbloom, Thrive Internet Marketing Agency, WebFX, SmartSites, KlientBoost")</f>
        <v>Victorious, Searchbloom, Thrive Internet Marketing Agency, WebFX, SmartSites, KlientBoost</v>
      </c>
      <c r="I883" s="11">
        <f>IFERROR(__xludf.DUMMYFUNCTION("""COMPUTED_VALUE"""),1.0)</f>
        <v>1</v>
      </c>
      <c r="J883" s="11">
        <f>IFERROR(__xludf.DUMMYFUNCTION("""COMPUTED_VALUE"""),0.0)</f>
        <v>0</v>
      </c>
      <c r="K883" s="11">
        <f>IFERROR(__xludf.DUMMYFUNCTION("""COMPUTED_VALUE"""),1.0)</f>
        <v>1</v>
      </c>
    </row>
    <row r="884" ht="15.75" customHeight="1">
      <c r="A884" s="10" t="str">
        <f>IFERROR(__xludf.DUMMYFUNCTION("""COMPUTED_VALUE"""),"https://thecrunch.io/ai-software-sales/")</f>
        <v>https://thecrunch.io/ai-software-sales/</v>
      </c>
      <c r="B884" s="11" t="str">
        <f>IFERROR(__xludf.DUMMYFUNCTION("""COMPUTED_VALUE"""),"10 Best AI Software Sales Tools to Double Your Revenue in 2026")</f>
        <v>10 Best AI Software Sales Tools to Double Your Revenue in 2026</v>
      </c>
      <c r="C884" s="10" t="str">
        <f>IFERROR(__xludf.DUMMYFUNCTION("""COMPUTED_VALUE"""),"thecrunch.io")</f>
        <v>thecrunch.io</v>
      </c>
      <c r="D884" s="11" t="str">
        <f>IFERROR(__xludf.DUMMYFUNCTION("""COMPUTED_VALUE"""),"LISTICLE")</f>
        <v>LISTICLE</v>
      </c>
      <c r="E884" s="11" t="str">
        <f>IFERROR(__xludf.DUMMYFUNCTION("""COMPUTED_VALUE"""),"CORPORATE")</f>
        <v>CORPORATE</v>
      </c>
      <c r="F884" s="11" t="str">
        <f>IFERROR(__xludf.DUMMYFUNCTION("""COMPUTED_VALUE"""),"Listicle")</f>
        <v>Listicle</v>
      </c>
      <c r="G884" s="11" t="b">
        <f>IFERROR(__xludf.DUMMYFUNCTION("""COMPUTED_VALUE"""),FALSE)</f>
        <v>0</v>
      </c>
      <c r="H884" s="11" t="str">
        <f>IFERROR(__xludf.DUMMYFUNCTION("""COMPUTED_VALUE"""),"Momentum")</f>
        <v>Momentum</v>
      </c>
      <c r="I884" s="11">
        <f>IFERROR(__xludf.DUMMYFUNCTION("""COMPUTED_VALUE"""),1.0)</f>
        <v>1</v>
      </c>
      <c r="J884" s="11">
        <f>IFERROR(__xludf.DUMMYFUNCTION("""COMPUTED_VALUE"""),0.0)</f>
        <v>0</v>
      </c>
      <c r="K884" s="11">
        <f>IFERROR(__xludf.DUMMYFUNCTION("""COMPUTED_VALUE"""),1.0)</f>
        <v>1</v>
      </c>
    </row>
    <row r="885" ht="15.75" customHeight="1">
      <c r="A885" s="10" t="str">
        <f>IFERROR(__xludf.DUMMYFUNCTION("""COMPUTED_VALUE"""),"https://www.thedrum.com/lists/world-creative-rankings/companies/the-most-awarded-agencies-in-the-united-states/2024")</f>
        <v>https://www.thedrum.com/lists/world-creative-rankings/companies/the-most-awarded-agencies-in-the-united-states/2024</v>
      </c>
      <c r="B885" s="11" t="str">
        <f>IFERROR(__xludf.DUMMYFUNCTION("""COMPUTED_VALUE"""),"Lists \| Discover the world’s most awarded creative people, companies and campaigns \| The Drum")</f>
        <v>Lists \| Discover the world’s most awarded creative people, companies and campaigns \| The Drum</v>
      </c>
      <c r="C885" s="10" t="str">
        <f>IFERROR(__xludf.DUMMYFUNCTION("""COMPUTED_VALUE"""),"thedrum.com")</f>
        <v>thedrum.com</v>
      </c>
      <c r="D885" s="11" t="str">
        <f>IFERROR(__xludf.DUMMYFUNCTION("""COMPUTED_VALUE"""),"LISTICLE")</f>
        <v>LISTICLE</v>
      </c>
      <c r="E885" s="11" t="str">
        <f>IFERROR(__xludf.DUMMYFUNCTION("""COMPUTED_VALUE"""),"EDITORIAL")</f>
        <v>EDITORIAL</v>
      </c>
      <c r="F885" s="11" t="str">
        <f>IFERROR(__xludf.DUMMYFUNCTION("""COMPUTED_VALUE"""),"Listicle")</f>
        <v>Listicle</v>
      </c>
      <c r="G885" s="11" t="b">
        <f>IFERROR(__xludf.DUMMYFUNCTION("""COMPUTED_VALUE"""),FALSE)</f>
        <v>0</v>
      </c>
      <c r="H885" s="11" t="str">
        <f>IFERROR(__xludf.DUMMYFUNCTION("""COMPUTED_VALUE"""),"VML, Wieden+Kennedy, Ogilvy, Droga5, BBDO, R/GA, Dentsu, 72andSunny, Anomaly, AKQA")</f>
        <v>VML, Wieden+Kennedy, Ogilvy, Droga5, BBDO, R/GA, Dentsu, 72andSunny, Anomaly, AKQA</v>
      </c>
      <c r="I885" s="11">
        <f>IFERROR(__xludf.DUMMYFUNCTION("""COMPUTED_VALUE"""),1.0)</f>
        <v>1</v>
      </c>
      <c r="J885" s="11">
        <f>IFERROR(__xludf.DUMMYFUNCTION("""COMPUTED_VALUE"""),0.0)</f>
        <v>0</v>
      </c>
      <c r="K885" s="11">
        <f>IFERROR(__xludf.DUMMYFUNCTION("""COMPUTED_VALUE"""),0.0)</f>
        <v>0</v>
      </c>
    </row>
    <row r="886" ht="15.75" customHeight="1">
      <c r="A886" s="10" t="str">
        <f>IFERROR(__xludf.DUMMYFUNCTION("""COMPUTED_VALUE"""),"https://www.thedrum.com/news/in-face-of-massive-change-wpp-networks-dominate-2026-world-creative-rankings")</f>
        <v>https://www.thedrum.com/news/in-face-of-massive-change-wpp-networks-dominate-2026-world-creative-rankings</v>
      </c>
      <c r="B886" s="11" t="str">
        <f>IFERROR(__xludf.DUMMYFUNCTION("""COMPUTED_VALUE"""),"As WPP reinvents itself (again), its networks dominate World Creative Rankings (again) | The Drum")</f>
        <v>As WPP reinvents itself (again), its networks dominate World Creative Rankings (again) | The Drum</v>
      </c>
      <c r="C886" s="10" t="str">
        <f>IFERROR(__xludf.DUMMYFUNCTION("""COMPUTED_VALUE"""),"thedrum.com")</f>
        <v>thedrum.com</v>
      </c>
      <c r="D886" s="11" t="str">
        <f>IFERROR(__xludf.DUMMYFUNCTION("""COMPUTED_VALUE"""),"LISTICLE")</f>
        <v>LISTICLE</v>
      </c>
      <c r="E886" s="11" t="str">
        <f>IFERROR(__xludf.DUMMYFUNCTION("""COMPUTED_VALUE"""),"EDITORIAL")</f>
        <v>EDITORIAL</v>
      </c>
      <c r="F886" s="11" t="str">
        <f>IFERROR(__xludf.DUMMYFUNCTION("""COMPUTED_VALUE"""),"Listicle")</f>
        <v>Listicle</v>
      </c>
      <c r="G886" s="11" t="b">
        <f>IFERROR(__xludf.DUMMYFUNCTION("""COMPUTED_VALUE"""),FALSE)</f>
        <v>0</v>
      </c>
      <c r="H886" s="11" t="str">
        <f>IFERROR(__xludf.DUMMYFUNCTION("""COMPUTED_VALUE"""),"WPP, Publicis Groupe, Dentsu, Momentum, Ogilvy, VML, AKQA, BBDO")</f>
        <v>WPP, Publicis Groupe, Dentsu, Momentum, Ogilvy, VML, AKQA, BBDO</v>
      </c>
      <c r="I886" s="11">
        <f>IFERROR(__xludf.DUMMYFUNCTION("""COMPUTED_VALUE"""),1.0)</f>
        <v>1</v>
      </c>
      <c r="J886" s="11">
        <f>IFERROR(__xludf.DUMMYFUNCTION("""COMPUTED_VALUE"""),0.0)</f>
        <v>0</v>
      </c>
      <c r="K886" s="11">
        <f>IFERROR(__xludf.DUMMYFUNCTION("""COMPUTED_VALUE"""),2.0)</f>
        <v>2</v>
      </c>
    </row>
    <row r="887" ht="15.75" customHeight="1">
      <c r="A887" s="10" t="str">
        <f>IFERROR(__xludf.DUMMYFUNCTION("""COMPUTED_VALUE"""),"https://www.thedrum.com/news/the-most-awarded-holding-companies-in-the-drum-honors-2025-a-swan-song-for-ipg")</f>
        <v>https://www.thedrum.com/news/the-most-awarded-holding-companies-in-the-drum-honors-2025-a-swan-song-for-ipg</v>
      </c>
      <c r="B887" s="11" t="str">
        <f>IFERROR(__xludf.DUMMYFUNCTION("""COMPUTED_VALUE"""),"The most awarded holding companies in The Drum Honors 2025: A swan song for IPG | The Drum")</f>
        <v>The most awarded holding companies in The Drum Honors 2025: A swan song for IPG | The Drum</v>
      </c>
      <c r="C887" s="10" t="str">
        <f>IFERROR(__xludf.DUMMYFUNCTION("""COMPUTED_VALUE"""),"thedrum.com")</f>
        <v>thedrum.com</v>
      </c>
      <c r="D887" s="11" t="str">
        <f>IFERROR(__xludf.DUMMYFUNCTION("""COMPUTED_VALUE"""),"LISTICLE")</f>
        <v>LISTICLE</v>
      </c>
      <c r="E887" s="11" t="str">
        <f>IFERROR(__xludf.DUMMYFUNCTION("""COMPUTED_VALUE"""),"EDITORIAL")</f>
        <v>EDITORIAL</v>
      </c>
      <c r="F887" s="11" t="str">
        <f>IFERROR(__xludf.DUMMYFUNCTION("""COMPUTED_VALUE"""),"Listicle")</f>
        <v>Listicle</v>
      </c>
      <c r="G887" s="11" t="b">
        <f>IFERROR(__xludf.DUMMYFUNCTION("""COMPUTED_VALUE"""),FALSE)</f>
        <v>0</v>
      </c>
      <c r="H887" s="11" t="str">
        <f>IFERROR(__xludf.DUMMYFUNCTION("""COMPUTED_VALUE"""),"WPP, Dentsu, Publicis Groupe")</f>
        <v>WPP, Dentsu, Publicis Groupe</v>
      </c>
      <c r="I887" s="11">
        <f>IFERROR(__xludf.DUMMYFUNCTION("""COMPUTED_VALUE"""),1.0)</f>
        <v>1</v>
      </c>
      <c r="J887" s="11">
        <f>IFERROR(__xludf.DUMMYFUNCTION("""COMPUTED_VALUE"""),0.0)</f>
        <v>0</v>
      </c>
      <c r="K887" s="11">
        <f>IFERROR(__xludf.DUMMYFUNCTION("""COMPUTED_VALUE"""),0.0)</f>
        <v>0</v>
      </c>
    </row>
    <row r="888" ht="15.75" customHeight="1">
      <c r="A888" s="10" t="str">
        <f>IFERROR(__xludf.DUMMYFUNCTION("""COMPUTED_VALUE"""),"https://www.thedrum.com/news/world-creative-rankings-the-top-100-most-awarded-agencies-the-us")</f>
        <v>https://www.thedrum.com/news/world-creative-rankings-the-top-100-most-awarded-agencies-the-us</v>
      </c>
      <c r="B888" s="11" t="str">
        <f>IFERROR(__xludf.DUMMYFUNCTION("""COMPUTED_VALUE"""),"World Creative Rankings: the top 100 most awarded agencies in the US \| The Drum")</f>
        <v>World Creative Rankings: the top 100 most awarded agencies in the US \| The Drum</v>
      </c>
      <c r="C888" s="10" t="str">
        <f>IFERROR(__xludf.DUMMYFUNCTION("""COMPUTED_VALUE"""),"thedrum.com")</f>
        <v>thedrum.com</v>
      </c>
      <c r="D888" s="11" t="str">
        <f>IFERROR(__xludf.DUMMYFUNCTION("""COMPUTED_VALUE"""),"LISTICLE")</f>
        <v>LISTICLE</v>
      </c>
      <c r="E888" s="11" t="str">
        <f>IFERROR(__xludf.DUMMYFUNCTION("""COMPUTED_VALUE"""),"EDITORIAL")</f>
        <v>EDITORIAL</v>
      </c>
      <c r="F888" s="11" t="str">
        <f>IFERROR(__xludf.DUMMYFUNCTION("""COMPUTED_VALUE"""),"Listicle")</f>
        <v>Listicle</v>
      </c>
      <c r="G888" s="11" t="b">
        <f>IFERROR(__xludf.DUMMYFUNCTION("""COMPUTED_VALUE"""),FALSE)</f>
        <v>0</v>
      </c>
      <c r="H888" s="11" t="str">
        <f>IFERROR(__xludf.DUMMYFUNCTION("""COMPUTED_VALUE"""),"72andSunny, Merkle")</f>
        <v>72andSunny, Merkle</v>
      </c>
      <c r="I888" s="11">
        <f>IFERROR(__xludf.DUMMYFUNCTION("""COMPUTED_VALUE"""),1.0)</f>
        <v>1</v>
      </c>
      <c r="J888" s="11">
        <f>IFERROR(__xludf.DUMMYFUNCTION("""COMPUTED_VALUE"""),0.0)</f>
        <v>0</v>
      </c>
      <c r="K888" s="11">
        <f>IFERROR(__xludf.DUMMYFUNCTION("""COMPUTED_VALUE"""),0.0)</f>
        <v>0</v>
      </c>
    </row>
    <row r="889" ht="15.75" customHeight="1">
      <c r="A889" s="10" t="str">
        <f>IFERROR(__xludf.DUMMYFUNCTION("""COMPUTED_VALUE"""),"https://www.thegrowthsyndicate.com/agencies/best-b2b-marketing-agencies-us")</f>
        <v>https://www.thegrowthsyndicate.com/agencies/best-b2b-marketing-agencies-us</v>
      </c>
      <c r="B889" s="11" t="str">
        <f>IFERROR(__xludf.DUMMYFUNCTION("""COMPUTED_VALUE"""),"The 10 Best B2B Marketing Agencies in the US in 2026")</f>
        <v>The 10 Best B2B Marketing Agencies in the US in 2026</v>
      </c>
      <c r="C889" s="10" t="str">
        <f>IFERROR(__xludf.DUMMYFUNCTION("""COMPUTED_VALUE"""),"thegrowthsyndicate.com")</f>
        <v>thegrowthsyndicate.com</v>
      </c>
      <c r="D889" s="11" t="str">
        <f>IFERROR(__xludf.DUMMYFUNCTION("""COMPUTED_VALUE"""),"LISTICLE")</f>
        <v>LISTICLE</v>
      </c>
      <c r="E889" s="11" t="str">
        <f>IFERROR(__xludf.DUMMYFUNCTION("""COMPUTED_VALUE"""),"CORPORATE")</f>
        <v>CORPORATE</v>
      </c>
      <c r="F889" s="11" t="str">
        <f>IFERROR(__xludf.DUMMYFUNCTION("""COMPUTED_VALUE"""),"Listicle")</f>
        <v>Listicle</v>
      </c>
      <c r="G889" s="11" t="b">
        <f>IFERROR(__xludf.DUMMYFUNCTION("""COMPUTED_VALUE"""),FALSE)</f>
        <v>0</v>
      </c>
      <c r="H889" s="11" t="str">
        <f>IFERROR(__xludf.DUMMYFUNCTION("""COMPUTED_VALUE"""),"Directive, Measured, Animalz, Clutch, Refine Labs")</f>
        <v>Directive, Measured, Animalz, Clutch, Refine Labs</v>
      </c>
      <c r="I889" s="11">
        <f>IFERROR(__xludf.DUMMYFUNCTION("""COMPUTED_VALUE"""),1.0)</f>
        <v>1</v>
      </c>
      <c r="J889" s="11">
        <f>IFERROR(__xludf.DUMMYFUNCTION("""COMPUTED_VALUE"""),0.0)</f>
        <v>0</v>
      </c>
      <c r="K889" s="11">
        <f>IFERROR(__xludf.DUMMYFUNCTION("""COMPUTED_VALUE"""),1.0)</f>
        <v>1</v>
      </c>
    </row>
    <row r="890" ht="15.75" customHeight="1">
      <c r="A890" s="10" t="str">
        <f>IFERROR(__xludf.DUMMYFUNCTION("""COMPUTED_VALUE"""),"https://www.thegrowthsyndicate.com/agencies/best-linkedin-ads-agencies-us")</f>
        <v>https://www.thegrowthsyndicate.com/agencies/best-linkedin-ads-agencies-us</v>
      </c>
      <c r="B890" s="11" t="str">
        <f>IFERROR(__xludf.DUMMYFUNCTION("""COMPUTED_VALUE"""),"Best LinkedIn Ads Agencies in the US (2026)")</f>
        <v>Best LinkedIn Ads Agencies in the US (2026)</v>
      </c>
      <c r="C890" s="10" t="str">
        <f>IFERROR(__xludf.DUMMYFUNCTION("""COMPUTED_VALUE"""),"thegrowthsyndicate.com")</f>
        <v>thegrowthsyndicate.com</v>
      </c>
      <c r="D890" s="11" t="str">
        <f>IFERROR(__xludf.DUMMYFUNCTION("""COMPUTED_VALUE"""),"LISTICLE")</f>
        <v>LISTICLE</v>
      </c>
      <c r="E890" s="11" t="str">
        <f>IFERROR(__xludf.DUMMYFUNCTION("""COMPUTED_VALUE"""),"CORPORATE")</f>
        <v>CORPORATE</v>
      </c>
      <c r="F890" s="11" t="str">
        <f>IFERROR(__xludf.DUMMYFUNCTION("""COMPUTED_VALUE"""),"Listicle")</f>
        <v>Listicle</v>
      </c>
      <c r="G890" s="11" t="b">
        <f>IFERROR(__xludf.DUMMYFUNCTION("""COMPUTED_VALUE"""),FALSE)</f>
        <v>0</v>
      </c>
      <c r="H890" s="11" t="str">
        <f>IFERROR(__xludf.DUMMYFUNCTION("""COMPUTED_VALUE"""),"Directive, Refine Labs, Disruptive Advertising, Clutch, Measured")</f>
        <v>Directive, Refine Labs, Disruptive Advertising, Clutch, Measured</v>
      </c>
      <c r="I890" s="11">
        <f>IFERROR(__xludf.DUMMYFUNCTION("""COMPUTED_VALUE"""),1.0)</f>
        <v>1</v>
      </c>
      <c r="J890" s="11">
        <f>IFERROR(__xludf.DUMMYFUNCTION("""COMPUTED_VALUE"""),0.0)</f>
        <v>0</v>
      </c>
      <c r="K890" s="11">
        <f>IFERROR(__xludf.DUMMYFUNCTION("""COMPUTED_VALUE"""),2.0)</f>
        <v>2</v>
      </c>
    </row>
    <row r="891" ht="15.75" customHeight="1">
      <c r="A891" s="10" t="str">
        <f>IFERROR(__xludf.DUMMYFUNCTION("""COMPUTED_VALUE"""),"https://theinklusive.com/blog/12-best-branding-agencies/")</f>
        <v>https://theinklusive.com/blog/12-best-branding-agencies/</v>
      </c>
      <c r="B891" s="11" t="str">
        <f>IFERROR(__xludf.DUMMYFUNCTION("""COMPUTED_VALUE"""),"Top 15 Branding Agencies in the World (2025 Rankings)")</f>
        <v>Top 15 Branding Agencies in the World (2025 Rankings)</v>
      </c>
      <c r="C891" s="10" t="str">
        <f>IFERROR(__xludf.DUMMYFUNCTION("""COMPUTED_VALUE"""),"theinklusive.com")</f>
        <v>theinklusive.com</v>
      </c>
      <c r="D891" s="11" t="str">
        <f>IFERROR(__xludf.DUMMYFUNCTION("""COMPUTED_VALUE"""),"LISTICLE")</f>
        <v>LISTICLE</v>
      </c>
      <c r="E891" s="11" t="str">
        <f>IFERROR(__xludf.DUMMYFUNCTION("""COMPUTED_VALUE"""),"CORPORATE")</f>
        <v>CORPORATE</v>
      </c>
      <c r="F891" s="11" t="str">
        <f>IFERROR(__xludf.DUMMYFUNCTION("""COMPUTED_VALUE"""),"Listicle")</f>
        <v>Listicle</v>
      </c>
      <c r="G891" s="11" t="b">
        <f>IFERROR(__xludf.DUMMYFUNCTION("""COMPUTED_VALUE"""),FALSE)</f>
        <v>0</v>
      </c>
      <c r="H891" s="11" t="str">
        <f>IFERROR(__xludf.DUMMYFUNCTION("""COMPUTED_VALUE"""),"BCG, Dentsu, Anomaly, Pentagram, WPP")</f>
        <v>BCG, Dentsu, Anomaly, Pentagram, WPP</v>
      </c>
      <c r="I891" s="11">
        <f>IFERROR(__xludf.DUMMYFUNCTION("""COMPUTED_VALUE"""),1.0)</f>
        <v>1</v>
      </c>
      <c r="J891" s="11">
        <f>IFERROR(__xludf.DUMMYFUNCTION("""COMPUTED_VALUE"""),0.0)</f>
        <v>0</v>
      </c>
      <c r="K891" s="11">
        <f>IFERROR(__xludf.DUMMYFUNCTION("""COMPUTED_VALUE"""),1.0)</f>
        <v>1</v>
      </c>
    </row>
    <row r="892" ht="15.75" customHeight="1">
      <c r="A892" s="10" t="str">
        <f>IFERROR(__xludf.DUMMYFUNCTION("""COMPUTED_VALUE"""),"https://www.thekeenfolks.com/blog-article/top-ai-marketing-companies")</f>
        <v>https://www.thekeenfolks.com/blog-article/top-ai-marketing-companies</v>
      </c>
      <c r="B892" s="11" t="str">
        <f>IFERROR(__xludf.DUMMYFUNCTION("""COMPUTED_VALUE"""),"The best AI Marketing Companies for large enterprises")</f>
        <v>The best AI Marketing Companies for large enterprises</v>
      </c>
      <c r="C892" s="10" t="str">
        <f>IFERROR(__xludf.DUMMYFUNCTION("""COMPUTED_VALUE"""),"thekeenfolks.com")</f>
        <v>thekeenfolks.com</v>
      </c>
      <c r="D892" s="11" t="str">
        <f>IFERROR(__xludf.DUMMYFUNCTION("""COMPUTED_VALUE"""),"LISTICLE")</f>
        <v>LISTICLE</v>
      </c>
      <c r="E892" s="11" t="str">
        <f>IFERROR(__xludf.DUMMYFUNCTION("""COMPUTED_VALUE"""),"COMPETITOR")</f>
        <v>COMPETITOR</v>
      </c>
      <c r="F892" s="11" t="str">
        <f>IFERROR(__xludf.DUMMYFUNCTION("""COMPUTED_VALUE"""),"Listicle")</f>
        <v>Listicle</v>
      </c>
      <c r="G892" s="11" t="b">
        <f>IFERROR(__xludf.DUMMYFUNCTION("""COMPUTED_VALUE"""),FALSE)</f>
        <v>0</v>
      </c>
      <c r="H892" s="11" t="str">
        <f>IFERROR(__xludf.DUMMYFUNCTION("""COMPUTED_VALUE"""),"Keenfolks, Tinuiti, Wpromote, DEPT, Clay, Measured")</f>
        <v>Keenfolks, Tinuiti, Wpromote, DEPT, Clay, Measured</v>
      </c>
      <c r="I892" s="11">
        <f>IFERROR(__xludf.DUMMYFUNCTION("""COMPUTED_VALUE"""),1.0)</f>
        <v>1</v>
      </c>
      <c r="J892" s="11">
        <f>IFERROR(__xludf.DUMMYFUNCTION("""COMPUTED_VALUE"""),0.0)</f>
        <v>0</v>
      </c>
      <c r="K892" s="11">
        <f>IFERROR(__xludf.DUMMYFUNCTION("""COMPUTED_VALUE"""),1.0)</f>
        <v>1</v>
      </c>
    </row>
    <row r="893" ht="15.75" customHeight="1">
      <c r="A893" s="10" t="str">
        <f>IFERROR(__xludf.DUMMYFUNCTION("""COMPUTED_VALUE"""),"https://themanifest.com/media-buying/agencies")</f>
        <v>https://themanifest.com/media-buying/agencies</v>
      </c>
      <c r="B893" s="11" t="str">
        <f>IFERROR(__xludf.DUMMYFUNCTION("""COMPUTED_VALUE"""),"The Best Media Planning and Buying Companies - Jul 2026 | The Manifest")</f>
        <v>The Best Media Planning and Buying Companies - Jul 2026 | The Manifest</v>
      </c>
      <c r="C893" s="10" t="str">
        <f>IFERROR(__xludf.DUMMYFUNCTION("""COMPUTED_VALUE"""),"themanifest.com")</f>
        <v>themanifest.com</v>
      </c>
      <c r="D893" s="11" t="str">
        <f>IFERROR(__xludf.DUMMYFUNCTION("""COMPUTED_VALUE"""),"LISTICLE")</f>
        <v>LISTICLE</v>
      </c>
      <c r="E893" s="11" t="str">
        <f>IFERROR(__xludf.DUMMYFUNCTION("""COMPUTED_VALUE"""),"REFERENCE")</f>
        <v>REFERENCE</v>
      </c>
      <c r="F893" s="11" t="str">
        <f>IFERROR(__xludf.DUMMYFUNCTION("""COMPUTED_VALUE"""),"Listicle")</f>
        <v>Listicle</v>
      </c>
      <c r="G893" s="11" t="b">
        <f>IFERROR(__xludf.DUMMYFUNCTION("""COMPUTED_VALUE"""),FALSE)</f>
        <v>0</v>
      </c>
      <c r="H893" s="11" t="str">
        <f>IFERROR(__xludf.DUMMYFUNCTION("""COMPUTED_VALUE"""),"Clutch, Accelerated Digital Media, Major Tom, Tinuiti")</f>
        <v>Clutch, Accelerated Digital Media, Major Tom, Tinuiti</v>
      </c>
      <c r="I893" s="11">
        <f>IFERROR(__xludf.DUMMYFUNCTION("""COMPUTED_VALUE"""),1.0)</f>
        <v>1</v>
      </c>
      <c r="J893" s="11">
        <f>IFERROR(__xludf.DUMMYFUNCTION("""COMPUTED_VALUE"""),0.0)</f>
        <v>0</v>
      </c>
      <c r="K893" s="11">
        <f>IFERROR(__xludf.DUMMYFUNCTION("""COMPUTED_VALUE"""),0.0)</f>
        <v>0</v>
      </c>
    </row>
    <row r="894" ht="15.75" customHeight="1">
      <c r="A894" s="10" t="str">
        <f>IFERROR(__xludf.DUMMYFUNCTION("""COMPUTED_VALUE"""),"https://themanifest.com/us/creative/agencies?page=1")</f>
        <v>https://themanifest.com/us/creative/agencies?page=1</v>
      </c>
      <c r="B894" s="11" t="str">
        <f>IFERROR(__xludf.DUMMYFUNCTION("""COMPUTED_VALUE"""),"The Best Creative Companies in United States - Jul 2026 | The Manifest")</f>
        <v>The Best Creative Companies in United States - Jul 2026 | The Manifest</v>
      </c>
      <c r="C894" s="10" t="str">
        <f>IFERROR(__xludf.DUMMYFUNCTION("""COMPUTED_VALUE"""),"themanifest.com")</f>
        <v>themanifest.com</v>
      </c>
      <c r="D894" s="11" t="str">
        <f>IFERROR(__xludf.DUMMYFUNCTION("""COMPUTED_VALUE"""),"LISTICLE")</f>
        <v>LISTICLE</v>
      </c>
      <c r="E894" s="11" t="str">
        <f>IFERROR(__xludf.DUMMYFUNCTION("""COMPUTED_VALUE"""),"REFERENCE")</f>
        <v>REFERENCE</v>
      </c>
      <c r="F894" s="11" t="str">
        <f>IFERROR(__xludf.DUMMYFUNCTION("""COMPUTED_VALUE"""),"Listicle")</f>
        <v>Listicle</v>
      </c>
      <c r="G894" s="11" t="b">
        <f>IFERROR(__xludf.DUMMYFUNCTION("""COMPUTED_VALUE"""),FALSE)</f>
        <v>0</v>
      </c>
      <c r="H894" s="11" t="str">
        <f>IFERROR(__xludf.DUMMYFUNCTION("""COMPUTED_VALUE"""),"Clutch")</f>
        <v>Clutch</v>
      </c>
      <c r="I894" s="11">
        <f>IFERROR(__xludf.DUMMYFUNCTION("""COMPUTED_VALUE"""),1.0)</f>
        <v>1</v>
      </c>
      <c r="J894" s="11">
        <f>IFERROR(__xludf.DUMMYFUNCTION("""COMPUTED_VALUE"""),0.0)</f>
        <v>0</v>
      </c>
      <c r="K894" s="11">
        <f>IFERROR(__xludf.DUMMYFUNCTION("""COMPUTED_VALUE"""),0.0)</f>
        <v>0</v>
      </c>
    </row>
    <row r="895" ht="15.75" customHeight="1">
      <c r="A895" s="10" t="str">
        <f>IFERROR(__xludf.DUMMYFUNCTION("""COMPUTED_VALUE"""),"https://themanifest.com/us/digital/agencies")</f>
        <v>https://themanifest.com/us/digital/agencies</v>
      </c>
      <c r="B895" s="11" t="str">
        <f>IFERROR(__xludf.DUMMYFUNCTION("""COMPUTED_VALUE"""),"The Best Full Service Digital Companies in United States - Jul 2026 | The Manifest")</f>
        <v>The Best Full Service Digital Companies in United States - Jul 2026 | The Manifest</v>
      </c>
      <c r="C895" s="10" t="str">
        <f>IFERROR(__xludf.DUMMYFUNCTION("""COMPUTED_VALUE"""),"themanifest.com")</f>
        <v>themanifest.com</v>
      </c>
      <c r="D895" s="11" t="str">
        <f>IFERROR(__xludf.DUMMYFUNCTION("""COMPUTED_VALUE"""),"LISTICLE")</f>
        <v>LISTICLE</v>
      </c>
      <c r="E895" s="11" t="str">
        <f>IFERROR(__xludf.DUMMYFUNCTION("""COMPUTED_VALUE"""),"REFERENCE")</f>
        <v>REFERENCE</v>
      </c>
      <c r="F895" s="11" t="str">
        <f>IFERROR(__xludf.DUMMYFUNCTION("""COMPUTED_VALUE"""),"Listicle")</f>
        <v>Listicle</v>
      </c>
      <c r="G895" s="11" t="b">
        <f>IFERROR(__xludf.DUMMYFUNCTION("""COMPUTED_VALUE"""),FALSE)</f>
        <v>0</v>
      </c>
      <c r="H895" s="11" t="str">
        <f>IFERROR(__xludf.DUMMYFUNCTION("""COMPUTED_VALUE"""),"Clutch, Ignite Visibility, Storm Brain, Funnel Boost Media")</f>
        <v>Clutch, Ignite Visibility, Storm Brain, Funnel Boost Media</v>
      </c>
      <c r="I895" s="11">
        <f>IFERROR(__xludf.DUMMYFUNCTION("""COMPUTED_VALUE"""),1.0)</f>
        <v>1</v>
      </c>
      <c r="J895" s="11">
        <f>IFERROR(__xludf.DUMMYFUNCTION("""COMPUTED_VALUE"""),0.0)</f>
        <v>0</v>
      </c>
      <c r="K895" s="11">
        <f>IFERROR(__xludf.DUMMYFUNCTION("""COMPUTED_VALUE"""),0.0)</f>
        <v>0</v>
      </c>
    </row>
    <row r="896" ht="15.75" customHeight="1">
      <c r="A896" s="10" t="str">
        <f>IFERROR(__xludf.DUMMYFUNCTION("""COMPUTED_VALUE"""),"https://www.themediaant.com/blog/types-of-advertising-agencies-2025/")</f>
        <v>https://www.themediaant.com/blog/types-of-advertising-agencies-2025/</v>
      </c>
      <c r="B896" s="11" t="str">
        <f>IFERROR(__xludf.DUMMYFUNCTION("""COMPUTED_VALUE"""),"Discover the 7 Types of Advertising Agencies for 2025")</f>
        <v>Discover the 7 Types of Advertising Agencies for 2025</v>
      </c>
      <c r="C896" s="10" t="str">
        <f>IFERROR(__xludf.DUMMYFUNCTION("""COMPUTED_VALUE"""),"themediaant.com")</f>
        <v>themediaant.com</v>
      </c>
      <c r="D896" s="11" t="str">
        <f>IFERROR(__xludf.DUMMYFUNCTION("""COMPUTED_VALUE"""),"LISTICLE")</f>
        <v>LISTICLE</v>
      </c>
      <c r="E896" s="11" t="str">
        <f>IFERROR(__xludf.DUMMYFUNCTION("""COMPUTED_VALUE"""),"OTHER")</f>
        <v>OTHER</v>
      </c>
      <c r="F896" s="11" t="str">
        <f>IFERROR(__xludf.DUMMYFUNCTION("""COMPUTED_VALUE"""),"Listicle")</f>
        <v>Listicle</v>
      </c>
      <c r="G896" s="11" t="b">
        <f>IFERROR(__xludf.DUMMYFUNCTION("""COMPUTED_VALUE"""),FALSE)</f>
        <v>0</v>
      </c>
      <c r="H896" s="11" t="str">
        <f>IFERROR(__xludf.DUMMYFUNCTION("""COMPUTED_VALUE"""),"Ogilvy, Dentsu, VML, iProspect, BBDO, Merkle")</f>
        <v>Ogilvy, Dentsu, VML, iProspect, BBDO, Merkle</v>
      </c>
      <c r="I896" s="11">
        <f>IFERROR(__xludf.DUMMYFUNCTION("""COMPUTED_VALUE"""),1.0)</f>
        <v>1</v>
      </c>
      <c r="J896" s="11">
        <f>IFERROR(__xludf.DUMMYFUNCTION("""COMPUTED_VALUE"""),0.0)</f>
        <v>0</v>
      </c>
      <c r="K896" s="11">
        <f>IFERROR(__xludf.DUMMYFUNCTION("""COMPUTED_VALUE"""),1.0)</f>
        <v>1</v>
      </c>
    </row>
    <row r="897" ht="15.75" customHeight="1">
      <c r="A897" s="10" t="str">
        <f>IFERROR(__xludf.DUMMYFUNCTION("""COMPUTED_VALUE"""),"https://thesocialshepherd.com/blog/top-advertising-agencies-us")</f>
        <v>https://thesocialshepherd.com/blog/top-advertising-agencies-us</v>
      </c>
      <c r="B897" s="11" t="str">
        <f>IFERROR(__xludf.DUMMYFUNCTION("""COMPUTED_VALUE"""),"The Social Shepherd | Top 17 Advertising Agencies in the U.S. (2026)")</f>
        <v>The Social Shepherd | Top 17 Advertising Agencies in the U.S. (2026)</v>
      </c>
      <c r="C897" s="10" t="str">
        <f>IFERROR(__xludf.DUMMYFUNCTION("""COMPUTED_VALUE"""),"thesocialshepherd.com")</f>
        <v>thesocialshepherd.com</v>
      </c>
      <c r="D897" s="11" t="str">
        <f>IFERROR(__xludf.DUMMYFUNCTION("""COMPUTED_VALUE"""),"LISTICLE")</f>
        <v>LISTICLE</v>
      </c>
      <c r="E897" s="11" t="str">
        <f>IFERROR(__xludf.DUMMYFUNCTION("""COMPUTED_VALUE"""),"COMPETITOR")</f>
        <v>COMPETITOR</v>
      </c>
      <c r="F897" s="11" t="str">
        <f>IFERROR(__xludf.DUMMYFUNCTION("""COMPUTED_VALUE"""),"Listicle")</f>
        <v>Listicle</v>
      </c>
      <c r="G897" s="11" t="b">
        <f>IFERROR(__xludf.DUMMYFUNCTION("""COMPUTED_VALUE"""),FALSE)</f>
        <v>0</v>
      </c>
      <c r="H897" s="11" t="str">
        <f>IFERROR(__xludf.DUMMYFUNCTION("""COMPUTED_VALUE"""),"The Social Shepherd, Refine Labs, Kobe Digital")</f>
        <v>The Social Shepherd, Refine Labs, Kobe Digital</v>
      </c>
      <c r="I897" s="11">
        <f>IFERROR(__xludf.DUMMYFUNCTION("""COMPUTED_VALUE"""),1.0)</f>
        <v>1</v>
      </c>
      <c r="J897" s="11">
        <f>IFERROR(__xludf.DUMMYFUNCTION("""COMPUTED_VALUE"""),0.0)</f>
        <v>0</v>
      </c>
      <c r="K897" s="11">
        <f>IFERROR(__xludf.DUMMYFUNCTION("""COMPUTED_VALUE"""),0.0)</f>
        <v>0</v>
      </c>
    </row>
    <row r="898" ht="15.75" customHeight="1">
      <c r="A898" s="10" t="str">
        <f>IFERROR(__xludf.DUMMYFUNCTION("""COMPUTED_VALUE"""),"https://thesocialshepherd.com/blog/top-digital-marketing-agencies-us")</f>
        <v>https://thesocialshepherd.com/blog/top-digital-marketing-agencies-us</v>
      </c>
      <c r="B898" s="11" t="str">
        <f>IFERROR(__xludf.DUMMYFUNCTION("""COMPUTED_VALUE"""),"The Social Shepherd | Top 17 Digital Marketing Agencies in the U.S.…")</f>
        <v>The Social Shepherd | Top 17 Digital Marketing Agencies in the U.S.…</v>
      </c>
      <c r="C898" s="10" t="str">
        <f>IFERROR(__xludf.DUMMYFUNCTION("""COMPUTED_VALUE"""),"thesocialshepherd.com")</f>
        <v>thesocialshepherd.com</v>
      </c>
      <c r="D898" s="11" t="str">
        <f>IFERROR(__xludf.DUMMYFUNCTION("""COMPUTED_VALUE"""),"LISTICLE")</f>
        <v>LISTICLE</v>
      </c>
      <c r="E898" s="11" t="str">
        <f>IFERROR(__xludf.DUMMYFUNCTION("""COMPUTED_VALUE"""),"COMPETITOR")</f>
        <v>COMPETITOR</v>
      </c>
      <c r="F898" s="11" t="str">
        <f>IFERROR(__xludf.DUMMYFUNCTION("""COMPUTED_VALUE"""),"Listicle")</f>
        <v>Listicle</v>
      </c>
      <c r="G898" s="11" t="b">
        <f>IFERROR(__xludf.DUMMYFUNCTION("""COMPUTED_VALUE"""),FALSE)</f>
        <v>0</v>
      </c>
      <c r="H898" s="11" t="str">
        <f>IFERROR(__xludf.DUMMYFUNCTION("""COMPUTED_VALUE"""),"The Social Shepherd, Refine Labs, Intero Digital, Single Grain, Power Digital, KlientBoost, VaynerMedia, Publicis Groupe, Digitas")</f>
        <v>The Social Shepherd, Refine Labs, Intero Digital, Single Grain, Power Digital, KlientBoost, VaynerMedia, Publicis Groupe, Digitas</v>
      </c>
      <c r="I898" s="11">
        <f>IFERROR(__xludf.DUMMYFUNCTION("""COMPUTED_VALUE"""),1.0)</f>
        <v>1</v>
      </c>
      <c r="J898" s="11">
        <f>IFERROR(__xludf.DUMMYFUNCTION("""COMPUTED_VALUE"""),0.0)</f>
        <v>0</v>
      </c>
      <c r="K898" s="11">
        <f>IFERROR(__xludf.DUMMYFUNCTION("""COMPUTED_VALUE"""),3.0)</f>
        <v>3</v>
      </c>
    </row>
    <row r="899" ht="15.75" customHeight="1">
      <c r="A899" s="10" t="str">
        <f>IFERROR(__xludf.DUMMYFUNCTION("""COMPUTED_VALUE"""),"https://www.thezulumethod.com/top-ai-marketing-agencies")</f>
        <v>https://www.thezulumethod.com/top-ai-marketing-agencies</v>
      </c>
      <c r="B899" s="11" t="str">
        <f>IFERROR(__xludf.DUMMYFUNCTION("""COMPUTED_VALUE"""),"Top 7 AI Marketing Agencies in 2026 (Compared) | Zulu")</f>
        <v>Top 7 AI Marketing Agencies in 2026 (Compared) | Zulu</v>
      </c>
      <c r="C899" s="10" t="str">
        <f>IFERROR(__xludf.DUMMYFUNCTION("""COMPUTED_VALUE"""),"thezulumethod.com")</f>
        <v>thezulumethod.com</v>
      </c>
      <c r="D899" s="11" t="str">
        <f>IFERROR(__xludf.DUMMYFUNCTION("""COMPUTED_VALUE"""),"LISTICLE")</f>
        <v>LISTICLE</v>
      </c>
      <c r="E899" s="11" t="str">
        <f>IFERROR(__xludf.DUMMYFUNCTION("""COMPUTED_VALUE"""),"CORPORATE")</f>
        <v>CORPORATE</v>
      </c>
      <c r="F899" s="11" t="str">
        <f>IFERROR(__xludf.DUMMYFUNCTION("""COMPUTED_VALUE"""),"Listicle")</f>
        <v>Listicle</v>
      </c>
      <c r="G899" s="11" t="b">
        <f>IFERROR(__xludf.DUMMYFUNCTION("""COMPUTED_VALUE"""),FALSE)</f>
        <v>0</v>
      </c>
      <c r="H899" s="11" t="str">
        <f>IFERROR(__xludf.DUMMYFUNCTION("""COMPUTED_VALUE"""),"Power Digital, Wpromote, Single Grain, Directive, NoGood, Giant Spoon, Hawke Media, Measured")</f>
        <v>Power Digital, Wpromote, Single Grain, Directive, NoGood, Giant Spoon, Hawke Media, Measured</v>
      </c>
      <c r="I899" s="11">
        <f>IFERROR(__xludf.DUMMYFUNCTION("""COMPUTED_VALUE"""),1.0)</f>
        <v>1</v>
      </c>
      <c r="J899" s="11">
        <f>IFERROR(__xludf.DUMMYFUNCTION("""COMPUTED_VALUE"""),0.0)</f>
        <v>0</v>
      </c>
      <c r="K899" s="11">
        <f>IFERROR(__xludf.DUMMYFUNCTION("""COMPUTED_VALUE"""),9.0)</f>
        <v>9</v>
      </c>
    </row>
    <row r="900" ht="15.75" customHeight="1">
      <c r="A900" s="10" t="str">
        <f>IFERROR(__xludf.DUMMYFUNCTION("""COMPUTED_VALUE"""),"https://thinkwithalec.com/2025/03/02/best-marketing-platforms-for-tracking-first-party-data/")</f>
        <v>https://thinkwithalec.com/2025/03/02/best-marketing-platforms-for-tracking-first-party-data/</v>
      </c>
      <c r="B900" s="11" t="str">
        <f>IFERROR(__xludf.DUMMYFUNCTION("""COMPUTED_VALUE"""),"Best Marketing Platforms for Tracking First-Party Data – THINK WITH ALEC")</f>
        <v>Best Marketing Platforms for Tracking First-Party Data – THINK WITH ALEC</v>
      </c>
      <c r="C900" s="10" t="str">
        <f>IFERROR(__xludf.DUMMYFUNCTION("""COMPUTED_VALUE"""),"thinkwithalec.com")</f>
        <v>thinkwithalec.com</v>
      </c>
      <c r="D900" s="11" t="str">
        <f>IFERROR(__xludf.DUMMYFUNCTION("""COMPUTED_VALUE"""),"LISTICLE")</f>
        <v>LISTICLE</v>
      </c>
      <c r="E900" s="11" t="str">
        <f>IFERROR(__xludf.DUMMYFUNCTION("""COMPUTED_VALUE"""),"EDITORIAL")</f>
        <v>EDITORIAL</v>
      </c>
      <c r="F900" s="11" t="str">
        <f>IFERROR(__xludf.DUMMYFUNCTION("""COMPUTED_VALUE"""),"Listicle")</f>
        <v>Listicle</v>
      </c>
      <c r="G900" s="11" t="b">
        <f>IFERROR(__xludf.DUMMYFUNCTION("""COMPUTED_VALUE"""),FALSE)</f>
        <v>0</v>
      </c>
      <c r="H900" s="11"/>
      <c r="I900" s="11">
        <f>IFERROR(__xludf.DUMMYFUNCTION("""COMPUTED_VALUE"""),1.0)</f>
        <v>1</v>
      </c>
      <c r="J900" s="11">
        <f>IFERROR(__xludf.DUMMYFUNCTION("""COMPUTED_VALUE"""),0.0)</f>
        <v>0</v>
      </c>
      <c r="K900" s="11">
        <f>IFERROR(__xludf.DUMMYFUNCTION("""COMPUTED_VALUE"""),0.0)</f>
        <v>0</v>
      </c>
    </row>
    <row r="901" ht="15.75" customHeight="1">
      <c r="A901" s="10" t="str">
        <f>IFERROR(__xludf.DUMMYFUNCTION("""COMPUTED_VALUE"""),"https://www.thirstysprout.com/post/best-tech-recruiting-agencies")</f>
        <v>https://www.thirstysprout.com/post/best-tech-recruiting-agencies</v>
      </c>
      <c r="B901" s="11" t="str">
        <f>IFERROR(__xludf.DUMMYFUNCTION("""COMPUTED_VALUE"""),"7 Best Tech Recruiting Agencies for AI &amp;amp; Engineering in 2025 | ThirstySprout")</f>
        <v>7 Best Tech Recruiting Agencies for AI &amp;amp; Engineering in 2025 | ThirstySprout</v>
      </c>
      <c r="C901" s="10" t="str">
        <f>IFERROR(__xludf.DUMMYFUNCTION("""COMPUTED_VALUE"""),"thirstysprout.com")</f>
        <v>thirstysprout.com</v>
      </c>
      <c r="D901" s="11" t="str">
        <f>IFERROR(__xludf.DUMMYFUNCTION("""COMPUTED_VALUE"""),"LISTICLE")</f>
        <v>LISTICLE</v>
      </c>
      <c r="E901" s="11" t="str">
        <f>IFERROR(__xludf.DUMMYFUNCTION("""COMPUTED_VALUE"""),"CORPORATE")</f>
        <v>CORPORATE</v>
      </c>
      <c r="F901" s="11" t="str">
        <f>IFERROR(__xludf.DUMMYFUNCTION("""COMPUTED_VALUE"""),"Listicle")</f>
        <v>Listicle</v>
      </c>
      <c r="G901" s="11" t="b">
        <f>IFERROR(__xludf.DUMMYFUNCTION("""COMPUTED_VALUE"""),FALSE)</f>
        <v>0</v>
      </c>
      <c r="H901" s="11" t="str">
        <f>IFERROR(__xludf.DUMMYFUNCTION("""COMPUTED_VALUE"""),"Clutch")</f>
        <v>Clutch</v>
      </c>
      <c r="I901" s="11">
        <f>IFERROR(__xludf.DUMMYFUNCTION("""COMPUTED_VALUE"""),1.0)</f>
        <v>1</v>
      </c>
      <c r="J901" s="11">
        <f>IFERROR(__xludf.DUMMYFUNCTION("""COMPUTED_VALUE"""),0.0)</f>
        <v>0</v>
      </c>
      <c r="K901" s="11">
        <f>IFERROR(__xludf.DUMMYFUNCTION("""COMPUTED_VALUE"""),1.0)</f>
        <v>1</v>
      </c>
    </row>
    <row r="902" ht="15.75" customHeight="1">
      <c r="A902" s="10" t="str">
        <f>IFERROR(__xludf.DUMMYFUNCTION("""COMPUTED_VALUE"""),"https://thriveagency.com/news/best-digital-pr-agencies/")</f>
        <v>https://thriveagency.com/news/best-digital-pr-agencies/</v>
      </c>
      <c r="B902" s="11" t="str">
        <f>IFERROR(__xludf.DUMMYFUNCTION("""COMPUTED_VALUE"""),"10 Best Digital PR Agencies in 2026 | Thrive Agency")</f>
        <v>10 Best Digital PR Agencies in 2026 | Thrive Agency</v>
      </c>
      <c r="C902" s="10" t="str">
        <f>IFERROR(__xludf.DUMMYFUNCTION("""COMPUTED_VALUE"""),"thriveagency.com")</f>
        <v>thriveagency.com</v>
      </c>
      <c r="D902" s="11" t="str">
        <f>IFERROR(__xludf.DUMMYFUNCTION("""COMPUTED_VALUE"""),"LISTICLE")</f>
        <v>LISTICLE</v>
      </c>
      <c r="E902" s="11" t="str">
        <f>IFERROR(__xludf.DUMMYFUNCTION("""COMPUTED_VALUE"""),"COMPETITOR")</f>
        <v>COMPETITOR</v>
      </c>
      <c r="F902" s="11" t="str">
        <f>IFERROR(__xludf.DUMMYFUNCTION("""COMPUTED_VALUE"""),"Listicle")</f>
        <v>Listicle</v>
      </c>
      <c r="G902" s="11" t="b">
        <f>IFERROR(__xludf.DUMMYFUNCTION("""COMPUTED_VALUE"""),FALSE)</f>
        <v>0</v>
      </c>
      <c r="H902" s="11" t="str">
        <f>IFERROR(__xludf.DUMMYFUNCTION("""COMPUTED_VALUE"""),"Thrive Internet Marketing Agency, Go Fish Digital, Momentum")</f>
        <v>Thrive Internet Marketing Agency, Go Fish Digital, Momentum</v>
      </c>
      <c r="I902" s="11">
        <f>IFERROR(__xludf.DUMMYFUNCTION("""COMPUTED_VALUE"""),1.0)</f>
        <v>1</v>
      </c>
      <c r="J902" s="11">
        <f>IFERROR(__xludf.DUMMYFUNCTION("""COMPUTED_VALUE"""),0.0)</f>
        <v>0</v>
      </c>
      <c r="K902" s="11">
        <f>IFERROR(__xludf.DUMMYFUNCTION("""COMPUTED_VALUE"""),1.0)</f>
        <v>1</v>
      </c>
    </row>
    <row r="903" ht="15.75" customHeight="1">
      <c r="A903" s="10" t="str">
        <f>IFERROR(__xludf.DUMMYFUNCTION("""COMPUTED_VALUE"""),"https://thriveagency.com/news/best-social-media-marketing-companies/")</f>
        <v>https://thriveagency.com/news/best-social-media-marketing-companies/</v>
      </c>
      <c r="B903" s="11" t="str">
        <f>IFERROR(__xludf.DUMMYFUNCTION("""COMPUTED_VALUE"""),"19 Best Social Media Marketing Companies in 2026 | Thrive")</f>
        <v>19 Best Social Media Marketing Companies in 2026 | Thrive</v>
      </c>
      <c r="C903" s="10" t="str">
        <f>IFERROR(__xludf.DUMMYFUNCTION("""COMPUTED_VALUE"""),"thriveagency.com")</f>
        <v>thriveagency.com</v>
      </c>
      <c r="D903" s="11" t="str">
        <f>IFERROR(__xludf.DUMMYFUNCTION("""COMPUTED_VALUE"""),"LISTICLE")</f>
        <v>LISTICLE</v>
      </c>
      <c r="E903" s="11" t="str">
        <f>IFERROR(__xludf.DUMMYFUNCTION("""COMPUTED_VALUE"""),"COMPETITOR")</f>
        <v>COMPETITOR</v>
      </c>
      <c r="F903" s="11" t="str">
        <f>IFERROR(__xludf.DUMMYFUNCTION("""COMPUTED_VALUE"""),"Listicle")</f>
        <v>Listicle</v>
      </c>
      <c r="G903" s="11" t="b">
        <f>IFERROR(__xludf.DUMMYFUNCTION("""COMPUTED_VALUE"""),FALSE)</f>
        <v>0</v>
      </c>
      <c r="H903" s="11" t="str">
        <f>IFERROR(__xludf.DUMMYFUNCTION("""COMPUTED_VALUE"""),"Thrive Internet Marketing Agency, Sociallyin, KlientBoost, Power Digital, Hawke Media, Clutch")</f>
        <v>Thrive Internet Marketing Agency, Sociallyin, KlientBoost, Power Digital, Hawke Media, Clutch</v>
      </c>
      <c r="I903" s="11">
        <f>IFERROR(__xludf.DUMMYFUNCTION("""COMPUTED_VALUE"""),1.0)</f>
        <v>1</v>
      </c>
      <c r="J903" s="11">
        <f>IFERROR(__xludf.DUMMYFUNCTION("""COMPUTED_VALUE"""),0.0)</f>
        <v>0</v>
      </c>
      <c r="K903" s="11">
        <f>IFERROR(__xludf.DUMMYFUNCTION("""COMPUTED_VALUE"""),1.0)</f>
        <v>1</v>
      </c>
    </row>
    <row r="904" ht="15.75" customHeight="1">
      <c r="A904" s="10" t="str">
        <f>IFERROR(__xludf.DUMMYFUNCTION("""COMPUTED_VALUE"""),"https://trailblazermktg.com/blog/best-seo-agency-in-the-usa#:~:text=They%20operate%20in%2015%2B%20languages,around%20content%20and%20authority%20signals.")</f>
        <v>https://trailblazermktg.com/blog/best-seo-agency-in-the-usa#:~:text=They%20operate%20in%2015%2B%20languages,around%20content%20and%20authority%20signals.</v>
      </c>
      <c r="B904" s="11" t="str">
        <f>IFERROR(__xludf.DUMMYFUNCTION("""COMPUTED_VALUE"""),"42 Best SEO Agencies in the USA in 2026 to Grow Traffic &amp;amp; Revenue - Trailblazer")</f>
        <v>42 Best SEO Agencies in the USA in 2026 to Grow Traffic &amp;amp; Revenue - Trailblazer</v>
      </c>
      <c r="C904" s="10" t="str">
        <f>IFERROR(__xludf.DUMMYFUNCTION("""COMPUTED_VALUE"""),"trailblazermktg.com")</f>
        <v>trailblazermktg.com</v>
      </c>
      <c r="D904" s="11" t="str">
        <f>IFERROR(__xludf.DUMMYFUNCTION("""COMPUTED_VALUE"""),"LISTICLE")</f>
        <v>LISTICLE</v>
      </c>
      <c r="E904" s="11" t="str">
        <f>IFERROR(__xludf.DUMMYFUNCTION("""COMPUTED_VALUE"""),"CORPORATE")</f>
        <v>CORPORATE</v>
      </c>
      <c r="F904" s="11" t="str">
        <f>IFERROR(__xludf.DUMMYFUNCTION("""COMPUTED_VALUE"""),"Listicle")</f>
        <v>Listicle</v>
      </c>
      <c r="G904" s="11" t="b">
        <f>IFERROR(__xludf.DUMMYFUNCTION("""COMPUTED_VALUE"""),FALSE)</f>
        <v>0</v>
      </c>
      <c r="H904" s="11" t="str">
        <f>IFERROR(__xludf.DUMMYFUNCTION("""COMPUTED_VALUE"""),"Momentum, WebFX, Clutch, First Page Sage, Victorious, Thrive Internet Marketing Agency, Ignite Visibility, SmartSites, LYFE Marketing, NinjaPromo, Storm Brain, Go Fish Digital, Funnel Boost Media, KlientBoost, Major Tom, Searchbloom, Directive, Siege Medi"&amp;"a")</f>
        <v>Momentum, WebFX, Clutch, First Page Sage, Victorious, Thrive Internet Marketing Agency, Ignite Visibility, SmartSites, LYFE Marketing, NinjaPromo, Storm Brain, Go Fish Digital, Funnel Boost Media, KlientBoost, Major Tom, Searchbloom, Directive, Siege Media</v>
      </c>
      <c r="I904" s="11">
        <f>IFERROR(__xludf.DUMMYFUNCTION("""COMPUTED_VALUE"""),1.0)</f>
        <v>1</v>
      </c>
      <c r="J904" s="11">
        <f>IFERROR(__xludf.DUMMYFUNCTION("""COMPUTED_VALUE"""),0.0)</f>
        <v>0</v>
      </c>
      <c r="K904" s="11">
        <f>IFERROR(__xludf.DUMMYFUNCTION("""COMPUTED_VALUE"""),1.0)</f>
        <v>1</v>
      </c>
    </row>
    <row r="905" ht="15.75" customHeight="1">
      <c r="A905" s="10" t="str">
        <f>IFERROR(__xludf.DUMMYFUNCTION("""COMPUTED_VALUE"""),"https://tribetronics.com/blog/top-ai-marketing-agencies-in-usa")</f>
        <v>https://tribetronics.com/blog/top-ai-marketing-agencies-in-usa</v>
      </c>
      <c r="B905" s="11" t="str">
        <f>IFERROR(__xludf.DUMMYFUNCTION("""COMPUTED_VALUE"""),"Top AI Marketing Agencies in USA | Tribetronics")</f>
        <v>Top AI Marketing Agencies in USA | Tribetronics</v>
      </c>
      <c r="C905" s="10" t="str">
        <f>IFERROR(__xludf.DUMMYFUNCTION("""COMPUTED_VALUE"""),"tribetronics.com")</f>
        <v>tribetronics.com</v>
      </c>
      <c r="D905" s="11" t="str">
        <f>IFERROR(__xludf.DUMMYFUNCTION("""COMPUTED_VALUE"""),"LISTICLE")</f>
        <v>LISTICLE</v>
      </c>
      <c r="E905" s="11" t="str">
        <f>IFERROR(__xludf.DUMMYFUNCTION("""COMPUTED_VALUE"""),"CORPORATE")</f>
        <v>CORPORATE</v>
      </c>
      <c r="F905" s="11" t="str">
        <f>IFERROR(__xludf.DUMMYFUNCTION("""COMPUTED_VALUE"""),"Listicle")</f>
        <v>Listicle</v>
      </c>
      <c r="G905" s="11" t="b">
        <f>IFERROR(__xludf.DUMMYFUNCTION("""COMPUTED_VALUE"""),FALSE)</f>
        <v>0</v>
      </c>
      <c r="H905" s="11"/>
      <c r="I905" s="11">
        <f>IFERROR(__xludf.DUMMYFUNCTION("""COMPUTED_VALUE"""),1.0)</f>
        <v>1</v>
      </c>
      <c r="J905" s="11">
        <f>IFERROR(__xludf.DUMMYFUNCTION("""COMPUTED_VALUE"""),0.0)</f>
        <v>0</v>
      </c>
      <c r="K905" s="11">
        <f>IFERROR(__xludf.DUMMYFUNCTION("""COMPUTED_VALUE"""),1.0)</f>
        <v>1</v>
      </c>
    </row>
    <row r="906" ht="15.75" customHeight="1">
      <c r="A906" s="10" t="str">
        <f>IFERROR(__xludf.DUMMYFUNCTION("""COMPUTED_VALUE"""),"https://www.tripledart.com/ai-marketing/ai-marketing-agencies")</f>
        <v>https://www.tripledart.com/ai-marketing/ai-marketing-agencies</v>
      </c>
      <c r="B906" s="11" t="str">
        <f>IFERROR(__xludf.DUMMYFUNCTION("""COMPUTED_VALUE"""),"7 Best B2B AI Marketing Agencies for 2026")</f>
        <v>7 Best B2B AI Marketing Agencies for 2026</v>
      </c>
      <c r="C906" s="10" t="str">
        <f>IFERROR(__xludf.DUMMYFUNCTION("""COMPUTED_VALUE"""),"tripledart.com")</f>
        <v>tripledart.com</v>
      </c>
      <c r="D906" s="11" t="str">
        <f>IFERROR(__xludf.DUMMYFUNCTION("""COMPUTED_VALUE"""),"LISTICLE")</f>
        <v>LISTICLE</v>
      </c>
      <c r="E906" s="11" t="str">
        <f>IFERROR(__xludf.DUMMYFUNCTION("""COMPUTED_VALUE"""),"OTHER")</f>
        <v>OTHER</v>
      </c>
      <c r="F906" s="11" t="str">
        <f>IFERROR(__xludf.DUMMYFUNCTION("""COMPUTED_VALUE"""),"Listicle")</f>
        <v>Listicle</v>
      </c>
      <c r="G906" s="11" t="b">
        <f>IFERROR(__xludf.DUMMYFUNCTION("""COMPUTED_VALUE"""),FALSE)</f>
        <v>0</v>
      </c>
      <c r="H906" s="11" t="str">
        <f>IFERROR(__xludf.DUMMYFUNCTION("""COMPUTED_VALUE"""),"Single Grain, NoGood, Major Tom, Clutch, Croud")</f>
        <v>Single Grain, NoGood, Major Tom, Clutch, Croud</v>
      </c>
      <c r="I906" s="11">
        <f>IFERROR(__xludf.DUMMYFUNCTION("""COMPUTED_VALUE"""),1.0)</f>
        <v>1</v>
      </c>
      <c r="J906" s="11">
        <f>IFERROR(__xludf.DUMMYFUNCTION("""COMPUTED_VALUE"""),0.0)</f>
        <v>0</v>
      </c>
      <c r="K906" s="11">
        <f>IFERROR(__xludf.DUMMYFUNCTION("""COMPUTED_VALUE"""),1.0)</f>
        <v>1</v>
      </c>
    </row>
    <row r="907" ht="15.75" customHeight="1">
      <c r="A907" s="10" t="str">
        <f>IFERROR(__xludf.DUMMYFUNCTION("""COMPUTED_VALUE"""),"https://www.tripledart.com/ai-seo/ai-seo-agencies")</f>
        <v>https://www.tripledart.com/ai-seo/ai-seo-agencies</v>
      </c>
      <c r="B907" s="11" t="str">
        <f>IFERROR(__xludf.DUMMYFUNCTION("""COMPUTED_VALUE"""),"Best AI SEO Agencies in 2026")</f>
        <v>Best AI SEO Agencies in 2026</v>
      </c>
      <c r="C907" s="10" t="str">
        <f>IFERROR(__xludf.DUMMYFUNCTION("""COMPUTED_VALUE"""),"tripledart.com")</f>
        <v>tripledart.com</v>
      </c>
      <c r="D907" s="11" t="str">
        <f>IFERROR(__xludf.DUMMYFUNCTION("""COMPUTED_VALUE"""),"LISTICLE")</f>
        <v>LISTICLE</v>
      </c>
      <c r="E907" s="11" t="str">
        <f>IFERROR(__xludf.DUMMYFUNCTION("""COMPUTED_VALUE"""),"OTHER")</f>
        <v>OTHER</v>
      </c>
      <c r="F907" s="11" t="str">
        <f>IFERROR(__xludf.DUMMYFUNCTION("""COMPUTED_VALUE"""),"Listicle")</f>
        <v>Listicle</v>
      </c>
      <c r="G907" s="11" t="b">
        <f>IFERROR(__xludf.DUMMYFUNCTION("""COMPUTED_VALUE"""),FALSE)</f>
        <v>0</v>
      </c>
      <c r="H907" s="11" t="str">
        <f>IFERROR(__xludf.DUMMYFUNCTION("""COMPUTED_VALUE"""),"iPullRank, First Page Sage, WebFX, NoGood, SmartSites, Omniscient Digital, Siege Media, Measured")</f>
        <v>iPullRank, First Page Sage, WebFX, NoGood, SmartSites, Omniscient Digital, Siege Media, Measured</v>
      </c>
      <c r="I907" s="11">
        <f>IFERROR(__xludf.DUMMYFUNCTION("""COMPUTED_VALUE"""),1.0)</f>
        <v>1</v>
      </c>
      <c r="J907" s="11">
        <f>IFERROR(__xludf.DUMMYFUNCTION("""COMPUTED_VALUE"""),0.0)</f>
        <v>0</v>
      </c>
      <c r="K907" s="11">
        <f>IFERROR(__xludf.DUMMYFUNCTION("""COMPUTED_VALUE"""),1.0)</f>
        <v>1</v>
      </c>
    </row>
    <row r="908" ht="15.75" customHeight="1">
      <c r="A908" s="10" t="str">
        <f>IFERROR(__xludf.DUMMYFUNCTION("""COMPUTED_VALUE"""),"https://www.tripledart.com/saas-seo/agencies")</f>
        <v>https://www.tripledart.com/saas-seo/agencies</v>
      </c>
      <c r="B908" s="11" t="str">
        <f>IFERROR(__xludf.DUMMYFUNCTION("""COMPUTED_VALUE"""),"Top SaaS SEO Agencies in 2026")</f>
        <v>Top SaaS SEO Agencies in 2026</v>
      </c>
      <c r="C908" s="10" t="str">
        <f>IFERROR(__xludf.DUMMYFUNCTION("""COMPUTED_VALUE"""),"tripledart.com")</f>
        <v>tripledart.com</v>
      </c>
      <c r="D908" s="11" t="str">
        <f>IFERROR(__xludf.DUMMYFUNCTION("""COMPUTED_VALUE"""),"LISTICLE")</f>
        <v>LISTICLE</v>
      </c>
      <c r="E908" s="11" t="str">
        <f>IFERROR(__xludf.DUMMYFUNCTION("""COMPUTED_VALUE"""),"OTHER")</f>
        <v>OTHER</v>
      </c>
      <c r="F908" s="11" t="str">
        <f>IFERROR(__xludf.DUMMYFUNCTION("""COMPUTED_VALUE"""),"Listicle")</f>
        <v>Listicle</v>
      </c>
      <c r="G908" s="11" t="b">
        <f>IFERROR(__xludf.DUMMYFUNCTION("""COMPUTED_VALUE"""),FALSE)</f>
        <v>0</v>
      </c>
      <c r="H908" s="11" t="str">
        <f>IFERROR(__xludf.DUMMYFUNCTION("""COMPUTED_VALUE"""),"Omniscient Digital, Single Grain, Directive, Optimist, Clutch, WebFX")</f>
        <v>Omniscient Digital, Single Grain, Directive, Optimist, Clutch, WebFX</v>
      </c>
      <c r="I908" s="11">
        <f>IFERROR(__xludf.DUMMYFUNCTION("""COMPUTED_VALUE"""),1.0)</f>
        <v>1</v>
      </c>
      <c r="J908" s="11">
        <f>IFERROR(__xludf.DUMMYFUNCTION("""COMPUTED_VALUE"""),0.0)</f>
        <v>0</v>
      </c>
      <c r="K908" s="11">
        <f>IFERROR(__xludf.DUMMYFUNCTION("""COMPUTED_VALUE"""),1.0)</f>
        <v>1</v>
      </c>
    </row>
    <row r="909" ht="15.75" customHeight="1">
      <c r="A909" s="10" t="str">
        <f>IFERROR(__xludf.DUMMYFUNCTION("""COMPUTED_VALUE"""),"https://www.uforocks.com/blog/20-top-marketing-agencies-in-kansas-city-for-impressive-business-growth/")</f>
        <v>https://www.uforocks.com/blog/20-top-marketing-agencies-in-kansas-city-for-impressive-business-growth/</v>
      </c>
      <c r="B909" s="11" t="str">
        <f>IFERROR(__xludf.DUMMYFUNCTION("""COMPUTED_VALUE"""),"20 Top Marketing Agencies in Kansas City for Impressive Business Growth - UFO Digital Marketing Agency")</f>
        <v>20 Top Marketing Agencies in Kansas City for Impressive Business Growth - UFO Digital Marketing Agency</v>
      </c>
      <c r="C909" s="10" t="str">
        <f>IFERROR(__xludf.DUMMYFUNCTION("""COMPUTED_VALUE"""),"uforocks.com")</f>
        <v>uforocks.com</v>
      </c>
      <c r="D909" s="11" t="str">
        <f>IFERROR(__xludf.DUMMYFUNCTION("""COMPUTED_VALUE"""),"LISTICLE")</f>
        <v>LISTICLE</v>
      </c>
      <c r="E909" s="11" t="str">
        <f>IFERROR(__xludf.DUMMYFUNCTION("""COMPUTED_VALUE"""),"CORPORATE")</f>
        <v>CORPORATE</v>
      </c>
      <c r="F909" s="11" t="str">
        <f>IFERROR(__xludf.DUMMYFUNCTION("""COMPUTED_VALUE"""),"Listicle")</f>
        <v>Listicle</v>
      </c>
      <c r="G909" s="11" t="b">
        <f>IFERROR(__xludf.DUMMYFUNCTION("""COMPUTED_VALUE"""),FALSE)</f>
        <v>0</v>
      </c>
      <c r="H909" s="11"/>
      <c r="I909" s="11">
        <f>IFERROR(__xludf.DUMMYFUNCTION("""COMPUTED_VALUE"""),1.0)</f>
        <v>1</v>
      </c>
      <c r="J909" s="11">
        <f>IFERROR(__xludf.DUMMYFUNCTION("""COMPUTED_VALUE"""),0.0)</f>
        <v>0</v>
      </c>
      <c r="K909" s="11">
        <f>IFERROR(__xludf.DUMMYFUNCTION("""COMPUTED_VALUE"""),0.0)</f>
        <v>0</v>
      </c>
    </row>
    <row r="910" ht="15.75" customHeight="1">
      <c r="A910" s="10" t="str">
        <f>IFERROR(__xludf.DUMMYFUNCTION("""COMPUTED_VALUE"""),"https://ugcengine.ai/blog/best-aeo-agencies")</f>
        <v>https://ugcengine.ai/blog/best-aeo-agencies</v>
      </c>
      <c r="B910" s="11" t="str">
        <f>IFERROR(__xludf.DUMMYFUNCTION("""COMPUTED_VALUE"""),"Best AEO Agencies in 2026: 9 Top Firms for AI Search Visibility")</f>
        <v>Best AEO Agencies in 2026: 9 Top Firms for AI Search Visibility</v>
      </c>
      <c r="C910" s="10" t="str">
        <f>IFERROR(__xludf.DUMMYFUNCTION("""COMPUTED_VALUE"""),"ugcengine.ai")</f>
        <v>ugcengine.ai</v>
      </c>
      <c r="D910" s="11" t="str">
        <f>IFERROR(__xludf.DUMMYFUNCTION("""COMPUTED_VALUE"""),"LISTICLE")</f>
        <v>LISTICLE</v>
      </c>
      <c r="E910" s="11" t="str">
        <f>IFERROR(__xludf.DUMMYFUNCTION("""COMPUTED_VALUE"""),"CORPORATE")</f>
        <v>CORPORATE</v>
      </c>
      <c r="F910" s="11" t="str">
        <f>IFERROR(__xludf.DUMMYFUNCTION("""COMPUTED_VALUE"""),"Listicle")</f>
        <v>Listicle</v>
      </c>
      <c r="G910" s="11" t="b">
        <f>IFERROR(__xludf.DUMMYFUNCTION("""COMPUTED_VALUE"""),FALSE)</f>
        <v>0</v>
      </c>
      <c r="H910" s="11" t="str">
        <f>IFERROR(__xludf.DUMMYFUNCTION("""COMPUTED_VALUE"""),"NoGood, iPullRank, Animalz, Omniscient Digital, Graphite, First Page Sage, Amsive, Momentum")</f>
        <v>NoGood, iPullRank, Animalz, Omniscient Digital, Graphite, First Page Sage, Amsive, Momentum</v>
      </c>
      <c r="I910" s="11">
        <f>IFERROR(__xludf.DUMMYFUNCTION("""COMPUTED_VALUE"""),1.0)</f>
        <v>1</v>
      </c>
      <c r="J910" s="11">
        <f>IFERROR(__xludf.DUMMYFUNCTION("""COMPUTED_VALUE"""),0.0)</f>
        <v>0</v>
      </c>
      <c r="K910" s="11">
        <f>IFERROR(__xludf.DUMMYFUNCTION("""COMPUTED_VALUE"""),1.0)</f>
        <v>1</v>
      </c>
    </row>
    <row r="911" ht="15.75" customHeight="1">
      <c r="A911" s="10" t="str">
        <f>IFERROR(__xludf.DUMMYFUNCTION("""COMPUTED_VALUE"""),"https://uitop.design/blog/design/b2b-design-agency/")</f>
        <v>https://uitop.design/blog/design/b2b-design-agency/</v>
      </c>
      <c r="B911" s="11" t="str">
        <f>IFERROR(__xludf.DUMMYFUNCTION("""COMPUTED_VALUE"""),"TOP-5 B2B Design Agencies in 2025 | UITOP")</f>
        <v>TOP-5 B2B Design Agencies in 2025 | UITOP</v>
      </c>
      <c r="C911" s="11" t="str">
        <f>IFERROR(__xludf.DUMMYFUNCTION("""COMPUTED_VALUE"""),"uitop.design")</f>
        <v>uitop.design</v>
      </c>
      <c r="D911" s="11" t="str">
        <f>IFERROR(__xludf.DUMMYFUNCTION("""COMPUTED_VALUE"""),"LISTICLE")</f>
        <v>LISTICLE</v>
      </c>
      <c r="E911" s="11" t="str">
        <f>IFERROR(__xludf.DUMMYFUNCTION("""COMPUTED_VALUE"""),"CORPORATE")</f>
        <v>CORPORATE</v>
      </c>
      <c r="F911" s="11" t="str">
        <f>IFERROR(__xludf.DUMMYFUNCTION("""COMPUTED_VALUE"""),"Listicle")</f>
        <v>Listicle</v>
      </c>
      <c r="G911" s="11" t="b">
        <f>IFERROR(__xludf.DUMMYFUNCTION("""COMPUTED_VALUE"""),FALSE)</f>
        <v>0</v>
      </c>
      <c r="H911" s="11" t="str">
        <f>IFERROR(__xludf.DUMMYFUNCTION("""COMPUTED_VALUE"""),"Clay, Pentagram, Clutch")</f>
        <v>Clay, Pentagram, Clutch</v>
      </c>
      <c r="I911" s="11">
        <f>IFERROR(__xludf.DUMMYFUNCTION("""COMPUTED_VALUE"""),1.0)</f>
        <v>1</v>
      </c>
      <c r="J911" s="11">
        <f>IFERROR(__xludf.DUMMYFUNCTION("""COMPUTED_VALUE"""),0.0)</f>
        <v>0</v>
      </c>
      <c r="K911" s="11">
        <f>IFERROR(__xludf.DUMMYFUNCTION("""COMPUTED_VALUE"""),1.0)</f>
        <v>1</v>
      </c>
    </row>
    <row r="912" ht="15.75" customHeight="1">
      <c r="A912" s="10" t="str">
        <f>IFERROR(__xludf.DUMMYFUNCTION("""COMPUTED_VALUE"""),"https://www.usekaya.com/blog/b2b-marketing-agencies-for-ads")</f>
        <v>https://www.usekaya.com/blog/b2b-marketing-agencies-for-ads</v>
      </c>
      <c r="B912" s="11" t="str">
        <f>IFERROR(__xludf.DUMMYFUNCTION("""COMPUTED_VALUE"""),"Top B2B Marketing Agencies for Paid Ads in 2025 \| Kaya")</f>
        <v>Top B2B Marketing Agencies for Paid Ads in 2025 \| Kaya</v>
      </c>
      <c r="C912" s="10" t="str">
        <f>IFERROR(__xludf.DUMMYFUNCTION("""COMPUTED_VALUE"""),"usekaya.com")</f>
        <v>usekaya.com</v>
      </c>
      <c r="D912" s="11" t="str">
        <f>IFERROR(__xludf.DUMMYFUNCTION("""COMPUTED_VALUE"""),"LISTICLE")</f>
        <v>LISTICLE</v>
      </c>
      <c r="E912" s="11" t="str">
        <f>IFERROR(__xludf.DUMMYFUNCTION("""COMPUTED_VALUE"""),"OTHER")</f>
        <v>OTHER</v>
      </c>
      <c r="F912" s="11" t="str">
        <f>IFERROR(__xludf.DUMMYFUNCTION("""COMPUTED_VALUE"""),"Listicle")</f>
        <v>Listicle</v>
      </c>
      <c r="G912" s="11" t="b">
        <f>IFERROR(__xludf.DUMMYFUNCTION("""COMPUTED_VALUE"""),FALSE)</f>
        <v>0</v>
      </c>
      <c r="H912" s="11" t="str">
        <f>IFERROR(__xludf.DUMMYFUNCTION("""COMPUTED_VALUE"""),"Directive, WebFX, KlientBoost, Single Grain, Hey Digital, Metric Theory, Brainlabs, Measured, Huge")</f>
        <v>Directive, WebFX, KlientBoost, Single Grain, Hey Digital, Metric Theory, Brainlabs, Measured, Huge</v>
      </c>
      <c r="I912" s="11">
        <f>IFERROR(__xludf.DUMMYFUNCTION("""COMPUTED_VALUE"""),1.0)</f>
        <v>1</v>
      </c>
      <c r="J912" s="11">
        <f>IFERROR(__xludf.DUMMYFUNCTION("""COMPUTED_VALUE"""),0.0)</f>
        <v>0</v>
      </c>
      <c r="K912" s="11">
        <f>IFERROR(__xludf.DUMMYFUNCTION("""COMPUTED_VALUE"""),1.0)</f>
        <v>1</v>
      </c>
    </row>
    <row r="913" ht="15.75" customHeight="1">
      <c r="A913" s="10" t="str">
        <f>IFERROR(__xludf.DUMMYFUNCTION("""COMPUTED_VALUE"""),"https://usermaven.com/blog/marketing-attribution-tools")</f>
        <v>https://usermaven.com/blog/marketing-attribution-tools</v>
      </c>
      <c r="B913" s="11" t="str">
        <f>IFERROR(__xludf.DUMMYFUNCTION("""COMPUTED_VALUE"""),"15 best marketing attribution tools (compared for 2026)")</f>
        <v>15 best marketing attribution tools (compared for 2026)</v>
      </c>
      <c r="C913" s="10" t="str">
        <f>IFERROR(__xludf.DUMMYFUNCTION("""COMPUTED_VALUE"""),"usermaven.com")</f>
        <v>usermaven.com</v>
      </c>
      <c r="D913" s="11" t="str">
        <f>IFERROR(__xludf.DUMMYFUNCTION("""COMPUTED_VALUE"""),"LISTICLE")</f>
        <v>LISTICLE</v>
      </c>
      <c r="E913" s="11" t="str">
        <f>IFERROR(__xludf.DUMMYFUNCTION("""COMPUTED_VALUE"""),"CORPORATE")</f>
        <v>CORPORATE</v>
      </c>
      <c r="F913" s="11" t="str">
        <f>IFERROR(__xludf.DUMMYFUNCTION("""COMPUTED_VALUE"""),"Listicle")</f>
        <v>Listicle</v>
      </c>
      <c r="G913" s="11" t="b">
        <f>IFERROR(__xludf.DUMMYFUNCTION("""COMPUTED_VALUE"""),FALSE)</f>
        <v>0</v>
      </c>
      <c r="H913" s="11" t="str">
        <f>IFERROR(__xludf.DUMMYFUNCTION("""COMPUTED_VALUE"""),"HockeyStack, Triple Whale, Cometly, Rockerbox, Measured, Ruler Analytics, Northbeam")</f>
        <v>HockeyStack, Triple Whale, Cometly, Rockerbox, Measured, Ruler Analytics, Northbeam</v>
      </c>
      <c r="I913" s="11">
        <f>IFERROR(__xludf.DUMMYFUNCTION("""COMPUTED_VALUE"""),1.0)</f>
        <v>1</v>
      </c>
      <c r="J913" s="11">
        <f>IFERROR(__xludf.DUMMYFUNCTION("""COMPUTED_VALUE"""),0.0)</f>
        <v>0</v>
      </c>
      <c r="K913" s="11">
        <f>IFERROR(__xludf.DUMMYFUNCTION("""COMPUTED_VALUE"""),1.0)</f>
        <v>1</v>
      </c>
    </row>
    <row r="914" ht="15.75" customHeight="1">
      <c r="A914" s="10" t="str">
        <f>IFERROR(__xludf.DUMMYFUNCTION("""COMPUTED_VALUE"""),"https://vibebranding.com/blog/best-performance-marketing-agencies/")</f>
        <v>https://vibebranding.com/blog/best-performance-marketing-agencies/</v>
      </c>
      <c r="B914" s="11" t="str">
        <f>IFERROR(__xludf.DUMMYFUNCTION("""COMPUTED_VALUE"""),"Best Performance Marketing Agencies for ROI Growth 2025")</f>
        <v>Best Performance Marketing Agencies for ROI Growth 2025</v>
      </c>
      <c r="C914" s="10" t="str">
        <f>IFERROR(__xludf.DUMMYFUNCTION("""COMPUTED_VALUE"""),"vibebranding.com")</f>
        <v>vibebranding.com</v>
      </c>
      <c r="D914" s="11" t="str">
        <f>IFERROR(__xludf.DUMMYFUNCTION("""COMPUTED_VALUE"""),"LISTICLE")</f>
        <v>LISTICLE</v>
      </c>
      <c r="E914" s="11" t="str">
        <f>IFERROR(__xludf.DUMMYFUNCTION("""COMPUTED_VALUE"""),"CORPORATE")</f>
        <v>CORPORATE</v>
      </c>
      <c r="F914" s="11" t="str">
        <f>IFERROR(__xludf.DUMMYFUNCTION("""COMPUTED_VALUE"""),"Listicle")</f>
        <v>Listicle</v>
      </c>
      <c r="G914" s="11" t="b">
        <f>IFERROR(__xludf.DUMMYFUNCTION("""COMPUTED_VALUE"""),FALSE)</f>
        <v>0</v>
      </c>
      <c r="H914" s="11" t="str">
        <f>IFERROR(__xludf.DUMMYFUNCTION("""COMPUTED_VALUE"""),"Momentum, Clutch")</f>
        <v>Momentum, Clutch</v>
      </c>
      <c r="I914" s="11">
        <f>IFERROR(__xludf.DUMMYFUNCTION("""COMPUTED_VALUE"""),1.0)</f>
        <v>1</v>
      </c>
      <c r="J914" s="11">
        <f>IFERROR(__xludf.DUMMYFUNCTION("""COMPUTED_VALUE"""),0.0)</f>
        <v>0</v>
      </c>
      <c r="K914" s="11">
        <f>IFERROR(__xludf.DUMMYFUNCTION("""COMPUTED_VALUE"""),0.0)</f>
        <v>0</v>
      </c>
    </row>
    <row r="915" ht="15.75" customHeight="1">
      <c r="A915" s="10" t="str">
        <f>IFERROR(__xludf.DUMMYFUNCTION("""COMPUTED_VALUE"""),"https://vidi-corp.com/ecommerce-analytics-companies/")</f>
        <v>https://vidi-corp.com/ecommerce-analytics-companies/</v>
      </c>
      <c r="B915" s="11" t="str">
        <f>IFERROR(__xludf.DUMMYFUNCTION("""COMPUTED_VALUE"""),"Top 10 Ecommerce Analytics Companies For Data-Driven Growth")</f>
        <v>Top 10 Ecommerce Analytics Companies For Data-Driven Growth</v>
      </c>
      <c r="C915" s="10" t="str">
        <f>IFERROR(__xludf.DUMMYFUNCTION("""COMPUTED_VALUE"""),"vidi-corp.com")</f>
        <v>vidi-corp.com</v>
      </c>
      <c r="D915" s="11" t="str">
        <f>IFERROR(__xludf.DUMMYFUNCTION("""COMPUTED_VALUE"""),"LISTICLE")</f>
        <v>LISTICLE</v>
      </c>
      <c r="E915" s="11" t="str">
        <f>IFERROR(__xludf.DUMMYFUNCTION("""COMPUTED_VALUE"""),"CORPORATE")</f>
        <v>CORPORATE</v>
      </c>
      <c r="F915" s="11" t="str">
        <f>IFERROR(__xludf.DUMMYFUNCTION("""COMPUTED_VALUE"""),"Listicle")</f>
        <v>Listicle</v>
      </c>
      <c r="G915" s="11" t="b">
        <f>IFERROR(__xludf.DUMMYFUNCTION("""COMPUTED_VALUE"""),FALSE)</f>
        <v>0</v>
      </c>
      <c r="H915" s="11" t="str">
        <f>IFERROR(__xludf.DUMMYFUNCTION("""COMPUTED_VALUE"""),"Fractal Analytics, Artefact")</f>
        <v>Fractal Analytics, Artefact</v>
      </c>
      <c r="I915" s="11">
        <f>IFERROR(__xludf.DUMMYFUNCTION("""COMPUTED_VALUE"""),1.0)</f>
        <v>1</v>
      </c>
      <c r="J915" s="11">
        <f>IFERROR(__xludf.DUMMYFUNCTION("""COMPUTED_VALUE"""),0.0)</f>
        <v>0</v>
      </c>
      <c r="K915" s="11">
        <f>IFERROR(__xludf.DUMMYFUNCTION("""COMPUTED_VALUE"""),1.0)</f>
        <v>1</v>
      </c>
    </row>
    <row r="916" ht="15.75" customHeight="1">
      <c r="A916" s="10" t="str">
        <f>IFERROR(__xludf.DUMMYFUNCTION("""COMPUTED_VALUE"""),"https://vidico.com/news/creative-advertising-agencies/")</f>
        <v>https://vidico.com/news/creative-advertising-agencies/</v>
      </c>
      <c r="B916" s="11" t="str">
        <f>IFERROR(__xludf.DUMMYFUNCTION("""COMPUTED_VALUE"""),"15 Best Creative Advertising Agencies in 2026 (Complete Guide)")</f>
        <v>15 Best Creative Advertising Agencies in 2026 (Complete Guide)</v>
      </c>
      <c r="C916" s="10" t="str">
        <f>IFERROR(__xludf.DUMMYFUNCTION("""COMPUTED_VALUE"""),"vidico.com")</f>
        <v>vidico.com</v>
      </c>
      <c r="D916" s="11" t="str">
        <f>IFERROR(__xludf.DUMMYFUNCTION("""COMPUTED_VALUE"""),"LISTICLE")</f>
        <v>LISTICLE</v>
      </c>
      <c r="E916" s="11" t="str">
        <f>IFERROR(__xludf.DUMMYFUNCTION("""COMPUTED_VALUE"""),"CORPORATE")</f>
        <v>CORPORATE</v>
      </c>
      <c r="F916" s="11" t="str">
        <f>IFERROR(__xludf.DUMMYFUNCTION("""COMPUTED_VALUE"""),"Listicle")</f>
        <v>Listicle</v>
      </c>
      <c r="G916" s="11" t="b">
        <f>IFERROR(__xludf.DUMMYFUNCTION("""COMPUTED_VALUE"""),FALSE)</f>
        <v>0</v>
      </c>
      <c r="H916" s="11" t="str">
        <f>IFERROR(__xludf.DUMMYFUNCTION("""COMPUTED_VALUE"""),"Wieden+Kennedy, Ogilvy, Superside, Giant Spoon, IBM, WPP, Measured, Droga5, Accenture Song, Publicis Groupe, Dentsu, VML, BBDO, Kantar")</f>
        <v>Wieden+Kennedy, Ogilvy, Superside, Giant Spoon, IBM, WPP, Measured, Droga5, Accenture Song, Publicis Groupe, Dentsu, VML, BBDO, Kantar</v>
      </c>
      <c r="I916" s="11">
        <f>IFERROR(__xludf.DUMMYFUNCTION("""COMPUTED_VALUE"""),1.0)</f>
        <v>1</v>
      </c>
      <c r="J916" s="11">
        <f>IFERROR(__xludf.DUMMYFUNCTION("""COMPUTED_VALUE"""),0.0)</f>
        <v>0</v>
      </c>
      <c r="K916" s="11">
        <f>IFERROR(__xludf.DUMMYFUNCTION("""COMPUTED_VALUE"""),0.0)</f>
        <v>0</v>
      </c>
    </row>
    <row r="917" ht="15.75" customHeight="1">
      <c r="A917" s="10" t="str">
        <f>IFERROR(__xludf.DUMMYFUNCTION("""COMPUTED_VALUE"""),"https://vietnammarcom.edu.vn/marketing/best-digital-marketing-agencies-winning-projects-around-the-world/")</f>
        <v>https://vietnammarcom.edu.vn/marketing/best-digital-marketing-agencies-winning-projects-around-the-world/</v>
      </c>
      <c r="B917" s="11" t="str">
        <f>IFERROR(__xludf.DUMMYFUNCTION("""COMPUTED_VALUE"""),"Best Digital Marketing Agencies Winning Projects Around The World - VietnamMarcom")</f>
        <v>Best Digital Marketing Agencies Winning Projects Around The World - VietnamMarcom</v>
      </c>
      <c r="C917" s="10" t="str">
        <f>IFERROR(__xludf.DUMMYFUNCTION("""COMPUTED_VALUE"""),"vietnammarcom.edu.vn")</f>
        <v>vietnammarcom.edu.vn</v>
      </c>
      <c r="D917" s="11" t="str">
        <f>IFERROR(__xludf.DUMMYFUNCTION("""COMPUTED_VALUE"""),"LISTICLE")</f>
        <v>LISTICLE</v>
      </c>
      <c r="E917" s="11" t="str">
        <f>IFERROR(__xludf.DUMMYFUNCTION("""COMPUTED_VALUE"""),"INSTITUTIONAL")</f>
        <v>INSTITUTIONAL</v>
      </c>
      <c r="F917" s="11" t="str">
        <f>IFERROR(__xludf.DUMMYFUNCTION("""COMPUTED_VALUE"""),"Listicle")</f>
        <v>Listicle</v>
      </c>
      <c r="G917" s="11" t="b">
        <f>IFERROR(__xludf.DUMMYFUNCTION("""COMPUTED_VALUE"""),FALSE)</f>
        <v>0</v>
      </c>
      <c r="H917" s="11" t="str">
        <f>IFERROR(__xludf.DUMMYFUNCTION("""COMPUTED_VALUE"""),"WebFX, Disruptive Advertising, NoGood, Directive")</f>
        <v>WebFX, Disruptive Advertising, NoGood, Directive</v>
      </c>
      <c r="I917" s="11">
        <f>IFERROR(__xludf.DUMMYFUNCTION("""COMPUTED_VALUE"""),1.0)</f>
        <v>1</v>
      </c>
      <c r="J917" s="11">
        <f>IFERROR(__xludf.DUMMYFUNCTION("""COMPUTED_VALUE"""),0.0)</f>
        <v>0</v>
      </c>
      <c r="K917" s="11">
        <f>IFERROR(__xludf.DUMMYFUNCTION("""COMPUTED_VALUE"""),1.0)</f>
        <v>1</v>
      </c>
    </row>
    <row r="918" ht="15.75" customHeight="1">
      <c r="A918" s="10" t="str">
        <f>IFERROR(__xludf.DUMMYFUNCTION("""COMPUTED_VALUE"""),"https://virtualadagency.com.au/top-digital-advertising-agencies/")</f>
        <v>https://virtualadagency.com.au/top-digital-advertising-agencies/</v>
      </c>
      <c r="B918" s="11" t="str">
        <f>IFERROR(__xludf.DUMMYFUNCTION("""COMPUTED_VALUE"""),"7 Top Digital Advertising Agencies in Australia (2025 Guide)")</f>
        <v>7 Top Digital Advertising Agencies in Australia (2025 Guide)</v>
      </c>
      <c r="C918" s="10" t="str">
        <f>IFERROR(__xludf.DUMMYFUNCTION("""COMPUTED_VALUE"""),"virtualadagency.com.au")</f>
        <v>virtualadagency.com.au</v>
      </c>
      <c r="D918" s="11" t="str">
        <f>IFERROR(__xludf.DUMMYFUNCTION("""COMPUTED_VALUE"""),"LISTICLE")</f>
        <v>LISTICLE</v>
      </c>
      <c r="E918" s="11" t="str">
        <f>IFERROR(__xludf.DUMMYFUNCTION("""COMPUTED_VALUE"""),"CORPORATE")</f>
        <v>CORPORATE</v>
      </c>
      <c r="F918" s="11" t="str">
        <f>IFERROR(__xludf.DUMMYFUNCTION("""COMPUTED_VALUE"""),"Listicle")</f>
        <v>Listicle</v>
      </c>
      <c r="G918" s="11" t="b">
        <f>IFERROR(__xludf.DUMMYFUNCTION("""COMPUTED_VALUE"""),FALSE)</f>
        <v>0</v>
      </c>
      <c r="H918" s="11" t="str">
        <f>IFERROR(__xludf.DUMMYFUNCTION("""COMPUTED_VALUE"""),"Clutch")</f>
        <v>Clutch</v>
      </c>
      <c r="I918" s="11">
        <f>IFERROR(__xludf.DUMMYFUNCTION("""COMPUTED_VALUE"""),1.0)</f>
        <v>1</v>
      </c>
      <c r="J918" s="11">
        <f>IFERROR(__xludf.DUMMYFUNCTION("""COMPUTED_VALUE"""),0.0)</f>
        <v>0</v>
      </c>
      <c r="K918" s="11">
        <f>IFERROR(__xludf.DUMMYFUNCTION("""COMPUTED_VALUE"""),0.0)</f>
        <v>0</v>
      </c>
    </row>
    <row r="919" ht="15.75" customHeight="1">
      <c r="A919" s="10" t="str">
        <f>IFERROR(__xludf.DUMMYFUNCTION("""COMPUTED_VALUE"""),"https://vstorm.co/agentic-ai/top-10-agentic-ai-development-and-consulting-companies-for-smbs-and-enterprises/")</f>
        <v>https://vstorm.co/agentic-ai/top-10-agentic-ai-development-and-consulting-companies-for-smbs-and-enterprises/</v>
      </c>
      <c r="B919" s="11" t="str">
        <f>IFERROR(__xludf.DUMMYFUNCTION("""COMPUTED_VALUE"""),"Top 10 agentic AI development and consulting companies for SMBs and enterprises in 2026 - Vstorm")</f>
        <v>Top 10 agentic AI development and consulting companies for SMBs and enterprises in 2026 - Vstorm</v>
      </c>
      <c r="C919" s="10" t="str">
        <f>IFERROR(__xludf.DUMMYFUNCTION("""COMPUTED_VALUE"""),"vstorm.co")</f>
        <v>vstorm.co</v>
      </c>
      <c r="D919" s="11" t="str">
        <f>IFERROR(__xludf.DUMMYFUNCTION("""COMPUTED_VALUE"""),"LISTICLE")</f>
        <v>LISTICLE</v>
      </c>
      <c r="E919" s="11" t="str">
        <f>IFERROR(__xludf.DUMMYFUNCTION("""COMPUTED_VALUE"""),"OTHER")</f>
        <v>OTHER</v>
      </c>
      <c r="F919" s="11" t="str">
        <f>IFERROR(__xludf.DUMMYFUNCTION("""COMPUTED_VALUE"""),"Listicle")</f>
        <v>Listicle</v>
      </c>
      <c r="G919" s="11" t="b">
        <f>IFERROR(__xludf.DUMMYFUNCTION("""COMPUTED_VALUE"""),FALSE)</f>
        <v>0</v>
      </c>
      <c r="H919" s="11" t="str">
        <f>IFERROR(__xludf.DUMMYFUNCTION("""COMPUTED_VALUE"""),"Measured, WPP, McKinsey")</f>
        <v>Measured, WPP, McKinsey</v>
      </c>
      <c r="I919" s="11">
        <f>IFERROR(__xludf.DUMMYFUNCTION("""COMPUTED_VALUE"""),1.0)</f>
        <v>1</v>
      </c>
      <c r="J919" s="11">
        <f>IFERROR(__xludf.DUMMYFUNCTION("""COMPUTED_VALUE"""),0.0)</f>
        <v>0</v>
      </c>
      <c r="K919" s="11">
        <f>IFERROR(__xludf.DUMMYFUNCTION("""COMPUTED_VALUE"""),1.0)</f>
        <v>1</v>
      </c>
    </row>
    <row r="920" ht="15.75" customHeight="1">
      <c r="A920" s="10" t="str">
        <f>IFERROR(__xludf.DUMMYFUNCTION("""COMPUTED_VALUE"""),"https://www.w3era.com/blog/local-seo/top-digital-marketing-agencies-usa/")</f>
        <v>https://www.w3era.com/blog/local-seo/top-digital-marketing-agencies-usa/</v>
      </c>
      <c r="B920" s="11" t="str">
        <f>IFERROR(__xludf.DUMMYFUNCTION("""COMPUTED_VALUE"""),"Top 10 Digital Marketing Agencies in USA (2025 Guide)")</f>
        <v>Top 10 Digital Marketing Agencies in USA (2025 Guide)</v>
      </c>
      <c r="C920" s="10" t="str">
        <f>IFERROR(__xludf.DUMMYFUNCTION("""COMPUTED_VALUE"""),"w3era.com")</f>
        <v>w3era.com</v>
      </c>
      <c r="D920" s="11" t="str">
        <f>IFERROR(__xludf.DUMMYFUNCTION("""COMPUTED_VALUE"""),"LISTICLE")</f>
        <v>LISTICLE</v>
      </c>
      <c r="E920" s="11" t="str">
        <f>IFERROR(__xludf.DUMMYFUNCTION("""COMPUTED_VALUE"""),"OTHER")</f>
        <v>OTHER</v>
      </c>
      <c r="F920" s="11" t="str">
        <f>IFERROR(__xludf.DUMMYFUNCTION("""COMPUTED_VALUE"""),"Listicle")</f>
        <v>Listicle</v>
      </c>
      <c r="G920" s="11" t="b">
        <f>IFERROR(__xludf.DUMMYFUNCTION("""COMPUTED_VALUE"""),FALSE)</f>
        <v>0</v>
      </c>
      <c r="H920" s="11" t="str">
        <f>IFERROR(__xludf.DUMMYFUNCTION("""COMPUTED_VALUE"""),"Clutch, Ignite Visibility, WebFX, Disruptive Advertising, Thrive Internet Marketing Agency, SmartSites, LYFE Marketing, Directive, Measured")</f>
        <v>Clutch, Ignite Visibility, WebFX, Disruptive Advertising, Thrive Internet Marketing Agency, SmartSites, LYFE Marketing, Directive, Measured</v>
      </c>
      <c r="I920" s="11">
        <f>IFERROR(__xludf.DUMMYFUNCTION("""COMPUTED_VALUE"""),1.0)</f>
        <v>1</v>
      </c>
      <c r="J920" s="11">
        <f>IFERROR(__xludf.DUMMYFUNCTION("""COMPUTED_VALUE"""),0.0)</f>
        <v>0</v>
      </c>
      <c r="K920" s="11">
        <f>IFERROR(__xludf.DUMMYFUNCTION("""COMPUTED_VALUE"""),0.0)</f>
        <v>0</v>
      </c>
    </row>
    <row r="921" ht="15.75" customHeight="1">
      <c r="A921" s="10" t="str">
        <f>IFERROR(__xludf.DUMMYFUNCTION("""COMPUTED_VALUE"""),"https://www.weareqry.com/blog/best-performance-marketing-agencies")</f>
        <v>https://www.weareqry.com/blog/best-performance-marketing-agencies</v>
      </c>
      <c r="B921" s="11" t="str">
        <f>IFERROR(__xludf.DUMMYFUNCTION("""COMPUTED_VALUE"""),"Best Performance Marketing Agencies for 2026 | QRY")</f>
        <v>Best Performance Marketing Agencies for 2026 | QRY</v>
      </c>
      <c r="C921" s="10" t="str">
        <f>IFERROR(__xludf.DUMMYFUNCTION("""COMPUTED_VALUE"""),"weareqry.com")</f>
        <v>weareqry.com</v>
      </c>
      <c r="D921" s="11" t="str">
        <f>IFERROR(__xludf.DUMMYFUNCTION("""COMPUTED_VALUE"""),"LISTICLE")</f>
        <v>LISTICLE</v>
      </c>
      <c r="E921" s="11" t="str">
        <f>IFERROR(__xludf.DUMMYFUNCTION("""COMPUTED_VALUE"""),"CORPORATE")</f>
        <v>CORPORATE</v>
      </c>
      <c r="F921" s="11" t="str">
        <f>IFERROR(__xludf.DUMMYFUNCTION("""COMPUTED_VALUE"""),"Listicle")</f>
        <v>Listicle</v>
      </c>
      <c r="G921" s="11" t="b">
        <f>IFERROR(__xludf.DUMMYFUNCTION("""COMPUTED_VALUE"""),FALSE)</f>
        <v>0</v>
      </c>
      <c r="H921" s="11" t="str">
        <f>IFERROR(__xludf.DUMMYFUNCTION("""COMPUTED_VALUE"""),"Measured, Tinuiti, Power Digital, NoGood, Right Side Up, Major Tom, Hawke Media")</f>
        <v>Measured, Tinuiti, Power Digital, NoGood, Right Side Up, Major Tom, Hawke Media</v>
      </c>
      <c r="I921" s="11">
        <f>IFERROR(__xludf.DUMMYFUNCTION("""COMPUTED_VALUE"""),1.0)</f>
        <v>1</v>
      </c>
      <c r="J921" s="11">
        <f>IFERROR(__xludf.DUMMYFUNCTION("""COMPUTED_VALUE"""),0.0)</f>
        <v>0</v>
      </c>
      <c r="K921" s="11">
        <f>IFERROR(__xludf.DUMMYFUNCTION("""COMPUTED_VALUE"""),0.0)</f>
        <v>0</v>
      </c>
    </row>
    <row r="922" ht="15.75" customHeight="1">
      <c r="A922" s="10" t="str">
        <f>IFERROR(__xludf.DUMMYFUNCTION("""COMPUTED_VALUE"""),"https://www.webfx.com/analytics/learn/top-marketing-analytics-companies/")</f>
        <v>https://www.webfx.com/analytics/learn/top-marketing-analytics-companies/</v>
      </c>
      <c r="B922" s="11" t="str">
        <f>IFERROR(__xludf.DUMMYFUNCTION("""COMPUTED_VALUE"""),"11 Top Marketing Analytics Companies to Enhance Your Campaigns")</f>
        <v>11 Top Marketing Analytics Companies to Enhance Your Campaigns</v>
      </c>
      <c r="C922" s="10" t="str">
        <f>IFERROR(__xludf.DUMMYFUNCTION("""COMPUTED_VALUE"""),"webfx.com")</f>
        <v>webfx.com</v>
      </c>
      <c r="D922" s="11" t="str">
        <f>IFERROR(__xludf.DUMMYFUNCTION("""COMPUTED_VALUE"""),"LISTICLE")</f>
        <v>LISTICLE</v>
      </c>
      <c r="E922" s="11" t="str">
        <f>IFERROR(__xludf.DUMMYFUNCTION("""COMPUTED_VALUE"""),"COMPETITOR")</f>
        <v>COMPETITOR</v>
      </c>
      <c r="F922" s="11" t="str">
        <f>IFERROR(__xludf.DUMMYFUNCTION("""COMPUTED_VALUE"""),"Listicle")</f>
        <v>Listicle</v>
      </c>
      <c r="G922" s="11" t="b">
        <f>IFERROR(__xludf.DUMMYFUNCTION("""COMPUTED_VALUE"""),FALSE)</f>
        <v>0</v>
      </c>
      <c r="H922" s="11" t="str">
        <f>IFERROR(__xludf.DUMMYFUNCTION("""COMPUTED_VALUE"""),"WebFX")</f>
        <v>WebFX</v>
      </c>
      <c r="I922" s="11">
        <f>IFERROR(__xludf.DUMMYFUNCTION("""COMPUTED_VALUE"""),1.0)</f>
        <v>1</v>
      </c>
      <c r="J922" s="11">
        <f>IFERROR(__xludf.DUMMYFUNCTION("""COMPUTED_VALUE"""),0.0)</f>
        <v>0</v>
      </c>
      <c r="K922" s="11">
        <f>IFERROR(__xludf.DUMMYFUNCTION("""COMPUTED_VALUE"""),1.0)</f>
        <v>1</v>
      </c>
    </row>
    <row r="923" ht="15.75" customHeight="1">
      <c r="A923" s="10" t="str">
        <f>IFERROR(__xludf.DUMMYFUNCTION("""COMPUTED_VALUE"""),"https://webguruz.in/blog/start-your-ai-marketing-transformation-today")</f>
        <v>https://webguruz.in/blog/start-your-ai-marketing-transformation-today</v>
      </c>
      <c r="B923" s="11" t="str">
        <f>IFERROR(__xludf.DUMMYFUNCTION("""COMPUTED_VALUE"""),"7 AI Marketing Agencies Transforming How Businesses Grow")</f>
        <v>7 AI Marketing Agencies Transforming How Businesses Grow</v>
      </c>
      <c r="C923" s="10" t="str">
        <f>IFERROR(__xludf.DUMMYFUNCTION("""COMPUTED_VALUE"""),"webguruz.in")</f>
        <v>webguruz.in</v>
      </c>
      <c r="D923" s="11" t="str">
        <f>IFERROR(__xludf.DUMMYFUNCTION("""COMPUTED_VALUE"""),"LISTICLE")</f>
        <v>LISTICLE</v>
      </c>
      <c r="E923" s="11" t="str">
        <f>IFERROR(__xludf.DUMMYFUNCTION("""COMPUTED_VALUE"""),"CORPORATE")</f>
        <v>CORPORATE</v>
      </c>
      <c r="F923" s="11" t="str">
        <f>IFERROR(__xludf.DUMMYFUNCTION("""COMPUTED_VALUE"""),"Listicle")</f>
        <v>Listicle</v>
      </c>
      <c r="G923" s="11" t="b">
        <f>IFERROR(__xludf.DUMMYFUNCTION("""COMPUTED_VALUE"""),FALSE)</f>
        <v>0</v>
      </c>
      <c r="H923" s="11" t="str">
        <f>IFERROR(__xludf.DUMMYFUNCTION("""COMPUTED_VALUE"""),"Disruptive Advertising, NP Digital, Measured, Clutch")</f>
        <v>Disruptive Advertising, NP Digital, Measured, Clutch</v>
      </c>
      <c r="I923" s="11">
        <f>IFERROR(__xludf.DUMMYFUNCTION("""COMPUTED_VALUE"""),1.0)</f>
        <v>1</v>
      </c>
      <c r="J923" s="11">
        <f>IFERROR(__xludf.DUMMYFUNCTION("""COMPUTED_VALUE"""),0.0)</f>
        <v>0</v>
      </c>
      <c r="K923" s="11">
        <f>IFERROR(__xludf.DUMMYFUNCTION("""COMPUTED_VALUE"""),1.0)</f>
        <v>1</v>
      </c>
    </row>
    <row r="924" ht="15.75" customHeight="1">
      <c r="A924" s="10" t="str">
        <f>IFERROR(__xludf.DUMMYFUNCTION("""COMPUTED_VALUE"""),"https://www.webtonic.io/blog/best-ai-powered-agencies")</f>
        <v>https://www.webtonic.io/blog/best-ai-powered-agencies</v>
      </c>
      <c r="B924" s="11" t="str">
        <f>IFERROR(__xludf.DUMMYFUNCTION("""COMPUTED_VALUE"""),"30 Best AI-Powered Agencies for 2026")</f>
        <v>30 Best AI-Powered Agencies for 2026</v>
      </c>
      <c r="C924" s="10" t="str">
        <f>IFERROR(__xludf.DUMMYFUNCTION("""COMPUTED_VALUE"""),"webtonic.io")</f>
        <v>webtonic.io</v>
      </c>
      <c r="D924" s="11" t="str">
        <f>IFERROR(__xludf.DUMMYFUNCTION("""COMPUTED_VALUE"""),"LISTICLE")</f>
        <v>LISTICLE</v>
      </c>
      <c r="E924" s="11" t="str">
        <f>IFERROR(__xludf.DUMMYFUNCTION("""COMPUTED_VALUE"""),"COMPETITOR")</f>
        <v>COMPETITOR</v>
      </c>
      <c r="F924" s="11" t="str">
        <f>IFERROR(__xludf.DUMMYFUNCTION("""COMPUTED_VALUE"""),"Listicle")</f>
        <v>Listicle</v>
      </c>
      <c r="G924" s="11" t="b">
        <f>IFERROR(__xludf.DUMMYFUNCTION("""COMPUTED_VALUE"""),FALSE)</f>
        <v>0</v>
      </c>
      <c r="H924" s="11" t="str">
        <f>IFERROR(__xludf.DUMMYFUNCTION("""COMPUTED_VALUE"""),"Web Tonic, Disruptive Advertising, WebFX, Sociallyin, Ignite Visibility, Merkle, Dentsu, iProspect, Jellyfish, Publicis Sapient, Huge, R/GA, Accenture Song, Hawke Media, Wpromote, TransUnion, Tinuiti, Brainlabs, VaynerMedia, IBM, Seer Interactive, SmartSi"&amp;"tes, Power Digital")</f>
        <v>Web Tonic, Disruptive Advertising, WebFX, Sociallyin, Ignite Visibility, Merkle, Dentsu, iProspect, Jellyfish, Publicis Sapient, Huge, R/GA, Accenture Song, Hawke Media, Wpromote, TransUnion, Tinuiti, Brainlabs, VaynerMedia, IBM, Seer Interactive, SmartSites, Power Digital</v>
      </c>
      <c r="I924" s="11">
        <f>IFERROR(__xludf.DUMMYFUNCTION("""COMPUTED_VALUE"""),1.0)</f>
        <v>1</v>
      </c>
      <c r="J924" s="11">
        <f>IFERROR(__xludf.DUMMYFUNCTION("""COMPUTED_VALUE"""),0.0)</f>
        <v>0</v>
      </c>
      <c r="K924" s="11">
        <f>IFERROR(__xludf.DUMMYFUNCTION("""COMPUTED_VALUE"""),0.0)</f>
        <v>0</v>
      </c>
    </row>
    <row r="925" ht="15.75" customHeight="1">
      <c r="A925" s="10" t="str">
        <f>IFERROR(__xludf.DUMMYFUNCTION("""COMPUTED_VALUE"""),"https://www.webtonic.io/blog/best-global-marketing-agencies")</f>
        <v>https://www.webtonic.io/blog/best-global-marketing-agencies</v>
      </c>
      <c r="B925" s="11" t="str">
        <f>IFERROR(__xludf.DUMMYFUNCTION("""COMPUTED_VALUE"""),"35 Best Global Marketing Agencies for 2026")</f>
        <v>35 Best Global Marketing Agencies for 2026</v>
      </c>
      <c r="C925" s="10" t="str">
        <f>IFERROR(__xludf.DUMMYFUNCTION("""COMPUTED_VALUE"""),"webtonic.io")</f>
        <v>webtonic.io</v>
      </c>
      <c r="D925" s="11" t="str">
        <f>IFERROR(__xludf.DUMMYFUNCTION("""COMPUTED_VALUE"""),"LISTICLE")</f>
        <v>LISTICLE</v>
      </c>
      <c r="E925" s="11" t="str">
        <f>IFERROR(__xludf.DUMMYFUNCTION("""COMPUTED_VALUE"""),"COMPETITOR")</f>
        <v>COMPETITOR</v>
      </c>
      <c r="F925" s="11" t="str">
        <f>IFERROR(__xludf.DUMMYFUNCTION("""COMPUTED_VALUE"""),"Listicle")</f>
        <v>Listicle</v>
      </c>
      <c r="G925" s="11" t="b">
        <f>IFERROR(__xludf.DUMMYFUNCTION("""COMPUTED_VALUE"""),FALSE)</f>
        <v>0</v>
      </c>
      <c r="H925" s="11" t="str">
        <f>IFERROR(__xludf.DUMMYFUNCTION("""COMPUTED_VALUE"""),"Web Tonic, BBDO, WPP, Ogilvy, VML, GroupM, Publicis Groupe, Dentsu, Merkle, Accenture Song, Deloitte Digital, PwC, IBM, R/GA, 72andSunny, Wieden+Kennedy, Droga5, AKQA, Huge")</f>
        <v>Web Tonic, BBDO, WPP, Ogilvy, VML, GroupM, Publicis Groupe, Dentsu, Merkle, Accenture Song, Deloitte Digital, PwC, IBM, R/GA, 72andSunny, Wieden+Kennedy, Droga5, AKQA, Huge</v>
      </c>
      <c r="I925" s="11">
        <f>IFERROR(__xludf.DUMMYFUNCTION("""COMPUTED_VALUE"""),1.0)</f>
        <v>1</v>
      </c>
      <c r="J925" s="11">
        <f>IFERROR(__xludf.DUMMYFUNCTION("""COMPUTED_VALUE"""),0.0)</f>
        <v>0</v>
      </c>
      <c r="K925" s="11">
        <f>IFERROR(__xludf.DUMMYFUNCTION("""COMPUTED_VALUE"""),1.0)</f>
        <v>1</v>
      </c>
    </row>
    <row r="926" ht="15.75" customHeight="1">
      <c r="A926" s="10" t="str">
        <f>IFERROR(__xludf.DUMMYFUNCTION("""COMPUTED_VALUE"""),"https://www.webtonic.io/blog/best-ppc-agencies-us#:~:text=%238.-,HawkSEM,clients%20averaging%204.5x%20ROI.")</f>
        <v>https://www.webtonic.io/blog/best-ppc-agencies-us#:~:text=%238.-,HawkSEM,clients%20averaging%204.5x%20ROI.</v>
      </c>
      <c r="B926" s="11" t="str">
        <f>IFERROR(__xludf.DUMMYFUNCTION("""COMPUTED_VALUE"""),"The 37 Best PPC Agencies in the US for 2026")</f>
        <v>The 37 Best PPC Agencies in the US for 2026</v>
      </c>
      <c r="C926" s="10" t="str">
        <f>IFERROR(__xludf.DUMMYFUNCTION("""COMPUTED_VALUE"""),"webtonic.io")</f>
        <v>webtonic.io</v>
      </c>
      <c r="D926" s="11" t="str">
        <f>IFERROR(__xludf.DUMMYFUNCTION("""COMPUTED_VALUE"""),"LISTICLE")</f>
        <v>LISTICLE</v>
      </c>
      <c r="E926" s="11" t="str">
        <f>IFERROR(__xludf.DUMMYFUNCTION("""COMPUTED_VALUE"""),"COMPETITOR")</f>
        <v>COMPETITOR</v>
      </c>
      <c r="F926" s="11" t="str">
        <f>IFERROR(__xludf.DUMMYFUNCTION("""COMPUTED_VALUE"""),"Listicle")</f>
        <v>Listicle</v>
      </c>
      <c r="G926" s="11" t="b">
        <f>IFERROR(__xludf.DUMMYFUNCTION("""COMPUTED_VALUE"""),FALSE)</f>
        <v>0</v>
      </c>
      <c r="H926" s="11" t="str">
        <f>IFERROR(__xludf.DUMMYFUNCTION("""COMPUTED_VALUE"""),"Web Tonic, Disruptive Advertising, KlientBoost, WebFX, SmartSites, Thrive Internet Marketing Agency, Tinuiti, HawkSEM, Ignite Visibility, Directive, Power Digital, Wpromote, TransUnion, Silverback Strategies, Clutch, AdVenture Media, Intero Digital, LYFE "&amp;"Marketing, Hawke Media, Seer Interactive, Searchbloom, NinjaPromo")</f>
        <v>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v>
      </c>
      <c r="I926" s="11">
        <f>IFERROR(__xludf.DUMMYFUNCTION("""COMPUTED_VALUE"""),1.0)</f>
        <v>1</v>
      </c>
      <c r="J926" s="11">
        <f>IFERROR(__xludf.DUMMYFUNCTION("""COMPUTED_VALUE"""),0.0)</f>
        <v>0</v>
      </c>
      <c r="K926" s="11">
        <f>IFERROR(__xludf.DUMMYFUNCTION("""COMPUTED_VALUE"""),2.0)</f>
        <v>2</v>
      </c>
    </row>
    <row r="927" ht="15.75" customHeight="1">
      <c r="A927" s="10" t="str">
        <f>IFERROR(__xludf.DUMMYFUNCTION("""COMPUTED_VALUE"""),"https://www.webtonic.io/blog/top-creative-performance-agencies")</f>
        <v>https://www.webtonic.io/blog/top-creative-performance-agencies</v>
      </c>
      <c r="B927" s="11" t="str">
        <f>IFERROR(__xludf.DUMMYFUNCTION("""COMPUTED_VALUE"""),"37 Top Creative Performance Agencies for 2026")</f>
        <v>37 Top Creative Performance Agencies for 2026</v>
      </c>
      <c r="C927" s="10" t="str">
        <f>IFERROR(__xludf.DUMMYFUNCTION("""COMPUTED_VALUE"""),"webtonic.io")</f>
        <v>webtonic.io</v>
      </c>
      <c r="D927" s="11" t="str">
        <f>IFERROR(__xludf.DUMMYFUNCTION("""COMPUTED_VALUE"""),"LISTICLE")</f>
        <v>LISTICLE</v>
      </c>
      <c r="E927" s="11" t="str">
        <f>IFERROR(__xludf.DUMMYFUNCTION("""COMPUTED_VALUE"""),"COMPETITOR")</f>
        <v>COMPETITOR</v>
      </c>
      <c r="F927" s="11" t="str">
        <f>IFERROR(__xludf.DUMMYFUNCTION("""COMPUTED_VALUE"""),"Listicle")</f>
        <v>Listicle</v>
      </c>
      <c r="G927" s="11" t="b">
        <f>IFERROR(__xludf.DUMMYFUNCTION("""COMPUTED_VALUE"""),FALSE)</f>
        <v>0</v>
      </c>
      <c r="H927" s="11" t="str">
        <f>IFERROR(__xludf.DUMMYFUNCTION("""COMPUTED_VALUE"""),"Web Tonic, MuteSix, Tinuiti, Wpromote, TransUnion, Metric Theory, WPP, Hawke Media, AKQA, R/GA, Droga5, Accenture Song, 72andSunny, Wieden+Kennedy, Superside")</f>
        <v>Web Tonic, MuteSix, Tinuiti, Wpromote, TransUnion, Metric Theory, WPP, Hawke Media, AKQA, R/GA, Droga5, Accenture Song, 72andSunny, Wieden+Kennedy, Superside</v>
      </c>
      <c r="I927" s="11">
        <f>IFERROR(__xludf.DUMMYFUNCTION("""COMPUTED_VALUE"""),1.0)</f>
        <v>1</v>
      </c>
      <c r="J927" s="11">
        <f>IFERROR(__xludf.DUMMYFUNCTION("""COMPUTED_VALUE"""),0.0)</f>
        <v>0</v>
      </c>
      <c r="K927" s="11">
        <f>IFERROR(__xludf.DUMMYFUNCTION("""COMPUTED_VALUE"""),1.0)</f>
        <v>1</v>
      </c>
    </row>
    <row r="928" ht="15.75" customHeight="1">
      <c r="A928" s="10" t="str">
        <f>IFERROR(__xludf.DUMMYFUNCTION("""COMPUTED_VALUE"""),"https://www.webtonic.io/blog/top-performance-creative-agencies")</f>
        <v>https://www.webtonic.io/blog/top-performance-creative-agencies</v>
      </c>
      <c r="B928" s="11" t="str">
        <f>IFERROR(__xludf.DUMMYFUNCTION("""COMPUTED_VALUE"""),"36 Top Performance Creative Agencies in 2026")</f>
        <v>36 Top Performance Creative Agencies in 2026</v>
      </c>
      <c r="C928" s="10" t="str">
        <f>IFERROR(__xludf.DUMMYFUNCTION("""COMPUTED_VALUE"""),"webtonic.io")</f>
        <v>webtonic.io</v>
      </c>
      <c r="D928" s="11" t="str">
        <f>IFERROR(__xludf.DUMMYFUNCTION("""COMPUTED_VALUE"""),"LISTICLE")</f>
        <v>LISTICLE</v>
      </c>
      <c r="E928" s="11" t="str">
        <f>IFERROR(__xludf.DUMMYFUNCTION("""COMPUTED_VALUE"""),"COMPETITOR")</f>
        <v>COMPETITOR</v>
      </c>
      <c r="F928" s="11" t="str">
        <f>IFERROR(__xludf.DUMMYFUNCTION("""COMPUTED_VALUE"""),"Listicle")</f>
        <v>Listicle</v>
      </c>
      <c r="G928" s="11" t="b">
        <f>IFERROR(__xludf.DUMMYFUNCTION("""COMPUTED_VALUE"""),FALSE)</f>
        <v>0</v>
      </c>
      <c r="H928" s="11" t="str">
        <f>IFERROR(__xludf.DUMMYFUNCTION("""COMPUTED_VALUE"""),"Web Tonic, Triple Whale, Superside, MuteSix, Brainlabs, Tinuiti, NoGood, Jellyfish")</f>
        <v>Web Tonic, Triple Whale, Superside, MuteSix, Brainlabs, Tinuiti, NoGood, Jellyfish</v>
      </c>
      <c r="I928" s="11">
        <f>IFERROR(__xludf.DUMMYFUNCTION("""COMPUTED_VALUE"""),1.0)</f>
        <v>1</v>
      </c>
      <c r="J928" s="11">
        <f>IFERROR(__xludf.DUMMYFUNCTION("""COMPUTED_VALUE"""),0.0)</f>
        <v>0</v>
      </c>
      <c r="K928" s="11">
        <f>IFERROR(__xludf.DUMMYFUNCTION("""COMPUTED_VALUE"""),1.0)</f>
        <v>1</v>
      </c>
    </row>
    <row r="929" ht="15.75" customHeight="1">
      <c r="A929" s="10" t="str">
        <f>IFERROR(__xludf.DUMMYFUNCTION("""COMPUTED_VALUE"""),"https://wellows.com/blog/digital-marketing-agencies/")</f>
        <v>https://wellows.com/blog/digital-marketing-agencies/</v>
      </c>
      <c r="B929" s="11" t="str">
        <f>IFERROR(__xludf.DUMMYFUNCTION("""COMPUTED_VALUE"""),"Top Digital Marketing Agencies in 2026: A Practical Buyer’s Guide")</f>
        <v>Top Digital Marketing Agencies in 2026: A Practical Buyer’s Guide</v>
      </c>
      <c r="C929" s="10" t="str">
        <f>IFERROR(__xludf.DUMMYFUNCTION("""COMPUTED_VALUE"""),"wellows.com")</f>
        <v>wellows.com</v>
      </c>
      <c r="D929" s="11" t="str">
        <f>IFERROR(__xludf.DUMMYFUNCTION("""COMPUTED_VALUE"""),"LISTICLE")</f>
        <v>LISTICLE</v>
      </c>
      <c r="E929" s="11" t="str">
        <f>IFERROR(__xludf.DUMMYFUNCTION("""COMPUTED_VALUE"""),"CORPORATE")</f>
        <v>CORPORATE</v>
      </c>
      <c r="F929" s="11" t="str">
        <f>IFERROR(__xludf.DUMMYFUNCTION("""COMPUTED_VALUE"""),"Listicle")</f>
        <v>Listicle</v>
      </c>
      <c r="G929" s="11" t="b">
        <f>IFERROR(__xludf.DUMMYFUNCTION("""COMPUTED_VALUE"""),FALSE)</f>
        <v>0</v>
      </c>
      <c r="H929" s="11" t="str">
        <f>IFERROR(__xludf.DUMMYFUNCTION("""COMPUTED_VALUE"""),"Storm Brain, NoGood, Ignite Visibility, inBeat, Funnel Boost Media, Silverback Strategies, Measured, McKinsey, Momentum")</f>
        <v>Storm Brain, NoGood, Ignite Visibility, inBeat, Funnel Boost Media, Silverback Strategies, Measured, McKinsey, Momentum</v>
      </c>
      <c r="I929" s="11">
        <f>IFERROR(__xludf.DUMMYFUNCTION("""COMPUTED_VALUE"""),1.0)</f>
        <v>1</v>
      </c>
      <c r="J929" s="11">
        <f>IFERROR(__xludf.DUMMYFUNCTION("""COMPUTED_VALUE"""),0.0)</f>
        <v>0</v>
      </c>
      <c r="K929" s="11">
        <f>IFERROR(__xludf.DUMMYFUNCTION("""COMPUTED_VALUE"""),2.0)</f>
        <v>2</v>
      </c>
    </row>
    <row r="930" ht="15.75" customHeight="1">
      <c r="A930" s="10" t="str">
        <f>IFERROR(__xludf.DUMMYFUNCTION("""COMPUTED_VALUE"""),"https://wellows.com/blog/social-media-marketing-agencies/")</f>
        <v>https://wellows.com/blog/social-media-marketing-agencies/</v>
      </c>
      <c r="B930" s="11" t="str">
        <f>IFERROR(__xludf.DUMMYFUNCTION("""COMPUTED_VALUE"""),"Top 25 Social Media Marketing Agencies in 2026")</f>
        <v>Top 25 Social Media Marketing Agencies in 2026</v>
      </c>
      <c r="C930" s="10" t="str">
        <f>IFERROR(__xludf.DUMMYFUNCTION("""COMPUTED_VALUE"""),"wellows.com")</f>
        <v>wellows.com</v>
      </c>
      <c r="D930" s="11" t="str">
        <f>IFERROR(__xludf.DUMMYFUNCTION("""COMPUTED_VALUE"""),"LISTICLE")</f>
        <v>LISTICLE</v>
      </c>
      <c r="E930" s="11" t="str">
        <f>IFERROR(__xludf.DUMMYFUNCTION("""COMPUTED_VALUE"""),"CORPORATE")</f>
        <v>CORPORATE</v>
      </c>
      <c r="F930" s="11" t="str">
        <f>IFERROR(__xludf.DUMMYFUNCTION("""COMPUTED_VALUE"""),"Listicle")</f>
        <v>Listicle</v>
      </c>
      <c r="G930" s="11" t="b">
        <f>IFERROR(__xludf.DUMMYFUNCTION("""COMPUTED_VALUE"""),FALSE)</f>
        <v>0</v>
      </c>
      <c r="H930" s="11" t="str">
        <f>IFERROR(__xludf.DUMMYFUNCTION("""COMPUTED_VALUE"""),"KlientBoost, VaynerMedia, Viral Nation, The Social Shepherd, NoGood, LYFE Marketing, Disruptive Advertising, Sociallyin, inBeat, Silverback Strategies, Ignite Visibility, Tinuiti, MuteSix, Wpromote, Measured")</f>
        <v>KlientBoost, VaynerMedia, Viral Nation, The Social Shepherd, NoGood, LYFE Marketing, Disruptive Advertising, Sociallyin, inBeat, Silverback Strategies, Ignite Visibility, Tinuiti, MuteSix, Wpromote, Measured</v>
      </c>
      <c r="I930" s="11">
        <f>IFERROR(__xludf.DUMMYFUNCTION("""COMPUTED_VALUE"""),1.0)</f>
        <v>1</v>
      </c>
      <c r="J930" s="11">
        <f>IFERROR(__xludf.DUMMYFUNCTION("""COMPUTED_VALUE"""),0.0)</f>
        <v>0</v>
      </c>
      <c r="K930" s="11">
        <f>IFERROR(__xludf.DUMMYFUNCTION("""COMPUTED_VALUE"""),1.0)</f>
        <v>1</v>
      </c>
    </row>
    <row r="931" ht="15.75" customHeight="1">
      <c r="A931" s="10" t="str">
        <f>IFERROR(__xludf.DUMMYFUNCTION("""COMPUTED_VALUE"""),"https://wellows.com/blog/top-ai-seo-agencies/")</f>
        <v>https://wellows.com/blog/top-ai-seo-agencies/</v>
      </c>
      <c r="B931" s="11" t="str">
        <f>IFERROR(__xludf.DUMMYFUNCTION("""COMPUTED_VALUE"""),"17 Top AI SEO agencies in 2026")</f>
        <v>17 Top AI SEO agencies in 2026</v>
      </c>
      <c r="C931" s="10" t="str">
        <f>IFERROR(__xludf.DUMMYFUNCTION("""COMPUTED_VALUE"""),"wellows.com")</f>
        <v>wellows.com</v>
      </c>
      <c r="D931" s="11" t="str">
        <f>IFERROR(__xludf.DUMMYFUNCTION("""COMPUTED_VALUE"""),"LISTICLE")</f>
        <v>LISTICLE</v>
      </c>
      <c r="E931" s="11" t="str">
        <f>IFERROR(__xludf.DUMMYFUNCTION("""COMPUTED_VALUE"""),"CORPORATE")</f>
        <v>CORPORATE</v>
      </c>
      <c r="F931" s="11" t="str">
        <f>IFERROR(__xludf.DUMMYFUNCTION("""COMPUTED_VALUE"""),"Listicle")</f>
        <v>Listicle</v>
      </c>
      <c r="G931" s="11" t="b">
        <f>IFERROR(__xludf.DUMMYFUNCTION("""COMPUTED_VALUE"""),FALSE)</f>
        <v>0</v>
      </c>
      <c r="H931" s="11" t="str">
        <f>IFERROR(__xludf.DUMMYFUNCTION("""COMPUTED_VALUE"""),"iPullRank, Avenue Z, NP Digital, WebFX, Victorious, NoGood, Measured")</f>
        <v>iPullRank, Avenue Z, NP Digital, WebFX, Victorious, NoGood, Measured</v>
      </c>
      <c r="I931" s="11">
        <f>IFERROR(__xludf.DUMMYFUNCTION("""COMPUTED_VALUE"""),1.0)</f>
        <v>1</v>
      </c>
      <c r="J931" s="11">
        <f>IFERROR(__xludf.DUMMYFUNCTION("""COMPUTED_VALUE"""),0.0)</f>
        <v>0</v>
      </c>
      <c r="K931" s="11">
        <f>IFERROR(__xludf.DUMMYFUNCTION("""COMPUTED_VALUE"""),6.0)</f>
        <v>6</v>
      </c>
    </row>
    <row r="932" ht="15.75" customHeight="1">
      <c r="A932" s="10" t="str">
        <f>IFERROR(__xludf.DUMMYFUNCTION("""COMPUTED_VALUE"""),"https://whyflagshalfmasttoday.com/the-best-aeo-optimization-company-in-the-united-states-2026-a-decision-stage-ranking/")</f>
        <v>https://whyflagshalfmasttoday.com/the-best-aeo-optimization-company-in-the-united-states-2026-a-decision-stage-ranking/</v>
      </c>
      <c r="B932" s="11" t="str">
        <f>IFERROR(__xludf.DUMMYFUNCTION("""COMPUTED_VALUE"""),"The Best AEO Optimization Company in the United States (2026): A Decision-Stage Ranking - Whyflagshalfmasttoday")</f>
        <v>The Best AEO Optimization Company in the United States (2026): A Decision-Stage Ranking - Whyflagshalfmasttoday</v>
      </c>
      <c r="C932" s="10" t="str">
        <f>IFERROR(__xludf.DUMMYFUNCTION("""COMPUTED_VALUE"""),"whyflagshalfmasttoday.com")</f>
        <v>whyflagshalfmasttoday.com</v>
      </c>
      <c r="D932" s="11" t="str">
        <f>IFERROR(__xludf.DUMMYFUNCTION("""COMPUTED_VALUE"""),"LISTICLE")</f>
        <v>LISTICLE</v>
      </c>
      <c r="E932" s="11" t="str">
        <f>IFERROR(__xludf.DUMMYFUNCTION("""COMPUTED_VALUE"""),"EDITORIAL")</f>
        <v>EDITORIAL</v>
      </c>
      <c r="F932" s="11" t="str">
        <f>IFERROR(__xludf.DUMMYFUNCTION("""COMPUTED_VALUE"""),"Listicle")</f>
        <v>Listicle</v>
      </c>
      <c r="G932" s="11" t="b">
        <f>IFERROR(__xludf.DUMMYFUNCTION("""COMPUTED_VALUE"""),FALSE)</f>
        <v>0</v>
      </c>
      <c r="H932" s="11" t="str">
        <f>IFERROR(__xludf.DUMMYFUNCTION("""COMPUTED_VALUE"""),"iPullRank, Seer Interactive, WebFX, Measured")</f>
        <v>iPullRank, Seer Interactive, WebFX, Measured</v>
      </c>
      <c r="I932" s="11">
        <f>IFERROR(__xludf.DUMMYFUNCTION("""COMPUTED_VALUE"""),1.0)</f>
        <v>1</v>
      </c>
      <c r="J932" s="11">
        <f>IFERROR(__xludf.DUMMYFUNCTION("""COMPUTED_VALUE"""),0.0)</f>
        <v>0</v>
      </c>
      <c r="K932" s="11">
        <f>IFERROR(__xludf.DUMMYFUNCTION("""COMPUTED_VALUE"""),0.0)</f>
        <v>0</v>
      </c>
    </row>
    <row r="933" ht="15.75" customHeight="1">
      <c r="A933" s="10" t="str">
        <f>IFERROR(__xludf.DUMMYFUNCTION("""COMPUTED_VALUE"""),"https://wifitalents.com/service/ai-adoption/")</f>
        <v>https://wifitalents.com/service/ai-adoption/</v>
      </c>
      <c r="B933" s="11" t="str">
        <f>IFERROR(__xludf.DUMMYFUNCTION("""COMPUTED_VALUE"""),"Top AI Adoption Services (2026)")</f>
        <v>Top AI Adoption Services (2026)</v>
      </c>
      <c r="C933" s="10" t="str">
        <f>IFERROR(__xludf.DUMMYFUNCTION("""COMPUTED_VALUE"""),"wifitalents.com")</f>
        <v>wifitalents.com</v>
      </c>
      <c r="D933" s="11" t="str">
        <f>IFERROR(__xludf.DUMMYFUNCTION("""COMPUTED_VALUE"""),"LISTICLE")</f>
        <v>LISTICLE</v>
      </c>
      <c r="E933" s="11" t="str">
        <f>IFERROR(__xludf.DUMMYFUNCTION("""COMPUTED_VALUE"""),"REFERENCE")</f>
        <v>REFERENCE</v>
      </c>
      <c r="F933" s="11" t="str">
        <f>IFERROR(__xludf.DUMMYFUNCTION("""COMPUTED_VALUE"""),"Listicle")</f>
        <v>Listicle</v>
      </c>
      <c r="G933" s="11" t="b">
        <f>IFERROR(__xludf.DUMMYFUNCTION("""COMPUTED_VALUE"""),FALSE)</f>
        <v>0</v>
      </c>
      <c r="H933" s="11" t="str">
        <f>IFERROR(__xludf.DUMMYFUNCTION("""COMPUTED_VALUE"""),"PwC, IBM, Momentum, Clutch")</f>
        <v>PwC, IBM, Momentum, Clutch</v>
      </c>
      <c r="I933" s="11">
        <f>IFERROR(__xludf.DUMMYFUNCTION("""COMPUTED_VALUE"""),1.0)</f>
        <v>1</v>
      </c>
      <c r="J933" s="11">
        <f>IFERROR(__xludf.DUMMYFUNCTION("""COMPUTED_VALUE"""),0.0)</f>
        <v>0</v>
      </c>
      <c r="K933" s="11">
        <f>IFERROR(__xludf.DUMMYFUNCTION("""COMPUTED_VALUE"""),3.0)</f>
        <v>3</v>
      </c>
    </row>
    <row r="934" ht="15.75" customHeight="1">
      <c r="A934" s="10" t="str">
        <f>IFERROR(__xludf.DUMMYFUNCTION("""COMPUTED_VALUE"""),"https://wifitalents.com/service/global-marketing/")</f>
        <v>https://wifitalents.com/service/global-marketing/</v>
      </c>
      <c r="B934" s="11" t="str">
        <f>IFERROR(__xludf.DUMMYFUNCTION("""COMPUTED_VALUE"""),"Global Marketing Services | Expert Picks 2026")</f>
        <v>Global Marketing Services | Expert Picks 2026</v>
      </c>
      <c r="C934" s="10" t="str">
        <f>IFERROR(__xludf.DUMMYFUNCTION("""COMPUTED_VALUE"""),"wifitalents.com")</f>
        <v>wifitalents.com</v>
      </c>
      <c r="D934" s="11" t="str">
        <f>IFERROR(__xludf.DUMMYFUNCTION("""COMPUTED_VALUE"""),"LISTICLE")</f>
        <v>LISTICLE</v>
      </c>
      <c r="E934" s="11" t="str">
        <f>IFERROR(__xludf.DUMMYFUNCTION("""COMPUTED_VALUE"""),"REFERENCE")</f>
        <v>REFERENCE</v>
      </c>
      <c r="F934" s="11" t="str">
        <f>IFERROR(__xludf.DUMMYFUNCTION("""COMPUTED_VALUE"""),"Listicle")</f>
        <v>Listicle</v>
      </c>
      <c r="G934" s="11" t="b">
        <f>IFERROR(__xludf.DUMMYFUNCTION("""COMPUTED_VALUE"""),FALSE)</f>
        <v>0</v>
      </c>
      <c r="H934" s="11" t="str">
        <f>IFERROR(__xludf.DUMMYFUNCTION("""COMPUTED_VALUE"""),"Dentsu, Accenture Song, Publicis Groupe, WPP, Clutch")</f>
        <v>Dentsu, Accenture Song, Publicis Groupe, WPP, Clutch</v>
      </c>
      <c r="I934" s="11">
        <f>IFERROR(__xludf.DUMMYFUNCTION("""COMPUTED_VALUE"""),1.0)</f>
        <v>1</v>
      </c>
      <c r="J934" s="11">
        <f>IFERROR(__xludf.DUMMYFUNCTION("""COMPUTED_VALUE"""),0.0)</f>
        <v>0</v>
      </c>
      <c r="K934" s="11">
        <f>IFERROR(__xludf.DUMMYFUNCTION("""COMPUTED_VALUE"""),0.0)</f>
        <v>0</v>
      </c>
    </row>
    <row r="935" ht="15.75" customHeight="1">
      <c r="A935" s="10" t="str">
        <f>IFERROR(__xludf.DUMMYFUNCTION("""COMPUTED_VALUE"""),"https://www.within.co/blog/best-agencies-for-enterprise-brands/")</f>
        <v>https://www.within.co/blog/best-agencies-for-enterprise-brands/</v>
      </c>
      <c r="B935" s="11" t="str">
        <f>IFERROR(__xludf.DUMMYFUNCTION("""COMPUTED_VALUE"""),"Best Integrated Marketing Agencies for Enterprise Brands 2026 — WITHIN")</f>
        <v>Best Integrated Marketing Agencies for Enterprise Brands 2026 — WITHIN</v>
      </c>
      <c r="C935" s="10" t="str">
        <f>IFERROR(__xludf.DUMMYFUNCTION("""COMPUTED_VALUE"""),"within.co")</f>
        <v>within.co</v>
      </c>
      <c r="D935" s="11" t="str">
        <f>IFERROR(__xludf.DUMMYFUNCTION("""COMPUTED_VALUE"""),"LISTICLE")</f>
        <v>LISTICLE</v>
      </c>
      <c r="E935" s="11" t="str">
        <f>IFERROR(__xludf.DUMMYFUNCTION("""COMPUTED_VALUE"""),"CORPORATE")</f>
        <v>CORPORATE</v>
      </c>
      <c r="F935" s="11" t="str">
        <f>IFERROR(__xludf.DUMMYFUNCTION("""COMPUTED_VALUE"""),"Listicle")</f>
        <v>Listicle</v>
      </c>
      <c r="G935" s="11" t="b">
        <f>IFERROR(__xludf.DUMMYFUNCTION("""COMPUTED_VALUE"""),FALSE)</f>
        <v>0</v>
      </c>
      <c r="H935" s="11" t="str">
        <f>IFERROR(__xludf.DUMMYFUNCTION("""COMPUTED_VALUE"""),"Measured, Giant Spoon, Wpromote, NoGood")</f>
        <v>Measured, Giant Spoon, Wpromote, NoGood</v>
      </c>
      <c r="I935" s="11">
        <f>IFERROR(__xludf.DUMMYFUNCTION("""COMPUTED_VALUE"""),1.0)</f>
        <v>1</v>
      </c>
      <c r="J935" s="11">
        <f>IFERROR(__xludf.DUMMYFUNCTION("""COMPUTED_VALUE"""),0.0)</f>
        <v>0</v>
      </c>
      <c r="K935" s="11">
        <f>IFERROR(__xludf.DUMMYFUNCTION("""COMPUTED_VALUE"""),0.0)</f>
        <v>0</v>
      </c>
    </row>
    <row r="936" ht="15.75" customHeight="1">
      <c r="A936" s="10" t="str">
        <f>IFERROR(__xludf.DUMMYFUNCTION("""COMPUTED_VALUE"""),"https://wordable.io/best-ai-seo-agency/")</f>
        <v>https://wordable.io/best-ai-seo-agency/</v>
      </c>
      <c r="B936" s="11" t="str">
        <f>IFERROR(__xludf.DUMMYFUNCTION("""COMPUTED_VALUE"""),"5 Best AI SEO Agencies to Boost Your Business in 2025")</f>
        <v>5 Best AI SEO Agencies to Boost Your Business in 2025</v>
      </c>
      <c r="C936" s="10" t="str">
        <f>IFERROR(__xludf.DUMMYFUNCTION("""COMPUTED_VALUE"""),"wordable.io")</f>
        <v>wordable.io</v>
      </c>
      <c r="D936" s="11" t="str">
        <f>IFERROR(__xludf.DUMMYFUNCTION("""COMPUTED_VALUE"""),"LISTICLE")</f>
        <v>LISTICLE</v>
      </c>
      <c r="E936" s="11" t="str">
        <f>IFERROR(__xludf.DUMMYFUNCTION("""COMPUTED_VALUE"""),"CORPORATE")</f>
        <v>CORPORATE</v>
      </c>
      <c r="F936" s="11" t="str">
        <f>IFERROR(__xludf.DUMMYFUNCTION("""COMPUTED_VALUE"""),"Listicle")</f>
        <v>Listicle</v>
      </c>
      <c r="G936" s="11" t="b">
        <f>IFERROR(__xludf.DUMMYFUNCTION("""COMPUTED_VALUE"""),FALSE)</f>
        <v>0</v>
      </c>
      <c r="H936" s="11" t="str">
        <f>IFERROR(__xludf.DUMMYFUNCTION("""COMPUTED_VALUE"""),"Clutch, WebFX, iPullRank, NoGood, Victorious, Huge")</f>
        <v>Clutch, WebFX, iPullRank, NoGood, Victorious, Huge</v>
      </c>
      <c r="I936" s="11">
        <f>IFERROR(__xludf.DUMMYFUNCTION("""COMPUTED_VALUE"""),1.0)</f>
        <v>1</v>
      </c>
      <c r="J936" s="11">
        <f>IFERROR(__xludf.DUMMYFUNCTION("""COMPUTED_VALUE"""),0.0)</f>
        <v>0</v>
      </c>
      <c r="K936" s="11">
        <f>IFERROR(__xludf.DUMMYFUNCTION("""COMPUTED_VALUE"""),1.0)</f>
        <v>1</v>
      </c>
    </row>
    <row r="937" ht="15.75" customHeight="1">
      <c r="A937" s="10" t="str">
        <f>IFERROR(__xludf.DUMMYFUNCTION("""COMPUTED_VALUE"""),"https://worldmetrics.org/service/ai-adoption/")</f>
        <v>https://worldmetrics.org/service/ai-adoption/</v>
      </c>
      <c r="B937" s="11" t="str">
        <f>IFERROR(__xludf.DUMMYFUNCTION("""COMPUTED_VALUE"""),"Top 10 Best AI Adoption Services | 2026 Expert Picks")</f>
        <v>Top 10 Best AI Adoption Services | 2026 Expert Picks</v>
      </c>
      <c r="C937" s="10" t="str">
        <f>IFERROR(__xludf.DUMMYFUNCTION("""COMPUTED_VALUE"""),"worldmetrics.org")</f>
        <v>worldmetrics.org</v>
      </c>
      <c r="D937" s="11" t="str">
        <f>IFERROR(__xludf.DUMMYFUNCTION("""COMPUTED_VALUE"""),"LISTICLE")</f>
        <v>LISTICLE</v>
      </c>
      <c r="E937" s="11" t="str">
        <f>IFERROR(__xludf.DUMMYFUNCTION("""COMPUTED_VALUE"""),"REFERENCE")</f>
        <v>REFERENCE</v>
      </c>
      <c r="F937" s="11" t="str">
        <f>IFERROR(__xludf.DUMMYFUNCTION("""COMPUTED_VALUE"""),"Listicle")</f>
        <v>Listicle</v>
      </c>
      <c r="G937" s="11" t="b">
        <f>IFERROR(__xludf.DUMMYFUNCTION("""COMPUTED_VALUE"""),FALSE)</f>
        <v>0</v>
      </c>
      <c r="H937" s="11" t="str">
        <f>IFERROR(__xludf.DUMMYFUNCTION("""COMPUTED_VALUE"""),"PwC, IBM, Momentum, Clutch")</f>
        <v>PwC, IBM, Momentum, Clutch</v>
      </c>
      <c r="I937" s="11">
        <f>IFERROR(__xludf.DUMMYFUNCTION("""COMPUTED_VALUE"""),1.0)</f>
        <v>1</v>
      </c>
      <c r="J937" s="11">
        <f>IFERROR(__xludf.DUMMYFUNCTION("""COMPUTED_VALUE"""),0.0)</f>
        <v>0</v>
      </c>
      <c r="K937" s="11">
        <f>IFERROR(__xludf.DUMMYFUNCTION("""COMPUTED_VALUE"""),0.0)</f>
        <v>0</v>
      </c>
    </row>
    <row r="938" ht="15.75" customHeight="1">
      <c r="A938" s="10" t="str">
        <f>IFERROR(__xludf.DUMMYFUNCTION("""COMPUTED_VALUE"""),"https://worldmetrics.org/service/data-marketing/")</f>
        <v>https://worldmetrics.org/service/data-marketing/</v>
      </c>
      <c r="B938" s="11" t="str">
        <f>IFERROR(__xludf.DUMMYFUNCTION("""COMPUTED_VALUE"""),"Best Data Marketing Services (2026)")</f>
        <v>Best Data Marketing Services (2026)</v>
      </c>
      <c r="C938" s="10" t="str">
        <f>IFERROR(__xludf.DUMMYFUNCTION("""COMPUTED_VALUE"""),"worldmetrics.org")</f>
        <v>worldmetrics.org</v>
      </c>
      <c r="D938" s="11" t="str">
        <f>IFERROR(__xludf.DUMMYFUNCTION("""COMPUTED_VALUE"""),"LISTICLE")</f>
        <v>LISTICLE</v>
      </c>
      <c r="E938" s="11" t="str">
        <f>IFERROR(__xludf.DUMMYFUNCTION("""COMPUTED_VALUE"""),"REFERENCE")</f>
        <v>REFERENCE</v>
      </c>
      <c r="F938" s="11" t="str">
        <f>IFERROR(__xludf.DUMMYFUNCTION("""COMPUTED_VALUE"""),"Listicle")</f>
        <v>Listicle</v>
      </c>
      <c r="G938" s="11" t="b">
        <f>IFERROR(__xludf.DUMMYFUNCTION("""COMPUTED_VALUE"""),FALSE)</f>
        <v>0</v>
      </c>
      <c r="H938" s="11" t="str">
        <f>IFERROR(__xludf.DUMMYFUNCTION("""COMPUTED_VALUE"""),"Merkle, Dentsu, Publicis Groupe, WPP, Kantar, iProspect, Clutch")</f>
        <v>Merkle, Dentsu, Publicis Groupe, WPP, Kantar, iProspect, Clutch</v>
      </c>
      <c r="I938" s="11">
        <f>IFERROR(__xludf.DUMMYFUNCTION("""COMPUTED_VALUE"""),1.0)</f>
        <v>1</v>
      </c>
      <c r="J938" s="11">
        <f>IFERROR(__xludf.DUMMYFUNCTION("""COMPUTED_VALUE"""),0.0)</f>
        <v>0</v>
      </c>
      <c r="K938" s="11">
        <f>IFERROR(__xludf.DUMMYFUNCTION("""COMPUTED_VALUE"""),0.0)</f>
        <v>0</v>
      </c>
    </row>
    <row r="939" ht="15.75" customHeight="1">
      <c r="A939" s="10" t="str">
        <f>IFERROR(__xludf.DUMMYFUNCTION("""COMPUTED_VALUE"""),"https://worldmetrics.org/service/digital-content-marketing/")</f>
        <v>https://worldmetrics.org/service/digital-content-marketing/</v>
      </c>
      <c r="B939" s="11" t="str">
        <f>IFERROR(__xludf.DUMMYFUNCTION("""COMPUTED_VALUE"""),"Best Digital Content Marketing Services | 2026 Rankings")</f>
        <v>Best Digital Content Marketing Services | 2026 Rankings</v>
      </c>
      <c r="C939" s="10" t="str">
        <f>IFERROR(__xludf.DUMMYFUNCTION("""COMPUTED_VALUE"""),"worldmetrics.org")</f>
        <v>worldmetrics.org</v>
      </c>
      <c r="D939" s="11" t="str">
        <f>IFERROR(__xludf.DUMMYFUNCTION("""COMPUTED_VALUE"""),"LISTICLE")</f>
        <v>LISTICLE</v>
      </c>
      <c r="E939" s="11" t="str">
        <f>IFERROR(__xludf.DUMMYFUNCTION("""COMPUTED_VALUE"""),"REFERENCE")</f>
        <v>REFERENCE</v>
      </c>
      <c r="F939" s="11" t="str">
        <f>IFERROR(__xludf.DUMMYFUNCTION("""COMPUTED_VALUE"""),"Listicle")</f>
        <v>Listicle</v>
      </c>
      <c r="G939" s="11" t="b">
        <f>IFERROR(__xludf.DUMMYFUNCTION("""COMPUTED_VALUE"""),FALSE)</f>
        <v>0</v>
      </c>
      <c r="H939" s="11" t="str">
        <f>IFERROR(__xludf.DUMMYFUNCTION("""COMPUTED_VALUE"""),"Dentsu, WPP, Accenture Song, Publicis Groupe, IBM, R/GA, Ogilvy, AKQA, VML, Clutch")</f>
        <v>Dentsu, WPP, Accenture Song, Publicis Groupe, IBM, R/GA, Ogilvy, AKQA, VML, Clutch</v>
      </c>
      <c r="I939" s="11">
        <f>IFERROR(__xludf.DUMMYFUNCTION("""COMPUTED_VALUE"""),1.0)</f>
        <v>1</v>
      </c>
      <c r="J939" s="11">
        <f>IFERROR(__xludf.DUMMYFUNCTION("""COMPUTED_VALUE"""),0.0)</f>
        <v>0</v>
      </c>
      <c r="K939" s="11">
        <f>IFERROR(__xludf.DUMMYFUNCTION("""COMPUTED_VALUE"""),0.0)</f>
        <v>0</v>
      </c>
    </row>
    <row r="940" ht="15.75" customHeight="1">
      <c r="A940" s="10" t="str">
        <f>IFERROR(__xludf.DUMMYFUNCTION("""COMPUTED_VALUE"""),"https://worldmetrics.org/service/digital-media-planning/")</f>
        <v>https://worldmetrics.org/service/digital-media-planning/</v>
      </c>
      <c r="B940" s="11" t="str">
        <f>IFERROR(__xludf.DUMMYFUNCTION("""COMPUTED_VALUE"""),"Best Digital Media Planning Services | 2026 Rankings")</f>
        <v>Best Digital Media Planning Services | 2026 Rankings</v>
      </c>
      <c r="C940" s="10" t="str">
        <f>IFERROR(__xludf.DUMMYFUNCTION("""COMPUTED_VALUE"""),"worldmetrics.org")</f>
        <v>worldmetrics.org</v>
      </c>
      <c r="D940" s="11" t="str">
        <f>IFERROR(__xludf.DUMMYFUNCTION("""COMPUTED_VALUE"""),"LISTICLE")</f>
        <v>LISTICLE</v>
      </c>
      <c r="E940" s="11" t="str">
        <f>IFERROR(__xludf.DUMMYFUNCTION("""COMPUTED_VALUE"""),"REFERENCE")</f>
        <v>REFERENCE</v>
      </c>
      <c r="F940" s="11" t="str">
        <f>IFERROR(__xludf.DUMMYFUNCTION("""COMPUTED_VALUE"""),"Listicle")</f>
        <v>Listicle</v>
      </c>
      <c r="G940" s="11" t="b">
        <f>IFERROR(__xludf.DUMMYFUNCTION("""COMPUTED_VALUE"""),FALSE)</f>
        <v>0</v>
      </c>
      <c r="H940" s="11" t="str">
        <f>IFERROR(__xludf.DUMMYFUNCTION("""COMPUTED_VALUE"""),"GroupM, Dentsu, Measured, Accenture Song, Deloitte Digital, WPP, Merkle, VML, Clutch")</f>
        <v>GroupM, Dentsu, Measured, Accenture Song, Deloitte Digital, WPP, Merkle, VML, Clutch</v>
      </c>
      <c r="I940" s="11">
        <f>IFERROR(__xludf.DUMMYFUNCTION("""COMPUTED_VALUE"""),1.0)</f>
        <v>1</v>
      </c>
      <c r="J940" s="11">
        <f>IFERROR(__xludf.DUMMYFUNCTION("""COMPUTED_VALUE"""),0.0)</f>
        <v>0</v>
      </c>
      <c r="K940" s="11">
        <f>IFERROR(__xludf.DUMMYFUNCTION("""COMPUTED_VALUE"""),0.0)</f>
        <v>0</v>
      </c>
    </row>
    <row r="941" ht="15.75" customHeight="1">
      <c r="A941" s="10" t="str">
        <f>IFERROR(__xludf.DUMMYFUNCTION("""COMPUTED_VALUE"""),"https://worldmetrics.org/service/digital-media-production/")</f>
        <v>https://worldmetrics.org/service/digital-media-production/</v>
      </c>
      <c r="B941" s="11" t="str">
        <f>IFERROR(__xludf.DUMMYFUNCTION("""COMPUTED_VALUE"""),"Best Digital Media Production Services (2026)")</f>
        <v>Best Digital Media Production Services (2026)</v>
      </c>
      <c r="C941" s="10" t="str">
        <f>IFERROR(__xludf.DUMMYFUNCTION("""COMPUTED_VALUE"""),"worldmetrics.org")</f>
        <v>worldmetrics.org</v>
      </c>
      <c r="D941" s="11" t="str">
        <f>IFERROR(__xludf.DUMMYFUNCTION("""COMPUTED_VALUE"""),"LISTICLE")</f>
        <v>LISTICLE</v>
      </c>
      <c r="E941" s="11" t="str">
        <f>IFERROR(__xludf.DUMMYFUNCTION("""COMPUTED_VALUE"""),"REFERENCE")</f>
        <v>REFERENCE</v>
      </c>
      <c r="F941" s="11" t="str">
        <f>IFERROR(__xludf.DUMMYFUNCTION("""COMPUTED_VALUE"""),"Listicle")</f>
        <v>Listicle</v>
      </c>
      <c r="G941" s="11" t="b">
        <f>IFERROR(__xludf.DUMMYFUNCTION("""COMPUTED_VALUE"""),FALSE)</f>
        <v>0</v>
      </c>
      <c r="H941" s="11" t="str">
        <f>IFERROR(__xludf.DUMMYFUNCTION("""COMPUTED_VALUE"""),"Wieden+Kennedy, R/GA, AKQA, Dentsu, VML, Clutch")</f>
        <v>Wieden+Kennedy, R/GA, AKQA, Dentsu, VML, Clutch</v>
      </c>
      <c r="I941" s="11">
        <f>IFERROR(__xludf.DUMMYFUNCTION("""COMPUTED_VALUE"""),1.0)</f>
        <v>1</v>
      </c>
      <c r="J941" s="11">
        <f>IFERROR(__xludf.DUMMYFUNCTION("""COMPUTED_VALUE"""),0.0)</f>
        <v>0</v>
      </c>
      <c r="K941" s="11">
        <f>IFERROR(__xludf.DUMMYFUNCTION("""COMPUTED_VALUE"""),0.0)</f>
        <v>0</v>
      </c>
    </row>
    <row r="942" ht="15.75" customHeight="1">
      <c r="A942" s="10" t="str">
        <f>IFERROR(__xludf.DUMMYFUNCTION("""COMPUTED_VALUE"""),"https://xcelacore.com/ai-consultants-for-mid-sized-companies/")</f>
        <v>https://xcelacore.com/ai-consultants-for-mid-sized-companies/</v>
      </c>
      <c r="B942" s="11" t="str">
        <f>IFERROR(__xludf.DUMMYFUNCTION("""COMPUTED_VALUE"""),"Top AI Consultants for Mid-Sized Companies (2026)")</f>
        <v>Top AI Consultants for Mid-Sized Companies (2026)</v>
      </c>
      <c r="C942" s="10" t="str">
        <f>IFERROR(__xludf.DUMMYFUNCTION("""COMPUTED_VALUE"""),"xcelacore.com")</f>
        <v>xcelacore.com</v>
      </c>
      <c r="D942" s="11" t="str">
        <f>IFERROR(__xludf.DUMMYFUNCTION("""COMPUTED_VALUE"""),"LISTICLE")</f>
        <v>LISTICLE</v>
      </c>
      <c r="E942" s="11" t="str">
        <f>IFERROR(__xludf.DUMMYFUNCTION("""COMPUTED_VALUE"""),"CORPORATE")</f>
        <v>CORPORATE</v>
      </c>
      <c r="F942" s="11" t="str">
        <f>IFERROR(__xludf.DUMMYFUNCTION("""COMPUTED_VALUE"""),"Listicle")</f>
        <v>Listicle</v>
      </c>
      <c r="G942" s="11" t="b">
        <f>IFERROR(__xludf.DUMMYFUNCTION("""COMPUTED_VALUE"""),FALSE)</f>
        <v>0</v>
      </c>
      <c r="H942" s="11" t="str">
        <f>IFERROR(__xludf.DUMMYFUNCTION("""COMPUTED_VALUE"""),"BCG, PwC")</f>
        <v>BCG, PwC</v>
      </c>
      <c r="I942" s="11">
        <f>IFERROR(__xludf.DUMMYFUNCTION("""COMPUTED_VALUE"""),1.0)</f>
        <v>1</v>
      </c>
      <c r="J942" s="11">
        <f>IFERROR(__xludf.DUMMYFUNCTION("""COMPUTED_VALUE"""),0.0)</f>
        <v>0</v>
      </c>
      <c r="K942" s="11">
        <f>IFERROR(__xludf.DUMMYFUNCTION("""COMPUTED_VALUE"""),2.0)</f>
        <v>2</v>
      </c>
    </row>
    <row r="943" ht="15.75" customHeight="1">
      <c r="A943" s="10" t="str">
        <f>IFERROR(__xludf.DUMMYFUNCTION("""COMPUTED_VALUE"""),"https://xcelacore.com/best-ai-automation-agencies-usa-guide/")</f>
        <v>https://xcelacore.com/best-ai-automation-agencies-usa-guide/</v>
      </c>
      <c r="B943" s="11" t="str">
        <f>IFERROR(__xludf.DUMMYFUNCTION("""COMPUTED_VALUE"""),"Top AI Automation Agencies in the USA: Best Enterprise Solutions")</f>
        <v>Top AI Automation Agencies in the USA: Best Enterprise Solutions</v>
      </c>
      <c r="C943" s="10" t="str">
        <f>IFERROR(__xludf.DUMMYFUNCTION("""COMPUTED_VALUE"""),"xcelacore.com")</f>
        <v>xcelacore.com</v>
      </c>
      <c r="D943" s="11" t="str">
        <f>IFERROR(__xludf.DUMMYFUNCTION("""COMPUTED_VALUE"""),"LISTICLE")</f>
        <v>LISTICLE</v>
      </c>
      <c r="E943" s="11" t="str">
        <f>IFERROR(__xludf.DUMMYFUNCTION("""COMPUTED_VALUE"""),"CORPORATE")</f>
        <v>CORPORATE</v>
      </c>
      <c r="F943" s="11" t="str">
        <f>IFERROR(__xludf.DUMMYFUNCTION("""COMPUTED_VALUE"""),"Listicle")</f>
        <v>Listicle</v>
      </c>
      <c r="G943" s="11" t="b">
        <f>IFERROR(__xludf.DUMMYFUNCTION("""COMPUTED_VALUE"""),FALSE)</f>
        <v>0</v>
      </c>
      <c r="H943" s="11" t="str">
        <f>IFERROR(__xludf.DUMMYFUNCTION("""COMPUTED_VALUE"""),"Slalom")</f>
        <v>Slalom</v>
      </c>
      <c r="I943" s="11">
        <f>IFERROR(__xludf.DUMMYFUNCTION("""COMPUTED_VALUE"""),1.0)</f>
        <v>1</v>
      </c>
      <c r="J943" s="11">
        <f>IFERROR(__xludf.DUMMYFUNCTION("""COMPUTED_VALUE"""),0.0)</f>
        <v>0</v>
      </c>
      <c r="K943" s="11">
        <f>IFERROR(__xludf.DUMMYFUNCTION("""COMPUTED_VALUE"""),1.0)</f>
        <v>1</v>
      </c>
    </row>
    <row r="944" ht="15.75" customHeight="1">
      <c r="A944" s="10" t="str">
        <f>IFERROR(__xludf.DUMMYFUNCTION("""COMPUTED_VALUE"""),"https://yourcontentmart.co/best-answer-engine-optimization-agencies/")</f>
        <v>https://yourcontentmart.co/best-answer-engine-optimization-agencies/</v>
      </c>
      <c r="B944" s="11" t="str">
        <f>IFERROR(__xludf.DUMMYFUNCTION("""COMPUTED_VALUE"""),"7 Best Answer Engine Optimization Agencies for SaaS Companies")</f>
        <v>7 Best Answer Engine Optimization Agencies for SaaS Companies</v>
      </c>
      <c r="C944" s="10" t="str">
        <f>IFERROR(__xludf.DUMMYFUNCTION("""COMPUTED_VALUE"""),"yourcontentmart.co")</f>
        <v>yourcontentmart.co</v>
      </c>
      <c r="D944" s="11" t="str">
        <f>IFERROR(__xludf.DUMMYFUNCTION("""COMPUTED_VALUE"""),"LISTICLE")</f>
        <v>LISTICLE</v>
      </c>
      <c r="E944" s="11" t="str">
        <f>IFERROR(__xludf.DUMMYFUNCTION("""COMPUTED_VALUE"""),"CORPORATE")</f>
        <v>CORPORATE</v>
      </c>
      <c r="F944" s="11" t="str">
        <f>IFERROR(__xludf.DUMMYFUNCTION("""COMPUTED_VALUE"""),"Listicle")</f>
        <v>Listicle</v>
      </c>
      <c r="G944" s="11" t="b">
        <f>IFERROR(__xludf.DUMMYFUNCTION("""COMPUTED_VALUE"""),FALSE)</f>
        <v>0</v>
      </c>
      <c r="H944" s="11" t="str">
        <f>IFERROR(__xludf.DUMMYFUNCTION("""COMPUTED_VALUE"""),"iPullRank, Omniscient Digital, Discovered Labs, NoGood, Momentum, Clutch")</f>
        <v>iPullRank, Omniscient Digital, Discovered Labs, NoGood, Momentum, Clutch</v>
      </c>
      <c r="I944" s="11">
        <f>IFERROR(__xludf.DUMMYFUNCTION("""COMPUTED_VALUE"""),1.0)</f>
        <v>1</v>
      </c>
      <c r="J944" s="11">
        <f>IFERROR(__xludf.DUMMYFUNCTION("""COMPUTED_VALUE"""),0.0)</f>
        <v>0</v>
      </c>
      <c r="K944" s="11">
        <f>IFERROR(__xludf.DUMMYFUNCTION("""COMPUTED_VALUE"""),1.0)</f>
        <v>1</v>
      </c>
    </row>
    <row r="945" ht="15.75" customHeight="1">
      <c r="A945" s="10" t="str">
        <f>IFERROR(__xludf.DUMMYFUNCTION("""COMPUTED_VALUE"""),"https://www.youtube.com/shorts/-1J3sczOLNs")</f>
        <v>https://www.youtube.com/shorts/-1J3sczOLNs</v>
      </c>
      <c r="B945" s="11" t="str">
        <f>IFERROR(__xludf.DUMMYFUNCTION("""COMPUTED_VALUE"""),"5 Best Answer Engine Optimization (AEO) Agencies in 2026")</f>
        <v>5 Best Answer Engine Optimization (AEO) Agencies in 2026</v>
      </c>
      <c r="C945" s="10" t="str">
        <f>IFERROR(__xludf.DUMMYFUNCTION("""COMPUTED_VALUE"""),"youtube.com")</f>
        <v>youtube.com</v>
      </c>
      <c r="D945" s="11" t="str">
        <f>IFERROR(__xludf.DUMMYFUNCTION("""COMPUTED_VALUE"""),"LISTICLE")</f>
        <v>LISTICLE</v>
      </c>
      <c r="E945" s="11" t="str">
        <f>IFERROR(__xludf.DUMMYFUNCTION("""COMPUTED_VALUE"""),"UGC")</f>
        <v>UGC</v>
      </c>
      <c r="F945" s="11" t="str">
        <f>IFERROR(__xludf.DUMMYFUNCTION("""COMPUTED_VALUE"""),"Listicle")</f>
        <v>Listicle</v>
      </c>
      <c r="G945" s="11" t="b">
        <f>IFERROR(__xludf.DUMMYFUNCTION("""COMPUTED_VALUE"""),FALSE)</f>
        <v>0</v>
      </c>
      <c r="H945" s="11" t="str">
        <f>IFERROR(__xludf.DUMMYFUNCTION("""COMPUTED_VALUE"""),"Single Grain, First Page Sage, Siege Media")</f>
        <v>Single Grain, First Page Sage, Siege Media</v>
      </c>
      <c r="I945" s="11">
        <f>IFERROR(__xludf.DUMMYFUNCTION("""COMPUTED_VALUE"""),1.0)</f>
        <v>1</v>
      </c>
      <c r="J945" s="11">
        <f>IFERROR(__xludf.DUMMYFUNCTION("""COMPUTED_VALUE"""),0.0)</f>
        <v>0</v>
      </c>
      <c r="K945" s="11">
        <f>IFERROR(__xludf.DUMMYFUNCTION("""COMPUTED_VALUE"""),1.0)</f>
        <v>1</v>
      </c>
    </row>
    <row r="946" ht="15.75" customHeight="1">
      <c r="A946" s="10" t="str">
        <f>IFERROR(__xludf.DUMMYFUNCTION("""COMPUTED_VALUE"""),"https://www.youtube.com/watch?v=3KVWXIXXyJo")</f>
        <v>https://www.youtube.com/watch?v=3KVWXIXXyJo</v>
      </c>
      <c r="B946" s="11" t="str">
        <f>IFERROR(__xludf.DUMMYFUNCTION("""COMPUTED_VALUE"""),"What Are the Best Generative Engine Optimization (GEO) Agencies in Moreno Valley?")</f>
        <v>What Are the Best Generative Engine Optimization (GEO) Agencies in Moreno Valley?</v>
      </c>
      <c r="C946" s="10" t="str">
        <f>IFERROR(__xludf.DUMMYFUNCTION("""COMPUTED_VALUE"""),"youtube.com")</f>
        <v>youtube.com</v>
      </c>
      <c r="D946" s="11" t="str">
        <f>IFERROR(__xludf.DUMMYFUNCTION("""COMPUTED_VALUE"""),"LISTICLE")</f>
        <v>LISTICLE</v>
      </c>
      <c r="E946" s="11" t="str">
        <f>IFERROR(__xludf.DUMMYFUNCTION("""COMPUTED_VALUE"""),"UGC")</f>
        <v>UGC</v>
      </c>
      <c r="F946" s="11" t="str">
        <f>IFERROR(__xludf.DUMMYFUNCTION("""COMPUTED_VALUE"""),"Listicle")</f>
        <v>Listicle</v>
      </c>
      <c r="G946" s="11" t="b">
        <f>IFERROR(__xludf.DUMMYFUNCTION("""COMPUTED_VALUE"""),FALSE)</f>
        <v>0</v>
      </c>
      <c r="H946" s="11"/>
      <c r="I946" s="11">
        <f>IFERROR(__xludf.DUMMYFUNCTION("""COMPUTED_VALUE"""),1.0)</f>
        <v>1</v>
      </c>
      <c r="J946" s="11">
        <f>IFERROR(__xludf.DUMMYFUNCTION("""COMPUTED_VALUE"""),0.0)</f>
        <v>0</v>
      </c>
      <c r="K946" s="11">
        <f>IFERROR(__xludf.DUMMYFUNCTION("""COMPUTED_VALUE"""),1.0)</f>
        <v>1</v>
      </c>
    </row>
    <row r="947" ht="15.75" customHeight="1">
      <c r="A947" s="10" t="str">
        <f>IFERROR(__xludf.DUMMYFUNCTION("""COMPUTED_VALUE"""),"https://www.youtube.com/watch?v=AF_p3QnDcNE&amp;t=358")</f>
        <v>https://www.youtube.com/watch?v=AF_p3QnDcNE&amp;t=358</v>
      </c>
      <c r="B947" s="11" t="str">
        <f>IFERROR(__xludf.DUMMYFUNCTION("""COMPUTED_VALUE"""),"5 AI Search Signals Winning Rankings in 2026")</f>
        <v>5 AI Search Signals Winning Rankings in 2026</v>
      </c>
      <c r="C947" s="10" t="str">
        <f>IFERROR(__xludf.DUMMYFUNCTION("""COMPUTED_VALUE"""),"youtube.com")</f>
        <v>youtube.com</v>
      </c>
      <c r="D947" s="11" t="str">
        <f>IFERROR(__xludf.DUMMYFUNCTION("""COMPUTED_VALUE"""),"LISTICLE")</f>
        <v>LISTICLE</v>
      </c>
      <c r="E947" s="11" t="str">
        <f>IFERROR(__xludf.DUMMYFUNCTION("""COMPUTED_VALUE"""),"UGC")</f>
        <v>UGC</v>
      </c>
      <c r="F947" s="11" t="str">
        <f>IFERROR(__xludf.DUMMYFUNCTION("""COMPUTED_VALUE"""),"Listicle")</f>
        <v>Listicle</v>
      </c>
      <c r="G947" s="11" t="b">
        <f>IFERROR(__xludf.DUMMYFUNCTION("""COMPUTED_VALUE"""),FALSE)</f>
        <v>0</v>
      </c>
      <c r="H947" s="11"/>
      <c r="I947" s="11">
        <f>IFERROR(__xludf.DUMMYFUNCTION("""COMPUTED_VALUE"""),1.0)</f>
        <v>1</v>
      </c>
      <c r="J947" s="11">
        <f>IFERROR(__xludf.DUMMYFUNCTION("""COMPUTED_VALUE"""),0.0)</f>
        <v>0</v>
      </c>
      <c r="K947" s="11">
        <f>IFERROR(__xludf.DUMMYFUNCTION("""COMPUTED_VALUE"""),1.0)</f>
        <v>1</v>
      </c>
    </row>
    <row r="948" ht="15.75" customHeight="1">
      <c r="A948" s="10" t="str">
        <f>IFERROR(__xludf.DUMMYFUNCTION("""COMPUTED_VALUE"""),"https://www.youtube.com/watch?v=GBZzmnhPh4U&amp;t=5")</f>
        <v>https://www.youtube.com/watch?v=GBZzmnhPh4U&amp;t=5</v>
      </c>
      <c r="B948" s="11" t="str">
        <f>IFERROR(__xludf.DUMMYFUNCTION("""COMPUTED_VALUE"""),"What Are The 10 Best Artificial Intelligence (AI) Consulting Firms?")</f>
        <v>What Are The 10 Best Artificial Intelligence (AI) Consulting Firms?</v>
      </c>
      <c r="C948" s="10" t="str">
        <f>IFERROR(__xludf.DUMMYFUNCTION("""COMPUTED_VALUE"""),"youtube.com")</f>
        <v>youtube.com</v>
      </c>
      <c r="D948" s="11" t="str">
        <f>IFERROR(__xludf.DUMMYFUNCTION("""COMPUTED_VALUE"""),"LISTICLE")</f>
        <v>LISTICLE</v>
      </c>
      <c r="E948" s="11" t="str">
        <f>IFERROR(__xludf.DUMMYFUNCTION("""COMPUTED_VALUE"""),"UGC")</f>
        <v>UGC</v>
      </c>
      <c r="F948" s="11" t="str">
        <f>IFERROR(__xludf.DUMMYFUNCTION("""COMPUTED_VALUE"""),"Listicle")</f>
        <v>Listicle</v>
      </c>
      <c r="G948" s="11" t="b">
        <f>IFERROR(__xludf.DUMMYFUNCTION("""COMPUTED_VALUE"""),FALSE)</f>
        <v>0</v>
      </c>
      <c r="H948" s="11" t="str">
        <f>IFERROR(__xludf.DUMMYFUNCTION("""COMPUTED_VALUE"""),"PwC, QuantumBlack, McKinsey, BCG, IBM")</f>
        <v>PwC, QuantumBlack, McKinsey, BCG, IBM</v>
      </c>
      <c r="I948" s="11">
        <f>IFERROR(__xludf.DUMMYFUNCTION("""COMPUTED_VALUE"""),1.0)</f>
        <v>1</v>
      </c>
      <c r="J948" s="11">
        <f>IFERROR(__xludf.DUMMYFUNCTION("""COMPUTED_VALUE"""),0.0)</f>
        <v>0</v>
      </c>
      <c r="K948" s="11">
        <f>IFERROR(__xludf.DUMMYFUNCTION("""COMPUTED_VALUE"""),2.0)</f>
        <v>2</v>
      </c>
    </row>
    <row r="949" ht="15.75" customHeight="1">
      <c r="A949" s="10" t="str">
        <f>IFERROR(__xludf.DUMMYFUNCTION("""COMPUTED_VALUE"""),"https://www.youtube.com/watch?v=IjasEPvA-K4")</f>
        <v>https://www.youtube.com/watch?v=IjasEPvA-K4</v>
      </c>
      <c r="B949" s="11" t="str">
        <f>IFERROR(__xludf.DUMMYFUNCTION("""COMPUTED_VALUE"""),"Top 10 AI-Native B2B Marketing Agencies for 2026 | Unbiased list")</f>
        <v>Top 10 AI-Native B2B Marketing Agencies for 2026 | Unbiased list</v>
      </c>
      <c r="C949" s="10" t="str">
        <f>IFERROR(__xludf.DUMMYFUNCTION("""COMPUTED_VALUE"""),"youtube.com")</f>
        <v>youtube.com</v>
      </c>
      <c r="D949" s="11" t="str">
        <f>IFERROR(__xludf.DUMMYFUNCTION("""COMPUTED_VALUE"""),"LISTICLE")</f>
        <v>LISTICLE</v>
      </c>
      <c r="E949" s="11" t="str">
        <f>IFERROR(__xludf.DUMMYFUNCTION("""COMPUTED_VALUE"""),"UGC")</f>
        <v>UGC</v>
      </c>
      <c r="F949" s="11" t="str">
        <f>IFERROR(__xludf.DUMMYFUNCTION("""COMPUTED_VALUE"""),"Listicle")</f>
        <v>Listicle</v>
      </c>
      <c r="G949" s="11" t="b">
        <f>IFERROR(__xludf.DUMMYFUNCTION("""COMPUTED_VALUE"""),FALSE)</f>
        <v>0</v>
      </c>
      <c r="H949" s="11" t="str">
        <f>IFERROR(__xludf.DUMMYFUNCTION("""COMPUTED_VALUE"""),"Single Grain, Directive, NoGood, Omniscient Digital, Measured, Major Tom, GrowthSpree")</f>
        <v>Single Grain, Directive, NoGood, Omniscient Digital, Measured, Major Tom, GrowthSpree</v>
      </c>
      <c r="I949" s="11">
        <f>IFERROR(__xludf.DUMMYFUNCTION("""COMPUTED_VALUE"""),1.0)</f>
        <v>1</v>
      </c>
      <c r="J949" s="11">
        <f>IFERROR(__xludf.DUMMYFUNCTION("""COMPUTED_VALUE"""),0.0)</f>
        <v>0</v>
      </c>
      <c r="K949" s="11">
        <f>IFERROR(__xludf.DUMMYFUNCTION("""COMPUTED_VALUE"""),1.0)</f>
        <v>1</v>
      </c>
    </row>
    <row r="950" ht="15.75" customHeight="1">
      <c r="A950" s="10" t="str">
        <f>IFERROR(__xludf.DUMMYFUNCTION("""COMPUTED_VALUE"""),"https://www.youtube.com/watch?v=NXkXQbQ9-kk&amp;vl=en&amp;t=332")</f>
        <v>https://www.youtube.com/watch?v=NXkXQbQ9-kk&amp;vl=en&amp;t=332</v>
      </c>
      <c r="B950" s="11" t="str">
        <f>IFERROR(__xludf.DUMMYFUNCTION("""COMPUTED_VALUE"""),"Best AI Tools for Generative Engine Optimization (GEO)")</f>
        <v>Best AI Tools for Generative Engine Optimization (GEO)</v>
      </c>
      <c r="C950" s="10" t="str">
        <f>IFERROR(__xludf.DUMMYFUNCTION("""COMPUTED_VALUE"""),"youtube.com")</f>
        <v>youtube.com</v>
      </c>
      <c r="D950" s="11" t="str">
        <f>IFERROR(__xludf.DUMMYFUNCTION("""COMPUTED_VALUE"""),"LISTICLE")</f>
        <v>LISTICLE</v>
      </c>
      <c r="E950" s="11" t="str">
        <f>IFERROR(__xludf.DUMMYFUNCTION("""COMPUTED_VALUE"""),"UGC")</f>
        <v>UGC</v>
      </c>
      <c r="F950" s="11" t="str">
        <f>IFERROR(__xludf.DUMMYFUNCTION("""COMPUTED_VALUE"""),"Listicle")</f>
        <v>Listicle</v>
      </c>
      <c r="G950" s="11" t="b">
        <f>IFERROR(__xludf.DUMMYFUNCTION("""COMPUTED_VALUE"""),FALSE)</f>
        <v>0</v>
      </c>
      <c r="H950" s="11"/>
      <c r="I950" s="11">
        <f>IFERROR(__xludf.DUMMYFUNCTION("""COMPUTED_VALUE"""),1.0)</f>
        <v>1</v>
      </c>
      <c r="J950" s="11">
        <f>IFERROR(__xludf.DUMMYFUNCTION("""COMPUTED_VALUE"""),0.0)</f>
        <v>0</v>
      </c>
      <c r="K950" s="11">
        <f>IFERROR(__xludf.DUMMYFUNCTION("""COMPUTED_VALUE"""),1.0)</f>
        <v>1</v>
      </c>
    </row>
    <row r="951" ht="15.75" customHeight="1">
      <c r="A951" s="10" t="str">
        <f>IFERROR(__xludf.DUMMYFUNCTION("""COMPUTED_VALUE"""),"https://www.youtube.com/watch?v=yIAxLp4yY3E")</f>
        <v>https://www.youtube.com/watch?v=yIAxLp4yY3E</v>
      </c>
      <c r="B951" s="11" t="str">
        <f>IFERROR(__xludf.DUMMYFUNCTION("""COMPUTED_VALUE"""),"7 Best B2B SaaS Marketing Agencies Under $5,000/Month in 2026")</f>
        <v>7 Best B2B SaaS Marketing Agencies Under $5,000/Month in 2026</v>
      </c>
      <c r="C951" s="10" t="str">
        <f>IFERROR(__xludf.DUMMYFUNCTION("""COMPUTED_VALUE"""),"youtube.com")</f>
        <v>youtube.com</v>
      </c>
      <c r="D951" s="11" t="str">
        <f>IFERROR(__xludf.DUMMYFUNCTION("""COMPUTED_VALUE"""),"LISTICLE")</f>
        <v>LISTICLE</v>
      </c>
      <c r="E951" s="11" t="str">
        <f>IFERROR(__xludf.DUMMYFUNCTION("""COMPUTED_VALUE"""),"UGC")</f>
        <v>UGC</v>
      </c>
      <c r="F951" s="11" t="str">
        <f>IFERROR(__xludf.DUMMYFUNCTION("""COMPUTED_VALUE"""),"Listicle")</f>
        <v>Listicle</v>
      </c>
      <c r="G951" s="11" t="b">
        <f>IFERROR(__xludf.DUMMYFUNCTION("""COMPUTED_VALUE"""),FALSE)</f>
        <v>0</v>
      </c>
      <c r="H951" s="11" t="str">
        <f>IFERROR(__xludf.DUMMYFUNCTION("""COMPUTED_VALUE"""),"GrowthSpree, AdVenture Media, Searchbloom, Clutch")</f>
        <v>GrowthSpree, AdVenture Media, Searchbloom, Clutch</v>
      </c>
      <c r="I951" s="11">
        <f>IFERROR(__xludf.DUMMYFUNCTION("""COMPUTED_VALUE"""),1.0)</f>
        <v>1</v>
      </c>
      <c r="J951" s="11">
        <f>IFERROR(__xludf.DUMMYFUNCTION("""COMPUTED_VALUE"""),0.0)</f>
        <v>0</v>
      </c>
      <c r="K951" s="11">
        <f>IFERROR(__xludf.DUMMYFUNCTION("""COMPUTED_VALUE"""),1.0)</f>
        <v>1</v>
      </c>
    </row>
    <row r="952" ht="15.75" customHeight="1">
      <c r="A952" s="10" t="str">
        <f>IFERROR(__xludf.DUMMYFUNCTION("""COMPUTED_VALUE"""),"https://zeroado.com/blog/best-marketing-agencies-for-small-businesses")</f>
        <v>https://zeroado.com/blog/best-marketing-agencies-for-small-businesses</v>
      </c>
      <c r="B952" s="11" t="str">
        <f>IFERROR(__xludf.DUMMYFUNCTION("""COMPUTED_VALUE"""),"7 Best Marketing Agencies for Small Businesses in India")</f>
        <v>7 Best Marketing Agencies for Small Businesses in India</v>
      </c>
      <c r="C952" s="10" t="str">
        <f>IFERROR(__xludf.DUMMYFUNCTION("""COMPUTED_VALUE"""),"zeroado.com")</f>
        <v>zeroado.com</v>
      </c>
      <c r="D952" s="11" t="str">
        <f>IFERROR(__xludf.DUMMYFUNCTION("""COMPUTED_VALUE"""),"LISTICLE")</f>
        <v>LISTICLE</v>
      </c>
      <c r="E952" s="11" t="str">
        <f>IFERROR(__xludf.DUMMYFUNCTION("""COMPUTED_VALUE"""),"CORPORATE")</f>
        <v>CORPORATE</v>
      </c>
      <c r="F952" s="11" t="str">
        <f>IFERROR(__xludf.DUMMYFUNCTION("""COMPUTED_VALUE"""),"Listicle")</f>
        <v>Listicle</v>
      </c>
      <c r="G952" s="11" t="b">
        <f>IFERROR(__xludf.DUMMYFUNCTION("""COMPUTED_VALUE"""),FALSE)</f>
        <v>0</v>
      </c>
      <c r="H952" s="11" t="str">
        <f>IFERROR(__xludf.DUMMYFUNCTION("""COMPUTED_VALUE"""),"IBM, Huge")</f>
        <v>IBM, Huge</v>
      </c>
      <c r="I952" s="11">
        <f>IFERROR(__xludf.DUMMYFUNCTION("""COMPUTED_VALUE"""),1.0)</f>
        <v>1</v>
      </c>
      <c r="J952" s="11">
        <f>IFERROR(__xludf.DUMMYFUNCTION("""COMPUTED_VALUE"""),0.0)</f>
        <v>0</v>
      </c>
      <c r="K952" s="11">
        <f>IFERROR(__xludf.DUMMYFUNCTION("""COMPUTED_VALUE"""),1.0)</f>
        <v>1</v>
      </c>
    </row>
    <row r="953" ht="15.75" customHeight="1">
      <c r="A953" s="10" t="str">
        <f>IFERROR(__xludf.DUMMYFUNCTION("""COMPUTED_VALUE"""),"https://zeroado.com/blog/generative-engine-optimization-agencies-in-bangalore")</f>
        <v>https://zeroado.com/blog/generative-engine-optimization-agencies-in-bangalore</v>
      </c>
      <c r="B953" s="11" t="str">
        <f>IFERROR(__xludf.DUMMYFUNCTION("""COMPUTED_VALUE"""),"7 Best GEO Agencies in Bangalore for AI SEO in 2026")</f>
        <v>7 Best GEO Agencies in Bangalore for AI SEO in 2026</v>
      </c>
      <c r="C953" s="10" t="str">
        <f>IFERROR(__xludf.DUMMYFUNCTION("""COMPUTED_VALUE"""),"zeroado.com")</f>
        <v>zeroado.com</v>
      </c>
      <c r="D953" s="11" t="str">
        <f>IFERROR(__xludf.DUMMYFUNCTION("""COMPUTED_VALUE"""),"LISTICLE")</f>
        <v>LISTICLE</v>
      </c>
      <c r="E953" s="11" t="str">
        <f>IFERROR(__xludf.DUMMYFUNCTION("""COMPUTED_VALUE"""),"CORPORATE")</f>
        <v>CORPORATE</v>
      </c>
      <c r="F953" s="11" t="str">
        <f>IFERROR(__xludf.DUMMYFUNCTION("""COMPUTED_VALUE"""),"Listicle")</f>
        <v>Listicle</v>
      </c>
      <c r="G953" s="11" t="b">
        <f>IFERROR(__xludf.DUMMYFUNCTION("""COMPUTED_VALUE"""),FALSE)</f>
        <v>0</v>
      </c>
      <c r="H953" s="11" t="str">
        <f>IFERROR(__xludf.DUMMYFUNCTION("""COMPUTED_VALUE"""),"Clutch")</f>
        <v>Clutch</v>
      </c>
      <c r="I953" s="11">
        <f>IFERROR(__xludf.DUMMYFUNCTION("""COMPUTED_VALUE"""),1.0)</f>
        <v>1</v>
      </c>
      <c r="J953" s="11">
        <f>IFERROR(__xludf.DUMMYFUNCTION("""COMPUTED_VALUE"""),0.0)</f>
        <v>0</v>
      </c>
      <c r="K953" s="11">
        <f>IFERROR(__xludf.DUMMYFUNCTION("""COMPUTED_VALUE"""),0.0)</f>
        <v>0</v>
      </c>
    </row>
    <row r="954" ht="15.75" customHeight="1">
      <c r="A954" s="10" t="str">
        <f>IFERROR(__xludf.DUMMYFUNCTION("""COMPUTED_VALUE"""),"https://zipdo.co/service/business-digital-marketing/")</f>
        <v>https://zipdo.co/service/business-digital-marketing/</v>
      </c>
      <c r="B954" s="11" t="str">
        <f>IFERROR(__xludf.DUMMYFUNCTION("""COMPUTED_VALUE"""),"Best Business Digital Marketing Services | 2026 Rankings")</f>
        <v>Best Business Digital Marketing Services | 2026 Rankings</v>
      </c>
      <c r="C954" s="10" t="str">
        <f>IFERROR(__xludf.DUMMYFUNCTION("""COMPUTED_VALUE"""),"zipdo.co")</f>
        <v>zipdo.co</v>
      </c>
      <c r="D954" s="11" t="str">
        <f>IFERROR(__xludf.DUMMYFUNCTION("""COMPUTED_VALUE"""),"LISTICLE")</f>
        <v>LISTICLE</v>
      </c>
      <c r="E954" s="11" t="str">
        <f>IFERROR(__xludf.DUMMYFUNCTION("""COMPUTED_VALUE"""),"REFERENCE")</f>
        <v>REFERENCE</v>
      </c>
      <c r="F954" s="11" t="str">
        <f>IFERROR(__xludf.DUMMYFUNCTION("""COMPUTED_VALUE"""),"Listicle")</f>
        <v>Listicle</v>
      </c>
      <c r="G954" s="11" t="b">
        <f>IFERROR(__xludf.DUMMYFUNCTION("""COMPUTED_VALUE"""),FALSE)</f>
        <v>0</v>
      </c>
      <c r="H954" s="11" t="str">
        <f>IFERROR(__xludf.DUMMYFUNCTION("""COMPUTED_VALUE"""),"WPP, Dentsu, Publicis Groupe, Accenture Song, IBM, Merkle, Publicis Sapient, iProspect, Thrive Internet Marketing Agency, Momentum, Clutch")</f>
        <v>WPP, Dentsu, Publicis Groupe, Accenture Song, IBM, Merkle, Publicis Sapient, iProspect, Thrive Internet Marketing Agency, Momentum, Clutch</v>
      </c>
      <c r="I954" s="11">
        <f>IFERROR(__xludf.DUMMYFUNCTION("""COMPUTED_VALUE"""),1.0)</f>
        <v>1</v>
      </c>
      <c r="J954" s="11">
        <f>IFERROR(__xludf.DUMMYFUNCTION("""COMPUTED_VALUE"""),0.0)</f>
        <v>0</v>
      </c>
      <c r="K954" s="11">
        <f>IFERROR(__xludf.DUMMYFUNCTION("""COMPUTED_VALUE"""),1.0)</f>
        <v>1</v>
      </c>
    </row>
    <row r="955" ht="15.75" customHeight="1">
      <c r="A955" s="10" t="str">
        <f>IFERROR(__xludf.DUMMYFUNCTION("""COMPUTED_VALUE"""),"https://zipdo.co/service/digital-marketing-analytics/")</f>
        <v>https://zipdo.co/service/digital-marketing-analytics/</v>
      </c>
      <c r="B955" s="11" t="str">
        <f>IFERROR(__xludf.DUMMYFUNCTION("""COMPUTED_VALUE"""),"Digital Marketing Analytics Services: Best Picks (2026)")</f>
        <v>Digital Marketing Analytics Services: Best Picks (2026)</v>
      </c>
      <c r="C955" s="10" t="str">
        <f>IFERROR(__xludf.DUMMYFUNCTION("""COMPUTED_VALUE"""),"zipdo.co")</f>
        <v>zipdo.co</v>
      </c>
      <c r="D955" s="11" t="str">
        <f>IFERROR(__xludf.DUMMYFUNCTION("""COMPUTED_VALUE"""),"LISTICLE")</f>
        <v>LISTICLE</v>
      </c>
      <c r="E955" s="11" t="str">
        <f>IFERROR(__xludf.DUMMYFUNCTION("""COMPUTED_VALUE"""),"REFERENCE")</f>
        <v>REFERENCE</v>
      </c>
      <c r="F955" s="11" t="str">
        <f>IFERROR(__xludf.DUMMYFUNCTION("""COMPUTED_VALUE"""),"Listicle")</f>
        <v>Listicle</v>
      </c>
      <c r="G955" s="11" t="b">
        <f>IFERROR(__xludf.DUMMYFUNCTION("""COMPUTED_VALUE"""),FALSE)</f>
        <v>0</v>
      </c>
      <c r="H955" s="11" t="str">
        <f>IFERROR(__xludf.DUMMYFUNCTION("""COMPUTED_VALUE"""),"Merkle, Dentsu, Publicis Sapient, Kantar, WebFX, Victorious, Clutch")</f>
        <v>Merkle, Dentsu, Publicis Sapient, Kantar, WebFX, Victorious, Clutch</v>
      </c>
      <c r="I955" s="11">
        <f>IFERROR(__xludf.DUMMYFUNCTION("""COMPUTED_VALUE"""),1.0)</f>
        <v>1</v>
      </c>
      <c r="J955" s="11">
        <f>IFERROR(__xludf.DUMMYFUNCTION("""COMPUTED_VALUE"""),0.0)</f>
        <v>0</v>
      </c>
      <c r="K955" s="11">
        <f>IFERROR(__xludf.DUMMYFUNCTION("""COMPUTED_VALUE"""),0.0)</f>
        <v>0</v>
      </c>
    </row>
    <row r="956" ht="15.75" customHeight="1">
      <c r="A956" s="10" t="str">
        <f>IFERROR(__xludf.DUMMYFUNCTION("""COMPUTED_VALUE"""),"https://zipdo.co/service/first-party-data/")</f>
        <v>https://zipdo.co/service/first-party-data/</v>
      </c>
      <c r="B956" s="11" t="str">
        <f>IFERROR(__xludf.DUMMYFUNCTION("""COMPUTED_VALUE"""),"First Party Data Services: Best Picks (2026)")</f>
        <v>First Party Data Services: Best Picks (2026)</v>
      </c>
      <c r="C956" s="10" t="str">
        <f>IFERROR(__xludf.DUMMYFUNCTION("""COMPUTED_VALUE"""),"zipdo.co")</f>
        <v>zipdo.co</v>
      </c>
      <c r="D956" s="11" t="str">
        <f>IFERROR(__xludf.DUMMYFUNCTION("""COMPUTED_VALUE"""),"LISTICLE")</f>
        <v>LISTICLE</v>
      </c>
      <c r="E956" s="11" t="str">
        <f>IFERROR(__xludf.DUMMYFUNCTION("""COMPUTED_VALUE"""),"REFERENCE")</f>
        <v>REFERENCE</v>
      </c>
      <c r="F956" s="11" t="str">
        <f>IFERROR(__xludf.DUMMYFUNCTION("""COMPUTED_VALUE"""),"Listicle")</f>
        <v>Listicle</v>
      </c>
      <c r="G956" s="11" t="b">
        <f>IFERROR(__xludf.DUMMYFUNCTION("""COMPUTED_VALUE"""),FALSE)</f>
        <v>0</v>
      </c>
      <c r="H956" s="11" t="str">
        <f>IFERROR(__xludf.DUMMYFUNCTION("""COMPUTED_VALUE"""),"Cardinal Path, Merkle, Dentsu, Publicis Groupe, PwC, Clutch")</f>
        <v>Cardinal Path, Merkle, Dentsu, Publicis Groupe, PwC, Clutch</v>
      </c>
      <c r="I956" s="11">
        <f>IFERROR(__xludf.DUMMYFUNCTION("""COMPUTED_VALUE"""),1.0)</f>
        <v>1</v>
      </c>
      <c r="J956" s="11">
        <f>IFERROR(__xludf.DUMMYFUNCTION("""COMPUTED_VALUE"""),0.0)</f>
        <v>0</v>
      </c>
      <c r="K956" s="11">
        <f>IFERROR(__xludf.DUMMYFUNCTION("""COMPUTED_VALUE"""),2.0)</f>
        <v>2</v>
      </c>
    </row>
    <row r="957" ht="15.75" customHeight="1">
      <c r="A957" s="10" t="str">
        <f>IFERROR(__xludf.DUMMYFUNCTION("""COMPUTED_VALUE"""),"https://zipdo.co/service/media-mix-modeling/")</f>
        <v>https://zipdo.co/service/media-mix-modeling/</v>
      </c>
      <c r="B957" s="11" t="str">
        <f>IFERROR(__xludf.DUMMYFUNCTION("""COMPUTED_VALUE"""),"Top 10 Best Media Mix Modeling Services: 2026 Comparison")</f>
        <v>Top 10 Best Media Mix Modeling Services: 2026 Comparison</v>
      </c>
      <c r="C957" s="10" t="str">
        <f>IFERROR(__xludf.DUMMYFUNCTION("""COMPUTED_VALUE"""),"zipdo.co")</f>
        <v>zipdo.co</v>
      </c>
      <c r="D957" s="11" t="str">
        <f>IFERROR(__xludf.DUMMYFUNCTION("""COMPUTED_VALUE"""),"LISTICLE")</f>
        <v>LISTICLE</v>
      </c>
      <c r="E957" s="11" t="str">
        <f>IFERROR(__xludf.DUMMYFUNCTION("""COMPUTED_VALUE"""),"REFERENCE")</f>
        <v>REFERENCE</v>
      </c>
      <c r="F957" s="11" t="str">
        <f>IFERROR(__xludf.DUMMYFUNCTION("""COMPUTED_VALUE"""),"Listicle")</f>
        <v>Listicle</v>
      </c>
      <c r="G957" s="11" t="b">
        <f>IFERROR(__xludf.DUMMYFUNCTION("""COMPUTED_VALUE"""),FALSE)</f>
        <v>0</v>
      </c>
      <c r="H957" s="11" t="str">
        <f>IFERROR(__xludf.DUMMYFUNCTION("""COMPUTED_VALUE"""),"Kantar, Epsilon, Merkle, Dentsu, GroupM, Measured, Momentum, Clutch")</f>
        <v>Kantar, Epsilon, Merkle, Dentsu, GroupM, Measured, Momentum, Clutch</v>
      </c>
      <c r="I957" s="11">
        <f>IFERROR(__xludf.DUMMYFUNCTION("""COMPUTED_VALUE"""),1.0)</f>
        <v>1</v>
      </c>
      <c r="J957" s="11">
        <f>IFERROR(__xludf.DUMMYFUNCTION("""COMPUTED_VALUE"""),0.0)</f>
        <v>0</v>
      </c>
      <c r="K957" s="11">
        <f>IFERROR(__xludf.DUMMYFUNCTION("""COMPUTED_VALUE"""),0.0)</f>
        <v>0</v>
      </c>
    </row>
    <row r="958" ht="15.75" customHeight="1">
      <c r="A958" s="10" t="str">
        <f>IFERROR(__xludf.DUMMYFUNCTION("""COMPUTED_VALUE"""),"https://zryly.net/paid-social-agencies-in-the-u-s/")</f>
        <v>https://zryly.net/paid-social-agencies-in-the-u-s/</v>
      </c>
      <c r="B958" s="11" t="str">
        <f>IFERROR(__xludf.DUMMYFUNCTION("""COMPUTED_VALUE"""),"Top 17 Paid Social Agencies in the U.S. (2025)")</f>
        <v>Top 17 Paid Social Agencies in the U.S. (2025)</v>
      </c>
      <c r="C958" s="10" t="str">
        <f>IFERROR(__xludf.DUMMYFUNCTION("""COMPUTED_VALUE"""),"zryly.net")</f>
        <v>zryly.net</v>
      </c>
      <c r="D958" s="11" t="str">
        <f>IFERROR(__xludf.DUMMYFUNCTION("""COMPUTED_VALUE"""),"LISTICLE")</f>
        <v>LISTICLE</v>
      </c>
      <c r="E958" s="11" t="str">
        <f>IFERROR(__xludf.DUMMYFUNCTION("""COMPUTED_VALUE"""),"CORPORATE")</f>
        <v>CORPORATE</v>
      </c>
      <c r="F958" s="11" t="str">
        <f>IFERROR(__xludf.DUMMYFUNCTION("""COMPUTED_VALUE"""),"Listicle")</f>
        <v>Listicle</v>
      </c>
      <c r="G958" s="11" t="b">
        <f>IFERROR(__xludf.DUMMYFUNCTION("""COMPUTED_VALUE"""),FALSE)</f>
        <v>0</v>
      </c>
      <c r="H958" s="11" t="str">
        <f>IFERROR(__xludf.DUMMYFUNCTION("""COMPUTED_VALUE"""),"The Social Shepherd, Jellyfish, Tinuiti, iProspect")</f>
        <v>The Social Shepherd, Jellyfish, Tinuiti, iProspect</v>
      </c>
      <c r="I958" s="11">
        <f>IFERROR(__xludf.DUMMYFUNCTION("""COMPUTED_VALUE"""),1.0)</f>
        <v>1</v>
      </c>
      <c r="J958" s="11">
        <f>IFERROR(__xludf.DUMMYFUNCTION("""COMPUTED_VALUE"""),0.0)</f>
        <v>0</v>
      </c>
      <c r="K958" s="11">
        <f>IFERROR(__xludf.DUMMYFUNCTION("""COMPUTED_VALUE"""),0.0)</f>
        <v>0</v>
      </c>
    </row>
    <row r="959" ht="15.75" customHeight="1">
      <c r="A959" s="10" t="str">
        <f>IFERROR(__xludf.DUMMYFUNCTION("""COMPUTED_VALUE"""),"https://zyner.io/blog/best-ui-ux-design-agency")</f>
        <v>https://zyner.io/blog/best-ui-ux-design-agency</v>
      </c>
      <c r="B959" s="11" t="str">
        <f>IFERROR(__xludf.DUMMYFUNCTION("""COMPUTED_VALUE"""),"Best UI UX Design Agencies for Startups 2026 (Ranked)")</f>
        <v>Best UI UX Design Agencies for Startups 2026 (Ranked)</v>
      </c>
      <c r="C959" s="10" t="str">
        <f>IFERROR(__xludf.DUMMYFUNCTION("""COMPUTED_VALUE"""),"zyner.io")</f>
        <v>zyner.io</v>
      </c>
      <c r="D959" s="11" t="str">
        <f>IFERROR(__xludf.DUMMYFUNCTION("""COMPUTED_VALUE"""),"LISTICLE")</f>
        <v>LISTICLE</v>
      </c>
      <c r="E959" s="11" t="str">
        <f>IFERROR(__xludf.DUMMYFUNCTION("""COMPUTED_VALUE"""),"CORPORATE")</f>
        <v>CORPORATE</v>
      </c>
      <c r="F959" s="11" t="str">
        <f>IFERROR(__xludf.DUMMYFUNCTION("""COMPUTED_VALUE"""),"Listicle")</f>
        <v>Listicle</v>
      </c>
      <c r="G959" s="11" t="b">
        <f>IFERROR(__xludf.DUMMYFUNCTION("""COMPUTED_VALUE"""),FALSE)</f>
        <v>0</v>
      </c>
      <c r="H959" s="11" t="str">
        <f>IFERROR(__xludf.DUMMYFUNCTION("""COMPUTED_VALUE"""),"Clutch, Clay")</f>
        <v>Clutch, Clay</v>
      </c>
      <c r="I959" s="11">
        <f>IFERROR(__xludf.DUMMYFUNCTION("""COMPUTED_VALUE"""),1.0)</f>
        <v>1</v>
      </c>
      <c r="J959" s="11">
        <f>IFERROR(__xludf.DUMMYFUNCTION("""COMPUTED_VALUE"""),0.0)</f>
        <v>0</v>
      </c>
      <c r="K959" s="11">
        <f>IFERROR(__xludf.DUMMYFUNCTION("""COMPUTED_VALUE"""),0.0)</f>
        <v>0</v>
      </c>
    </row>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A10"/>
    <hyperlink r:id="rId16" ref="C10"/>
    <hyperlink r:id="rId17" ref="A11"/>
    <hyperlink r:id="rId18" ref="C11"/>
    <hyperlink r:id="rId19" ref="A12"/>
    <hyperlink r:id="rId20" ref="C12"/>
    <hyperlink r:id="rId21" location=":~:text=NP%20Digital%20is%20a%20full%2Dfunnel%20analytics%20partner,rigorous%20analytics%2C%20delivering%20clarity%20across%20every%20channel." ref="A13"/>
    <hyperlink r:id="rId22" ref="A14"/>
    <hyperlink r:id="rId23" ref="C14"/>
    <hyperlink r:id="rId24" ref="A15"/>
    <hyperlink r:id="rId25" ref="C15"/>
    <hyperlink r:id="rId26" ref="A16"/>
    <hyperlink r:id="rId27" ref="C16"/>
    <hyperlink r:id="rId28" ref="A17"/>
    <hyperlink r:id="rId29" ref="C17"/>
    <hyperlink r:id="rId30" location=":~:text=Their%20service%20positioning%20spans%20SEO%2C%20PPC%2C%20social,a%20traditional%20agency%20in%20the%20classic%20sense." ref="A18"/>
    <hyperlink r:id="rId31" ref="C18"/>
    <hyperlink r:id="rId32" ref="A19"/>
    <hyperlink r:id="rId33" ref="C19"/>
    <hyperlink r:id="rId34" ref="A20"/>
    <hyperlink r:id="rId35" ref="C20"/>
    <hyperlink r:id="rId36" ref="A21"/>
    <hyperlink r:id="rId37" ref="C21"/>
    <hyperlink r:id="rId38" ref="A22"/>
    <hyperlink r:id="rId39" ref="C22"/>
    <hyperlink r:id="rId40" ref="A23"/>
    <hyperlink r:id="rId41" ref="C23"/>
    <hyperlink r:id="rId42" ref="A24"/>
    <hyperlink r:id="rId43" ref="C24"/>
    <hyperlink r:id="rId44" ref="A25"/>
    <hyperlink r:id="rId45" ref="C25"/>
    <hyperlink r:id="rId46" ref="A26"/>
    <hyperlink r:id="rId47" ref="C26"/>
    <hyperlink r:id="rId48" ref="A27"/>
    <hyperlink r:id="rId49" ref="C27"/>
    <hyperlink r:id="rId50" ref="A28"/>
    <hyperlink r:id="rId51" ref="C28"/>
    <hyperlink r:id="rId52" ref="A29"/>
    <hyperlink r:id="rId53" ref="C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A42"/>
    <hyperlink r:id="rId78" ref="C42"/>
    <hyperlink r:id="rId79" ref="A43"/>
    <hyperlink r:id="rId80" ref="C43"/>
    <hyperlink r:id="rId81" ref="A44"/>
    <hyperlink r:id="rId82" ref="C44"/>
    <hyperlink r:id="rId83" ref="A45"/>
    <hyperlink r:id="rId84" ref="C45"/>
    <hyperlink r:id="rId85" ref="A46"/>
    <hyperlink r:id="rId86" ref="C46"/>
    <hyperlink r:id="rId87" location=":~:text=%2D%20NoGood.%20Born%20in%20New%20York%20City,%2D%20BBDO.%20%2D%20Digitas.%20%2D%20Disruptive%20Advertising." ref="A47"/>
    <hyperlink r:id="rId88" ref="C47"/>
    <hyperlink r:id="rId89" ref="A48"/>
    <hyperlink r:id="rId90" ref="C48"/>
    <hyperlink r:id="rId91" ref="A49"/>
    <hyperlink r:id="rId92" ref="C49"/>
    <hyperlink r:id="rId93" ref="A50"/>
    <hyperlink r:id="rId94" ref="C50"/>
    <hyperlink r:id="rId95" ref="A51"/>
    <hyperlink r:id="rId96" ref="C51"/>
    <hyperlink r:id="rId97" ref="A52"/>
    <hyperlink r:id="rId98" ref="C52"/>
    <hyperlink r:id="rId99" ref="A53"/>
    <hyperlink r:id="rId100" ref="C53"/>
    <hyperlink r:id="rId101" ref="A54"/>
    <hyperlink r:id="rId102" ref="C54"/>
    <hyperlink r:id="rId103" ref="A55"/>
    <hyperlink r:id="rId104" ref="C55"/>
    <hyperlink r:id="rId105" ref="A56"/>
    <hyperlink r:id="rId106" ref="C56"/>
    <hyperlink r:id="rId107" ref="A57"/>
    <hyperlink r:id="rId108" ref="C57"/>
    <hyperlink r:id="rId109" ref="A58"/>
    <hyperlink r:id="rId110" ref="C58"/>
    <hyperlink r:id="rId111" ref="A59"/>
    <hyperlink r:id="rId112" ref="C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location=":~:text=A%20powerhouse%20in%20the%20top%2010%20media,them%20a%20place%20among%20top%20marketing%20firms."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ref="A92"/>
    <hyperlink r:id="rId178" ref="C92"/>
    <hyperlink r:id="rId179" ref="A93"/>
    <hyperlink r:id="rId180" ref="C93"/>
    <hyperlink r:id="rId181" ref="A94"/>
    <hyperlink r:id="rId182" ref="C94"/>
    <hyperlink r:id="rId183" ref="A95"/>
    <hyperlink r:id="rId184" ref="C95"/>
    <hyperlink r:id="rId185" ref="A96"/>
    <hyperlink r:id="rId186" ref="C96"/>
    <hyperlink r:id="rId187" ref="A97"/>
    <hyperlink r:id="rId188" ref="C97"/>
    <hyperlink r:id="rId189" ref="A98"/>
    <hyperlink r:id="rId190" ref="C98"/>
    <hyperlink r:id="rId191" ref="A99"/>
    <hyperlink r:id="rId192" ref="C99"/>
    <hyperlink r:id="rId193" ref="A100"/>
    <hyperlink r:id="rId194" ref="C100"/>
    <hyperlink r:id="rId195" ref="A101"/>
    <hyperlink r:id="rId196" ref="C101"/>
    <hyperlink r:id="rId197" location=":~:text=%23%20%233%20iPullRank%20Headquarters%20%7C%20New%20York%2C,Pricing%20%7C%20Custom%20%E2%80%94%20contact%20for%20quote" ref="A102"/>
    <hyperlink r:id="rId198" ref="C102"/>
    <hyperlink r:id="rId199" ref="A103"/>
    <hyperlink r:id="rId200" ref="C103"/>
    <hyperlink r:id="rId201" ref="A104"/>
    <hyperlink r:id="rId202" ref="C104"/>
    <hyperlink r:id="rId203" ref="A105"/>
    <hyperlink r:id="rId204" ref="C105"/>
    <hyperlink r:id="rId205" ref="A106"/>
    <hyperlink r:id="rId206" ref="C106"/>
    <hyperlink r:id="rId207" ref="A107"/>
    <hyperlink r:id="rId208" ref="C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C113"/>
    <hyperlink r:id="rId221" ref="A114"/>
    <hyperlink r:id="rId222" ref="C114"/>
    <hyperlink r:id="rId223" ref="A115"/>
    <hyperlink r:id="rId224" ref="C115"/>
    <hyperlink r:id="rId225" ref="A116"/>
    <hyperlink r:id="rId226" ref="C116"/>
    <hyperlink r:id="rId227" ref="A117"/>
    <hyperlink r:id="rId228" ref="C117"/>
    <hyperlink r:id="rId229" ref="A118"/>
    <hyperlink r:id="rId230" ref="C118"/>
    <hyperlink r:id="rId231" ref="A119"/>
    <hyperlink r:id="rId232" ref="C119"/>
    <hyperlink r:id="rId233" ref="A120"/>
    <hyperlink r:id="rId234" ref="A121"/>
    <hyperlink r:id="rId235" ref="C121"/>
    <hyperlink r:id="rId236" ref="A122"/>
    <hyperlink r:id="rId237" ref="C122"/>
    <hyperlink r:id="rId238" ref="A123"/>
    <hyperlink r:id="rId239" ref="C123"/>
    <hyperlink r:id="rId240" ref="A124"/>
    <hyperlink r:id="rId241" ref="C124"/>
    <hyperlink r:id="rId242" ref="A125"/>
    <hyperlink r:id="rId243" ref="C125"/>
    <hyperlink r:id="rId244" ref="A126"/>
    <hyperlink r:id="rId245" ref="C126"/>
    <hyperlink r:id="rId246" ref="A127"/>
    <hyperlink r:id="rId247" ref="C127"/>
    <hyperlink r:id="rId248" ref="A128"/>
    <hyperlink r:id="rId249" ref="C128"/>
    <hyperlink r:id="rId250" ref="A129"/>
    <hyperlink r:id="rId251" ref="C129"/>
    <hyperlink r:id="rId252" ref="A130"/>
    <hyperlink r:id="rId253" ref="A131"/>
    <hyperlink r:id="rId254" ref="C131"/>
    <hyperlink r:id="rId255" ref="A132"/>
    <hyperlink r:id="rId256" ref="C132"/>
    <hyperlink r:id="rId257" ref="A133"/>
    <hyperlink r:id="rId258" ref="C133"/>
    <hyperlink r:id="rId259" ref="A134"/>
    <hyperlink r:id="rId260" ref="C134"/>
    <hyperlink r:id="rId261" ref="A135"/>
    <hyperlink r:id="rId262" ref="C135"/>
    <hyperlink r:id="rId263" ref="A136"/>
    <hyperlink r:id="rId264" ref="C136"/>
    <hyperlink r:id="rId265" ref="A137"/>
    <hyperlink r:id="rId266" ref="C137"/>
    <hyperlink r:id="rId267" location=":~:text=Growth%20Marketing%20Pro.%20Olivine%20Marketing.%201.%20%2D,Disruptive%20Advertising.%20%2D%20Skale.%20%2D%20Directive%20Consulting." ref="A138"/>
    <hyperlink r:id="rId268" ref="C138"/>
    <hyperlink r:id="rId269" ref="A139"/>
    <hyperlink r:id="rId270" ref="C139"/>
    <hyperlink r:id="rId271" ref="A140"/>
    <hyperlink r:id="rId272" ref="C140"/>
    <hyperlink r:id="rId273" location=":~:text=Power%20Digital%20is%20a%20tech%2Denabled%20growth%20marketing,forecasts%2C%20and%20tracks%20attribution%20across%20every%20channel." ref="A141"/>
    <hyperlink r:id="rId274" ref="C141"/>
    <hyperlink r:id="rId275" ref="A142"/>
    <hyperlink r:id="rId276" ref="C142"/>
    <hyperlink r:id="rId277" ref="A143"/>
    <hyperlink r:id="rId278" ref="C143"/>
    <hyperlink r:id="rId279" ref="A144"/>
    <hyperlink r:id="rId280" ref="C144"/>
    <hyperlink r:id="rId281" ref="A145"/>
    <hyperlink r:id="rId282" ref="C145"/>
    <hyperlink r:id="rId283" ref="A146"/>
    <hyperlink r:id="rId284" ref="C146"/>
    <hyperlink r:id="rId285" ref="A147"/>
    <hyperlink r:id="rId286" ref="C147"/>
    <hyperlink r:id="rId287" ref="A148"/>
    <hyperlink r:id="rId288" ref="C148"/>
    <hyperlink r:id="rId289" ref="A149"/>
    <hyperlink r:id="rId290" ref="C149"/>
    <hyperlink r:id="rId291" ref="A150"/>
    <hyperlink r:id="rId292" ref="C150"/>
    <hyperlink r:id="rId293" ref="A151"/>
    <hyperlink r:id="rId294" ref="C151"/>
    <hyperlink r:id="rId295" ref="A152"/>
    <hyperlink r:id="rId296" ref="C152"/>
    <hyperlink r:id="rId297" ref="A153"/>
    <hyperlink r:id="rId298" ref="C153"/>
    <hyperlink r:id="rId299" ref="A154"/>
    <hyperlink r:id="rId300" ref="C154"/>
    <hyperlink r:id="rId301" ref="A155"/>
    <hyperlink r:id="rId302" ref="C155"/>
    <hyperlink r:id="rId303" location=":~:text=Great%20For%3A%20Mid%2Dmarket%20to%20enterprise%2Dlevel%20businesses%20requiring,and%20advanced%20analytics%20to%20drive%20measurable%20results." ref="A156"/>
    <hyperlink r:id="rId304" ref="C156"/>
    <hyperlink r:id="rId305" ref="A157"/>
    <hyperlink r:id="rId306" ref="A158"/>
    <hyperlink r:id="rId307" ref="C158"/>
    <hyperlink r:id="rId308" ref="A159"/>
    <hyperlink r:id="rId309" ref="C159"/>
    <hyperlink r:id="rId310" ref="A160"/>
    <hyperlink r:id="rId311" ref="C160"/>
    <hyperlink r:id="rId312" ref="A161"/>
    <hyperlink r:id="rId313" ref="C161"/>
    <hyperlink r:id="rId314" ref="A162"/>
    <hyperlink r:id="rId315" ref="C162"/>
    <hyperlink r:id="rId316" ref="A163"/>
    <hyperlink r:id="rId317" ref="A164"/>
    <hyperlink r:id="rId318" ref="C164"/>
    <hyperlink r:id="rId319" ref="A165"/>
    <hyperlink r:id="rId320" ref="C165"/>
    <hyperlink r:id="rId321" ref="A166"/>
    <hyperlink r:id="rId322" ref="C166"/>
    <hyperlink r:id="rId323" ref="A167"/>
    <hyperlink r:id="rId324" ref="C167"/>
    <hyperlink r:id="rId325" ref="A168"/>
    <hyperlink r:id="rId326" ref="C168"/>
    <hyperlink r:id="rId327" ref="A169"/>
    <hyperlink r:id="rId328" ref="C169"/>
    <hyperlink r:id="rId329" ref="A170"/>
    <hyperlink r:id="rId330" ref="C170"/>
    <hyperlink r:id="rId331" ref="A171"/>
    <hyperlink r:id="rId332" ref="C171"/>
    <hyperlink r:id="rId333" ref="A172"/>
    <hyperlink r:id="rId334" ref="C172"/>
    <hyperlink r:id="rId335" ref="A173"/>
    <hyperlink r:id="rId336" ref="A174"/>
    <hyperlink r:id="rId337" ref="C174"/>
    <hyperlink r:id="rId338" ref="A175"/>
    <hyperlink r:id="rId339" ref="C175"/>
    <hyperlink r:id="rId340" ref="A176"/>
    <hyperlink r:id="rId341" ref="C176"/>
    <hyperlink r:id="rId342" ref="A177"/>
    <hyperlink r:id="rId343" ref="C177"/>
    <hyperlink r:id="rId344" ref="A178"/>
    <hyperlink r:id="rId345" ref="C178"/>
    <hyperlink r:id="rId346" ref="A179"/>
    <hyperlink r:id="rId347" ref="C179"/>
    <hyperlink r:id="rId348" ref="A180"/>
    <hyperlink r:id="rId349" ref="C180"/>
    <hyperlink r:id="rId350" ref="A181"/>
    <hyperlink r:id="rId351" ref="C181"/>
    <hyperlink r:id="rId352" ref="A182"/>
    <hyperlink r:id="rId353" ref="C182"/>
    <hyperlink r:id="rId354" ref="A183"/>
    <hyperlink r:id="rId355" ref="C183"/>
    <hyperlink r:id="rId356" ref="A184"/>
    <hyperlink r:id="rId357" ref="A185"/>
    <hyperlink r:id="rId358" ref="C185"/>
    <hyperlink r:id="rId359" ref="A186"/>
    <hyperlink r:id="rId360" ref="C186"/>
    <hyperlink r:id="rId361" ref="A187"/>
    <hyperlink r:id="rId362" ref="C187"/>
    <hyperlink r:id="rId363" ref="A188"/>
    <hyperlink r:id="rId364" ref="C188"/>
    <hyperlink r:id="rId365" ref="A189"/>
    <hyperlink r:id="rId366" ref="A190"/>
    <hyperlink r:id="rId367" ref="C190"/>
    <hyperlink r:id="rId368" ref="A191"/>
    <hyperlink r:id="rId369" ref="C191"/>
    <hyperlink r:id="rId370" ref="A192"/>
    <hyperlink r:id="rId371" ref="C192"/>
    <hyperlink r:id="rId372" ref="A193"/>
    <hyperlink r:id="rId373" ref="C193"/>
    <hyperlink r:id="rId374" ref="A194"/>
    <hyperlink r:id="rId375" ref="C194"/>
    <hyperlink r:id="rId376" location=":~:text=Renowned%20for%20its%20mantra%2C%20%E2%80%9CThe%20Work.%20The,results.%20%2D%2072andSunny%20%E2%80%93%20Los%20Angeles%2C%20CA." ref="A195"/>
    <hyperlink r:id="rId377" ref="C195"/>
    <hyperlink r:id="rId378" ref="A196"/>
    <hyperlink r:id="rId379" ref="C196"/>
    <hyperlink r:id="rId380" ref="A197"/>
    <hyperlink r:id="rId381" ref="A198"/>
    <hyperlink r:id="rId382" ref="C198"/>
    <hyperlink r:id="rId383" ref="A199"/>
    <hyperlink r:id="rId384" ref="C199"/>
    <hyperlink r:id="rId385" ref="A200"/>
    <hyperlink r:id="rId386" ref="A201"/>
    <hyperlink r:id="rId387" ref="C201"/>
    <hyperlink r:id="rId388" ref="A202"/>
    <hyperlink r:id="rId389" ref="C202"/>
    <hyperlink r:id="rId390" ref="A203"/>
    <hyperlink r:id="rId391" ref="C203"/>
    <hyperlink r:id="rId392" ref="A204"/>
    <hyperlink r:id="rId393" ref="C204"/>
    <hyperlink r:id="rId394" ref="A205"/>
    <hyperlink r:id="rId395" ref="C205"/>
    <hyperlink r:id="rId396" ref="A206"/>
    <hyperlink r:id="rId397" ref="C206"/>
    <hyperlink r:id="rId398" ref="A207"/>
    <hyperlink r:id="rId399" ref="A208"/>
    <hyperlink r:id="rId400" ref="C208"/>
    <hyperlink r:id="rId401" ref="A209"/>
    <hyperlink r:id="rId402" ref="C209"/>
    <hyperlink r:id="rId403" ref="A210"/>
    <hyperlink r:id="rId404" ref="C210"/>
    <hyperlink r:id="rId405" ref="A211"/>
    <hyperlink r:id="rId406" ref="C211"/>
    <hyperlink r:id="rId407" location=":~:text=The%20agency%20offers%20proprietary%20Integrative%20AI%C2%AE%20methodology,local%20implementation%20in%20more%20than%2040%20markets." ref="A212"/>
    <hyperlink r:id="rId408" ref="A213"/>
    <hyperlink r:id="rId409" ref="C213"/>
    <hyperlink r:id="rId410" ref="A214"/>
    <hyperlink r:id="rId411" ref="C214"/>
    <hyperlink r:id="rId412" ref="A215"/>
    <hyperlink r:id="rId413" ref="C215"/>
    <hyperlink r:id="rId414" ref="A216"/>
    <hyperlink r:id="rId415" ref="C216"/>
    <hyperlink r:id="rId416" ref="A217"/>
    <hyperlink r:id="rId417" ref="C217"/>
    <hyperlink r:id="rId418" ref="A218"/>
    <hyperlink r:id="rId419" ref="C218"/>
    <hyperlink r:id="rId420" ref="A219"/>
    <hyperlink r:id="rId421" ref="C219"/>
    <hyperlink r:id="rId422" ref="A220"/>
    <hyperlink r:id="rId423" ref="A221"/>
    <hyperlink r:id="rId424" ref="C221"/>
    <hyperlink r:id="rId425" location=":~:text=NoGood%20is%20a%20growth%20marketing%20agency%20where,not%20as%20a%20bolt%2Don%20to%20traditional%20SEO." ref="A222"/>
    <hyperlink r:id="rId426" ref="C222"/>
    <hyperlink r:id="rId427" ref="A223"/>
    <hyperlink r:id="rId428" ref="C223"/>
    <hyperlink r:id="rId429" location=":~:text=Anomaly%20is%20known%20for%20integrated%2C%20culture%E2%80%91forward%20campaigns,lines%20between%20advertising%2C%20experiences%2C%20and%20earned%20media." ref="A224"/>
    <hyperlink r:id="rId430" ref="C224"/>
    <hyperlink r:id="rId431" ref="A225"/>
    <hyperlink r:id="rId432" ref="C225"/>
    <hyperlink r:id="rId433" ref="A226"/>
    <hyperlink r:id="rId434" ref="C226"/>
    <hyperlink r:id="rId435" ref="A227"/>
    <hyperlink r:id="rId436" ref="C227"/>
    <hyperlink r:id="rId437" ref="A228"/>
    <hyperlink r:id="rId438" ref="C228"/>
    <hyperlink r:id="rId439" ref="A229"/>
    <hyperlink r:id="rId440" ref="C229"/>
    <hyperlink r:id="rId441" ref="A230"/>
    <hyperlink r:id="rId442" ref="C230"/>
    <hyperlink r:id="rId443" ref="A231"/>
    <hyperlink r:id="rId444" ref="A232"/>
    <hyperlink r:id="rId445" ref="C232"/>
    <hyperlink r:id="rId446" ref="A233"/>
    <hyperlink r:id="rId447" ref="A234"/>
    <hyperlink r:id="rId448" ref="A235"/>
    <hyperlink r:id="rId449" ref="C235"/>
    <hyperlink r:id="rId450" ref="A236"/>
    <hyperlink r:id="rId451" ref="C236"/>
    <hyperlink r:id="rId452" ref="A237"/>
    <hyperlink r:id="rId453" ref="A238"/>
    <hyperlink r:id="rId454" ref="C238"/>
    <hyperlink r:id="rId455" ref="A239"/>
    <hyperlink r:id="rId456" ref="C239"/>
    <hyperlink r:id="rId457" ref="A240"/>
    <hyperlink r:id="rId458" ref="C240"/>
    <hyperlink r:id="rId459" ref="A241"/>
    <hyperlink r:id="rId460" ref="C241"/>
    <hyperlink r:id="rId461" ref="A242"/>
    <hyperlink r:id="rId462" ref="C242"/>
    <hyperlink r:id="rId463" ref="A243"/>
    <hyperlink r:id="rId464" ref="C243"/>
    <hyperlink r:id="rId465" ref="A244"/>
    <hyperlink r:id="rId466" ref="C244"/>
    <hyperlink r:id="rId467" ref="A245"/>
    <hyperlink r:id="rId468" ref="C245"/>
    <hyperlink r:id="rId469" ref="A246"/>
    <hyperlink r:id="rId470" ref="C246"/>
    <hyperlink r:id="rId471" ref="A247"/>
    <hyperlink r:id="rId472" ref="C247"/>
    <hyperlink r:id="rId473" ref="A248"/>
    <hyperlink r:id="rId474" ref="C248"/>
    <hyperlink r:id="rId475" location=":~:text=View%2Dthrough%20conversions%20account%20for%2030%2D50%25%20of%20display,increased%20ROAS%20340%25%20using%20dynamic%20creative%20optimization." ref="A249"/>
    <hyperlink r:id="rId476" ref="C249"/>
    <hyperlink r:id="rId477" ref="A250"/>
    <hyperlink r:id="rId478" ref="C250"/>
    <hyperlink r:id="rId479" ref="A251"/>
    <hyperlink r:id="rId480" ref="C251"/>
    <hyperlink r:id="rId481" ref="A252"/>
    <hyperlink r:id="rId482" ref="A253"/>
    <hyperlink r:id="rId483" ref="C253"/>
    <hyperlink r:id="rId484" ref="A254"/>
    <hyperlink r:id="rId485" ref="A255"/>
    <hyperlink r:id="rId486" ref="C255"/>
    <hyperlink r:id="rId487" ref="A256"/>
    <hyperlink r:id="rId488" ref="C256"/>
    <hyperlink r:id="rId489" ref="A257"/>
    <hyperlink r:id="rId490" ref="C257"/>
    <hyperlink r:id="rId491" ref="A258"/>
    <hyperlink r:id="rId492" ref="C258"/>
    <hyperlink r:id="rId493" ref="A259"/>
    <hyperlink r:id="rId494" ref="C259"/>
    <hyperlink r:id="rId495" ref="A260"/>
    <hyperlink r:id="rId496" ref="C260"/>
    <hyperlink r:id="rId497" ref="A261"/>
    <hyperlink r:id="rId498" ref="C261"/>
    <hyperlink r:id="rId499" ref="A262"/>
    <hyperlink r:id="rId500" ref="C262"/>
    <hyperlink r:id="rId501" ref="A263"/>
    <hyperlink r:id="rId502" ref="C263"/>
    <hyperlink r:id="rId503" ref="A264"/>
    <hyperlink r:id="rId504" ref="C264"/>
    <hyperlink r:id="rId505" location=":~:text=Based%20in%20San%20Francisco%2C%20First,choose%20which%20sources%20to%20cite." ref="A265"/>
    <hyperlink r:id="rId506" ref="C265"/>
    <hyperlink r:id="rId507" ref="A266"/>
    <hyperlink r:id="rId508" ref="A267"/>
    <hyperlink r:id="rId509" ref="C267"/>
    <hyperlink r:id="rId510" ref="A268"/>
    <hyperlink r:id="rId511" ref="C268"/>
    <hyperlink r:id="rId512" ref="A269"/>
    <hyperlink r:id="rId513" ref="C269"/>
    <hyperlink r:id="rId514" ref="A270"/>
    <hyperlink r:id="rId515" ref="C270"/>
    <hyperlink r:id="rId516" ref="A271"/>
    <hyperlink r:id="rId517" ref="C271"/>
    <hyperlink r:id="rId518" location=":~:text=Brainlabs%20can%20be%20a%20strong,that%20experimentation%20extends%20beyond%20media." ref="A272"/>
    <hyperlink r:id="rId519" ref="C272"/>
    <hyperlink r:id="rId520" ref="A273"/>
    <hyperlink r:id="rId521" ref="C273"/>
    <hyperlink r:id="rId522" ref="A274"/>
    <hyperlink r:id="rId523" ref="C274"/>
    <hyperlink r:id="rId524" ref="A275"/>
    <hyperlink r:id="rId525" ref="C275"/>
    <hyperlink r:id="rId526" ref="A276"/>
    <hyperlink r:id="rId527" ref="C276"/>
    <hyperlink r:id="rId528" ref="A277"/>
    <hyperlink r:id="rId529" ref="C277"/>
    <hyperlink r:id="rId530" ref="A278"/>
    <hyperlink r:id="rId531" ref="C278"/>
    <hyperlink r:id="rId532" ref="A279"/>
    <hyperlink r:id="rId533" ref="A280"/>
    <hyperlink r:id="rId534" ref="C280"/>
    <hyperlink r:id="rId535" ref="A281"/>
    <hyperlink r:id="rId536" ref="C281"/>
    <hyperlink r:id="rId537" ref="A282"/>
    <hyperlink r:id="rId538" ref="C282"/>
    <hyperlink r:id="rId539" ref="A283"/>
    <hyperlink r:id="rId540" ref="C283"/>
    <hyperlink r:id="rId541" ref="A284"/>
    <hyperlink r:id="rId542" ref="C284"/>
    <hyperlink r:id="rId543" ref="A285"/>
    <hyperlink r:id="rId544" ref="C285"/>
    <hyperlink r:id="rId545" ref="A286"/>
    <hyperlink r:id="rId546" ref="C286"/>
    <hyperlink r:id="rId547" ref="A287"/>
    <hyperlink r:id="rId548" ref="C287"/>
    <hyperlink r:id="rId549" ref="A288"/>
    <hyperlink r:id="rId550" ref="C288"/>
    <hyperlink r:id="rId551" ref="A289"/>
    <hyperlink r:id="rId552" ref="C289"/>
    <hyperlink r:id="rId553" ref="A290"/>
    <hyperlink r:id="rId554" ref="C290"/>
    <hyperlink r:id="rId555" ref="A291"/>
    <hyperlink r:id="rId556" ref="C291"/>
    <hyperlink r:id="rId557" ref="A292"/>
    <hyperlink r:id="rId558" ref="C292"/>
    <hyperlink r:id="rId559" ref="A293"/>
    <hyperlink r:id="rId560" ref="C293"/>
    <hyperlink r:id="rId561" ref="A294"/>
    <hyperlink r:id="rId562" ref="C294"/>
    <hyperlink r:id="rId563" ref="A295"/>
    <hyperlink r:id="rId564" ref="C295"/>
    <hyperlink r:id="rId565" ref="A296"/>
    <hyperlink r:id="rId566" ref="C296"/>
    <hyperlink r:id="rId567" ref="A297"/>
    <hyperlink r:id="rId568" ref="C297"/>
    <hyperlink r:id="rId569" ref="A298"/>
    <hyperlink r:id="rId570" ref="C298"/>
    <hyperlink r:id="rId571" ref="A299"/>
    <hyperlink r:id="rId572" ref="C299"/>
    <hyperlink r:id="rId573" ref="A300"/>
    <hyperlink r:id="rId574" ref="C300"/>
    <hyperlink r:id="rId575" ref="A301"/>
    <hyperlink r:id="rId576" ref="C301"/>
    <hyperlink r:id="rId577" ref="A302"/>
    <hyperlink r:id="rId578" ref="C302"/>
    <hyperlink r:id="rId579" ref="A303"/>
    <hyperlink r:id="rId580" ref="C303"/>
    <hyperlink r:id="rId581" ref="A304"/>
    <hyperlink r:id="rId582" ref="C304"/>
    <hyperlink r:id="rId583" ref="A305"/>
    <hyperlink r:id="rId584" ref="C305"/>
    <hyperlink r:id="rId585" ref="A306"/>
    <hyperlink r:id="rId586" ref="C306"/>
    <hyperlink r:id="rId587" ref="A307"/>
    <hyperlink r:id="rId588" ref="C307"/>
    <hyperlink r:id="rId589" ref="A308"/>
    <hyperlink r:id="rId590" ref="C308"/>
    <hyperlink r:id="rId591" location=":~:text=Enterprise%20plan%3A%20Starts%20at%20%E2%82%AC3%2C300%20per%20month%2C,standardize%20incoming%20data%20into%20one%20consistent%20format." ref="A309"/>
    <hyperlink r:id="rId592" ref="C309"/>
    <hyperlink r:id="rId593" ref="A310"/>
    <hyperlink r:id="rId594" ref="C310"/>
    <hyperlink r:id="rId595" ref="A311"/>
    <hyperlink r:id="rId596" ref="C311"/>
    <hyperlink r:id="rId597" ref="A312"/>
    <hyperlink r:id="rId598" ref="C312"/>
    <hyperlink r:id="rId599" ref="A313"/>
    <hyperlink r:id="rId600" ref="C313"/>
    <hyperlink r:id="rId601" ref="A314"/>
    <hyperlink r:id="rId602" ref="C314"/>
    <hyperlink r:id="rId603" ref="A315"/>
    <hyperlink r:id="rId604" ref="C315"/>
    <hyperlink r:id="rId605" ref="A316"/>
    <hyperlink r:id="rId606" ref="C316"/>
    <hyperlink r:id="rId607" location=":~:text=Keenfolks%20describes%20itself%20as%20%22the%20first%20AI%2Dnative,The%20Drum's%20Transformation%20Agency%20of%20the%20Year." ref="A317"/>
    <hyperlink r:id="rId608" location=":~:text=Key%20Features%20*%20Proprietary%20nova%20analytics%20platform,and%20eCommerce%20vertical%20specialization%20with%20ROAS%2Dbased%20accountability." ref="A318"/>
    <hyperlink r:id="rId609" ref="C318"/>
    <hyperlink r:id="rId610" ref="A319"/>
    <hyperlink r:id="rId611" ref="C319"/>
    <hyperlink r:id="rId612" ref="A320"/>
    <hyperlink r:id="rId613" ref="C320"/>
    <hyperlink r:id="rId614" ref="A321"/>
    <hyperlink r:id="rId615" ref="C321"/>
    <hyperlink r:id="rId616" ref="A322"/>
    <hyperlink r:id="rId617" ref="C322"/>
    <hyperlink r:id="rId618" ref="A323"/>
    <hyperlink r:id="rId619" ref="C323"/>
    <hyperlink r:id="rId620" ref="A324"/>
    <hyperlink r:id="rId621" ref="C324"/>
    <hyperlink r:id="rId622" ref="A325"/>
    <hyperlink r:id="rId623" ref="C325"/>
    <hyperlink r:id="rId624" ref="A326"/>
    <hyperlink r:id="rId625" ref="C326"/>
    <hyperlink r:id="rId626" ref="A327"/>
    <hyperlink r:id="rId627" ref="C327"/>
    <hyperlink r:id="rId628" ref="A328"/>
    <hyperlink r:id="rId629" ref="C328"/>
    <hyperlink r:id="rId630" location=":~:text=Best%20For%3A%20Mid%2Dmarket%20to%20enterprise%20companies%20focused,clients%20a%20concrete%20baseline%20for%20evaluating%20performance." ref="A329"/>
    <hyperlink r:id="rId631" ref="C329"/>
    <hyperlink r:id="rId632" ref="A330"/>
    <hyperlink r:id="rId633" ref="C330"/>
    <hyperlink r:id="rId634" ref="A331"/>
    <hyperlink r:id="rId635" ref="C331"/>
    <hyperlink r:id="rId636" ref="A332"/>
    <hyperlink r:id="rId637" ref="C332"/>
    <hyperlink r:id="rId638" location=":~:text=Their%20capabilities%20include%20advanced%20analytics%2C%20marketing%20automation,Columbia%20(Maryland)%2C%20New%20York%2C%20London%2C%20Global%20offices." ref="A333"/>
    <hyperlink r:id="rId639" ref="C333"/>
    <hyperlink r:id="rId640" ref="A334"/>
    <hyperlink r:id="rId641" ref="C334"/>
    <hyperlink r:id="rId642" ref="A335"/>
    <hyperlink r:id="rId643" ref="C335"/>
    <hyperlink r:id="rId644" ref="A336"/>
    <hyperlink r:id="rId645" ref="C336"/>
    <hyperlink r:id="rId646" ref="A337"/>
    <hyperlink r:id="rId647" ref="C337"/>
    <hyperlink r:id="rId648" ref="A338"/>
    <hyperlink r:id="rId649" ref="C338"/>
    <hyperlink r:id="rId650" ref="A339"/>
    <hyperlink r:id="rId651" ref="C339"/>
    <hyperlink r:id="rId652" ref="A340"/>
    <hyperlink r:id="rId653" ref="C340"/>
    <hyperlink r:id="rId654" ref="A341"/>
    <hyperlink r:id="rId655" ref="C341"/>
    <hyperlink r:id="rId656" ref="A342"/>
    <hyperlink r:id="rId657" ref="C342"/>
    <hyperlink r:id="rId658" ref="A343"/>
    <hyperlink r:id="rId659" ref="C343"/>
    <hyperlink r:id="rId660" location=":~:text=1.,full%20customer%20journey%20in%20real" ref="A344"/>
    <hyperlink r:id="rId661" ref="C344"/>
    <hyperlink r:id="rId662" ref="A345"/>
    <hyperlink r:id="rId663" ref="C345"/>
    <hyperlink r:id="rId664" location=":~:text=Best%20overall%3A%20Cool%20Nerds%20Marketing.%20Best%20for,and%20Viral%20Marketing%3A%20Crispin%20Porter%20%2B%20Bogusky." ref="A346"/>
    <hyperlink r:id="rId665" ref="C346"/>
    <hyperlink r:id="rId666" location=":~:text=Check%3A%20Confirm%20the%20current%20scope,paired%20with%20real%20build%20muscle." ref="A347"/>
    <hyperlink r:id="rId667" ref="C347"/>
    <hyperlink r:id="rId668" ref="A348"/>
    <hyperlink r:id="rId669" ref="C348"/>
    <hyperlink r:id="rId670" ref="A349"/>
    <hyperlink r:id="rId671" ref="C349"/>
    <hyperlink r:id="rId672" ref="A350"/>
    <hyperlink r:id="rId673" ref="C350"/>
    <hyperlink r:id="rId674" ref="A351"/>
    <hyperlink r:id="rId675" ref="C351"/>
    <hyperlink r:id="rId676" location=":~:text=Senior%20operators%20run%20creation%2C%20capture%2C%20ABM%2C%20and,SaaS%20companies)%2C%20with%20no%20junior%20account%2Dmanager%20handoffs." ref="A352"/>
    <hyperlink r:id="rId677" ref="C352"/>
    <hyperlink r:id="rId678" ref="A353"/>
    <hyperlink r:id="rId679" ref="C353"/>
    <hyperlink r:id="rId680" ref="A354"/>
    <hyperlink r:id="rId681" ref="C354"/>
    <hyperlink r:id="rId682" ref="A355"/>
    <hyperlink r:id="rId683" ref="C355"/>
    <hyperlink r:id="rId684" ref="A356"/>
    <hyperlink r:id="rId685" ref="A357"/>
    <hyperlink r:id="rId686" ref="C357"/>
    <hyperlink r:id="rId687" ref="A358"/>
    <hyperlink r:id="rId688" ref="C358"/>
    <hyperlink r:id="rId689" ref="A359"/>
    <hyperlink r:id="rId690" ref="C359"/>
    <hyperlink r:id="rId691" ref="A360"/>
    <hyperlink r:id="rId692" ref="A361"/>
    <hyperlink r:id="rId693" ref="C361"/>
    <hyperlink r:id="rId694" ref="A362"/>
    <hyperlink r:id="rId695" ref="C362"/>
    <hyperlink r:id="rId696" ref="A363"/>
    <hyperlink r:id="rId697" ref="A364"/>
    <hyperlink r:id="rId698" ref="C364"/>
    <hyperlink r:id="rId699" ref="A365"/>
    <hyperlink r:id="rId700" ref="A366"/>
    <hyperlink r:id="rId701" ref="C366"/>
    <hyperlink r:id="rId702" ref="A367"/>
    <hyperlink r:id="rId703" ref="C367"/>
    <hyperlink r:id="rId704" ref="A368"/>
    <hyperlink r:id="rId705" ref="C368"/>
    <hyperlink r:id="rId706" ref="A369"/>
    <hyperlink r:id="rId707" ref="C369"/>
    <hyperlink r:id="rId708" ref="A370"/>
    <hyperlink r:id="rId709" ref="C370"/>
    <hyperlink r:id="rId710" ref="A371"/>
    <hyperlink r:id="rId711" ref="A372"/>
    <hyperlink r:id="rId712" ref="C372"/>
    <hyperlink r:id="rId713" location=":~:text=The%20B2B%20AI%20search%20specialist%20connecting%20AI,earliest%20dedicated%20AI%20Search%20and%20Visibility%20programs." ref="A373"/>
    <hyperlink r:id="rId714" ref="C373"/>
    <hyperlink r:id="rId715" ref="A374"/>
    <hyperlink r:id="rId716" ref="C374"/>
    <hyperlink r:id="rId717" ref="A375"/>
    <hyperlink r:id="rId718" ref="C375"/>
    <hyperlink r:id="rId719" ref="A376"/>
    <hyperlink r:id="rId720" ref="C376"/>
    <hyperlink r:id="rId721" ref="A377"/>
    <hyperlink r:id="rId722" ref="C377"/>
    <hyperlink r:id="rId723" ref="A378"/>
    <hyperlink r:id="rId724" ref="C378"/>
    <hyperlink r:id="rId725" ref="A379"/>
    <hyperlink r:id="rId726" ref="C379"/>
    <hyperlink r:id="rId727" ref="A380"/>
    <hyperlink r:id="rId728" ref="C380"/>
    <hyperlink r:id="rId729" ref="A381"/>
    <hyperlink r:id="rId730" ref="C381"/>
    <hyperlink r:id="rId731" ref="A382"/>
    <hyperlink r:id="rId732" ref="C382"/>
    <hyperlink r:id="rId733" location=":~:text=thesocialshepherd.com.%20Features.%20Paid%20Social%20(Meta%2C%20TikTok%2C%20Pinterest).,complex%20B2B%20enterprise%20lead%20gen%2C%20look%20elsewhere." ref="A383"/>
    <hyperlink r:id="rId734" ref="C383"/>
    <hyperlink r:id="rId735" location=":~:text=9%20%7C%20360i%20%7C%20New%20York%2C%20USA,Creative%20innovation%20%7C%20Advanced%20AI%20brand%20systems" ref="A384"/>
    <hyperlink r:id="rId736" ref="C384"/>
    <hyperlink r:id="rId737" ref="A385"/>
    <hyperlink r:id="rId738" ref="C385"/>
    <hyperlink r:id="rId739" ref="A386"/>
    <hyperlink r:id="rId740" ref="C386"/>
    <hyperlink r:id="rId741" location=":~:text=Industries%20Served%3A%20Retail%2C%20Financial%20Services%2C%20Healthcare%2C%20Travel,and%20personalization%20at%20scale.%20%2D%203.%20Jellyfish." ref="A387"/>
    <hyperlink r:id="rId742" ref="C387"/>
    <hyperlink r:id="rId743" ref="A388"/>
    <hyperlink r:id="rId744" ref="C388"/>
    <hyperlink r:id="rId745" location=":~:text=MullenLowe,Zulu%20Alpha" ref="A389"/>
    <hyperlink r:id="rId746" ref="C389"/>
    <hyperlink r:id="rId747" ref="A390"/>
    <hyperlink r:id="rId748" ref="C390"/>
    <hyperlink r:id="rId749" ref="A391"/>
    <hyperlink r:id="rId750" ref="C391"/>
    <hyperlink r:id="rId751" ref="A392"/>
    <hyperlink r:id="rId752" ref="C392"/>
    <hyperlink r:id="rId753" ref="A393"/>
    <hyperlink r:id="rId754" ref="C393"/>
    <hyperlink r:id="rId755" ref="A394"/>
    <hyperlink r:id="rId756" ref="C394"/>
    <hyperlink r:id="rId757" ref="A395"/>
    <hyperlink r:id="rId758" ref="C395"/>
    <hyperlink r:id="rId759" ref="A396"/>
    <hyperlink r:id="rId760" ref="C396"/>
    <hyperlink r:id="rId761" ref="A397"/>
    <hyperlink r:id="rId762" ref="A398"/>
    <hyperlink r:id="rId763" ref="C398"/>
    <hyperlink r:id="rId764" ref="A399"/>
    <hyperlink r:id="rId765" ref="C399"/>
    <hyperlink r:id="rId766" ref="A400"/>
    <hyperlink r:id="rId767" ref="C400"/>
    <hyperlink r:id="rId768" ref="A401"/>
    <hyperlink r:id="rId769" ref="C401"/>
    <hyperlink r:id="rId770" ref="A402"/>
    <hyperlink r:id="rId771" ref="C402"/>
    <hyperlink r:id="rId772" location=":~:text=Tinuiti%20is%20at%20the%20forefront,Core%20Features%3A" ref="A403"/>
    <hyperlink r:id="rId773" ref="C403"/>
    <hyperlink r:id="rId774" ref="A404"/>
    <hyperlink r:id="rId775" ref="C404"/>
    <hyperlink r:id="rId776" ref="A405"/>
    <hyperlink r:id="rId777" ref="C405"/>
    <hyperlink r:id="rId778" ref="A406"/>
    <hyperlink r:id="rId779" ref="C406"/>
    <hyperlink r:id="rId780" ref="A407"/>
    <hyperlink r:id="rId781" ref="C407"/>
    <hyperlink r:id="rId782" ref="A408"/>
    <hyperlink r:id="rId783" ref="C408"/>
    <hyperlink r:id="rId784" ref="A409"/>
    <hyperlink r:id="rId785" ref="C409"/>
    <hyperlink r:id="rId786" ref="A410"/>
    <hyperlink r:id="rId787" ref="C410"/>
    <hyperlink r:id="rId788" ref="A411"/>
    <hyperlink r:id="rId789" ref="C411"/>
    <hyperlink r:id="rId790" ref="A412"/>
    <hyperlink r:id="rId791" ref="A413"/>
    <hyperlink r:id="rId792" ref="C413"/>
    <hyperlink r:id="rId793" ref="A414"/>
    <hyperlink r:id="rId794" ref="C414"/>
    <hyperlink r:id="rId795" ref="A415"/>
    <hyperlink r:id="rId796" ref="C415"/>
    <hyperlink r:id="rId797" ref="A416"/>
    <hyperlink r:id="rId798" ref="C416"/>
    <hyperlink r:id="rId799" ref="A417"/>
    <hyperlink r:id="rId800" ref="C417"/>
    <hyperlink r:id="rId801" ref="A418"/>
    <hyperlink r:id="rId802" ref="C418"/>
    <hyperlink r:id="rId803" ref="A419"/>
    <hyperlink r:id="rId804" ref="C419"/>
    <hyperlink r:id="rId805" ref="A420"/>
    <hyperlink r:id="rId806" ref="C420"/>
    <hyperlink r:id="rId807" ref="A421"/>
    <hyperlink r:id="rId808" ref="C421"/>
    <hyperlink r:id="rId809" ref="A422"/>
    <hyperlink r:id="rId810" ref="C422"/>
    <hyperlink r:id="rId811" ref="A423"/>
    <hyperlink r:id="rId812" ref="C423"/>
    <hyperlink r:id="rId813" ref="A424"/>
    <hyperlink r:id="rId814" ref="C424"/>
    <hyperlink r:id="rId815" ref="A425"/>
    <hyperlink r:id="rId816" ref="C425"/>
    <hyperlink r:id="rId817" ref="A426"/>
    <hyperlink r:id="rId818" ref="C426"/>
    <hyperlink r:id="rId819" ref="A427"/>
    <hyperlink r:id="rId820" ref="C427"/>
    <hyperlink r:id="rId821" ref="A428"/>
    <hyperlink r:id="rId822" ref="C428"/>
    <hyperlink r:id="rId823" ref="A429"/>
    <hyperlink r:id="rId824" ref="C429"/>
    <hyperlink r:id="rId825" ref="A430"/>
    <hyperlink r:id="rId826" ref="C430"/>
    <hyperlink r:id="rId827" ref="A431"/>
    <hyperlink r:id="rId828" ref="C431"/>
    <hyperlink r:id="rId829" ref="A432"/>
    <hyperlink r:id="rId830" ref="C432"/>
    <hyperlink r:id="rId831" ref="A433"/>
    <hyperlink r:id="rId832" ref="C433"/>
    <hyperlink r:id="rId833" ref="A434"/>
    <hyperlink r:id="rId834" ref="C434"/>
    <hyperlink r:id="rId835" ref="A435"/>
    <hyperlink r:id="rId836" ref="C435"/>
    <hyperlink r:id="rId837" ref="A436"/>
    <hyperlink r:id="rId838" ref="A437"/>
    <hyperlink r:id="rId839" ref="A438"/>
    <hyperlink r:id="rId840" ref="C438"/>
    <hyperlink r:id="rId841" ref="A439"/>
    <hyperlink r:id="rId842" ref="C439"/>
    <hyperlink r:id="rId843" location=":~:text=Tech%20Maven%20Geospatial%20stands%20at%20the%20forefront,of%20spatial%20data%20processing%20and%20conversion%20services." ref="A440"/>
    <hyperlink r:id="rId844" ref="C440"/>
    <hyperlink r:id="rId845" ref="A441"/>
    <hyperlink r:id="rId846" ref="C441"/>
    <hyperlink r:id="rId847" ref="A442"/>
    <hyperlink r:id="rId848" ref="C442"/>
    <hyperlink r:id="rId849" ref="A443"/>
    <hyperlink r:id="rId850" ref="C443"/>
    <hyperlink r:id="rId851" location=":~:text=8.%20Monsoon%20Agency.%20This%20enterprise%20digital%20marketing,seo%20marketing%20company%20and%20strategic%20growth%20partner." ref="A444"/>
    <hyperlink r:id="rId852" ref="A445"/>
    <hyperlink r:id="rId853" ref="C445"/>
    <hyperlink r:id="rId854" ref="A446"/>
    <hyperlink r:id="rId855" ref="C446"/>
    <hyperlink r:id="rId856" ref="A447"/>
    <hyperlink r:id="rId857" ref="C447"/>
    <hyperlink r:id="rId858" location=":~:text=Hey%20Digital%20is%20a%20B2B%20SaaS%20performance,funnel.%20How%20Hey%20Digital%20approaches%20paid%20social." ref="A448"/>
    <hyperlink r:id="rId859" ref="C448"/>
    <hyperlink r:id="rId860" ref="A449"/>
    <hyperlink r:id="rId861" ref="C449"/>
    <hyperlink r:id="rId862" location=":~:text=After%20careful%20search%20and%20analysis,York%2C%20NY%2010004%2C%20United%20States" ref="A450"/>
    <hyperlink r:id="rId863" location=":~:text=Slalom%20is%20a%20modern%20consulting,clients%20as%20AI%20systems%20evolve." ref="A451"/>
    <hyperlink r:id="rId864" ref="C451"/>
    <hyperlink r:id="rId865" location=":~:text=InData%20Labs%20occupies%20a%20distinct%20position%20in,data%20environment%2C%20business%20model%2C%20and%20growth%20objectives." ref="A452"/>
    <hyperlink r:id="rId866" ref="C452"/>
    <hyperlink r:id="rId867" ref="A453"/>
    <hyperlink r:id="rId868" ref="C453"/>
    <hyperlink r:id="rId869" ref="A454"/>
    <hyperlink r:id="rId870" ref="C454"/>
    <hyperlink r:id="rId871" ref="A455"/>
    <hyperlink r:id="rId872" ref="C455"/>
    <hyperlink r:id="rId873" ref="A456"/>
    <hyperlink r:id="rId874" ref="C456"/>
    <hyperlink r:id="rId875" ref="A457"/>
    <hyperlink r:id="rId876" ref="C457"/>
    <hyperlink r:id="rId877" ref="A458"/>
    <hyperlink r:id="rId878" ref="C458"/>
    <hyperlink r:id="rId879" ref="A459"/>
    <hyperlink r:id="rId880" ref="C459"/>
    <hyperlink r:id="rId881" ref="A460"/>
    <hyperlink r:id="rId882" ref="C460"/>
    <hyperlink r:id="rId883" ref="A461"/>
    <hyperlink r:id="rId884" ref="C461"/>
    <hyperlink r:id="rId885" ref="A462"/>
    <hyperlink r:id="rId886" ref="C462"/>
    <hyperlink r:id="rId887" ref="A463"/>
    <hyperlink r:id="rId888" ref="C463"/>
    <hyperlink r:id="rId889" ref="A464"/>
    <hyperlink r:id="rId890" ref="C464"/>
    <hyperlink r:id="rId891" ref="A465"/>
    <hyperlink r:id="rId892" ref="C465"/>
    <hyperlink r:id="rId893" ref="A466"/>
    <hyperlink r:id="rId894" ref="C466"/>
    <hyperlink r:id="rId895" ref="A467"/>
    <hyperlink r:id="rId896" ref="C467"/>
    <hyperlink r:id="rId897" location=":~:text=Intero%20Digital%20offers%20a%20full%20suite%20of,always%20aligned%20with%20their%20lead%20generation%20objectives." ref="A468"/>
    <hyperlink r:id="rId898" ref="C468"/>
    <hyperlink r:id="rId899" ref="A469"/>
    <hyperlink r:id="rId900" ref="A470"/>
    <hyperlink r:id="rId901" ref="A471"/>
    <hyperlink r:id="rId902" ref="A472"/>
    <hyperlink r:id="rId903" ref="C472"/>
    <hyperlink r:id="rId904" ref="A473"/>
    <hyperlink r:id="rId905" ref="C473"/>
    <hyperlink r:id="rId906" ref="A474"/>
    <hyperlink r:id="rId907" ref="C474"/>
    <hyperlink r:id="rId908" ref="A475"/>
    <hyperlink r:id="rId909" ref="C475"/>
    <hyperlink r:id="rId910" ref="A476"/>
    <hyperlink r:id="rId911" ref="C476"/>
    <hyperlink r:id="rId912" ref="A477"/>
    <hyperlink r:id="rId913" ref="C477"/>
    <hyperlink r:id="rId914" ref="A478"/>
    <hyperlink r:id="rId915" ref="C478"/>
    <hyperlink r:id="rId916" ref="A479"/>
    <hyperlink r:id="rId917" ref="C479"/>
    <hyperlink r:id="rId918" ref="A480"/>
    <hyperlink r:id="rId919" ref="C480"/>
    <hyperlink r:id="rId920" ref="A481"/>
    <hyperlink r:id="rId921" ref="C481"/>
    <hyperlink r:id="rId922" ref="A482"/>
    <hyperlink r:id="rId923" ref="C482"/>
    <hyperlink r:id="rId924" ref="A483"/>
    <hyperlink r:id="rId925" ref="C483"/>
    <hyperlink r:id="rId926" ref="A484"/>
    <hyperlink r:id="rId927" ref="C484"/>
    <hyperlink r:id="rId928" ref="A485"/>
    <hyperlink r:id="rId929" ref="C485"/>
    <hyperlink r:id="rId930" ref="A486"/>
    <hyperlink r:id="rId931" ref="C486"/>
    <hyperlink r:id="rId932" ref="A487"/>
    <hyperlink r:id="rId933" ref="C487"/>
    <hyperlink r:id="rId934" ref="A488"/>
    <hyperlink r:id="rId935" ref="C488"/>
    <hyperlink r:id="rId936" ref="A489"/>
    <hyperlink r:id="rId937" ref="C489"/>
    <hyperlink r:id="rId938" ref="A490"/>
    <hyperlink r:id="rId939" ref="C490"/>
    <hyperlink r:id="rId940" ref="A491"/>
    <hyperlink r:id="rId941" ref="C491"/>
    <hyperlink r:id="rId942" ref="A492"/>
    <hyperlink r:id="rId943" ref="C492"/>
    <hyperlink r:id="rId944" ref="A493"/>
    <hyperlink r:id="rId945" ref="C493"/>
    <hyperlink r:id="rId946" ref="A494"/>
    <hyperlink r:id="rId947" ref="C494"/>
    <hyperlink r:id="rId948" ref="A495"/>
    <hyperlink r:id="rId949" ref="C495"/>
    <hyperlink r:id="rId950" ref="A496"/>
    <hyperlink r:id="rId951" ref="C496"/>
    <hyperlink r:id="rId952" ref="A497"/>
    <hyperlink r:id="rId953" ref="C497"/>
    <hyperlink r:id="rId954" ref="A498"/>
    <hyperlink r:id="rId955" ref="C498"/>
    <hyperlink r:id="rId956" ref="A499"/>
    <hyperlink r:id="rId957" ref="C499"/>
    <hyperlink r:id="rId958" location=":~:text=XLR8%20AI%20offers%20extensive%20LLM,content%20creation%2C%20and%20page%20optimization." ref="A500"/>
    <hyperlink r:id="rId959" ref="C500"/>
    <hyperlink r:id="rId960" ref="A501"/>
    <hyperlink r:id="rId961" ref="C501"/>
    <hyperlink r:id="rId962" ref="A502"/>
    <hyperlink r:id="rId963" ref="C502"/>
    <hyperlink r:id="rId964" ref="A503"/>
    <hyperlink r:id="rId965" ref="C503"/>
    <hyperlink r:id="rId966" ref="A504"/>
    <hyperlink r:id="rId967" ref="C504"/>
    <hyperlink r:id="rId968" location=":~:text=Be%20sure%20to%20evaluate%20which%20would%20be,Advertising%3A%20%2D%20Fyber%3A%20%2D%20SmartyAds%3A%20%2D%20Choozel%3A" ref="A505"/>
    <hyperlink r:id="rId969" ref="C505"/>
    <hyperlink r:id="rId970" ref="A506"/>
    <hyperlink r:id="rId971" ref="C506"/>
    <hyperlink r:id="rId972" ref="A507"/>
    <hyperlink r:id="rId973" ref="C507"/>
    <hyperlink r:id="rId974" ref="A508"/>
    <hyperlink r:id="rId975" ref="C508"/>
    <hyperlink r:id="rId976" ref="A509"/>
    <hyperlink r:id="rId977" ref="C509"/>
    <hyperlink r:id="rId978" location=":~:text=Industries%20Served%3A%20Consumer%20Goods%2C%20Automotive%2C%20Technology%2C%20Financial,and%20advanced%20attribution%20modelling.%20%2D%203.%20Essence." ref="A510"/>
    <hyperlink r:id="rId979" ref="C510"/>
    <hyperlink r:id="rId980" ref="A511"/>
    <hyperlink r:id="rId981" ref="C511"/>
    <hyperlink r:id="rId982" ref="A512"/>
    <hyperlink r:id="rId983" ref="A513"/>
    <hyperlink r:id="rId984" ref="C513"/>
    <hyperlink r:id="rId985" ref="A514"/>
    <hyperlink r:id="rId986" ref="C514"/>
    <hyperlink r:id="rId987" ref="A515"/>
    <hyperlink r:id="rId988" ref="C515"/>
    <hyperlink r:id="rId989" location=":~:text=Personalized%20client%20support.%20%2D%203.%20WebFX.%20WebFX,management.%20Data%2Ddriven%20campaign%20execution.%20Strong%20analytics%20capabilities." ref="A516"/>
    <hyperlink r:id="rId990" ref="C516"/>
    <hyperlink r:id="rId991" ref="A517"/>
    <hyperlink r:id="rId992" ref="C517"/>
    <hyperlink r:id="rId993" ref="A518"/>
    <hyperlink r:id="rId994" ref="C518"/>
    <hyperlink r:id="rId995" ref="A519"/>
    <hyperlink r:id="rId996" ref="C519"/>
    <hyperlink r:id="rId997" ref="A520"/>
    <hyperlink r:id="rId998" ref="C520"/>
    <hyperlink r:id="rId999" ref="A521"/>
    <hyperlink r:id="rId1000" ref="C521"/>
    <hyperlink r:id="rId1001" ref="A522"/>
    <hyperlink r:id="rId1002" ref="C522"/>
    <hyperlink r:id="rId1003" ref="A523"/>
    <hyperlink r:id="rId1004" ref="C523"/>
    <hyperlink r:id="rId1005" ref="A524"/>
    <hyperlink r:id="rId1006" ref="C524"/>
    <hyperlink r:id="rId1007" ref="A525"/>
    <hyperlink r:id="rId1008" ref="C525"/>
    <hyperlink r:id="rId1009" ref="A526"/>
    <hyperlink r:id="rId1010" ref="C526"/>
    <hyperlink r:id="rId1011" ref="A527"/>
    <hyperlink r:id="rId1012" ref="C527"/>
    <hyperlink r:id="rId1013" ref="A528"/>
    <hyperlink r:id="rId1014" ref="C528"/>
    <hyperlink r:id="rId1015" ref="A529"/>
    <hyperlink r:id="rId1016" ref="C529"/>
    <hyperlink r:id="rId1017" ref="A530"/>
    <hyperlink r:id="rId1018" ref="C530"/>
    <hyperlink r:id="rId1019" ref="A531"/>
    <hyperlink r:id="rId1020" ref="C531"/>
    <hyperlink r:id="rId1021" ref="A532"/>
    <hyperlink r:id="rId1022" ref="C532"/>
    <hyperlink r:id="rId1023" ref="A533"/>
    <hyperlink r:id="rId1024" ref="C533"/>
    <hyperlink r:id="rId1025" ref="A534"/>
    <hyperlink r:id="rId1026" ref="C534"/>
    <hyperlink r:id="rId1027" location=":~:text=FlyPix%20AI%20is%20one%20of%20the%20geospatial,and%20aerial%20imagery%20through%20a%20no%2Dcode%20interface." ref="A535"/>
    <hyperlink r:id="rId1028" ref="C535"/>
    <hyperlink r:id="rId1029" ref="A536"/>
    <hyperlink r:id="rId1030" ref="C536"/>
    <hyperlink r:id="rId1031" ref="A537"/>
    <hyperlink r:id="rId1032" ref="C537"/>
    <hyperlink r:id="rId1033" ref="A538"/>
    <hyperlink r:id="rId1034" ref="C538"/>
    <hyperlink r:id="rId1035" ref="A539"/>
    <hyperlink r:id="rId1036" ref="C539"/>
    <hyperlink r:id="rId1037" ref="A540"/>
    <hyperlink r:id="rId1038" ref="C540"/>
    <hyperlink r:id="rId1039" ref="A541"/>
    <hyperlink r:id="rId1040" ref="C541"/>
    <hyperlink r:id="rId1041" ref="A542"/>
    <hyperlink r:id="rId1042" ref="C542"/>
    <hyperlink r:id="rId1043" ref="A543"/>
    <hyperlink r:id="rId1044" ref="C543"/>
    <hyperlink r:id="rId1045" ref="A544"/>
    <hyperlink r:id="rId1046" ref="C544"/>
    <hyperlink r:id="rId1047" ref="A545"/>
    <hyperlink r:id="rId1048" ref="C545"/>
    <hyperlink r:id="rId1049" ref="A546"/>
    <hyperlink r:id="rId1050" ref="C546"/>
    <hyperlink r:id="rId1051" ref="A547"/>
    <hyperlink r:id="rId1052" ref="C547"/>
    <hyperlink r:id="rId1053" ref="A548"/>
    <hyperlink r:id="rId1054" ref="C548"/>
    <hyperlink r:id="rId1055" ref="A549"/>
    <hyperlink r:id="rId1056" ref="C549"/>
    <hyperlink r:id="rId1057" ref="A550"/>
    <hyperlink r:id="rId1058" ref="C550"/>
    <hyperlink r:id="rId1059" ref="A551"/>
    <hyperlink r:id="rId1060" ref="C551"/>
    <hyperlink r:id="rId1061" ref="A552"/>
    <hyperlink r:id="rId1062" ref="C552"/>
    <hyperlink r:id="rId1063" ref="A553"/>
    <hyperlink r:id="rId1064" ref="C553"/>
    <hyperlink r:id="rId1065" ref="A554"/>
    <hyperlink r:id="rId1066" ref="C554"/>
    <hyperlink r:id="rId1067" ref="A555"/>
    <hyperlink r:id="rId1068" ref="C555"/>
    <hyperlink r:id="rId1069" ref="A556"/>
    <hyperlink r:id="rId1070" ref="C556"/>
    <hyperlink r:id="rId1071" ref="A557"/>
    <hyperlink r:id="rId1072" ref="C557"/>
    <hyperlink r:id="rId1073" ref="A558"/>
    <hyperlink r:id="rId1074" ref="C558"/>
    <hyperlink r:id="rId1075" ref="A559"/>
    <hyperlink r:id="rId1076" ref="C559"/>
    <hyperlink r:id="rId1077" ref="A560"/>
    <hyperlink r:id="rId1078" ref="C560"/>
    <hyperlink r:id="rId1079" ref="A561"/>
    <hyperlink r:id="rId1080" ref="C561"/>
    <hyperlink r:id="rId1081" ref="A562"/>
    <hyperlink r:id="rId1082" ref="C562"/>
    <hyperlink r:id="rId1083" ref="A563"/>
    <hyperlink r:id="rId1084" ref="C563"/>
    <hyperlink r:id="rId1085" ref="A564"/>
    <hyperlink r:id="rId1086" ref="C564"/>
    <hyperlink r:id="rId1087" ref="A565"/>
    <hyperlink r:id="rId1088" ref="C565"/>
    <hyperlink r:id="rId1089" ref="A566"/>
    <hyperlink r:id="rId1090" ref="C566"/>
    <hyperlink r:id="rId1091" ref="A567"/>
    <hyperlink r:id="rId1092" ref="C567"/>
    <hyperlink r:id="rId1093" ref="A568"/>
    <hyperlink r:id="rId1094" ref="C568"/>
    <hyperlink r:id="rId1095" location=":~:text=Services%3A%20Appointment%20setting%20%C2%B7%20Account%2Dbased%20marketing%20%C2%B7,SaaS%20marketing%20%C2%B7%20SEO.%20%2D%20Refine%20Labs." ref="A569"/>
    <hyperlink r:id="rId1096" ref="C569"/>
    <hyperlink r:id="rId1097" ref="A570"/>
    <hyperlink r:id="rId1098" ref="C570"/>
    <hyperlink r:id="rId1099" ref="A571"/>
    <hyperlink r:id="rId1100" ref="C571"/>
    <hyperlink r:id="rId1101" ref="A572"/>
    <hyperlink r:id="rId1102" ref="C572"/>
    <hyperlink r:id="rId1103" ref="A573"/>
    <hyperlink r:id="rId1104" ref="C573"/>
    <hyperlink r:id="rId1105" ref="A574"/>
    <hyperlink r:id="rId1106" ref="C574"/>
    <hyperlink r:id="rId1107" ref="A575"/>
    <hyperlink r:id="rId1108" ref="C575"/>
    <hyperlink r:id="rId1109" ref="A576"/>
    <hyperlink r:id="rId1110" ref="A577"/>
    <hyperlink r:id="rId1111" ref="C577"/>
    <hyperlink r:id="rId1112" ref="A578"/>
    <hyperlink r:id="rId1113" ref="C578"/>
    <hyperlink r:id="rId1114" ref="A579"/>
    <hyperlink r:id="rId1115" ref="C579"/>
    <hyperlink r:id="rId1116" ref="A580"/>
    <hyperlink r:id="rId1117" ref="C580"/>
    <hyperlink r:id="rId1118" ref="A581"/>
    <hyperlink r:id="rId1119" ref="C581"/>
    <hyperlink r:id="rId1120" ref="A582"/>
    <hyperlink r:id="rId1121" ref="C582"/>
    <hyperlink r:id="rId1122" ref="A583"/>
    <hyperlink r:id="rId1123" ref="C583"/>
    <hyperlink r:id="rId1124" ref="A584"/>
    <hyperlink r:id="rId1125" ref="C584"/>
    <hyperlink r:id="rId1126" ref="A585"/>
    <hyperlink r:id="rId1127" ref="C585"/>
    <hyperlink r:id="rId1128" ref="A586"/>
    <hyperlink r:id="rId1129" ref="C586"/>
    <hyperlink r:id="rId1130" ref="A587"/>
    <hyperlink r:id="rId1131" ref="C587"/>
    <hyperlink r:id="rId1132" ref="A588"/>
    <hyperlink r:id="rId1133" ref="C588"/>
    <hyperlink r:id="rId1134" location=":~:text=Version2%20is%20an%20advertising%20agency%20specializing%20in,of%20reviewers%20highlighting%20their%20professionalism%20and%20commitment." ref="A589"/>
    <hyperlink r:id="rId1135" ref="C589"/>
    <hyperlink r:id="rId1136" ref="A590"/>
    <hyperlink r:id="rId1137" ref="C590"/>
    <hyperlink r:id="rId1138" ref="A591"/>
    <hyperlink r:id="rId1139" ref="C591"/>
    <hyperlink r:id="rId1140" ref="A592"/>
    <hyperlink r:id="rId1141" ref="C592"/>
    <hyperlink r:id="rId1142" ref="A593"/>
    <hyperlink r:id="rId1143" ref="C593"/>
    <hyperlink r:id="rId1144" ref="A594"/>
    <hyperlink r:id="rId1145" ref="C594"/>
    <hyperlink r:id="rId1146" ref="A595"/>
    <hyperlink r:id="rId1147" ref="C595"/>
    <hyperlink r:id="rId1148" ref="A596"/>
    <hyperlink r:id="rId1149" ref="C596"/>
    <hyperlink r:id="rId1150" ref="A597"/>
    <hyperlink r:id="rId1151" ref="C597"/>
    <hyperlink r:id="rId1152" ref="A598"/>
    <hyperlink r:id="rId1153" ref="C598"/>
    <hyperlink r:id="rId1154" ref="A599"/>
    <hyperlink r:id="rId1155" ref="C599"/>
    <hyperlink r:id="rId1156" ref="A600"/>
    <hyperlink r:id="rId1157" ref="C600"/>
    <hyperlink r:id="rId1158" ref="A601"/>
    <hyperlink r:id="rId1159" ref="C601"/>
    <hyperlink r:id="rId1160" ref="A602"/>
    <hyperlink r:id="rId1161" ref="C602"/>
    <hyperlink r:id="rId1162" ref="A603"/>
    <hyperlink r:id="rId1163" ref="C603"/>
    <hyperlink r:id="rId1164" ref="A604"/>
    <hyperlink r:id="rId1165" ref="C604"/>
    <hyperlink r:id="rId1166" ref="A605"/>
    <hyperlink r:id="rId1167" ref="C605"/>
    <hyperlink r:id="rId1168" ref="A606"/>
    <hyperlink r:id="rId1169" ref="C606"/>
    <hyperlink r:id="rId1170" ref="A607"/>
    <hyperlink r:id="rId1171" ref="C607"/>
    <hyperlink r:id="rId1172" ref="A608"/>
    <hyperlink r:id="rId1173" ref="A609"/>
    <hyperlink r:id="rId1174" ref="C609"/>
    <hyperlink r:id="rId1175" ref="A610"/>
    <hyperlink r:id="rId1176" ref="C610"/>
    <hyperlink r:id="rId1177" ref="A611"/>
    <hyperlink r:id="rId1178" ref="C611"/>
    <hyperlink r:id="rId1179" ref="A612"/>
    <hyperlink r:id="rId1180" ref="C612"/>
    <hyperlink r:id="rId1181" ref="A613"/>
    <hyperlink r:id="rId1182" ref="C613"/>
    <hyperlink r:id="rId1183" location=":~:text=Each%20brings%20distinct%20strengths%20to%20performance%20creative%2C,ROI%20and%20strategic%20partnership.%20%2D%202.%20Tinuiti." ref="A614"/>
    <hyperlink r:id="rId1184" ref="C614"/>
    <hyperlink r:id="rId1185" ref="A615"/>
    <hyperlink r:id="rId1186" ref="C615"/>
    <hyperlink r:id="rId1187" ref="A616"/>
    <hyperlink r:id="rId1188" ref="C616"/>
    <hyperlink r:id="rId1189" ref="A617"/>
    <hyperlink r:id="rId1190" ref="C617"/>
    <hyperlink r:id="rId1191" ref="A618"/>
    <hyperlink r:id="rId1192" ref="C618"/>
    <hyperlink r:id="rId1193" ref="A619"/>
    <hyperlink r:id="rId1194" ref="A620"/>
    <hyperlink r:id="rId1195" ref="A621"/>
    <hyperlink r:id="rId1196" ref="C621"/>
    <hyperlink r:id="rId1197" ref="A622"/>
    <hyperlink r:id="rId1198" ref="C622"/>
    <hyperlink r:id="rId1199" ref="A623"/>
    <hyperlink r:id="rId1200" ref="C623"/>
    <hyperlink r:id="rId1201" ref="A624"/>
    <hyperlink r:id="rId1202" ref="C624"/>
    <hyperlink r:id="rId1203" location=":~:text=With%20%244B%20in%20digital%20media%20under%20management,achieve%20perfect%20harmony.%20What%20makes%20Tinuiti%20special%3F" ref="A625"/>
    <hyperlink r:id="rId1204" ref="C625"/>
    <hyperlink r:id="rId1205" ref="A626"/>
    <hyperlink r:id="rId1206" ref="C626"/>
    <hyperlink r:id="rId1207" ref="A627"/>
    <hyperlink r:id="rId1208" ref="C627"/>
    <hyperlink r:id="rId1209" ref="A628"/>
    <hyperlink r:id="rId1210" ref="C628"/>
    <hyperlink r:id="rId1211" ref="A629"/>
    <hyperlink r:id="rId1212" ref="C629"/>
    <hyperlink r:id="rId1213" ref="A630"/>
    <hyperlink r:id="rId1214" ref="C630"/>
    <hyperlink r:id="rId1215" ref="A631"/>
    <hyperlink r:id="rId1216" ref="C631"/>
    <hyperlink r:id="rId1217" ref="A632"/>
    <hyperlink r:id="rId1218" ref="C632"/>
    <hyperlink r:id="rId1219" ref="A633"/>
    <hyperlink r:id="rId1220" ref="C633"/>
    <hyperlink r:id="rId1221" ref="A634"/>
    <hyperlink r:id="rId1222" ref="C634"/>
    <hyperlink r:id="rId1223" ref="A635"/>
    <hyperlink r:id="rId1224" ref="C635"/>
    <hyperlink r:id="rId1225" ref="A636"/>
    <hyperlink r:id="rId1226" ref="C636"/>
    <hyperlink r:id="rId1227" ref="A637"/>
    <hyperlink r:id="rId1228" ref="C637"/>
    <hyperlink r:id="rId1229" ref="A638"/>
    <hyperlink r:id="rId1230" ref="C638"/>
    <hyperlink r:id="rId1231" ref="A639"/>
    <hyperlink r:id="rId1232" ref="C639"/>
    <hyperlink r:id="rId1233" ref="A640"/>
    <hyperlink r:id="rId1234" ref="C640"/>
    <hyperlink r:id="rId1235" ref="A641"/>
    <hyperlink r:id="rId1236" ref="C641"/>
    <hyperlink r:id="rId1237" ref="A642"/>
    <hyperlink r:id="rId1238" ref="C642"/>
    <hyperlink r:id="rId1239" ref="A643"/>
    <hyperlink r:id="rId1240" ref="C643"/>
    <hyperlink r:id="rId1241" ref="A644"/>
    <hyperlink r:id="rId1242" ref="A645"/>
    <hyperlink r:id="rId1243" ref="C645"/>
    <hyperlink r:id="rId1244" ref="A646"/>
    <hyperlink r:id="rId1245" ref="C646"/>
    <hyperlink r:id="rId1246" ref="A647"/>
    <hyperlink r:id="rId1247" ref="C647"/>
    <hyperlink r:id="rId1248" location=":~:text=The%20agency%20has%20officially%20partnered%20with%20some,work%20with%20big%20clients%20with%20massive%20budgets." ref="A648"/>
    <hyperlink r:id="rId1249" ref="A649"/>
    <hyperlink r:id="rId1250" ref="C649"/>
    <hyperlink r:id="rId1251" ref="A650"/>
    <hyperlink r:id="rId1252" ref="C650"/>
    <hyperlink r:id="rId1253" ref="A651"/>
    <hyperlink r:id="rId1254" ref="C651"/>
    <hyperlink r:id="rId1255" ref="A652"/>
    <hyperlink r:id="rId1256" ref="C652"/>
    <hyperlink r:id="rId1257" ref="A653"/>
    <hyperlink r:id="rId1258" ref="C653"/>
    <hyperlink r:id="rId1259" ref="A654"/>
    <hyperlink r:id="rId1260" ref="C654"/>
    <hyperlink r:id="rId1261" ref="A655"/>
    <hyperlink r:id="rId1262" ref="C655"/>
    <hyperlink r:id="rId1263" location=":~:text=NGA%20operates%20as%20both%20a,of%20the%20U.S.%20intelligence%20community." ref="A656"/>
    <hyperlink r:id="rId1264" ref="C656"/>
    <hyperlink r:id="rId1265" ref="A657"/>
    <hyperlink r:id="rId1266" ref="C657"/>
    <hyperlink r:id="rId1267" ref="A658"/>
    <hyperlink r:id="rId1268" ref="C658"/>
    <hyperlink r:id="rId1269" ref="A659"/>
    <hyperlink r:id="rId1270" ref="C659"/>
    <hyperlink r:id="rId1271" ref="A660"/>
    <hyperlink r:id="rId1272" ref="C660"/>
    <hyperlink r:id="rId1273" ref="A661"/>
    <hyperlink r:id="rId1274" ref="C661"/>
    <hyperlink r:id="rId1275" ref="A662"/>
    <hyperlink r:id="rId1276" ref="C662"/>
    <hyperlink r:id="rId1277" ref="A663"/>
    <hyperlink r:id="rId1278" ref="C663"/>
    <hyperlink r:id="rId1279" ref="A664"/>
    <hyperlink r:id="rId1280" ref="C664"/>
    <hyperlink r:id="rId1281" ref="A665"/>
    <hyperlink r:id="rId1282" ref="C665"/>
    <hyperlink r:id="rId1283" ref="A666"/>
    <hyperlink r:id="rId1284" ref="C666"/>
    <hyperlink r:id="rId1285" ref="A667"/>
    <hyperlink r:id="rId1286" ref="C667"/>
    <hyperlink r:id="rId1287" ref="A668"/>
    <hyperlink r:id="rId1288" ref="C668"/>
    <hyperlink r:id="rId1289" ref="A669"/>
    <hyperlink r:id="rId1290" ref="C669"/>
    <hyperlink r:id="rId1291" ref="A670"/>
    <hyperlink r:id="rId1292" ref="C670"/>
    <hyperlink r:id="rId1293" ref="A671"/>
    <hyperlink r:id="rId1294" ref="C671"/>
    <hyperlink r:id="rId1295" ref="A672"/>
    <hyperlink r:id="rId1296" ref="C672"/>
    <hyperlink r:id="rId1297" ref="A673"/>
    <hyperlink r:id="rId1298" ref="C673"/>
    <hyperlink r:id="rId1299" ref="A674"/>
    <hyperlink r:id="rId1300" ref="C674"/>
    <hyperlink r:id="rId1301" ref="A675"/>
    <hyperlink r:id="rId1302" ref="C675"/>
    <hyperlink r:id="rId1303" ref="A676"/>
    <hyperlink r:id="rId1304" ref="C676"/>
    <hyperlink r:id="rId1305" ref="A677"/>
    <hyperlink r:id="rId1306" ref="C677"/>
    <hyperlink r:id="rId1307" ref="A678"/>
    <hyperlink r:id="rId1308" ref="A679"/>
    <hyperlink r:id="rId1309" ref="C679"/>
    <hyperlink r:id="rId1310" ref="A680"/>
    <hyperlink r:id="rId1311" ref="C680"/>
    <hyperlink r:id="rId1312" ref="A681"/>
    <hyperlink r:id="rId1313" ref="C681"/>
    <hyperlink r:id="rId1314" location=":~:text=%2D%20Agency.%20Best%20For.%20Core%20Strength.%20%2D,conversion%20rate%20optimization.%20%2D%20Tinuiti.%20Enterprise%20ecommerce." ref="A682"/>
    <hyperlink r:id="rId1315" ref="C682"/>
    <hyperlink r:id="rId1316" ref="A683"/>
    <hyperlink r:id="rId1317" ref="C683"/>
    <hyperlink r:id="rId1318" ref="A684"/>
    <hyperlink r:id="rId1319" ref="C684"/>
    <hyperlink r:id="rId1320" ref="A685"/>
    <hyperlink r:id="rId1321" ref="C685"/>
    <hyperlink r:id="rId1322" ref="A686"/>
    <hyperlink r:id="rId1323" ref="C686"/>
    <hyperlink r:id="rId1324" ref="A687"/>
    <hyperlink r:id="rId1325" ref="C687"/>
    <hyperlink r:id="rId1326" ref="A688"/>
    <hyperlink r:id="rId1327" ref="C688"/>
    <hyperlink r:id="rId1328" ref="A689"/>
    <hyperlink r:id="rId1329" ref="C689"/>
    <hyperlink r:id="rId1330" ref="A690"/>
    <hyperlink r:id="rId1331" ref="C690"/>
    <hyperlink r:id="rId1332" ref="A691"/>
    <hyperlink r:id="rId1333" ref="C691"/>
    <hyperlink r:id="rId1334" ref="A692"/>
    <hyperlink r:id="rId1335" ref="C692"/>
    <hyperlink r:id="rId1336" ref="A693"/>
    <hyperlink r:id="rId1337" ref="C693"/>
    <hyperlink r:id="rId1338" ref="A694"/>
    <hyperlink r:id="rId1339" ref="C694"/>
    <hyperlink r:id="rId1340" ref="A695"/>
    <hyperlink r:id="rId1341" location=":~:text=The%20best%20paid%20media%20agencies%20use%20technology%2C,audience%20quickly%20with%20targeted%20and%20testable%20campaigns." ref="A696"/>
    <hyperlink r:id="rId1342" ref="C696"/>
    <hyperlink r:id="rId1343" ref="A697"/>
    <hyperlink r:id="rId1344" ref="C697"/>
    <hyperlink r:id="rId1345" ref="A698"/>
    <hyperlink r:id="rId1346" ref="C698"/>
    <hyperlink r:id="rId1347" location=":~:text=Deloitte%20provides%20analytics%20consulting%20across%20areas%20like,forecasting%2C%20optimization%2C%20and%20operational%20performance%20use%20cases." ref="A699"/>
    <hyperlink r:id="rId1348" ref="C699"/>
    <hyperlink r:id="rId1349" ref="A700"/>
    <hyperlink r:id="rId1350" ref="C700"/>
    <hyperlink r:id="rId1351" location=":~:text=Pricing%3A%207%2D15%25%20of%20media%20spend%20(typically%2010%25,of%20conversion%20data%20for%20AI%20bidding%20optimization." ref="A701"/>
    <hyperlink r:id="rId1352" ref="C701"/>
    <hyperlink r:id="rId1353" ref="A702"/>
    <hyperlink r:id="rId1354" ref="A703"/>
    <hyperlink r:id="rId1355" ref="A704"/>
    <hyperlink r:id="rId1356" ref="A705"/>
    <hyperlink r:id="rId1357" ref="A706"/>
    <hyperlink r:id="rId1358" ref="C706"/>
    <hyperlink r:id="rId1359" ref="A707"/>
    <hyperlink r:id="rId1360" ref="C707"/>
    <hyperlink r:id="rId1361" ref="A708"/>
    <hyperlink r:id="rId1362" ref="C708"/>
    <hyperlink r:id="rId1363" location=":~:text=Scale%20Rankings%20%2D%201.%20ScaleRankings.%20ScaleRankings.com%20isn't,is%20what%20separates%20it%20from%20everyone%20else." ref="A709"/>
    <hyperlink r:id="rId1364" ref="C709"/>
    <hyperlink r:id="rId1365" ref="A710"/>
    <hyperlink r:id="rId1366" ref="C710"/>
    <hyperlink r:id="rId1367" ref="A711"/>
    <hyperlink r:id="rId1368" ref="C711"/>
    <hyperlink r:id="rId1369" ref="A712"/>
    <hyperlink r:id="rId1370" ref="C712"/>
    <hyperlink r:id="rId1371" location=":~:text=Core%20Services%20%2D%20SEO%20services.%20%2D%20Paid,strategy.%20%2D%20Lead%20generation.%20%2D%20Website%20optimization." ref="A713"/>
    <hyperlink r:id="rId1372" ref="C713"/>
    <hyperlink r:id="rId1373" ref="A714"/>
    <hyperlink r:id="rId1374" ref="C714"/>
    <hyperlink r:id="rId1375" ref="A715"/>
    <hyperlink r:id="rId1376" ref="C715"/>
    <hyperlink r:id="rId1377" ref="A716"/>
    <hyperlink r:id="rId1378" ref="C716"/>
    <hyperlink r:id="rId1379" location=":~:text=With%20stricter%20privacy%20regulations%20and%20reduced%20third%2Dparty,Experience%20in%20your%20industry%20or%20growth%20stage." ref="A717"/>
    <hyperlink r:id="rId1380" ref="C717"/>
    <hyperlink r:id="rId1381" ref="A718"/>
    <hyperlink r:id="rId1382" ref="C718"/>
    <hyperlink r:id="rId1383" ref="A719"/>
    <hyperlink r:id="rId1384" ref="C719"/>
    <hyperlink r:id="rId1385" ref="A720"/>
    <hyperlink r:id="rId1386" ref="C720"/>
    <hyperlink r:id="rId1387" ref="A721"/>
    <hyperlink r:id="rId1388" ref="C721"/>
    <hyperlink r:id="rId1389" ref="A722"/>
    <hyperlink r:id="rId1390" ref="C722"/>
    <hyperlink r:id="rId1391" ref="A723"/>
    <hyperlink r:id="rId1392" ref="C723"/>
    <hyperlink r:id="rId1393" ref="A724"/>
    <hyperlink r:id="rId1394" ref="C724"/>
    <hyperlink r:id="rId1395" ref="A725"/>
    <hyperlink r:id="rId1396" ref="C725"/>
    <hyperlink r:id="rId1397" ref="A726"/>
    <hyperlink r:id="rId1398" ref="C726"/>
    <hyperlink r:id="rId1399" ref="A727"/>
    <hyperlink r:id="rId1400" ref="C727"/>
    <hyperlink r:id="rId1401" ref="A728"/>
    <hyperlink r:id="rId1402" ref="C728"/>
    <hyperlink r:id="rId1403" ref="A729"/>
    <hyperlink r:id="rId1404" ref="C729"/>
    <hyperlink r:id="rId1405" ref="A730"/>
    <hyperlink r:id="rId1406" ref="C730"/>
    <hyperlink r:id="rId1407" ref="A731"/>
    <hyperlink r:id="rId1408" ref="C731"/>
    <hyperlink r:id="rId1409" ref="A732"/>
    <hyperlink r:id="rId1410" ref="C732"/>
    <hyperlink r:id="rId1411" ref="A733"/>
    <hyperlink r:id="rId1412" ref="C733"/>
    <hyperlink r:id="rId1413" ref="A734"/>
    <hyperlink r:id="rId1414" ref="C734"/>
    <hyperlink r:id="rId1415" ref="A735"/>
    <hyperlink r:id="rId1416" ref="C735"/>
    <hyperlink r:id="rId1417" ref="A736"/>
    <hyperlink r:id="rId1418" ref="C736"/>
    <hyperlink r:id="rId1419" ref="A737"/>
    <hyperlink r:id="rId1420" ref="C737"/>
    <hyperlink r:id="rId1421" ref="A738"/>
    <hyperlink r:id="rId1422" ref="C738"/>
    <hyperlink r:id="rId1423" ref="A739"/>
    <hyperlink r:id="rId1424" ref="C739"/>
    <hyperlink r:id="rId1425" ref="A740"/>
    <hyperlink r:id="rId1426" ref="C740"/>
    <hyperlink r:id="rId1427" ref="A741"/>
    <hyperlink r:id="rId1428" ref="C741"/>
    <hyperlink r:id="rId1429" ref="A742"/>
    <hyperlink r:id="rId1430" ref="C742"/>
    <hyperlink r:id="rId1431" ref="A743"/>
    <hyperlink r:id="rId1432" ref="C743"/>
    <hyperlink r:id="rId1433" ref="A744"/>
    <hyperlink r:id="rId1434" ref="C744"/>
    <hyperlink r:id="rId1435" ref="A745"/>
    <hyperlink r:id="rId1436" ref="C745"/>
    <hyperlink r:id="rId1437" ref="A746"/>
    <hyperlink r:id="rId1438" ref="C746"/>
    <hyperlink r:id="rId1439" ref="A747"/>
    <hyperlink r:id="rId1440" ref="C747"/>
    <hyperlink r:id="rId1441" ref="A748"/>
    <hyperlink r:id="rId1442" ref="C748"/>
    <hyperlink r:id="rId1443" ref="A749"/>
    <hyperlink r:id="rId1444" ref="C749"/>
    <hyperlink r:id="rId1445" ref="A750"/>
    <hyperlink r:id="rId1446" ref="C750"/>
    <hyperlink r:id="rId1447" ref="A751"/>
    <hyperlink r:id="rId1448" ref="C751"/>
    <hyperlink r:id="rId1449" location=":~:text=Goodway%20Group%20%E2%80%93%20Enterprise%2Dlevel%20programmatic%20agency%20using,Boutique%20agency%20focused%20on%20precise%20geographic%20targeting." ref="A752"/>
    <hyperlink r:id="rId1450" ref="C752"/>
    <hyperlink r:id="rId1451" ref="A753"/>
    <hyperlink r:id="rId1452" ref="C753"/>
    <hyperlink r:id="rId1453" ref="A754"/>
    <hyperlink r:id="rId1454" ref="A755"/>
    <hyperlink r:id="rId1455" ref="A756"/>
    <hyperlink r:id="rId1456" ref="C756"/>
    <hyperlink r:id="rId1457" ref="A757"/>
    <hyperlink r:id="rId1458" ref="C757"/>
    <hyperlink r:id="rId1459" ref="A758"/>
    <hyperlink r:id="rId1460" ref="C758"/>
    <hyperlink r:id="rId1461" ref="A759"/>
    <hyperlink r:id="rId1462" ref="C759"/>
    <hyperlink r:id="rId1463" location=":~:text=A%20wild%2C%20funny%20twist%20can,rules%E2%80%94they%20rewrite%20'em." ref="A760"/>
    <hyperlink r:id="rId1464" ref="C760"/>
    <hyperlink r:id="rId1465" ref="A761"/>
    <hyperlink r:id="rId1466" ref="A762"/>
    <hyperlink r:id="rId1467" ref="A763"/>
    <hyperlink r:id="rId1468" ref="A764"/>
    <hyperlink r:id="rId1469" ref="C764"/>
    <hyperlink r:id="rId1470" ref="A765"/>
    <hyperlink r:id="rId1471" ref="C765"/>
    <hyperlink r:id="rId1472" ref="A766"/>
    <hyperlink r:id="rId1473" ref="C766"/>
    <hyperlink r:id="rId1474" ref="A767"/>
    <hyperlink r:id="rId1475" ref="C767"/>
    <hyperlink r:id="rId1476" ref="A768"/>
    <hyperlink r:id="rId1477" ref="C768"/>
    <hyperlink r:id="rId1478" ref="A769"/>
    <hyperlink r:id="rId1479" ref="C769"/>
    <hyperlink r:id="rId1480" ref="A770"/>
    <hyperlink r:id="rId1481" ref="C770"/>
    <hyperlink r:id="rId1482" location=":~:text=AKQA%20at%20%232%20earns%20its%20position%20through,way%20that%20few%20agencies%20can%20credibly%20claim." ref="A771"/>
    <hyperlink r:id="rId1483" ref="C771"/>
    <hyperlink r:id="rId1484" ref="A772"/>
    <hyperlink r:id="rId1485" ref="C772"/>
    <hyperlink r:id="rId1486" ref="A773"/>
    <hyperlink r:id="rId1487" ref="C773"/>
    <hyperlink r:id="rId1488" ref="A774"/>
    <hyperlink r:id="rId1489" ref="C774"/>
    <hyperlink r:id="rId1490" ref="A775"/>
    <hyperlink r:id="rId1491" ref="C775"/>
    <hyperlink r:id="rId1492" ref="A776"/>
    <hyperlink r:id="rId1493" ref="C776"/>
    <hyperlink r:id="rId1494" ref="A777"/>
    <hyperlink r:id="rId1495" ref="C777"/>
    <hyperlink r:id="rId1496" ref="A778"/>
    <hyperlink r:id="rId1497" ref="C778"/>
    <hyperlink r:id="rId1498" ref="A779"/>
    <hyperlink r:id="rId1499" ref="C779"/>
    <hyperlink r:id="rId1500" ref="A780"/>
    <hyperlink r:id="rId1501" ref="C780"/>
    <hyperlink r:id="rId1502" ref="A781"/>
    <hyperlink r:id="rId1503" ref="C781"/>
    <hyperlink r:id="rId1504" ref="A782"/>
    <hyperlink r:id="rId1505" ref="C782"/>
    <hyperlink r:id="rId1506" location=":~:text=2%20%7C%20Position%20Digital%20%7C%20%2F%20%7C,B2B%20SaaS%20multi%2Dsurface%20AEO%20%26%20pipeline%20attribution" ref="A783"/>
    <hyperlink r:id="rId1507" ref="C783"/>
    <hyperlink r:id="rId1508" ref="A784"/>
    <hyperlink r:id="rId1509" ref="C784"/>
    <hyperlink r:id="rId1510" ref="A785"/>
    <hyperlink r:id="rId1511" ref="C785"/>
    <hyperlink r:id="rId1512" ref="A786"/>
    <hyperlink r:id="rId1513" ref="C786"/>
    <hyperlink r:id="rId1514" ref="A787"/>
    <hyperlink r:id="rId1515" ref="C787"/>
    <hyperlink r:id="rId1516" ref="A788"/>
    <hyperlink r:id="rId1517" ref="C788"/>
    <hyperlink r:id="rId1518" ref="A789"/>
    <hyperlink r:id="rId1519" ref="C789"/>
    <hyperlink r:id="rId1520" ref="A790"/>
    <hyperlink r:id="rId1521" ref="C790"/>
    <hyperlink r:id="rId1522" ref="A791"/>
    <hyperlink r:id="rId1523" ref="C791"/>
    <hyperlink r:id="rId1524" ref="A792"/>
    <hyperlink r:id="rId1525" ref="C792"/>
    <hyperlink r:id="rId1526" ref="A793"/>
    <hyperlink r:id="rId1527" ref="A794"/>
    <hyperlink r:id="rId1528" ref="C794"/>
    <hyperlink r:id="rId1529" ref="A795"/>
    <hyperlink r:id="rId1530" ref="C795"/>
    <hyperlink r:id="rId1531" ref="A796"/>
    <hyperlink r:id="rId1532" ref="C796"/>
    <hyperlink r:id="rId1533" ref="A797"/>
    <hyperlink r:id="rId1534" ref="C797"/>
    <hyperlink r:id="rId1535" ref="A798"/>
    <hyperlink r:id="rId1536" ref="C798"/>
    <hyperlink r:id="rId1537" ref="A799"/>
    <hyperlink r:id="rId1538" ref="C799"/>
    <hyperlink r:id="rId1539" ref="A800"/>
    <hyperlink r:id="rId1540" ref="C800"/>
    <hyperlink r:id="rId1541" ref="A801"/>
    <hyperlink r:id="rId1542" ref="C801"/>
    <hyperlink r:id="rId1543" ref="A802"/>
    <hyperlink r:id="rId1544" ref="C802"/>
    <hyperlink r:id="rId1545" ref="A803"/>
    <hyperlink r:id="rId1546" ref="C803"/>
    <hyperlink r:id="rId1547" ref="A804"/>
    <hyperlink r:id="rId1548" ref="C804"/>
    <hyperlink r:id="rId1549" ref="A805"/>
    <hyperlink r:id="rId1550" ref="C805"/>
    <hyperlink r:id="rId1551" ref="A806"/>
    <hyperlink r:id="rId1552" ref="C806"/>
    <hyperlink r:id="rId1553" ref="A807"/>
    <hyperlink r:id="rId1554" ref="A808"/>
    <hyperlink r:id="rId1555" ref="C808"/>
    <hyperlink r:id="rId1556" ref="A809"/>
    <hyperlink r:id="rId1557" ref="C809"/>
    <hyperlink r:id="rId1558" ref="A810"/>
    <hyperlink r:id="rId1559" ref="C810"/>
    <hyperlink r:id="rId1560" ref="A811"/>
    <hyperlink r:id="rId1561" ref="C811"/>
    <hyperlink r:id="rId1562" ref="A812"/>
    <hyperlink r:id="rId1563" ref="C812"/>
    <hyperlink r:id="rId1564" ref="A813"/>
    <hyperlink r:id="rId1565" ref="C813"/>
    <hyperlink r:id="rId1566" ref="A814"/>
    <hyperlink r:id="rId1567" ref="C814"/>
    <hyperlink r:id="rId1568" ref="A815"/>
    <hyperlink r:id="rId1569" ref="C815"/>
    <hyperlink r:id="rId1570" ref="A816"/>
    <hyperlink r:id="rId1571" ref="C816"/>
    <hyperlink r:id="rId1572" ref="A817"/>
    <hyperlink r:id="rId1573" ref="C817"/>
    <hyperlink r:id="rId1574" ref="A818"/>
    <hyperlink r:id="rId1575" ref="C818"/>
    <hyperlink r:id="rId1576" ref="A819"/>
    <hyperlink r:id="rId1577" ref="C819"/>
    <hyperlink r:id="rId1578" ref="A820"/>
    <hyperlink r:id="rId1579" ref="C820"/>
    <hyperlink r:id="rId1580" ref="A821"/>
    <hyperlink r:id="rId1581" ref="C821"/>
    <hyperlink r:id="rId1582" ref="A822"/>
    <hyperlink r:id="rId1583" ref="C822"/>
    <hyperlink r:id="rId1584" ref="A823"/>
    <hyperlink r:id="rId1585" ref="C823"/>
    <hyperlink r:id="rId1586" ref="A824"/>
    <hyperlink r:id="rId1587" ref="C824"/>
    <hyperlink r:id="rId1588" ref="A825"/>
    <hyperlink r:id="rId1589" ref="C825"/>
    <hyperlink r:id="rId1590" ref="A826"/>
    <hyperlink r:id="rId1591" ref="C826"/>
    <hyperlink r:id="rId1592" ref="A827"/>
    <hyperlink r:id="rId1593" ref="C827"/>
    <hyperlink r:id="rId1594" ref="A828"/>
    <hyperlink r:id="rId1595" ref="C828"/>
    <hyperlink r:id="rId1596" ref="A829"/>
    <hyperlink r:id="rId1597" ref="C829"/>
    <hyperlink r:id="rId1598" ref="A830"/>
    <hyperlink r:id="rId1599" ref="C830"/>
    <hyperlink r:id="rId1600" ref="A831"/>
    <hyperlink r:id="rId1601" ref="C831"/>
    <hyperlink r:id="rId1602" ref="A832"/>
    <hyperlink r:id="rId1603" ref="C832"/>
    <hyperlink r:id="rId1604" ref="A833"/>
    <hyperlink r:id="rId1605" ref="C833"/>
    <hyperlink r:id="rId1606" ref="A834"/>
    <hyperlink r:id="rId1607" ref="C834"/>
    <hyperlink r:id="rId1608" ref="A835"/>
    <hyperlink r:id="rId1609" ref="C835"/>
    <hyperlink r:id="rId1610" location=":~:text=NoGood%20is%20a%20growth%20marketing,%2C%20content%2C%20and%20lifecycle%20marketing." ref="A836"/>
    <hyperlink r:id="rId1611" ref="C836"/>
    <hyperlink r:id="rId1612" ref="A837"/>
    <hyperlink r:id="rId1613" ref="C837"/>
    <hyperlink r:id="rId1614" ref="A838"/>
    <hyperlink r:id="rId1615" ref="C838"/>
    <hyperlink r:id="rId1616" ref="A839"/>
    <hyperlink r:id="rId1617" ref="C839"/>
    <hyperlink r:id="rId1618" ref="A840"/>
    <hyperlink r:id="rId1619" ref="C840"/>
    <hyperlink r:id="rId1620" ref="A841"/>
    <hyperlink r:id="rId1621" ref="C841"/>
    <hyperlink r:id="rId1622" ref="A842"/>
    <hyperlink r:id="rId1623" ref="C842"/>
    <hyperlink r:id="rId1624" ref="A843"/>
    <hyperlink r:id="rId1625" ref="C843"/>
    <hyperlink r:id="rId1626" ref="A844"/>
    <hyperlink r:id="rId1627" ref="C844"/>
    <hyperlink r:id="rId1628" ref="A845"/>
    <hyperlink r:id="rId1629" ref="C845"/>
    <hyperlink r:id="rId1630" ref="A846"/>
    <hyperlink r:id="rId1631" ref="C846"/>
    <hyperlink r:id="rId1632" ref="A847"/>
    <hyperlink r:id="rId1633" ref="C847"/>
    <hyperlink r:id="rId1634" ref="A848"/>
    <hyperlink r:id="rId1635" ref="C848"/>
    <hyperlink r:id="rId1636" ref="A849"/>
    <hyperlink r:id="rId1637" ref="C849"/>
    <hyperlink r:id="rId1638" ref="A850"/>
    <hyperlink r:id="rId1639" ref="C850"/>
    <hyperlink r:id="rId1640" ref="A851"/>
    <hyperlink r:id="rId1641" ref="C851"/>
    <hyperlink r:id="rId1642" ref="A852"/>
    <hyperlink r:id="rId1643" ref="C852"/>
    <hyperlink r:id="rId1644" ref="A853"/>
    <hyperlink r:id="rId1645" ref="C853"/>
    <hyperlink r:id="rId1646" ref="A854"/>
    <hyperlink r:id="rId1647" ref="C854"/>
    <hyperlink r:id="rId1648" ref="A855"/>
    <hyperlink r:id="rId1649" ref="C855"/>
    <hyperlink r:id="rId1650" ref="A856"/>
    <hyperlink r:id="rId1651" ref="C856"/>
    <hyperlink r:id="rId1652" ref="A857"/>
    <hyperlink r:id="rId1653" ref="C857"/>
    <hyperlink r:id="rId1654" ref="A858"/>
    <hyperlink r:id="rId1655" ref="C858"/>
    <hyperlink r:id="rId1656" ref="A859"/>
    <hyperlink r:id="rId1657" ref="C859"/>
    <hyperlink r:id="rId1658" ref="A860"/>
    <hyperlink r:id="rId1659" ref="C860"/>
    <hyperlink r:id="rId1660" ref="A861"/>
    <hyperlink r:id="rId1661" ref="C861"/>
    <hyperlink r:id="rId1662" ref="A862"/>
    <hyperlink r:id="rId1663" ref="C862"/>
    <hyperlink r:id="rId1664" ref="A863"/>
    <hyperlink r:id="rId1665" ref="C863"/>
    <hyperlink r:id="rId1666" ref="A864"/>
    <hyperlink r:id="rId1667" ref="C864"/>
    <hyperlink r:id="rId1668" ref="A865"/>
    <hyperlink r:id="rId1669" ref="C865"/>
    <hyperlink r:id="rId1670" ref="A866"/>
    <hyperlink r:id="rId1671" ref="C866"/>
    <hyperlink r:id="rId1672" ref="A867"/>
    <hyperlink r:id="rId1673" ref="C867"/>
    <hyperlink r:id="rId1674" ref="A868"/>
    <hyperlink r:id="rId1675" ref="C868"/>
    <hyperlink r:id="rId1676" ref="A869"/>
    <hyperlink r:id="rId1677" ref="C869"/>
    <hyperlink r:id="rId1678" ref="A870"/>
    <hyperlink r:id="rId1679" ref="C870"/>
    <hyperlink r:id="rId1680" ref="A871"/>
    <hyperlink r:id="rId1681" ref="C871"/>
    <hyperlink r:id="rId1682" ref="A872"/>
    <hyperlink r:id="rId1683" ref="C872"/>
    <hyperlink r:id="rId1684" ref="A873"/>
    <hyperlink r:id="rId1685" ref="C873"/>
    <hyperlink r:id="rId1686" ref="A874"/>
    <hyperlink r:id="rId1687" ref="C874"/>
    <hyperlink r:id="rId1688" ref="A875"/>
    <hyperlink r:id="rId1689" ref="C875"/>
    <hyperlink r:id="rId1690" ref="A876"/>
    <hyperlink r:id="rId1691" ref="A877"/>
    <hyperlink r:id="rId1692" ref="C877"/>
    <hyperlink r:id="rId1693" ref="A878"/>
    <hyperlink r:id="rId1694" ref="C878"/>
    <hyperlink r:id="rId1695" ref="A879"/>
    <hyperlink r:id="rId1696" ref="C879"/>
    <hyperlink r:id="rId1697" ref="A880"/>
    <hyperlink r:id="rId1698" ref="C880"/>
    <hyperlink r:id="rId1699" ref="A881"/>
    <hyperlink r:id="rId1700" ref="C881"/>
    <hyperlink r:id="rId1701" location=":~:text=Right%20Side%20Up%20is%20a,house%2C%20not%20junior%20account%20managers." ref="A882"/>
    <hyperlink r:id="rId1702" ref="C882"/>
    <hyperlink r:id="rId1703" ref="A883"/>
    <hyperlink r:id="rId1704" ref="C883"/>
    <hyperlink r:id="rId1705" ref="A884"/>
    <hyperlink r:id="rId1706" ref="C884"/>
    <hyperlink r:id="rId1707" ref="A885"/>
    <hyperlink r:id="rId1708" ref="C885"/>
    <hyperlink r:id="rId1709" ref="A886"/>
    <hyperlink r:id="rId1710" ref="C886"/>
    <hyperlink r:id="rId1711" ref="A887"/>
    <hyperlink r:id="rId1712" ref="C887"/>
    <hyperlink r:id="rId1713" ref="A888"/>
    <hyperlink r:id="rId1714" ref="C888"/>
    <hyperlink r:id="rId1715" ref="A889"/>
    <hyperlink r:id="rId1716" ref="C889"/>
    <hyperlink r:id="rId1717" ref="A890"/>
    <hyperlink r:id="rId1718" ref="C890"/>
    <hyperlink r:id="rId1719" ref="A891"/>
    <hyperlink r:id="rId1720" ref="C891"/>
    <hyperlink r:id="rId1721" ref="A892"/>
    <hyperlink r:id="rId1722" ref="C892"/>
    <hyperlink r:id="rId1723" ref="A893"/>
    <hyperlink r:id="rId1724" ref="C893"/>
    <hyperlink r:id="rId1725" ref="A894"/>
    <hyperlink r:id="rId1726" ref="C894"/>
    <hyperlink r:id="rId1727" ref="A895"/>
    <hyperlink r:id="rId1728" ref="C895"/>
    <hyperlink r:id="rId1729" ref="A896"/>
    <hyperlink r:id="rId1730" ref="C896"/>
    <hyperlink r:id="rId1731" ref="A897"/>
    <hyperlink r:id="rId1732" ref="C897"/>
    <hyperlink r:id="rId1733" ref="A898"/>
    <hyperlink r:id="rId1734" ref="C898"/>
    <hyperlink r:id="rId1735" ref="A899"/>
    <hyperlink r:id="rId1736" ref="C899"/>
    <hyperlink r:id="rId1737" ref="A900"/>
    <hyperlink r:id="rId1738" ref="C900"/>
    <hyperlink r:id="rId1739" ref="A901"/>
    <hyperlink r:id="rId1740" ref="C901"/>
    <hyperlink r:id="rId1741" ref="A902"/>
    <hyperlink r:id="rId1742" ref="C902"/>
    <hyperlink r:id="rId1743" ref="A903"/>
    <hyperlink r:id="rId1744" ref="C903"/>
    <hyperlink r:id="rId1745" location=":~:text=They%20operate%20in%2015%2B%20languages,around%20content%20and%20authority%20signals." ref="A904"/>
    <hyperlink r:id="rId1746" ref="C904"/>
    <hyperlink r:id="rId1747" ref="A905"/>
    <hyperlink r:id="rId1748" ref="C905"/>
    <hyperlink r:id="rId1749" ref="A906"/>
    <hyperlink r:id="rId1750" ref="C906"/>
    <hyperlink r:id="rId1751" ref="A907"/>
    <hyperlink r:id="rId1752" ref="C907"/>
    <hyperlink r:id="rId1753" ref="A908"/>
    <hyperlink r:id="rId1754" ref="C908"/>
    <hyperlink r:id="rId1755" ref="A909"/>
    <hyperlink r:id="rId1756" ref="C909"/>
    <hyperlink r:id="rId1757" ref="A910"/>
    <hyperlink r:id="rId1758" ref="C910"/>
    <hyperlink r:id="rId1759" ref="A911"/>
    <hyperlink r:id="rId1760" ref="A912"/>
    <hyperlink r:id="rId1761" ref="C912"/>
    <hyperlink r:id="rId1762" ref="A913"/>
    <hyperlink r:id="rId1763" ref="C913"/>
    <hyperlink r:id="rId1764" ref="A914"/>
    <hyperlink r:id="rId1765" ref="C914"/>
    <hyperlink r:id="rId1766" ref="A915"/>
    <hyperlink r:id="rId1767" ref="C915"/>
    <hyperlink r:id="rId1768" ref="A916"/>
    <hyperlink r:id="rId1769" ref="C916"/>
    <hyperlink r:id="rId1770" ref="A917"/>
    <hyperlink r:id="rId1771" ref="C917"/>
    <hyperlink r:id="rId1772" ref="A918"/>
    <hyperlink r:id="rId1773" ref="C918"/>
    <hyperlink r:id="rId1774" ref="A919"/>
    <hyperlink r:id="rId1775" ref="C919"/>
    <hyperlink r:id="rId1776" ref="A920"/>
    <hyperlink r:id="rId1777" ref="C920"/>
    <hyperlink r:id="rId1778" ref="A921"/>
    <hyperlink r:id="rId1779" ref="C921"/>
    <hyperlink r:id="rId1780" ref="A922"/>
    <hyperlink r:id="rId1781" ref="C922"/>
    <hyperlink r:id="rId1782" ref="A923"/>
    <hyperlink r:id="rId1783" ref="C923"/>
    <hyperlink r:id="rId1784" ref="A924"/>
    <hyperlink r:id="rId1785" ref="C924"/>
    <hyperlink r:id="rId1786" ref="A925"/>
    <hyperlink r:id="rId1787" ref="C925"/>
    <hyperlink r:id="rId1788" location=":~:text=%238.-,HawkSEM,clients%20averaging%204.5x%20ROI." ref="A926"/>
    <hyperlink r:id="rId1789" ref="C926"/>
    <hyperlink r:id="rId1790" ref="A927"/>
    <hyperlink r:id="rId1791" ref="C927"/>
    <hyperlink r:id="rId1792" ref="A928"/>
    <hyperlink r:id="rId1793" ref="C928"/>
    <hyperlink r:id="rId1794" ref="A929"/>
    <hyperlink r:id="rId1795" ref="C929"/>
    <hyperlink r:id="rId1796" ref="A930"/>
    <hyperlink r:id="rId1797" ref="C930"/>
    <hyperlink r:id="rId1798" ref="A931"/>
    <hyperlink r:id="rId1799" ref="C931"/>
    <hyperlink r:id="rId1800" ref="A932"/>
    <hyperlink r:id="rId1801" ref="C932"/>
    <hyperlink r:id="rId1802" ref="A933"/>
    <hyperlink r:id="rId1803" ref="C933"/>
    <hyperlink r:id="rId1804" ref="A934"/>
    <hyperlink r:id="rId1805" ref="C934"/>
    <hyperlink r:id="rId1806" ref="A935"/>
    <hyperlink r:id="rId1807" ref="C935"/>
    <hyperlink r:id="rId1808" ref="A936"/>
    <hyperlink r:id="rId1809" ref="C936"/>
    <hyperlink r:id="rId1810" ref="A937"/>
    <hyperlink r:id="rId1811" ref="C937"/>
    <hyperlink r:id="rId1812" ref="A938"/>
    <hyperlink r:id="rId1813" ref="C938"/>
    <hyperlink r:id="rId1814" ref="A939"/>
    <hyperlink r:id="rId1815" ref="C939"/>
    <hyperlink r:id="rId1816" ref="A940"/>
    <hyperlink r:id="rId1817" ref="C940"/>
    <hyperlink r:id="rId1818" ref="A941"/>
    <hyperlink r:id="rId1819" ref="C941"/>
    <hyperlink r:id="rId1820" ref="A942"/>
    <hyperlink r:id="rId1821" ref="C942"/>
    <hyperlink r:id="rId1822" ref="A943"/>
    <hyperlink r:id="rId1823" ref="C943"/>
    <hyperlink r:id="rId1824" ref="A944"/>
    <hyperlink r:id="rId1825" ref="C944"/>
    <hyperlink r:id="rId1826" ref="A945"/>
    <hyperlink r:id="rId1827" ref="C945"/>
    <hyperlink r:id="rId1828" ref="A946"/>
    <hyperlink r:id="rId1829" ref="C946"/>
    <hyperlink r:id="rId1830" ref="A947"/>
    <hyperlink r:id="rId1831" ref="C947"/>
    <hyperlink r:id="rId1832" ref="A948"/>
    <hyperlink r:id="rId1833" ref="C948"/>
    <hyperlink r:id="rId1834" ref="A949"/>
    <hyperlink r:id="rId1835" ref="C949"/>
    <hyperlink r:id="rId1836" ref="A950"/>
    <hyperlink r:id="rId1837" ref="C950"/>
    <hyperlink r:id="rId1838" ref="A951"/>
    <hyperlink r:id="rId1839" ref="C951"/>
    <hyperlink r:id="rId1840" ref="A952"/>
    <hyperlink r:id="rId1841" ref="C952"/>
    <hyperlink r:id="rId1842" ref="A953"/>
    <hyperlink r:id="rId1843" ref="C953"/>
    <hyperlink r:id="rId1844" ref="A954"/>
    <hyperlink r:id="rId1845" ref="C954"/>
    <hyperlink r:id="rId1846" ref="A955"/>
    <hyperlink r:id="rId1847" ref="C955"/>
    <hyperlink r:id="rId1848" ref="A956"/>
    <hyperlink r:id="rId1849" ref="C956"/>
    <hyperlink r:id="rId1850" ref="A957"/>
    <hyperlink r:id="rId1851" ref="C957"/>
    <hyperlink r:id="rId1852" ref="A958"/>
    <hyperlink r:id="rId1853" ref="C958"/>
    <hyperlink r:id="rId1854" ref="A959"/>
    <hyperlink r:id="rId1855" ref="C959"/>
  </hyperlinks>
  <drawing r:id="rId185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All'!D2:D1000)))=""other""
  ),
  """"
)"),"https://clutch.co/us/agencies/ppc/display#:~:text=The%20agency%20consistently%20received%20high%20ratings%20for,2%20of%202%20reviews%20are%205%20stars.")</f>
        <v>https://clutch.co/us/agencies/ppc/display#:~:text=The%20agency%20consistently%20received%20high%20ratings%20for,2%20of%202%20reviews%20are%205%20stars.</v>
      </c>
      <c r="B2" s="11" t="str">
        <f>IFERROR(__xludf.DUMMYFUNCTION("""COMPUTED_VALUE"""),"Top Display Advertising Agencies in the United States - Jul 2026 Rankings \| Clutch.co")</f>
        <v>Top Display Advertising Agencies in the United States - Jul 2026 Rankings \| Clutch.co</v>
      </c>
      <c r="C2" s="10" t="str">
        <f>IFERROR(__xludf.DUMMYFUNCTION("""COMPUTED_VALUE"""),"clutch.co")</f>
        <v>clutch.co</v>
      </c>
      <c r="D2" s="11" t="str">
        <f>IFERROR(__xludf.DUMMYFUNCTION("""COMPUTED_VALUE"""),"OTHER")</f>
        <v>OTHER</v>
      </c>
      <c r="E2" s="11" t="str">
        <f>IFERROR(__xludf.DUMMYFUNCTION("""COMPUTED_VALUE"""),"COMPETITOR")</f>
        <v>COMPETITOR</v>
      </c>
      <c r="F2" s="11" t="str">
        <f>IFERROR(__xludf.DUMMYFUNCTION("""COMPUTED_VALUE"""),"Other")</f>
        <v>Other</v>
      </c>
      <c r="G2" s="11" t="b">
        <f>IFERROR(__xludf.DUMMYFUNCTION("""COMPUTED_VALUE"""),FALSE)</f>
        <v>0</v>
      </c>
      <c r="H2" s="11" t="str">
        <f>IFERROR(__xludf.DUMMYFUNCTION("""COMPUTED_VALUE"""),"Clutch, Elit-Web, AdVenture Media, Storm Brain")</f>
        <v>Clutch, Elit-Web, AdVenture Media, Storm Brain</v>
      </c>
      <c r="I2" s="11">
        <f>IFERROR(__xludf.DUMMYFUNCTION("""COMPUTED_VALUE"""),33.0)</f>
        <v>33</v>
      </c>
      <c r="J2" s="11">
        <f>IFERROR(__xludf.DUMMYFUNCTION("""COMPUTED_VALUE"""),0.03)</f>
        <v>0.03</v>
      </c>
      <c r="K2" s="11">
        <f>IFERROR(__xludf.DUMMYFUNCTION("""COMPUTED_VALUE"""),0.94)</f>
        <v>0.94</v>
      </c>
    </row>
    <row r="3" ht="15.75" customHeight="1">
      <c r="A3" s="10" t="str">
        <f>IFERROR(__xludf.DUMMYFUNCTION("""COMPUTED_VALUE"""),"https://support.google.com/analytics/answer/7237700?hl=en")</f>
        <v>https://support.google.com/analytics/answer/7237700?hl=en</v>
      </c>
      <c r="B3" s="11" t="str">
        <f>IFERROR(__xludf.DUMMYFUNCTION("""COMPUTED_VALUE"""),"Google Marketing Platform Partners - Analytics Help")</f>
        <v>Google Marketing Platform Partners - Analytics Help</v>
      </c>
      <c r="C3" s="10" t="str">
        <f>IFERROR(__xludf.DUMMYFUNCTION("""COMPUTED_VALUE"""),"google.com")</f>
        <v>google.com</v>
      </c>
      <c r="D3" s="11" t="str">
        <f>IFERROR(__xludf.DUMMYFUNCTION("""COMPUTED_VALUE"""),"OTHER")</f>
        <v>OTHER</v>
      </c>
      <c r="E3" s="11" t="str">
        <f>IFERROR(__xludf.DUMMYFUNCTION("""COMPUTED_VALUE"""),"OTHER")</f>
        <v>OTHER</v>
      </c>
      <c r="F3" s="11" t="str">
        <f>IFERROR(__xludf.DUMMYFUNCTION("""COMPUTED_VALUE"""),"Other")</f>
        <v>Other</v>
      </c>
      <c r="G3" s="11" t="b">
        <f>IFERROR(__xludf.DUMMYFUNCTION("""COMPUTED_VALUE"""),FALSE)</f>
        <v>0</v>
      </c>
      <c r="H3" s="11"/>
      <c r="I3" s="11">
        <f>IFERROR(__xludf.DUMMYFUNCTION("""COMPUTED_VALUE"""),33.0)</f>
        <v>33</v>
      </c>
      <c r="J3" s="11">
        <f>IFERROR(__xludf.DUMMYFUNCTION("""COMPUTED_VALUE"""),0.03)</f>
        <v>0.03</v>
      </c>
      <c r="K3" s="11">
        <f>IFERROR(__xludf.DUMMYFUNCTION("""COMPUTED_VALUE"""),1.76)</f>
        <v>1.76</v>
      </c>
    </row>
    <row r="4" ht="15.75" customHeight="1">
      <c r="A4" s="10" t="str">
        <f>IFERROR(__xludf.DUMMYFUNCTION("""COMPUTED_VALUE"""),"https://scalixai.com/blog/best-performance-marketing-agencies#:~:text=Growth%2Dstage%20startups.%20%24%24.%20TikTok.%20Multi%2Dchannel.%20ScalixAI.%20B2B,%2B%20SEO.%20%24%24%24.%20IKEA.%20Paid%20search%2C%20analytics.")</f>
        <v>https://scalixai.com/blog/best-performance-marketing-agencies#:~:text=Growth%2Dstage%20startups.%20%24%24.%20TikTok.%20Multi%2Dchannel.%20ScalixAI.%20B2B,%2B%20SEO.%20%24%24%24.%20IKEA.%20Paid%20search%2C%20analytics.</v>
      </c>
      <c r="B4" s="11" t="str">
        <f>IFERROR(__xludf.DUMMYFUNCTION("""COMPUTED_VALUE"""),"The Best Performance Marketing Agencies for 2026 | ScalixAI")</f>
        <v>The Best Performance Marketing Agencies for 2026 | ScalixAI</v>
      </c>
      <c r="C4" s="10" t="str">
        <f>IFERROR(__xludf.DUMMYFUNCTION("""COMPUTED_VALUE"""),"scalixai.com")</f>
        <v>scalixai.com</v>
      </c>
      <c r="D4" s="11" t="str">
        <f>IFERROR(__xludf.DUMMYFUNCTION("""COMPUTED_VALUE"""),"OTHER")</f>
        <v>OTHER</v>
      </c>
      <c r="E4" s="11" t="str">
        <f>IFERROR(__xludf.DUMMYFUNCTION("""COMPUTED_VALUE"""),"CORPORATE")</f>
        <v>CORPORATE</v>
      </c>
      <c r="F4" s="11" t="str">
        <f>IFERROR(__xludf.DUMMYFUNCTION("""COMPUTED_VALUE"""),"Other")</f>
        <v>Other</v>
      </c>
      <c r="G4" s="11" t="b">
        <f>IFERROR(__xludf.DUMMYFUNCTION("""COMPUTED_VALUE"""),FALSE)</f>
        <v>0</v>
      </c>
      <c r="H4" s="11" t="str">
        <f>IFERROR(__xludf.DUMMYFUNCTION("""COMPUTED_VALUE"""),"Directive, Refine Labs, NoGood, Hey Digital, Single Grain, Wpromote, Seer Interactive, Omniscient Digital, Darkroom, Common Thread Collective")</f>
        <v>Directive, Refine Labs, NoGood, Hey Digital, Single Grain, Wpromote, Seer Interactive, Omniscient Digital, Darkroom, Common Thread Collective</v>
      </c>
      <c r="I4" s="11">
        <f>IFERROR(__xludf.DUMMYFUNCTION("""COMPUTED_VALUE"""),17.0)</f>
        <v>17</v>
      </c>
      <c r="J4" s="11">
        <f>IFERROR(__xludf.DUMMYFUNCTION("""COMPUTED_VALUE"""),0.02)</f>
        <v>0.02</v>
      </c>
      <c r="K4" s="11">
        <f>IFERROR(__xludf.DUMMYFUNCTION("""COMPUTED_VALUE"""),1.65)</f>
        <v>1.65</v>
      </c>
    </row>
    <row r="5" ht="15.75" customHeight="1">
      <c r="A5" s="10" t="str">
        <f>IFERROR(__xludf.DUMMYFUNCTION("""COMPUTED_VALUE"""),"https://advertising-in-the-united-states.com/display-advertising-agencies")</f>
        <v>https://advertising-in-the-united-states.com/display-advertising-agencies</v>
      </c>
      <c r="B5" s="11" t="str">
        <f>IFERROR(__xludf.DUMMYFUNCTION("""COMPUTED_VALUE"""),"The best Display Advertising Agencies")</f>
        <v>The best Display Advertising Agencies</v>
      </c>
      <c r="C5" s="10" t="str">
        <f>IFERROR(__xludf.DUMMYFUNCTION("""COMPUTED_VALUE"""),"advertising-in-the-united-states.com")</f>
        <v>advertising-in-the-united-states.com</v>
      </c>
      <c r="D5" s="11" t="str">
        <f>IFERROR(__xludf.DUMMYFUNCTION("""COMPUTED_VALUE"""),"OTHER")</f>
        <v>OTHER</v>
      </c>
      <c r="E5" s="11" t="str">
        <f>IFERROR(__xludf.DUMMYFUNCTION("""COMPUTED_VALUE"""),"REFERENCE")</f>
        <v>REFERENCE</v>
      </c>
      <c r="F5" s="11" t="str">
        <f>IFERROR(__xludf.DUMMYFUNCTION("""COMPUTED_VALUE"""),"Other")</f>
        <v>Other</v>
      </c>
      <c r="G5" s="11" t="b">
        <f>IFERROR(__xludf.DUMMYFUNCTION("""COMPUTED_VALUE"""),FALSE)</f>
        <v>0</v>
      </c>
      <c r="H5" s="11" t="str">
        <f>IFERROR(__xludf.DUMMYFUNCTION("""COMPUTED_VALUE"""),"Clay, NinjaPromo, Clutch, IBM")</f>
        <v>Clay, NinjaPromo, Clutch, IBM</v>
      </c>
      <c r="I5" s="11">
        <f>IFERROR(__xludf.DUMMYFUNCTION("""COMPUTED_VALUE"""),13.0)</f>
        <v>13</v>
      </c>
      <c r="J5" s="11">
        <f>IFERROR(__xludf.DUMMYFUNCTION("""COMPUTED_VALUE"""),0.01)</f>
        <v>0.01</v>
      </c>
      <c r="K5" s="11">
        <f>IFERROR(__xludf.DUMMYFUNCTION("""COMPUTED_VALUE"""),0.0)</f>
        <v>0</v>
      </c>
    </row>
    <row r="6" ht="15.75" customHeight="1">
      <c r="A6" s="10" t="str">
        <f>IFERROR(__xludf.DUMMYFUNCTION("""COMPUTED_VALUE"""),"https://clutch.co/us/agencies/programmatic#:~:text=List%20of%20the%20Top%20United%20States%20Programmatic,108%20reviews.%20%2D%20Onya.%205.0%2030%20reviews.")</f>
        <v>https://clutch.co/us/agencies/programmatic#:~:text=List%20of%20the%20Top%20United%20States%20Programmatic,108%20reviews.%20%2D%20Onya.%205.0%2030%20reviews.</v>
      </c>
      <c r="B6" s="11" t="str">
        <f>IFERROR(__xludf.DUMMYFUNCTION("""COMPUTED_VALUE"""),"Top Programmatic Advertising Agencies in the United States - Jul 2026 Rankings \| Clutch.co")</f>
        <v>Top Programmatic Advertising Agencies in the United States - Jul 2026 Rankings \| Clutch.co</v>
      </c>
      <c r="C6" s="10" t="str">
        <f>IFERROR(__xludf.DUMMYFUNCTION("""COMPUTED_VALUE"""),"clutch.co")</f>
        <v>clutch.co</v>
      </c>
      <c r="D6" s="11" t="str">
        <f>IFERROR(__xludf.DUMMYFUNCTION("""COMPUTED_VALUE"""),"OTHER")</f>
        <v>OTHER</v>
      </c>
      <c r="E6" s="11" t="str">
        <f>IFERROR(__xludf.DUMMYFUNCTION("""COMPUTED_VALUE"""),"COMPETITOR")</f>
        <v>COMPETITOR</v>
      </c>
      <c r="F6" s="11" t="str">
        <f>IFERROR(__xludf.DUMMYFUNCTION("""COMPUTED_VALUE"""),"Other")</f>
        <v>Other</v>
      </c>
      <c r="G6" s="11" t="b">
        <f>IFERROR(__xludf.DUMMYFUNCTION("""COMPUTED_VALUE"""),FALSE)</f>
        <v>0</v>
      </c>
      <c r="H6" s="11" t="str">
        <f>IFERROR(__xludf.DUMMYFUNCTION("""COMPUTED_VALUE"""),"Clutch, SmartSites, Funnel Boost Media, LYFE Marketing, AdVenture Media, Accelerated Digital Media, Storm Brain, Huge")</f>
        <v>Clutch, SmartSites, Funnel Boost Media, LYFE Marketing, AdVenture Media, Accelerated Digital Media, Storm Brain, Huge</v>
      </c>
      <c r="I6" s="11">
        <f>IFERROR(__xludf.DUMMYFUNCTION("""COMPUTED_VALUE"""),12.0)</f>
        <v>12</v>
      </c>
      <c r="J6" s="11">
        <f>IFERROR(__xludf.DUMMYFUNCTION("""COMPUTED_VALUE"""),0.01)</f>
        <v>0.01</v>
      </c>
      <c r="K6" s="11">
        <f>IFERROR(__xludf.DUMMYFUNCTION("""COMPUTED_VALUE"""),1.5)</f>
        <v>1.5</v>
      </c>
    </row>
    <row r="7" ht="15.75" customHeight="1">
      <c r="A7" s="10" t="str">
        <f>IFERROR(__xludf.DUMMYFUNCTION("""COMPUTED_VALUE"""),"https://partnersdirectory.withgoogle.com/?authuser=0&amp;gmbsrc=us-en-ot-gs-z-gmb-s-z-h%7Ebgcceg-learn-u-ahpm-0000000179-0000000001-ahpm-0000000189-0000000001%7C-ahpm-0000000179-0000000001-ahpm-0000000179-0000000000-ahpm-0000000175-0000000001-ahpm-0000000200-"&amp;"0000000000-ahpm-0000000200-0000000000%7C-ahpm-0000000179-0000000001-ahpm-0000000200-0000000001-ahpm-0000000213-0000000001-ahpm-0000000200-0000000002%7C-ahpm-0000000179-0000000001-ahpm-0000000213-0000000000-0000000212-0000000000&amp;mcsubid=es-es-ha-g-mc-bkws&amp;"&amp;"premier=true&amp;subid=es-es-ha-Sh-bk-c-mrc%21o3-s500g500%7Cib%3A6653296821%7Cib%3A9279461727%7Cib%3A7966379274%7C-ahpm-0000000200-00000000010000000212-0000000000-ahpm-0000000179-0000000001%7ECjwKCAjwnPOEBhA0EiwA609ReQijHby1yZ7TTk_DLiA0d1HW-5qBysn-N9u3Z4V8ZJU"&amp;"BAWUgiaWmXxoCZeMQAvD_BwE%7E%7Badgroup%7D%7Ekwd-296470545763%7E12694650149%7E512678186366")</f>
        <v>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v>
      </c>
      <c r="B7" s="11"/>
      <c r="C7" s="10" t="str">
        <f>IFERROR(__xludf.DUMMYFUNCTION("""COMPUTED_VALUE"""),"withgoogle.com")</f>
        <v>withgoogle.com</v>
      </c>
      <c r="D7" s="11" t="str">
        <f>IFERROR(__xludf.DUMMYFUNCTION("""COMPUTED_VALUE"""),"OTHER")</f>
        <v>OTHER</v>
      </c>
      <c r="E7" s="11" t="str">
        <f>IFERROR(__xludf.DUMMYFUNCTION("""COMPUTED_VALUE"""),"CORPORATE")</f>
        <v>CORPORATE</v>
      </c>
      <c r="F7" s="11" t="str">
        <f>IFERROR(__xludf.DUMMYFUNCTION("""COMPUTED_VALUE"""),"Other")</f>
        <v>Other</v>
      </c>
      <c r="G7" s="11"/>
      <c r="H7" s="11" t="str">
        <f>IFERROR(__xludf.DUMMYFUNCTION("""COMPUTED_VALUE"""),"Unknown")</f>
        <v>Unknown</v>
      </c>
      <c r="I7" s="11">
        <f>IFERROR(__xludf.DUMMYFUNCTION("""COMPUTED_VALUE"""),12.0)</f>
        <v>12</v>
      </c>
      <c r="J7" s="11">
        <f>IFERROR(__xludf.DUMMYFUNCTION("""COMPUTED_VALUE"""),0.01)</f>
        <v>0.01</v>
      </c>
      <c r="K7" s="11">
        <f>IFERROR(__xludf.DUMMYFUNCTION("""COMPUTED_VALUE"""),0.0)</f>
        <v>0</v>
      </c>
    </row>
    <row r="8" ht="15.75" customHeight="1">
      <c r="A8" s="10" t="str">
        <f>IFERROR(__xludf.DUMMYFUNCTION("""COMPUTED_VALUE"""),"https://www.designrush.com/agency/digital-marketing/analytics/us?page=24")</f>
        <v>https://www.designrush.com/agency/digital-marketing/analytics/us?page=24</v>
      </c>
      <c r="B8" s="11" t="str">
        <f>IFERROR(__xludf.DUMMYFUNCTION("""COMPUTED_VALUE"""),"Top United States Marketing Analytics Companies - Page 24")</f>
        <v>Top United States Marketing Analytics Companies - Page 24</v>
      </c>
      <c r="C8" s="10" t="str">
        <f>IFERROR(__xludf.DUMMYFUNCTION("""COMPUTED_VALUE"""),"designrush.com")</f>
        <v>designrush.com</v>
      </c>
      <c r="D8" s="11" t="str">
        <f>IFERROR(__xludf.DUMMYFUNCTION("""COMPUTED_VALUE"""),"OTHER")</f>
        <v>OTHER</v>
      </c>
      <c r="E8" s="11" t="str">
        <f>IFERROR(__xludf.DUMMYFUNCTION("""COMPUTED_VALUE"""),"CORPORATE")</f>
        <v>CORPORATE</v>
      </c>
      <c r="F8" s="11" t="str">
        <f>IFERROR(__xludf.DUMMYFUNCTION("""COMPUTED_VALUE"""),"Other")</f>
        <v>Other</v>
      </c>
      <c r="G8" s="11" t="b">
        <f>IFERROR(__xludf.DUMMYFUNCTION("""COMPUTED_VALUE"""),FALSE)</f>
        <v>0</v>
      </c>
      <c r="H8" s="11" t="str">
        <f>IFERROR(__xludf.DUMMYFUNCTION("""COMPUTED_VALUE"""),"IBM, Measured")</f>
        <v>IBM, Measured</v>
      </c>
      <c r="I8" s="11">
        <f>IFERROR(__xludf.DUMMYFUNCTION("""COMPUTED_VALUE"""),11.0)</f>
        <v>11</v>
      </c>
      <c r="J8" s="11">
        <f>IFERROR(__xludf.DUMMYFUNCTION("""COMPUTED_VALUE"""),0.01)</f>
        <v>0.01</v>
      </c>
      <c r="K8" s="11">
        <f>IFERROR(__xludf.DUMMYFUNCTION("""COMPUTED_VALUE"""),0.0)</f>
        <v>0</v>
      </c>
    </row>
    <row r="9" ht="15.75" customHeight="1">
      <c r="A9" s="10" t="str">
        <f>IFERROR(__xludf.DUMMYFUNCTION("""COMPUTED_VALUE"""),"https://www.google.com/partners/")</f>
        <v>https://www.google.com/partners/</v>
      </c>
      <c r="B9" s="11"/>
      <c r="C9" s="10" t="str">
        <f>IFERROR(__xludf.DUMMYFUNCTION("""COMPUTED_VALUE"""),"google.com")</f>
        <v>google.com</v>
      </c>
      <c r="D9" s="11" t="str">
        <f>IFERROR(__xludf.DUMMYFUNCTION("""COMPUTED_VALUE"""),"OTHER")</f>
        <v>OTHER</v>
      </c>
      <c r="E9" s="11" t="str">
        <f>IFERROR(__xludf.DUMMYFUNCTION("""COMPUTED_VALUE"""),"OTHER")</f>
        <v>OTHER</v>
      </c>
      <c r="F9" s="11" t="str">
        <f>IFERROR(__xludf.DUMMYFUNCTION("""COMPUTED_VALUE"""),"Other")</f>
        <v>Other</v>
      </c>
      <c r="G9" s="11"/>
      <c r="H9" s="11" t="str">
        <f>IFERROR(__xludf.DUMMYFUNCTION("""COMPUTED_VALUE"""),"Unknown")</f>
        <v>Unknown</v>
      </c>
      <c r="I9" s="11">
        <f>IFERROR(__xludf.DUMMYFUNCTION("""COMPUTED_VALUE"""),11.0)</f>
        <v>11</v>
      </c>
      <c r="J9" s="11">
        <f>IFERROR(__xludf.DUMMYFUNCTION("""COMPUTED_VALUE"""),0.01)</f>
        <v>0.01</v>
      </c>
      <c r="K9" s="11">
        <f>IFERROR(__xludf.DUMMYFUNCTION("""COMPUTED_VALUE"""),0.73)</f>
        <v>0.73</v>
      </c>
    </row>
    <row r="10" ht="15.75" customHeight="1">
      <c r="A10" s="10" t="str">
        <f>IFERROR(__xludf.DUMMYFUNCTION("""COMPUTED_VALUE"""),"https://www.semfirms.com/display-advertising-firms")</f>
        <v>https://www.semfirms.com/display-advertising-firms</v>
      </c>
      <c r="B10" s="11" t="str">
        <f>IFERROR(__xludf.DUMMYFUNCTION("""COMPUTED_VALUE"""),"Top Display Advertising Firms in United States | SEM Firms")</f>
        <v>Top Display Advertising Firms in United States | SEM Firms</v>
      </c>
      <c r="C10" s="10" t="str">
        <f>IFERROR(__xludf.DUMMYFUNCTION("""COMPUTED_VALUE"""),"semfirms.com")</f>
        <v>semfirms.com</v>
      </c>
      <c r="D10" s="11" t="str">
        <f>IFERROR(__xludf.DUMMYFUNCTION("""COMPUTED_VALUE"""),"OTHER")</f>
        <v>OTHER</v>
      </c>
      <c r="E10" s="11" t="str">
        <f>IFERROR(__xludf.DUMMYFUNCTION("""COMPUTED_VALUE"""),"REFERENCE")</f>
        <v>REFERENCE</v>
      </c>
      <c r="F10" s="11" t="str">
        <f>IFERROR(__xludf.DUMMYFUNCTION("""COMPUTED_VALUE"""),"Other")</f>
        <v>Other</v>
      </c>
      <c r="G10" s="11" t="b">
        <f>IFERROR(__xludf.DUMMYFUNCTION("""COMPUTED_VALUE"""),FALSE)</f>
        <v>0</v>
      </c>
      <c r="H10" s="11" t="str">
        <f>IFERROR(__xludf.DUMMYFUNCTION("""COMPUTED_VALUE"""),"Ignite Visibility, Disruptive Advertising, Intero Digital, Momentum")</f>
        <v>Ignite Visibility, Disruptive Advertising, Intero Digital, Momentum</v>
      </c>
      <c r="I10" s="11">
        <f>IFERROR(__xludf.DUMMYFUNCTION("""COMPUTED_VALUE"""),10.0)</f>
        <v>10</v>
      </c>
      <c r="J10" s="11">
        <f>IFERROR(__xludf.DUMMYFUNCTION("""COMPUTED_VALUE"""),0.01)</f>
        <v>0.01</v>
      </c>
      <c r="K10" s="11">
        <f>IFERROR(__xludf.DUMMYFUNCTION("""COMPUTED_VALUE"""),0.0)</f>
        <v>0</v>
      </c>
    </row>
    <row r="11" ht="15.75" customHeight="1">
      <c r="A11" s="11" t="str">
        <f>IFERROR(__xludf.DUMMYFUNCTION("""COMPUTED_VALUE"""),"https://partnersdirectory.withgoogle.com/?authuser=0&amp;gmbsrc=us-en-ot-gs-z-gmb-s-z-h%7Ebgcceg-learn-u-ahpm-0000000179-0000000001-ahpm-0000000189-0000000001%7C-ahpm-0000000179-0000000001-ahpm-0000000179-0000000000-ahpm-0000000175-0000000001-ahpm-0000000200-"&amp;"0000000000-ahpm-0000000200-0000000002-ahpm-0000000200-0000000001-ahpm-0000000213-0000000000-ahpm-0000000200-0000000002%7C-ahpm-0000000179-0000000001-ahpm-0000000213-0000000001-ahpm-0000000200-0000000001%7C-ahpm-0000000179-0000000001-ahpm-0000000210-000000"&amp;"0000-0000000212-0000000000-0000000212-0000000001-0000000209-0000000001%7C-ahpm-0000000200-0000000000%7C-ahpm-0000000179-0000000001&amp;mcsubid=es-es-ha-g-mc-bkws&amp;premier=true&amp;subid=es-es-ha-Sh-bk-c-mrc%21o3-%7Cib%3Anone%7Cib%3A6653296821%7Cib%3A9279461727%7Ci"&amp;"b%3A7966379274%7C0000000209-0000000001%7C-ahpm-0000000200-0000000000%7C-ahpm-0000000179-0000000001%7ECjwKCAjwnPOEBhA0EiwA609ReQijHby1yZ7TTk_DLiA0d1HW-5qBysn-N9u3Z4V8ZJUBAWUgiaWmXxoCZeMQAvD_BwE%7E%7Badgroup%7D%7Ekwd-296470545763%7E12694650149%7E51267818636"&amp;"6")</f>
        <v>https://partnersdirectory.withgoogle.com/?authuser=0&amp;gmbsrc=us-en-ot-gs-z-gmb-s-z-h%7Ebgcceg-learn-u-ahpm-0000000179-0000000001-ahpm-0000000189-0000000001%7C-ahpm-0000000179-0000000001-ahpm-0000000179-0000000000-ahpm-0000000175-0000000001-ahpm-0000000200-0000000000-ahpm-0000000200-0000000002-ahpm-0000000200-0000000001-ahpm-0000000213-0000000000-ahpm-0000000200-0000000002%7C-ahpm-0000000179-0000000001-ahpm-0000000213-0000000001-ahpm-0000000200-0000000001%7C-ahpm-0000000179-0000000001-ahpm-0000000210-0000000000-0000000212-0000000000-0000000212-0000000001-0000000209-0000000001%7C-ahpm-0000000200-0000000000%7C-ahpm-0000000179-0000000001&amp;mcsubid=es-es-ha-g-mc-bkws&amp;premier=true&amp;subid=es-es-ha-Sh-bk-c-mrc%21o3-%7Cib%3Anone%7Cib%3A6653296821%7Cib%3A9279461727%7Cib%3A7966379274%7C0000000209-0000000001%7C-ahpm-0000000200-0000000000%7C-ahpm-0000000179-0000000001%7ECjwKCAjwnPOEBhA0EiwA609ReQijHby1yZ7TTk_DLiA0d1HW-5qBysn-N9u3Z4V8ZJUBAWUgiaWmXxoCZeMQAvD_BwE%7E%7Badgroup%7D%7Ekwd-296470545763%7E12694650149%7E512678186366</v>
      </c>
      <c r="B11" s="11"/>
      <c r="C11" s="10" t="str">
        <f>IFERROR(__xludf.DUMMYFUNCTION("""COMPUTED_VALUE"""),"withgoogle.com")</f>
        <v>withgoogle.com</v>
      </c>
      <c r="D11" s="11" t="str">
        <f>IFERROR(__xludf.DUMMYFUNCTION("""COMPUTED_VALUE"""),"OTHER")</f>
        <v>OTHER</v>
      </c>
      <c r="E11" s="11" t="str">
        <f>IFERROR(__xludf.DUMMYFUNCTION("""COMPUTED_VALUE"""),"CORPORATE")</f>
        <v>CORPORATE</v>
      </c>
      <c r="F11" s="11" t="str">
        <f>IFERROR(__xludf.DUMMYFUNCTION("""COMPUTED_VALUE"""),"Other")</f>
        <v>Other</v>
      </c>
      <c r="G11" s="11"/>
      <c r="H11" s="11" t="str">
        <f>IFERROR(__xludf.DUMMYFUNCTION("""COMPUTED_VALUE"""),"Unknown")</f>
        <v>Unknown</v>
      </c>
      <c r="I11" s="11">
        <f>IFERROR(__xludf.DUMMYFUNCTION("""COMPUTED_VALUE"""),9.0)</f>
        <v>9</v>
      </c>
      <c r="J11" s="11">
        <f>IFERROR(__xludf.DUMMYFUNCTION("""COMPUTED_VALUE"""),0.01)</f>
        <v>0.01</v>
      </c>
      <c r="K11" s="11">
        <f>IFERROR(__xludf.DUMMYFUNCTION("""COMPUTED_VALUE"""),0.0)</f>
        <v>0</v>
      </c>
    </row>
    <row r="12" ht="15.75" customHeight="1">
      <c r="A12" s="10" t="str">
        <f>IFERROR(__xludf.DUMMYFUNCTION("""COMPUTED_VALUE"""),"https://www.saffronedge.com/blog/top-aeo-agency/#:~:text=10.%20Flying%20Cat%20Marketing%20%2D%20Strong%20B2B,fit%20for%20software%20companies%20and%20international%20growth.")</f>
        <v>https://www.saffronedge.com/blog/top-aeo-agency/#:~:text=10.%20Flying%20Cat%20Marketing%20%2D%20Strong%20B2B,fit%20for%20software%20companies%20and%20international%20growth.</v>
      </c>
      <c r="B12" s="11" t="str">
        <f>IFERROR(__xludf.DUMMYFUNCTION("""COMPUTED_VALUE"""),"Top 10+ Answer Engine Optimization Companies in the USA")</f>
        <v>Top 10+ Answer Engine Optimization Companies in the USA</v>
      </c>
      <c r="C12" s="10" t="str">
        <f>IFERROR(__xludf.DUMMYFUNCTION("""COMPUTED_VALUE"""),"saffronedge.com")</f>
        <v>saffronedge.com</v>
      </c>
      <c r="D12" s="11" t="str">
        <f>IFERROR(__xludf.DUMMYFUNCTION("""COMPUTED_VALUE"""),"OTHER")</f>
        <v>OTHER</v>
      </c>
      <c r="E12" s="11" t="str">
        <f>IFERROR(__xludf.DUMMYFUNCTION("""COMPUTED_VALUE"""),"CORPORATE")</f>
        <v>CORPORATE</v>
      </c>
      <c r="F12" s="11" t="str">
        <f>IFERROR(__xludf.DUMMYFUNCTION("""COMPUTED_VALUE"""),"Other")</f>
        <v>Other</v>
      </c>
      <c r="G12" s="11" t="b">
        <f>IFERROR(__xludf.DUMMYFUNCTION("""COMPUTED_VALUE"""),FALSE)</f>
        <v>0</v>
      </c>
      <c r="H12" s="11" t="str">
        <f>IFERROR(__xludf.DUMMYFUNCTION("""COMPUTED_VALUE"""),"First Page Sage, Searchbloom, iPullRank, NoGood, Marcel Digital, Clutch")</f>
        <v>First Page Sage, Searchbloom, iPullRank, NoGood, Marcel Digital, Clutch</v>
      </c>
      <c r="I12" s="11">
        <f>IFERROR(__xludf.DUMMYFUNCTION("""COMPUTED_VALUE"""),9.0)</f>
        <v>9</v>
      </c>
      <c r="J12" s="11">
        <f>IFERROR(__xludf.DUMMYFUNCTION("""COMPUTED_VALUE"""),0.01)</f>
        <v>0.01</v>
      </c>
      <c r="K12" s="11">
        <f>IFERROR(__xludf.DUMMYFUNCTION("""COMPUTED_VALUE"""),2.0)</f>
        <v>2</v>
      </c>
    </row>
    <row r="13" ht="15.75" customHeight="1">
      <c r="A13" s="10" t="str">
        <f>IFERROR(__xludf.DUMMYFUNCTION("""COMPUTED_VALUE"""),"https://ads.google.com/intl/us-EN/home/partners/work-with-a-partner/")</f>
        <v>https://ads.google.com/intl/us-EN/home/partners/work-with-a-partner/</v>
      </c>
      <c r="B13" s="11"/>
      <c r="C13" s="10" t="str">
        <f>IFERROR(__xludf.DUMMYFUNCTION("""COMPUTED_VALUE"""),"google.com")</f>
        <v>google.com</v>
      </c>
      <c r="D13" s="11" t="str">
        <f>IFERROR(__xludf.DUMMYFUNCTION("""COMPUTED_VALUE"""),"OTHER")</f>
        <v>OTHER</v>
      </c>
      <c r="E13" s="11" t="str">
        <f>IFERROR(__xludf.DUMMYFUNCTION("""COMPUTED_VALUE"""),"OTHER")</f>
        <v>OTHER</v>
      </c>
      <c r="F13" s="11" t="str">
        <f>IFERROR(__xludf.DUMMYFUNCTION("""COMPUTED_VALUE"""),"Other")</f>
        <v>Other</v>
      </c>
      <c r="G13" s="11"/>
      <c r="H13" s="11" t="str">
        <f>IFERROR(__xludf.DUMMYFUNCTION("""COMPUTED_VALUE"""),"Unknown")</f>
        <v>Unknown</v>
      </c>
      <c r="I13" s="11">
        <f>IFERROR(__xludf.DUMMYFUNCTION("""COMPUTED_VALUE"""),8.0)</f>
        <v>8</v>
      </c>
      <c r="J13" s="11">
        <f>IFERROR(__xludf.DUMMYFUNCTION("""COMPUTED_VALUE"""),0.01)</f>
        <v>0.01</v>
      </c>
      <c r="K13" s="11">
        <f>IFERROR(__xludf.DUMMYFUNCTION("""COMPUTED_VALUE"""),0.0)</f>
        <v>0</v>
      </c>
    </row>
    <row r="14" ht="15.75" customHeight="1">
      <c r="A14" s="10" t="str">
        <f>IFERROR(__xludf.DUMMYFUNCTION("""COMPUTED_VALUE"""),"https://www.masterrvdesigners.com/blog/best-creative-agencies-2026/#:~:text=Why%20Selecting%20the%20Right%20Creative%20Agency%20is,MasterRV%20Designers%3F%20Final%20Thoughts%3B%20FAQs.%20Contact%20Us")</f>
        <v>https://www.masterrvdesigners.com/blog/best-creative-agencies-2026/#:~:text=Why%20Selecting%20the%20Right%20Creative%20Agency%20is,MasterRV%20Designers%3F%20Final%20Thoughts%3B%20FAQs.%20Contact%20Us</v>
      </c>
      <c r="B14" s="11" t="str">
        <f>IFERROR(__xludf.DUMMYFUNCTION("""COMPUTED_VALUE"""),"12 Best Creative Agencies of 2026 for Brands")</f>
        <v>12 Best Creative Agencies of 2026 for Brands</v>
      </c>
      <c r="C14" s="10" t="str">
        <f>IFERROR(__xludf.DUMMYFUNCTION("""COMPUTED_VALUE"""),"masterrvdesigners.com")</f>
        <v>masterrvdesigners.com</v>
      </c>
      <c r="D14" s="11" t="str">
        <f>IFERROR(__xludf.DUMMYFUNCTION("""COMPUTED_VALUE"""),"OTHER")</f>
        <v>OTHER</v>
      </c>
      <c r="E14" s="11" t="str">
        <f>IFERROR(__xludf.DUMMYFUNCTION("""COMPUTED_VALUE"""),"CORPORATE")</f>
        <v>CORPORATE</v>
      </c>
      <c r="F14" s="11" t="str">
        <f>IFERROR(__xludf.DUMMYFUNCTION("""COMPUTED_VALUE"""),"Other")</f>
        <v>Other</v>
      </c>
      <c r="G14" s="11" t="b">
        <f>IFERROR(__xludf.DUMMYFUNCTION("""COMPUTED_VALUE"""),FALSE)</f>
        <v>0</v>
      </c>
      <c r="H14" s="11" t="str">
        <f>IFERROR(__xludf.DUMMYFUNCTION("""COMPUTED_VALUE"""),"Wieden+Kennedy, Ogilvy, Pentagram, BBDO, R/GA, Publicis Sapient")</f>
        <v>Wieden+Kennedy, Ogilvy, Pentagram, BBDO, R/GA, Publicis Sapient</v>
      </c>
      <c r="I14" s="11">
        <f>IFERROR(__xludf.DUMMYFUNCTION("""COMPUTED_VALUE"""),5.0)</f>
        <v>5</v>
      </c>
      <c r="J14" s="11">
        <f>IFERROR(__xludf.DUMMYFUNCTION("""COMPUTED_VALUE"""),0.0)</f>
        <v>0</v>
      </c>
      <c r="K14" s="11">
        <f>IFERROR(__xludf.DUMMYFUNCTION("""COMPUTED_VALUE"""),1.2)</f>
        <v>1.2</v>
      </c>
    </row>
    <row r="15" ht="15.75" customHeight="1">
      <c r="A15" s="10" t="str">
        <f>IFERROR(__xludf.DUMMYFUNCTION("""COMPUTED_VALUE"""),"https://partnersdirectory.withgoogle.com/?authuser=0&amp;gmbsrc=us-en-ot-gs-z-gmb-s-z-h%7Ebgcceg-learn-u-ahpm-0000000179-0000000000-ahpm-0000000200-0000000002%7C-ahpm-0000000179-0000000001-ahpm-0000000200-0000000000%7C-ahpm-0000000179-0000000001-ahpm-00000002"&amp;"10-0000000000-0000000212-0000000000-0000000212-0000000001-0000000209-0000000001%7C-ahpm-0000000200-0000000002%7C-ahpm-0000000179-0000000001-0000000209-0000000001%7C-ahpm-0000000200-0000000000%7C-ahpm-0000000179-0000000001-ahpm-0000000200-0000000001&amp;mcsubi"&amp;"d=ca-en-ha-g-mc-bkws&amp;premier=true&amp;subid=all-en-awhp-g-aw-m-c-shop-hero-bgc%21o2-s500g500%7Cib%3A6653296821%7Cib%3A9279461727%7Cib%3A7966379274%7C-ahpm-0000000200-0000000001-ahpm-0000000210-00000000000000000212-0000000001-ahpm-0000000179-0000000001-ahpm-00"&amp;"00000200-0000000002")</f>
        <v>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v>
      </c>
      <c r="B15" s="11"/>
      <c r="C15" s="10" t="str">
        <f>IFERROR(__xludf.DUMMYFUNCTION("""COMPUTED_VALUE"""),"withgoogle.com")</f>
        <v>withgoogle.com</v>
      </c>
      <c r="D15" s="11" t="str">
        <f>IFERROR(__xludf.DUMMYFUNCTION("""COMPUTED_VALUE"""),"OTHER")</f>
        <v>OTHER</v>
      </c>
      <c r="E15" s="11" t="str">
        <f>IFERROR(__xludf.DUMMYFUNCTION("""COMPUTED_VALUE"""),"CORPORATE")</f>
        <v>CORPORATE</v>
      </c>
      <c r="F15" s="11" t="str">
        <f>IFERROR(__xludf.DUMMYFUNCTION("""COMPUTED_VALUE"""),"Other")</f>
        <v>Other</v>
      </c>
      <c r="G15" s="11"/>
      <c r="H15" s="11" t="str">
        <f>IFERROR(__xludf.DUMMYFUNCTION("""COMPUTED_VALUE"""),"Unknown")</f>
        <v>Unknown</v>
      </c>
      <c r="I15" s="11">
        <f>IFERROR(__xludf.DUMMYFUNCTION("""COMPUTED_VALUE"""),5.0)</f>
        <v>5</v>
      </c>
      <c r="J15" s="11">
        <f>IFERROR(__xludf.DUMMYFUNCTION("""COMPUTED_VALUE"""),0.0)</f>
        <v>0</v>
      </c>
      <c r="K15" s="11">
        <f>IFERROR(__xludf.DUMMYFUNCTION("""COMPUTED_VALUE"""),0.0)</f>
        <v>0</v>
      </c>
    </row>
    <row r="16" ht="15.75" customHeight="1">
      <c r="A16" s="10" t="str">
        <f>IFERROR(__xludf.DUMMYFUNCTION("""COMPUTED_VALUE"""),"https://support.google.com/tagmanager/answer/7237700?hl=en")</f>
        <v>https://support.google.com/tagmanager/answer/7237700?hl=en</v>
      </c>
      <c r="B16" s="11" t="str">
        <f>IFERROR(__xludf.DUMMYFUNCTION("""COMPUTED_VALUE"""),"Google Marketing Platform Partners - Tag Manager Help")</f>
        <v>Google Marketing Platform Partners - Tag Manager Help</v>
      </c>
      <c r="C16" s="10" t="str">
        <f>IFERROR(__xludf.DUMMYFUNCTION("""COMPUTED_VALUE"""),"google.com")</f>
        <v>google.com</v>
      </c>
      <c r="D16" s="11" t="str">
        <f>IFERROR(__xludf.DUMMYFUNCTION("""COMPUTED_VALUE"""),"OTHER")</f>
        <v>OTHER</v>
      </c>
      <c r="E16" s="11" t="str">
        <f>IFERROR(__xludf.DUMMYFUNCTION("""COMPUTED_VALUE"""),"OTHER")</f>
        <v>OTHER</v>
      </c>
      <c r="F16" s="11" t="str">
        <f>IFERROR(__xludf.DUMMYFUNCTION("""COMPUTED_VALUE"""),"Other")</f>
        <v>Other</v>
      </c>
      <c r="G16" s="11" t="b">
        <f>IFERROR(__xludf.DUMMYFUNCTION("""COMPUTED_VALUE"""),FALSE)</f>
        <v>0</v>
      </c>
      <c r="H16" s="11"/>
      <c r="I16" s="11">
        <f>IFERROR(__xludf.DUMMYFUNCTION("""COMPUTED_VALUE"""),5.0)</f>
        <v>5</v>
      </c>
      <c r="J16" s="11">
        <f>IFERROR(__xludf.DUMMYFUNCTION("""COMPUTED_VALUE"""),0.0)</f>
        <v>0</v>
      </c>
      <c r="K16" s="11">
        <f>IFERROR(__xludf.DUMMYFUNCTION("""COMPUTED_VALUE"""),0.4)</f>
        <v>0.4</v>
      </c>
    </row>
    <row r="17" ht="15.75" customHeight="1">
      <c r="A17" s="10" t="str">
        <f>IFERROR(__xludf.DUMMYFUNCTION("""COMPUTED_VALUE"""),"https://ads.google.com/intl/us/home/partners/work-with-a-partner/")</f>
        <v>https://ads.google.com/intl/us/home/partners/work-with-a-partner/</v>
      </c>
      <c r="B17" s="11"/>
      <c r="C17" s="10" t="str">
        <f>IFERROR(__xludf.DUMMYFUNCTION("""COMPUTED_VALUE"""),"google.com")</f>
        <v>google.com</v>
      </c>
      <c r="D17" s="11" t="str">
        <f>IFERROR(__xludf.DUMMYFUNCTION("""COMPUTED_VALUE"""),"OTHER")</f>
        <v>OTHER</v>
      </c>
      <c r="E17" s="11" t="str">
        <f>IFERROR(__xludf.DUMMYFUNCTION("""COMPUTED_VALUE"""),"OTHER")</f>
        <v>OTHER</v>
      </c>
      <c r="F17" s="11" t="str">
        <f>IFERROR(__xludf.DUMMYFUNCTION("""COMPUTED_VALUE"""),"Other")</f>
        <v>Other</v>
      </c>
      <c r="G17" s="11"/>
      <c r="H17" s="11" t="str">
        <f>IFERROR(__xludf.DUMMYFUNCTION("""COMPUTED_VALUE"""),"Unknown")</f>
        <v>Unknown</v>
      </c>
      <c r="I17" s="11">
        <f>IFERROR(__xludf.DUMMYFUNCTION("""COMPUTED_VALUE"""),4.0)</f>
        <v>4</v>
      </c>
      <c r="J17" s="11">
        <f>IFERROR(__xludf.DUMMYFUNCTION("""COMPUTED_VALUE"""),0.0)</f>
        <v>0</v>
      </c>
      <c r="K17" s="11">
        <f>IFERROR(__xludf.DUMMYFUNCTION("""COMPUTED_VALUE"""),0.0)</f>
        <v>0</v>
      </c>
    </row>
    <row r="18" ht="15.75" customHeight="1">
      <c r="A18" s="10" t="str">
        <f>IFERROR(__xludf.DUMMYFUNCTION("""COMPUTED_VALUE"""),"https://www.idimension.com/google-marketing-platform-partner/")</f>
        <v>https://www.idimension.com/google-marketing-platform-partner/</v>
      </c>
      <c r="B18" s="11" t="str">
        <f>IFERROR(__xludf.DUMMYFUNCTION("""COMPUTED_VALUE"""),"Google Marketing Platform Certified Partner – iDimension")</f>
        <v>Google Marketing Platform Certified Partner – iDimension</v>
      </c>
      <c r="C18" s="10" t="str">
        <f>IFERROR(__xludf.DUMMYFUNCTION("""COMPUTED_VALUE"""),"idimension.com")</f>
        <v>idimension.com</v>
      </c>
      <c r="D18" s="11" t="str">
        <f>IFERROR(__xludf.DUMMYFUNCTION("""COMPUTED_VALUE"""),"OTHER")</f>
        <v>OTHER</v>
      </c>
      <c r="E18" s="11" t="str">
        <f>IFERROR(__xludf.DUMMYFUNCTION("""COMPUTED_VALUE"""),"CORPORATE")</f>
        <v>CORPORATE</v>
      </c>
      <c r="F18" s="11" t="str">
        <f>IFERROR(__xludf.DUMMYFUNCTION("""COMPUTED_VALUE"""),"Other")</f>
        <v>Other</v>
      </c>
      <c r="G18" s="11" t="b">
        <f>IFERROR(__xludf.DUMMYFUNCTION("""COMPUTED_VALUE"""),FALSE)</f>
        <v>0</v>
      </c>
      <c r="H18" s="11"/>
      <c r="I18" s="11">
        <f>IFERROR(__xludf.DUMMYFUNCTION("""COMPUTED_VALUE"""),4.0)</f>
        <v>4</v>
      </c>
      <c r="J18" s="11">
        <f>IFERROR(__xludf.DUMMYFUNCTION("""COMPUTED_VALUE"""),0.0)</f>
        <v>0</v>
      </c>
      <c r="K18" s="11">
        <f>IFERROR(__xludf.DUMMYFUNCTION("""COMPUTED_VALUE"""),0.75)</f>
        <v>0.75</v>
      </c>
    </row>
    <row r="19" ht="15.75" customHeight="1">
      <c r="A19" s="10" t="str">
        <f>IFERROR(__xludf.DUMMYFUNCTION("""COMPUTED_VALUE"""),"https://www.quora.com/What-is-the-best-AEO-agency-in-the-USA-in-2026")</f>
        <v>https://www.quora.com/What-is-the-best-AEO-agency-in-the-USA-in-2026</v>
      </c>
      <c r="B19" s="11"/>
      <c r="C19" s="10" t="str">
        <f>IFERROR(__xludf.DUMMYFUNCTION("""COMPUTED_VALUE"""),"quora.com")</f>
        <v>quora.com</v>
      </c>
      <c r="D19" s="11" t="str">
        <f>IFERROR(__xludf.DUMMYFUNCTION("""COMPUTED_VALUE"""),"OTHER")</f>
        <v>OTHER</v>
      </c>
      <c r="E19" s="11" t="str">
        <f>IFERROR(__xludf.DUMMYFUNCTION("""COMPUTED_VALUE"""),"UGC")</f>
        <v>UGC</v>
      </c>
      <c r="F19" s="11" t="str">
        <f>IFERROR(__xludf.DUMMYFUNCTION("""COMPUTED_VALUE"""),"Other")</f>
        <v>Other</v>
      </c>
      <c r="G19" s="11"/>
      <c r="H19" s="11" t="str">
        <f>IFERROR(__xludf.DUMMYFUNCTION("""COMPUTED_VALUE"""),"Unknown")</f>
        <v>Unknown</v>
      </c>
      <c r="I19" s="11">
        <f>IFERROR(__xludf.DUMMYFUNCTION("""COMPUTED_VALUE"""),4.0)</f>
        <v>4</v>
      </c>
      <c r="J19" s="11">
        <f>IFERROR(__xludf.DUMMYFUNCTION("""COMPUTED_VALUE"""),0.0)</f>
        <v>0</v>
      </c>
      <c r="K19" s="11">
        <f>IFERROR(__xludf.DUMMYFUNCTION("""COMPUTED_VALUE"""),1.25)</f>
        <v>1.25</v>
      </c>
    </row>
    <row r="20" ht="15.75" customHeight="1">
      <c r="A20" s="10" t="str">
        <f>IFERROR(__xludf.DUMMYFUNCTION("""COMPUTED_VALUE"""),"https://www.todaymade.com/blog/top-creative-agencies#:~:text=Core%20services%3A%20%2D%20Brand%20strategy%20%26%20positioning.,Ogilvy%2C%20with%20today's%20smartest%20data%20and%20technology.")</f>
        <v>https://www.todaymade.com/blog/top-creative-agencies#:~:text=Core%20services%3A%20%2D%20Brand%20strategy%20%26%20positioning.,Ogilvy%2C%20with%20today's%20smartest%20data%20and%20technology.</v>
      </c>
      <c r="B20" s="11" t="str">
        <f>IFERROR(__xludf.DUMMYFUNCTION("""COMPUTED_VALUE"""),"Top Creative Agencies in 2025. Ranked &amp;amp; Matched to Your Goals")</f>
        <v>Top Creative Agencies in 2025. Ranked &amp;amp; Matched to Your Goals</v>
      </c>
      <c r="C20" s="10" t="str">
        <f>IFERROR(__xludf.DUMMYFUNCTION("""COMPUTED_VALUE"""),"todaymade.com")</f>
        <v>todaymade.com</v>
      </c>
      <c r="D20" s="11" t="str">
        <f>IFERROR(__xludf.DUMMYFUNCTION("""COMPUTED_VALUE"""),"OTHER")</f>
        <v>OTHER</v>
      </c>
      <c r="E20" s="11" t="str">
        <f>IFERROR(__xludf.DUMMYFUNCTION("""COMPUTED_VALUE"""),"CORPORATE")</f>
        <v>CORPORATE</v>
      </c>
      <c r="F20" s="11" t="str">
        <f>IFERROR(__xludf.DUMMYFUNCTION("""COMPUTED_VALUE"""),"Other")</f>
        <v>Other</v>
      </c>
      <c r="G20" s="11" t="b">
        <f>IFERROR(__xludf.DUMMYFUNCTION("""COMPUTED_VALUE"""),FALSE)</f>
        <v>0</v>
      </c>
      <c r="H20" s="11" t="str">
        <f>IFERROR(__xludf.DUMMYFUNCTION("""COMPUTED_VALUE"""),"Wieden+Kennedy, Ogilvy, WPP, BBDO, Huge, Superside, R/GA, AKQA, Droga5, Accenture Song, Graphite, TBWA\Chiat\Day, Publicis Groupe, Dentsu, Pentagram, Monks, Clay, Momentum")</f>
        <v>Wieden+Kennedy, Ogilvy, WPP, BBDO, Huge, Superside, R/GA, AKQA, Droga5, Accenture Song, Graphite, TBWA\Chiat\Day, Publicis Groupe, Dentsu, Pentagram, Monks, Clay, Momentum</v>
      </c>
      <c r="I20" s="11">
        <f>IFERROR(__xludf.DUMMYFUNCTION("""COMPUTED_VALUE"""),4.0)</f>
        <v>4</v>
      </c>
      <c r="J20" s="11">
        <f>IFERROR(__xludf.DUMMYFUNCTION("""COMPUTED_VALUE"""),0.0)</f>
        <v>0</v>
      </c>
      <c r="K20" s="11">
        <f>IFERROR(__xludf.DUMMYFUNCTION("""COMPUTED_VALUE"""),2.0)</f>
        <v>2</v>
      </c>
    </row>
    <row r="21" ht="15.75" customHeight="1">
      <c r="A21" s="10" t="str">
        <f>IFERROR(__xludf.DUMMYFUNCTION("""COMPUTED_VALUE"""),"https://zipdo.co/service/display-advertising/")</f>
        <v>https://zipdo.co/service/display-advertising/</v>
      </c>
      <c r="B21" s="11" t="str">
        <f>IFERROR(__xludf.DUMMYFUNCTION("""COMPUTED_VALUE"""),"Top 10 Best Display Advertising Services | Tested in 2026")</f>
        <v>Top 10 Best Display Advertising Services | Tested in 2026</v>
      </c>
      <c r="C21" s="10" t="str">
        <f>IFERROR(__xludf.DUMMYFUNCTION("""COMPUTED_VALUE"""),"zipdo.co")</f>
        <v>zipdo.co</v>
      </c>
      <c r="D21" s="11" t="str">
        <f>IFERROR(__xludf.DUMMYFUNCTION("""COMPUTED_VALUE"""),"OTHER")</f>
        <v>OTHER</v>
      </c>
      <c r="E21" s="11" t="str">
        <f>IFERROR(__xludf.DUMMYFUNCTION("""COMPUTED_VALUE"""),"REFERENCE")</f>
        <v>REFERENCE</v>
      </c>
      <c r="F21" s="11" t="str">
        <f>IFERROR(__xludf.DUMMYFUNCTION("""COMPUTED_VALUE"""),"Other")</f>
        <v>Other</v>
      </c>
      <c r="G21" s="11" t="b">
        <f>IFERROR(__xludf.DUMMYFUNCTION("""COMPUTED_VALUE"""),FALSE)</f>
        <v>0</v>
      </c>
      <c r="H21" s="11" t="str">
        <f>IFERROR(__xludf.DUMMYFUNCTION("""COMPUTED_VALUE"""),"Merkle, Dentsu, WPP, Publicis Groupe, GroupM, Jellyfish, Clutch")</f>
        <v>Merkle, Dentsu, WPP, Publicis Groupe, GroupM, Jellyfish, Clutch</v>
      </c>
      <c r="I21" s="11">
        <f>IFERROR(__xludf.DUMMYFUNCTION("""COMPUTED_VALUE"""),4.0)</f>
        <v>4</v>
      </c>
      <c r="J21" s="11">
        <f>IFERROR(__xludf.DUMMYFUNCTION("""COMPUTED_VALUE"""),0.0)</f>
        <v>0</v>
      </c>
      <c r="K21" s="11">
        <f>IFERROR(__xludf.DUMMYFUNCTION("""COMPUTED_VALUE"""),0.0)</f>
        <v>0</v>
      </c>
    </row>
    <row r="22" ht="15.75" customHeight="1">
      <c r="A22" s="10" t="str">
        <f>IFERROR(__xludf.DUMMYFUNCTION("""COMPUTED_VALUE"""),"https://www.goodfirms.co/directory/country/top-digital-marketing-companies/us?sid=3931")</f>
        <v>https://www.goodfirms.co/directory/country/top-digital-marketing-companies/us?sid=3931</v>
      </c>
      <c r="B22" s="11" t="str">
        <f>IFERROR(__xludf.DUMMYFUNCTION("""COMPUTED_VALUE"""),"Top Digital Marketing Agencies in USA - 2026 Reviews | Goodfirms")</f>
        <v>Top Digital Marketing Agencies in USA - 2026 Reviews | Goodfirms</v>
      </c>
      <c r="C22" s="10" t="str">
        <f>IFERROR(__xludf.DUMMYFUNCTION("""COMPUTED_VALUE"""),"goodfirms.co")</f>
        <v>goodfirms.co</v>
      </c>
      <c r="D22" s="11" t="str">
        <f>IFERROR(__xludf.DUMMYFUNCTION("""COMPUTED_VALUE"""),"OTHER")</f>
        <v>OTHER</v>
      </c>
      <c r="E22" s="11" t="str">
        <f>IFERROR(__xludf.DUMMYFUNCTION("""COMPUTED_VALUE"""),"UGC")</f>
        <v>UGC</v>
      </c>
      <c r="F22" s="11" t="str">
        <f>IFERROR(__xludf.DUMMYFUNCTION("""COMPUTED_VALUE"""),"Other")</f>
        <v>Other</v>
      </c>
      <c r="G22" s="11" t="b">
        <f>IFERROR(__xludf.DUMMYFUNCTION("""COMPUTED_VALUE"""),FALSE)</f>
        <v>0</v>
      </c>
      <c r="H22" s="11" t="str">
        <f>IFERROR(__xludf.DUMMYFUNCTION("""COMPUTED_VALUE"""),"WebFX, Searchbloom, Funnel Boost Media, Momentum, Bounteous, LYFE Marketing, Elit-Web, Storm Brain")</f>
        <v>WebFX, Searchbloom, Funnel Boost Media, Momentum, Bounteous, LYFE Marketing, Elit-Web, Storm Brain</v>
      </c>
      <c r="I22" s="11">
        <f>IFERROR(__xludf.DUMMYFUNCTION("""COMPUTED_VALUE"""),3.0)</f>
        <v>3</v>
      </c>
      <c r="J22" s="11">
        <f>IFERROR(__xludf.DUMMYFUNCTION("""COMPUTED_VALUE"""),0.0)</f>
        <v>0</v>
      </c>
      <c r="K22" s="11">
        <f>IFERROR(__xludf.DUMMYFUNCTION("""COMPUTED_VALUE"""),0.0)</f>
        <v>0</v>
      </c>
    </row>
    <row r="23" ht="15.75" customHeight="1">
      <c r="A23" s="10" t="str">
        <f>IFERROR(__xludf.DUMMYFUNCTION("""COMPUTED_VALUE"""),"https://www.goodfirms.co/directory/country/top-digital-marketing-companies/us?sid=3943")</f>
        <v>https://www.goodfirms.co/directory/country/top-digital-marketing-companies/us?sid=3943</v>
      </c>
      <c r="B23" s="11" t="str">
        <f>IFERROR(__xludf.DUMMYFUNCTION("""COMPUTED_VALUE"""),"Top Digital Marketing Agencies in USA - 2026 Reviews | Goodfirms")</f>
        <v>Top Digital Marketing Agencies in USA - 2026 Reviews | Goodfirms</v>
      </c>
      <c r="C23" s="10" t="str">
        <f>IFERROR(__xludf.DUMMYFUNCTION("""COMPUTED_VALUE"""),"goodfirms.co")</f>
        <v>goodfirms.co</v>
      </c>
      <c r="D23" s="11" t="str">
        <f>IFERROR(__xludf.DUMMYFUNCTION("""COMPUTED_VALUE"""),"OTHER")</f>
        <v>OTHER</v>
      </c>
      <c r="E23" s="11" t="str">
        <f>IFERROR(__xludf.DUMMYFUNCTION("""COMPUTED_VALUE"""),"UGC")</f>
        <v>UGC</v>
      </c>
      <c r="F23" s="11" t="str">
        <f>IFERROR(__xludf.DUMMYFUNCTION("""COMPUTED_VALUE"""),"Other")</f>
        <v>Other</v>
      </c>
      <c r="G23" s="11" t="b">
        <f>IFERROR(__xludf.DUMMYFUNCTION("""COMPUTED_VALUE"""),FALSE)</f>
        <v>0</v>
      </c>
      <c r="H23" s="11" t="str">
        <f>IFERROR(__xludf.DUMMYFUNCTION("""COMPUTED_VALUE"""),"WebFX, Searchbloom, IBM, Elit-Web, Storm Brain")</f>
        <v>WebFX, Searchbloom, IBM, Elit-Web, Storm Brain</v>
      </c>
      <c r="I23" s="11">
        <f>IFERROR(__xludf.DUMMYFUNCTION("""COMPUTED_VALUE"""),3.0)</f>
        <v>3</v>
      </c>
      <c r="J23" s="11">
        <f>IFERROR(__xludf.DUMMYFUNCTION("""COMPUTED_VALUE"""),0.0)</f>
        <v>0</v>
      </c>
      <c r="K23" s="11">
        <f>IFERROR(__xludf.DUMMYFUNCTION("""COMPUTED_VALUE"""),0.0)</f>
        <v>0</v>
      </c>
    </row>
    <row r="24" ht="15.75" customHeight="1">
      <c r="A24" s="10" t="str">
        <f>IFERROR(__xludf.DUMMYFUNCTION("""COMPUTED_VALUE"""),"https://www.semfirms.com/display-advertising-firms?page=1")</f>
        <v>https://www.semfirms.com/display-advertising-firms?page=1</v>
      </c>
      <c r="B24" s="11" t="str">
        <f>IFERROR(__xludf.DUMMYFUNCTION("""COMPUTED_VALUE"""),"Top Display Advertising Firms in United States | SEM Firms")</f>
        <v>Top Display Advertising Firms in United States | SEM Firms</v>
      </c>
      <c r="C24" s="10" t="str">
        <f>IFERROR(__xludf.DUMMYFUNCTION("""COMPUTED_VALUE"""),"semfirms.com")</f>
        <v>semfirms.com</v>
      </c>
      <c r="D24" s="11" t="str">
        <f>IFERROR(__xludf.DUMMYFUNCTION("""COMPUTED_VALUE"""),"OTHER")</f>
        <v>OTHER</v>
      </c>
      <c r="E24" s="11" t="str">
        <f>IFERROR(__xludf.DUMMYFUNCTION("""COMPUTED_VALUE"""),"REFERENCE")</f>
        <v>REFERENCE</v>
      </c>
      <c r="F24" s="11" t="str">
        <f>IFERROR(__xludf.DUMMYFUNCTION("""COMPUTED_VALUE"""),"Other")</f>
        <v>Other</v>
      </c>
      <c r="G24" s="11" t="b">
        <f>IFERROR(__xludf.DUMMYFUNCTION("""COMPUTED_VALUE"""),FALSE)</f>
        <v>0</v>
      </c>
      <c r="H24" s="11" t="str">
        <f>IFERROR(__xludf.DUMMYFUNCTION("""COMPUTED_VALUE"""),"Ignite Visibility, Disruptive Advertising, Intero Digital, Momentum")</f>
        <v>Ignite Visibility, Disruptive Advertising, Intero Digital, Momentum</v>
      </c>
      <c r="I24" s="11">
        <f>IFERROR(__xludf.DUMMYFUNCTION("""COMPUTED_VALUE"""),3.0)</f>
        <v>3</v>
      </c>
      <c r="J24" s="11">
        <f>IFERROR(__xludf.DUMMYFUNCTION("""COMPUTED_VALUE"""),0.0)</f>
        <v>0</v>
      </c>
      <c r="K24" s="11">
        <f>IFERROR(__xludf.DUMMYFUNCTION("""COMPUTED_VALUE"""),0.0)</f>
        <v>0</v>
      </c>
    </row>
    <row r="25" ht="15.75" customHeight="1">
      <c r="A25" s="10" t="str">
        <f>IFERROR(__xludf.DUMMYFUNCTION("""COMPUTED_VALUE"""),"https://agencies.semrush.com/list/display-advertising/new-york/#:~:text=Digital%20Dot.%20Connecting%20the%20Dots%20to%20Your,driving%20organic%20traffic%20and%20generating%20quality%20leads.")</f>
        <v>https://agencies.semrush.com/list/display-advertising/new-york/#:~:text=Digital%20Dot.%20Connecting%20the%20Dots%20to%20Your,driving%20organic%20traffic%20and%20generating%20quality%20leads.</v>
      </c>
      <c r="B25" s="11" t="str">
        <f>IFERROR(__xludf.DUMMYFUNCTION("""COMPUTED_VALUE"""),"Best Display Ads Agencies in New York 2026 | Semrush")</f>
        <v>Best Display Ads Agencies in New York 2026 | Semrush</v>
      </c>
      <c r="C25" s="10" t="str">
        <f>IFERROR(__xludf.DUMMYFUNCTION("""COMPUTED_VALUE"""),"semrush.com")</f>
        <v>semrush.com</v>
      </c>
      <c r="D25" s="11" t="str">
        <f>IFERROR(__xludf.DUMMYFUNCTION("""COMPUTED_VALUE"""),"OTHER")</f>
        <v>OTHER</v>
      </c>
      <c r="E25" s="11" t="str">
        <f>IFERROR(__xludf.DUMMYFUNCTION("""COMPUTED_VALUE"""),"CORPORATE")</f>
        <v>CORPORATE</v>
      </c>
      <c r="F25" s="11" t="str">
        <f>IFERROR(__xludf.DUMMYFUNCTION("""COMPUTED_VALUE"""),"Other")</f>
        <v>Other</v>
      </c>
      <c r="G25" s="11" t="b">
        <f>IFERROR(__xludf.DUMMYFUNCTION("""COMPUTED_VALUE"""),FALSE)</f>
        <v>0</v>
      </c>
      <c r="H25" s="11" t="str">
        <f>IFERROR(__xludf.DUMMYFUNCTION("""COMPUTED_VALUE"""),"Elit-Web, Measured")</f>
        <v>Elit-Web, Measured</v>
      </c>
      <c r="I25" s="11">
        <f>IFERROR(__xludf.DUMMYFUNCTION("""COMPUTED_VALUE"""),2.0)</f>
        <v>2</v>
      </c>
      <c r="J25" s="11">
        <f>IFERROR(__xludf.DUMMYFUNCTION("""COMPUTED_VALUE"""),0.0)</f>
        <v>0</v>
      </c>
      <c r="K25" s="11">
        <f>IFERROR(__xludf.DUMMYFUNCTION("""COMPUTED_VALUE"""),1.0)</f>
        <v>1</v>
      </c>
    </row>
    <row r="26" ht="15.75" customHeight="1">
      <c r="A26" s="10" t="str">
        <f>IFERROR(__xludf.DUMMYFUNCTION("""COMPUTED_VALUE"""),"https://enterprisemarketingportal.google/find-a-partner/adswerve-us?certificationsFilters=Tag%20Manager")</f>
        <v>https://enterprisemarketingportal.google/find-a-partner/adswerve-us?certificationsFilters=Tag%20Manager</v>
      </c>
      <c r="B26" s="11"/>
      <c r="C26" s="11" t="str">
        <f>IFERROR(__xludf.DUMMYFUNCTION("""COMPUTED_VALUE"""),"enterprisemarketingportal.google")</f>
        <v>enterprisemarketingportal.google</v>
      </c>
      <c r="D26" s="11" t="str">
        <f>IFERROR(__xludf.DUMMYFUNCTION("""COMPUTED_VALUE"""),"OTHER")</f>
        <v>OTHER</v>
      </c>
      <c r="E26" s="11" t="str">
        <f>IFERROR(__xludf.DUMMYFUNCTION("""COMPUTED_VALUE"""),"CORPORATE")</f>
        <v>CORPORATE</v>
      </c>
      <c r="F26" s="11" t="str">
        <f>IFERROR(__xludf.DUMMYFUNCTION("""COMPUTED_VALUE"""),"Other")</f>
        <v>Other</v>
      </c>
      <c r="G26" s="11"/>
      <c r="H26" s="11" t="str">
        <f>IFERROR(__xludf.DUMMYFUNCTION("""COMPUTED_VALUE"""),"Unknown")</f>
        <v>Unknown</v>
      </c>
      <c r="I26" s="11">
        <f>IFERROR(__xludf.DUMMYFUNCTION("""COMPUTED_VALUE"""),2.0)</f>
        <v>2</v>
      </c>
      <c r="J26" s="11">
        <f>IFERROR(__xludf.DUMMYFUNCTION("""COMPUTED_VALUE"""),0.0)</f>
        <v>0</v>
      </c>
      <c r="K26" s="11">
        <f>IFERROR(__xludf.DUMMYFUNCTION("""COMPUTED_VALUE"""),1.0)</f>
        <v>1</v>
      </c>
    </row>
    <row r="27" ht="15.75" customHeight="1">
      <c r="A27" s="10" t="str">
        <f>IFERROR(__xludf.DUMMYFUNCTION("""COMPUTED_VALUE"""),"https://exacti.us/growth-library/incrementality-testing#:~:text=For%20any%20company%20optimizing%20toward%20LTV%3ACAC%20%E2%80%94,%3D%20Total%20media%20spend%20%C3%B7%20Incremental%20conversions.")</f>
        <v>https://exacti.us/growth-library/incrementality-testing#:~:text=For%20any%20company%20optimizing%20toward%20LTV%3ACAC%20%E2%80%94,%3D%20Total%20media%20spend%20%C3%B7%20Incremental%20conversions.</v>
      </c>
      <c r="B27" s="11" t="str">
        <f>IFERROR(__xludf.DUMMYFUNCTION("""COMPUTED_VALUE"""),"Incrementality Testing | Growth Systems Library | Exactius | Exactius")</f>
        <v>Incrementality Testing | Growth Systems Library | Exactius | Exactius</v>
      </c>
      <c r="C27" s="10" t="str">
        <f>IFERROR(__xludf.DUMMYFUNCTION("""COMPUTED_VALUE"""),"exacti.us")</f>
        <v>exacti.us</v>
      </c>
      <c r="D27" s="11" t="str">
        <f>IFERROR(__xludf.DUMMYFUNCTION("""COMPUTED_VALUE"""),"OTHER")</f>
        <v>OTHER</v>
      </c>
      <c r="E27" s="11" t="str">
        <f>IFERROR(__xludf.DUMMYFUNCTION("""COMPUTED_VALUE"""),"CORPORATE")</f>
        <v>CORPORATE</v>
      </c>
      <c r="F27" s="11" t="str">
        <f>IFERROR(__xludf.DUMMYFUNCTION("""COMPUTED_VALUE"""),"Other")</f>
        <v>Other</v>
      </c>
      <c r="G27" s="11" t="b">
        <f>IFERROR(__xludf.DUMMYFUNCTION("""COMPUTED_VALUE"""),FALSE)</f>
        <v>0</v>
      </c>
      <c r="H27" s="11" t="str">
        <f>IFERROR(__xludf.DUMMYFUNCTION("""COMPUTED_VALUE"""),"Measured, Artefact")</f>
        <v>Measured, Artefact</v>
      </c>
      <c r="I27" s="11">
        <f>IFERROR(__xludf.DUMMYFUNCTION("""COMPUTED_VALUE"""),2.0)</f>
        <v>2</v>
      </c>
      <c r="J27" s="11">
        <f>IFERROR(__xludf.DUMMYFUNCTION("""COMPUTED_VALUE"""),0.0)</f>
        <v>0</v>
      </c>
      <c r="K27" s="11">
        <f>IFERROR(__xludf.DUMMYFUNCTION("""COMPUTED_VALUE"""),2.0)</f>
        <v>2</v>
      </c>
    </row>
    <row r="28" ht="15.75" customHeight="1">
      <c r="A28" s="10" t="str">
        <f>IFERROR(__xludf.DUMMYFUNCTION("""COMPUTED_VALUE"""),"https://getadlib.com/blog/best-display-advertising-platforms/#:~:text=Demandbase%20is%20a%20B2B%20advertising%20platform%20with,purchase%20interest%20rather%20than%20broad%20demographic%20segments.")</f>
        <v>https://getadlib.com/blog/best-display-advertising-platforms/#:~:text=Demandbase%20is%20a%20B2B%20advertising%20platform%20with,purchase%20interest%20rather%20than%20broad%20demographic%20segments.</v>
      </c>
      <c r="B28" s="11" t="str">
        <f>IFERROR(__xludf.DUMMYFUNCTION("""COMPUTED_VALUE"""),"10 Best Display Advertising Platforms in 2026 | AdLib")</f>
        <v>10 Best Display Advertising Platforms in 2026 | AdLib</v>
      </c>
      <c r="C28" s="10" t="str">
        <f>IFERROR(__xludf.DUMMYFUNCTION("""COMPUTED_VALUE"""),"getadlib.com")</f>
        <v>getadlib.com</v>
      </c>
      <c r="D28" s="11" t="str">
        <f>IFERROR(__xludf.DUMMYFUNCTION("""COMPUTED_VALUE"""),"OTHER")</f>
        <v>OTHER</v>
      </c>
      <c r="E28" s="11" t="str">
        <f>IFERROR(__xludf.DUMMYFUNCTION("""COMPUTED_VALUE"""),"CORPORATE")</f>
        <v>CORPORATE</v>
      </c>
      <c r="F28" s="11" t="str">
        <f>IFERROR(__xludf.DUMMYFUNCTION("""COMPUTED_VALUE"""),"Other")</f>
        <v>Other</v>
      </c>
      <c r="G28" s="11" t="b">
        <f>IFERROR(__xludf.DUMMYFUNCTION("""COMPUTED_VALUE"""),FALSE)</f>
        <v>0</v>
      </c>
      <c r="H28" s="11"/>
      <c r="I28" s="11">
        <f>IFERROR(__xludf.DUMMYFUNCTION("""COMPUTED_VALUE"""),2.0)</f>
        <v>2</v>
      </c>
      <c r="J28" s="11">
        <f>IFERROR(__xludf.DUMMYFUNCTION("""COMPUTED_VALUE"""),0.0)</f>
        <v>0</v>
      </c>
      <c r="K28" s="11">
        <f>IFERROR(__xludf.DUMMYFUNCTION("""COMPUTED_VALUE"""),1.0)</f>
        <v>1</v>
      </c>
    </row>
    <row r="29" ht="15.75" customHeight="1">
      <c r="A29" s="10" t="str">
        <f>IFERROR(__xludf.DUMMYFUNCTION("""COMPUTED_VALUE"""),"https://www.goodfirms.co/advertising-companies/programmatic?locations=us&amp;sort_by=rating")</f>
        <v>https://www.goodfirms.co/advertising-companies/programmatic?locations=us&amp;sort_by=rating</v>
      </c>
      <c r="B29" s="11" t="str">
        <f>IFERROR(__xludf.DUMMYFUNCTION("""COMPUTED_VALUE"""),"Top Programmatic Advertising Companies - 2026 Reviews | Goodfirms")</f>
        <v>Top Programmatic Advertising Companies - 2026 Reviews | Goodfirms</v>
      </c>
      <c r="C29" s="10" t="str">
        <f>IFERROR(__xludf.DUMMYFUNCTION("""COMPUTED_VALUE"""),"goodfirms.co")</f>
        <v>goodfirms.co</v>
      </c>
      <c r="D29" s="11" t="str">
        <f>IFERROR(__xludf.DUMMYFUNCTION("""COMPUTED_VALUE"""),"OTHER")</f>
        <v>OTHER</v>
      </c>
      <c r="E29" s="11" t="str">
        <f>IFERROR(__xludf.DUMMYFUNCTION("""COMPUTED_VALUE"""),"UGC")</f>
        <v>UGC</v>
      </c>
      <c r="F29" s="11" t="str">
        <f>IFERROR(__xludf.DUMMYFUNCTION("""COMPUTED_VALUE"""),"Other")</f>
        <v>Other</v>
      </c>
      <c r="G29" s="11" t="b">
        <f>IFERROR(__xludf.DUMMYFUNCTION("""COMPUTED_VALUE"""),FALSE)</f>
        <v>0</v>
      </c>
      <c r="H29" s="11" t="str">
        <f>IFERROR(__xludf.DUMMYFUNCTION("""COMPUTED_VALUE"""),"Funnel Boost Media, Daydream")</f>
        <v>Funnel Boost Media, Daydream</v>
      </c>
      <c r="I29" s="11">
        <f>IFERROR(__xludf.DUMMYFUNCTION("""COMPUTED_VALUE"""),2.0)</f>
        <v>2</v>
      </c>
      <c r="J29" s="11">
        <f>IFERROR(__xludf.DUMMYFUNCTION("""COMPUTED_VALUE"""),0.0)</f>
        <v>0</v>
      </c>
      <c r="K29" s="11">
        <f>IFERROR(__xludf.DUMMYFUNCTION("""COMPUTED_VALUE"""),0.0)</f>
        <v>0</v>
      </c>
    </row>
    <row r="30" ht="15.75" customHeight="1">
      <c r="A30" s="10" t="str">
        <f>IFERROR(__xludf.DUMMYFUNCTION("""COMPUTED_VALUE"""),"https://www.goodfirms.co/directory/country/top-digital-marketing-companies/us?reviews=1")</f>
        <v>https://www.goodfirms.co/directory/country/top-digital-marketing-companies/us?reviews=1</v>
      </c>
      <c r="B30" s="11" t="str">
        <f>IFERROR(__xludf.DUMMYFUNCTION("""COMPUTED_VALUE"""),"Top Digital Marketing Agencies in USA - 2026 Reviews | Goodfirms")</f>
        <v>Top Digital Marketing Agencies in USA - 2026 Reviews | Goodfirms</v>
      </c>
      <c r="C30" s="10" t="str">
        <f>IFERROR(__xludf.DUMMYFUNCTION("""COMPUTED_VALUE"""),"goodfirms.co")</f>
        <v>goodfirms.co</v>
      </c>
      <c r="D30" s="11" t="str">
        <f>IFERROR(__xludf.DUMMYFUNCTION("""COMPUTED_VALUE"""),"OTHER")</f>
        <v>OTHER</v>
      </c>
      <c r="E30" s="11" t="str">
        <f>IFERROR(__xludf.DUMMYFUNCTION("""COMPUTED_VALUE"""),"UGC")</f>
        <v>UGC</v>
      </c>
      <c r="F30" s="11" t="str">
        <f>IFERROR(__xludf.DUMMYFUNCTION("""COMPUTED_VALUE"""),"Other")</f>
        <v>Other</v>
      </c>
      <c r="G30" s="11" t="b">
        <f>IFERROR(__xludf.DUMMYFUNCTION("""COMPUTED_VALUE"""),FALSE)</f>
        <v>0</v>
      </c>
      <c r="H30" s="11" t="str">
        <f>IFERROR(__xludf.DUMMYFUNCTION("""COMPUTED_VALUE"""),"WebFX, Searchbloom, SmartSites, Funnel Boost Media, Elit-Web, Storm Brain, Go Fish Digital")</f>
        <v>WebFX, Searchbloom, SmartSites, Funnel Boost Media, Elit-Web, Storm Brain, Go Fish Digital</v>
      </c>
      <c r="I30" s="11">
        <f>IFERROR(__xludf.DUMMYFUNCTION("""COMPUTED_VALUE"""),2.0)</f>
        <v>2</v>
      </c>
      <c r="J30" s="11">
        <f>IFERROR(__xludf.DUMMYFUNCTION("""COMPUTED_VALUE"""),0.0)</f>
        <v>0</v>
      </c>
      <c r="K30" s="11">
        <f>IFERROR(__xludf.DUMMYFUNCTION("""COMPUTED_VALUE"""),0.0)</f>
        <v>0</v>
      </c>
    </row>
    <row r="31" ht="15.75" customHeight="1">
      <c r="A31" s="10" t="str">
        <f>IFERROR(__xludf.DUMMYFUNCTION("""COMPUTED_VALUE"""),"https://www.iab.com/wp-content/uploads/2026/01/IAB_StateofDataReport_February_2026pdf.pdf")</f>
        <v>https://www.iab.com/wp-content/uploads/2026/01/IAB_StateofDataReport_February_2026pdf.pdf</v>
      </c>
      <c r="B31" s="11"/>
      <c r="C31" s="10" t="str">
        <f>IFERROR(__xludf.DUMMYFUNCTION("""COMPUTED_VALUE"""),"iab.com")</f>
        <v>iab.com</v>
      </c>
      <c r="D31" s="11" t="str">
        <f>IFERROR(__xludf.DUMMYFUNCTION("""COMPUTED_VALUE"""),"OTHER")</f>
        <v>OTHER</v>
      </c>
      <c r="E31" s="11" t="str">
        <f>IFERROR(__xludf.DUMMYFUNCTION("""COMPUTED_VALUE"""),"INSTITUTIONAL")</f>
        <v>INSTITUTIONAL</v>
      </c>
      <c r="F31" s="11" t="str">
        <f>IFERROR(__xludf.DUMMYFUNCTION("""COMPUTED_VALUE"""),"Other")</f>
        <v>Other</v>
      </c>
      <c r="G31" s="11" t="b">
        <f>IFERROR(__xludf.DUMMYFUNCTION("""COMPUTED_VALUE"""),FALSE)</f>
        <v>0</v>
      </c>
      <c r="H31" s="11" t="str">
        <f>IFERROR(__xludf.DUMMYFUNCTION("""COMPUTED_VALUE"""),"WPP")</f>
        <v>WPP</v>
      </c>
      <c r="I31" s="11">
        <f>IFERROR(__xludf.DUMMYFUNCTION("""COMPUTED_VALUE"""),2.0)</f>
        <v>2</v>
      </c>
      <c r="J31" s="11">
        <f>IFERROR(__xludf.DUMMYFUNCTION("""COMPUTED_VALUE"""),0.0)</f>
        <v>0</v>
      </c>
      <c r="K31" s="11">
        <f>IFERROR(__xludf.DUMMYFUNCTION("""COMPUTED_VALUE"""),2.5)</f>
        <v>2.5</v>
      </c>
    </row>
    <row r="32" ht="15.75" customHeight="1">
      <c r="A32" s="10" t="str">
        <f>IFERROR(__xludf.DUMMYFUNCTION("""COMPUTED_VALUE"""),"https://marketingplatform.google.com/about/partners/?hl=uk")</f>
        <v>https://marketingplatform.google.com/about/partners/?hl=uk</v>
      </c>
      <c r="B32" s="11"/>
      <c r="C32" s="10" t="str">
        <f>IFERROR(__xludf.DUMMYFUNCTION("""COMPUTED_VALUE"""),"google.com")</f>
        <v>google.com</v>
      </c>
      <c r="D32" s="11" t="str">
        <f>IFERROR(__xludf.DUMMYFUNCTION("""COMPUTED_VALUE"""),"OTHER")</f>
        <v>OTHER</v>
      </c>
      <c r="E32" s="11" t="str">
        <f>IFERROR(__xludf.DUMMYFUNCTION("""COMPUTED_VALUE"""),"OTHER")</f>
        <v>OTHER</v>
      </c>
      <c r="F32" s="11" t="str">
        <f>IFERROR(__xludf.DUMMYFUNCTION("""COMPUTED_VALUE"""),"Other")</f>
        <v>Other</v>
      </c>
      <c r="G32" s="11"/>
      <c r="H32" s="11" t="str">
        <f>IFERROR(__xludf.DUMMYFUNCTION("""COMPUTED_VALUE"""),"Unknown")</f>
        <v>Unknown</v>
      </c>
      <c r="I32" s="11">
        <f>IFERROR(__xludf.DUMMYFUNCTION("""COMPUTED_VALUE"""),2.0)</f>
        <v>2</v>
      </c>
      <c r="J32" s="11">
        <f>IFERROR(__xludf.DUMMYFUNCTION("""COMPUTED_VALUE"""),0.0)</f>
        <v>0</v>
      </c>
      <c r="K32" s="11">
        <f>IFERROR(__xludf.DUMMYFUNCTION("""COMPUTED_VALUE"""),4.0)</f>
        <v>4</v>
      </c>
    </row>
    <row r="33" ht="15.75" customHeight="1">
      <c r="A33" s="10" t="str">
        <f>IFERROR(__xludf.DUMMYFUNCTION("""COMPUTED_VALUE"""),"https://partnersdirectory.withgoogle.com/?company_name=axis+local&amp;premier=true")</f>
        <v>https://partnersdirectory.withgoogle.com/?company_name=axis+local&amp;premier=true</v>
      </c>
      <c r="B33" s="11"/>
      <c r="C33" s="10" t="str">
        <f>IFERROR(__xludf.DUMMYFUNCTION("""COMPUTED_VALUE"""),"withgoogle.com")</f>
        <v>withgoogle.com</v>
      </c>
      <c r="D33" s="11" t="str">
        <f>IFERROR(__xludf.DUMMYFUNCTION("""COMPUTED_VALUE"""),"OTHER")</f>
        <v>OTHER</v>
      </c>
      <c r="E33" s="11" t="str">
        <f>IFERROR(__xludf.DUMMYFUNCTION("""COMPUTED_VALUE"""),"CORPORATE")</f>
        <v>CORPORATE</v>
      </c>
      <c r="F33" s="11" t="str">
        <f>IFERROR(__xludf.DUMMYFUNCTION("""COMPUTED_VALUE"""),"Other")</f>
        <v>Other</v>
      </c>
      <c r="G33" s="11"/>
      <c r="H33" s="11" t="str">
        <f>IFERROR(__xludf.DUMMYFUNCTION("""COMPUTED_VALUE"""),"Unknown")</f>
        <v>Unknown</v>
      </c>
      <c r="I33" s="11">
        <f>IFERROR(__xludf.DUMMYFUNCTION("""COMPUTED_VALUE"""),2.0)</f>
        <v>2</v>
      </c>
      <c r="J33" s="11">
        <f>IFERROR(__xludf.DUMMYFUNCTION("""COMPUTED_VALUE"""),0.0)</f>
        <v>0</v>
      </c>
      <c r="K33" s="11">
        <f>IFERROR(__xludf.DUMMYFUNCTION("""COMPUTED_VALUE"""),0.0)</f>
        <v>0</v>
      </c>
    </row>
    <row r="34" ht="15.75" customHeight="1">
      <c r="A34" s="10" t="str">
        <f>IFERROR(__xludf.DUMMYFUNCTION("""COMPUTED_VALUE"""),"https://support.google.com/analytics/answer/7237700?hl=en-AU")</f>
        <v>https://support.google.com/analytics/answer/7237700?hl=en-AU</v>
      </c>
      <c r="B34" s="11" t="str">
        <f>IFERROR(__xludf.DUMMYFUNCTION("""COMPUTED_VALUE"""),"Google Marketing Platform Partners - Analytics Help")</f>
        <v>Google Marketing Platform Partners - Analytics Help</v>
      </c>
      <c r="C34" s="10" t="str">
        <f>IFERROR(__xludf.DUMMYFUNCTION("""COMPUTED_VALUE"""),"google.com")</f>
        <v>google.com</v>
      </c>
      <c r="D34" s="11" t="str">
        <f>IFERROR(__xludf.DUMMYFUNCTION("""COMPUTED_VALUE"""),"OTHER")</f>
        <v>OTHER</v>
      </c>
      <c r="E34" s="11" t="str">
        <f>IFERROR(__xludf.DUMMYFUNCTION("""COMPUTED_VALUE"""),"OTHER")</f>
        <v>OTHER</v>
      </c>
      <c r="F34" s="11" t="str">
        <f>IFERROR(__xludf.DUMMYFUNCTION("""COMPUTED_VALUE"""),"Other")</f>
        <v>Other</v>
      </c>
      <c r="G34" s="11" t="b">
        <f>IFERROR(__xludf.DUMMYFUNCTION("""COMPUTED_VALUE"""),FALSE)</f>
        <v>0</v>
      </c>
      <c r="H34" s="11"/>
      <c r="I34" s="11">
        <f>IFERROR(__xludf.DUMMYFUNCTION("""COMPUTED_VALUE"""),2.0)</f>
        <v>2</v>
      </c>
      <c r="J34" s="11">
        <f>IFERROR(__xludf.DUMMYFUNCTION("""COMPUTED_VALUE"""),0.0)</f>
        <v>0</v>
      </c>
      <c r="K34" s="11">
        <f>IFERROR(__xludf.DUMMYFUNCTION("""COMPUTED_VALUE"""),0.0)</f>
        <v>0</v>
      </c>
    </row>
    <row r="35" ht="15.75" customHeight="1">
      <c r="A35" s="10" t="str">
        <f>IFERROR(__xludf.DUMMYFUNCTION("""COMPUTED_VALUE"""),"https://support.google.com/tagmanager/answer/7237700?hl=EN")</f>
        <v>https://support.google.com/tagmanager/answer/7237700?hl=EN</v>
      </c>
      <c r="B35" s="11" t="str">
        <f>IFERROR(__xludf.DUMMYFUNCTION("""COMPUTED_VALUE"""),"Google Marketing Platform Partners - Tag Manager Help")</f>
        <v>Google Marketing Platform Partners - Tag Manager Help</v>
      </c>
      <c r="C35" s="10" t="str">
        <f>IFERROR(__xludf.DUMMYFUNCTION("""COMPUTED_VALUE"""),"google.com")</f>
        <v>google.com</v>
      </c>
      <c r="D35" s="11" t="str">
        <f>IFERROR(__xludf.DUMMYFUNCTION("""COMPUTED_VALUE"""),"OTHER")</f>
        <v>OTHER</v>
      </c>
      <c r="E35" s="11" t="str">
        <f>IFERROR(__xludf.DUMMYFUNCTION("""COMPUTED_VALUE"""),"OTHER")</f>
        <v>OTHER</v>
      </c>
      <c r="F35" s="11" t="str">
        <f>IFERROR(__xludf.DUMMYFUNCTION("""COMPUTED_VALUE"""),"Other")</f>
        <v>Other</v>
      </c>
      <c r="G35" s="11" t="b">
        <f>IFERROR(__xludf.DUMMYFUNCTION("""COMPUTED_VALUE"""),FALSE)</f>
        <v>0</v>
      </c>
      <c r="H35" s="11"/>
      <c r="I35" s="11">
        <f>IFERROR(__xludf.DUMMYFUNCTION("""COMPUTED_VALUE"""),2.0)</f>
        <v>2</v>
      </c>
      <c r="J35" s="11">
        <f>IFERROR(__xludf.DUMMYFUNCTION("""COMPUTED_VALUE"""),0.0)</f>
        <v>0</v>
      </c>
      <c r="K35" s="11">
        <f>IFERROR(__xludf.DUMMYFUNCTION("""COMPUTED_VALUE"""),0.0)</f>
        <v>0</v>
      </c>
    </row>
    <row r="36" ht="15.75" customHeight="1">
      <c r="A36" s="10" t="str">
        <f>IFERROR(__xludf.DUMMYFUNCTION("""COMPUTED_VALUE"""),"https://www.therealsocialcompany.com/blog/best-ai-marketing-agency-united-states")</f>
        <v>https://www.therealsocialcompany.com/blog/best-ai-marketing-agency-united-states</v>
      </c>
      <c r="B36" s="11" t="str">
        <f>IFERROR(__xludf.DUMMYFUNCTION("""COMPUTED_VALUE"""),"Best AI Marketing Agency in the United States (2026) | The Real Social Company")</f>
        <v>Best AI Marketing Agency in the United States (2026) | The Real Social Company</v>
      </c>
      <c r="C36" s="10" t="str">
        <f>IFERROR(__xludf.DUMMYFUNCTION("""COMPUTED_VALUE"""),"therealsocialcompany.com")</f>
        <v>therealsocialcompany.com</v>
      </c>
      <c r="D36" s="11" t="str">
        <f>IFERROR(__xludf.DUMMYFUNCTION("""COMPUTED_VALUE"""),"OTHER")</f>
        <v>OTHER</v>
      </c>
      <c r="E36" s="11" t="str">
        <f>IFERROR(__xludf.DUMMYFUNCTION("""COMPUTED_VALUE"""),"CORPORATE")</f>
        <v>CORPORATE</v>
      </c>
      <c r="F36" s="11" t="str">
        <f>IFERROR(__xludf.DUMMYFUNCTION("""COMPUTED_VALUE"""),"Other")</f>
        <v>Other</v>
      </c>
      <c r="G36" s="11" t="b">
        <f>IFERROR(__xludf.DUMMYFUNCTION("""COMPUTED_VALUE"""),FALSE)</f>
        <v>0</v>
      </c>
      <c r="H36" s="11"/>
      <c r="I36" s="11">
        <f>IFERROR(__xludf.DUMMYFUNCTION("""COMPUTED_VALUE"""),2.0)</f>
        <v>2</v>
      </c>
      <c r="J36" s="11">
        <f>IFERROR(__xludf.DUMMYFUNCTION("""COMPUTED_VALUE"""),0.0)</f>
        <v>0</v>
      </c>
      <c r="K36" s="11">
        <f>IFERROR(__xludf.DUMMYFUNCTION("""COMPUTED_VALUE"""),0.0)</f>
        <v>0</v>
      </c>
    </row>
    <row r="37" ht="15.75" customHeight="1">
      <c r="A37" s="10" t="str">
        <f>IFERROR(__xludf.DUMMYFUNCTION("""COMPUTED_VALUE"""),"https://wildnetmarketing.agency/blog/top-programmatic-advertising-agencies-in-usa/#:~:text=Performance%20Media%2C%20Ad%20Tech%20Consulting.%20B2B%2C%20Healthcare%2C,ROI%2Dfocused%20Programmatic%20Engineering%20%26%20Automation.%20%2D%20Merkle.")</f>
        <v>https://wildnetmarketing.agency/blog/top-programmatic-advertising-agencies-in-usa/#:~:text=Performance%20Media%2C%20Ad%20Tech%20Consulting.%20B2B%2C%20Healthcare%2C,ROI%2Dfocused%20Programmatic%20Engineering%20%26%20Automation.%20%2D%20Merkle.</v>
      </c>
      <c r="B37" s="11" t="str">
        <f>IFERROR(__xludf.DUMMYFUNCTION("""COMPUTED_VALUE"""),"Top 10 Programmatic Advertising Agencies in USA 2026")</f>
        <v>Top 10 Programmatic Advertising Agencies in USA 2026</v>
      </c>
      <c r="C37" s="11" t="str">
        <f>IFERROR(__xludf.DUMMYFUNCTION("""COMPUTED_VALUE"""),"wildnetmarketing.agency")</f>
        <v>wildnetmarketing.agency</v>
      </c>
      <c r="D37" s="11" t="str">
        <f>IFERROR(__xludf.DUMMYFUNCTION("""COMPUTED_VALUE"""),"OTHER")</f>
        <v>OTHER</v>
      </c>
      <c r="E37" s="11" t="str">
        <f>IFERROR(__xludf.DUMMYFUNCTION("""COMPUTED_VALUE"""),"CORPORATE")</f>
        <v>CORPORATE</v>
      </c>
      <c r="F37" s="11" t="str">
        <f>IFERROR(__xludf.DUMMYFUNCTION("""COMPUTED_VALUE"""),"Other")</f>
        <v>Other</v>
      </c>
      <c r="G37" s="11" t="b">
        <f>IFERROR(__xludf.DUMMYFUNCTION("""COMPUTED_VALUE"""),FALSE)</f>
        <v>0</v>
      </c>
      <c r="H37" s="11" t="str">
        <f>IFERROR(__xludf.DUMMYFUNCTION("""COMPUTED_VALUE"""),"Merkle, Ogilvy, VML, Digitas, Accenture Song, Deloitte Digital, Publicis Groupe, Dentsu, Epsilon")</f>
        <v>Merkle, Ogilvy, VML, Digitas, Accenture Song, Deloitte Digital, Publicis Groupe, Dentsu, Epsilon</v>
      </c>
      <c r="I37" s="11">
        <f>IFERROR(__xludf.DUMMYFUNCTION("""COMPUTED_VALUE"""),2.0)</f>
        <v>2</v>
      </c>
      <c r="J37" s="11">
        <f>IFERROR(__xludf.DUMMYFUNCTION("""COMPUTED_VALUE"""),0.0)</f>
        <v>0</v>
      </c>
      <c r="K37" s="11">
        <f>IFERROR(__xludf.DUMMYFUNCTION("""COMPUTED_VALUE"""),5.0)</f>
        <v>5</v>
      </c>
    </row>
    <row r="38" ht="15.75" customHeight="1">
      <c r="A38" s="10" t="str">
        <f>IFERROR(__xludf.DUMMYFUNCTION("""COMPUTED_VALUE"""),"https://xchange.avixa.org/posts/10-best-digital-marketing-agencies-in-usa-2026#:~:text=The%20agency%20focuses%20on%20maximizing%20ROI%20through,marketing.%20Paid%20advertising.%20SEO%20services.%20Content%20strategy.")</f>
        <v>https://xchange.avixa.org/posts/10-best-digital-marketing-agencies-in-usa-2026#:~:text=The%20agency%20focuses%20on%20maximizing%20ROI%20through,marketing.%20Paid%20advertising.%20SEO%20services.%20Content%20strategy.</v>
      </c>
      <c r="B38" s="11" t="str">
        <f>IFERROR(__xludf.DUMMYFUNCTION("""COMPUTED_VALUE"""),"10 Best Digital Marketing Agencies in USA (2026) | AVIXA Xchange")</f>
        <v>10 Best Digital Marketing Agencies in USA (2026) | AVIXA Xchange</v>
      </c>
      <c r="C38" s="10" t="str">
        <f>IFERROR(__xludf.DUMMYFUNCTION("""COMPUTED_VALUE"""),"avixa.org")</f>
        <v>avixa.org</v>
      </c>
      <c r="D38" s="11" t="str">
        <f>IFERROR(__xludf.DUMMYFUNCTION("""COMPUTED_VALUE"""),"OTHER")</f>
        <v>OTHER</v>
      </c>
      <c r="E38" s="11" t="str">
        <f>IFERROR(__xludf.DUMMYFUNCTION("""COMPUTED_VALUE"""),"INSTITUTIONAL")</f>
        <v>INSTITUTIONAL</v>
      </c>
      <c r="F38" s="11" t="str">
        <f>IFERROR(__xludf.DUMMYFUNCTION("""COMPUTED_VALUE"""),"Other")</f>
        <v>Other</v>
      </c>
      <c r="G38" s="11" t="b">
        <f>IFERROR(__xludf.DUMMYFUNCTION("""COMPUTED_VALUE"""),FALSE)</f>
        <v>0</v>
      </c>
      <c r="H38" s="11" t="str">
        <f>IFERROR(__xludf.DUMMYFUNCTION("""COMPUTED_VALUE"""),"SmartSites, Ignite Visibility, Victorious, Directive, Siege Media, WebFX, Single Grain, LYFE Marketing, Thrive Internet Marketing Agency")</f>
        <v>SmartSites, Ignite Visibility, Victorious, Directive, Siege Media, WebFX, Single Grain, LYFE Marketing, Thrive Internet Marketing Agency</v>
      </c>
      <c r="I38" s="11">
        <f>IFERROR(__xludf.DUMMYFUNCTION("""COMPUTED_VALUE"""),2.0)</f>
        <v>2</v>
      </c>
      <c r="J38" s="11">
        <f>IFERROR(__xludf.DUMMYFUNCTION("""COMPUTED_VALUE"""),0.0)</f>
        <v>0</v>
      </c>
      <c r="K38" s="11">
        <f>IFERROR(__xludf.DUMMYFUNCTION("""COMPUTED_VALUE"""),1.0)</f>
        <v>1</v>
      </c>
    </row>
    <row r="39" ht="15.75" customHeight="1">
      <c r="A39" s="10" t="str">
        <f>IFERROR(__xludf.DUMMYFUNCTION("""COMPUTED_VALUE"""),"https://adastracorp.com/articles/top-data-analytics-companies-to-compare-in-2026-usa-canada/#:~:text=HQ%3A%20Cary%2C%20NC%20with%20global%20operations%3B%207%2C983,regulatory%20reporting%2C%20and%20proven%20analytics%20software.%207.")</f>
        <v>https://adastracorp.com/articles/top-data-analytics-companies-to-compare-in-2026-usa-canada/#:~:text=HQ%3A%20Cary%2C%20NC%20with%20global%20operations%3B%207%2C983,regulatory%20reporting%2C%20and%20proven%20analytics%20software.%207.</v>
      </c>
      <c r="B39" s="11" t="str">
        <f>IFERROR(__xludf.DUMMYFUNCTION("""COMPUTED_VALUE"""),"Top Data Analytics Companies | 2026")</f>
        <v>Top Data Analytics Companies | 2026</v>
      </c>
      <c r="C39" s="10" t="str">
        <f>IFERROR(__xludf.DUMMYFUNCTION("""COMPUTED_VALUE"""),"adastracorp.com")</f>
        <v>adastracorp.com</v>
      </c>
      <c r="D39" s="11" t="str">
        <f>IFERROR(__xludf.DUMMYFUNCTION("""COMPUTED_VALUE"""),"OTHER")</f>
        <v>OTHER</v>
      </c>
      <c r="E39" s="11" t="str">
        <f>IFERROR(__xludf.DUMMYFUNCTION("""COMPUTED_VALUE"""),"CORPORATE")</f>
        <v>CORPORATE</v>
      </c>
      <c r="F39" s="11" t="str">
        <f>IFERROR(__xludf.DUMMYFUNCTION("""COMPUTED_VALUE"""),"Other")</f>
        <v>Other</v>
      </c>
      <c r="G39" s="11" t="b">
        <f>IFERROR(__xludf.DUMMYFUNCTION("""COMPUTED_VALUE"""),FALSE)</f>
        <v>0</v>
      </c>
      <c r="H39" s="11" t="str">
        <f>IFERROR(__xludf.DUMMYFUNCTION("""COMPUTED_VALUE"""),"McKinsey, IBM")</f>
        <v>McKinsey, IBM</v>
      </c>
      <c r="I39" s="11">
        <f>IFERROR(__xludf.DUMMYFUNCTION("""COMPUTED_VALUE"""),1.0)</f>
        <v>1</v>
      </c>
      <c r="J39" s="11">
        <f>IFERROR(__xludf.DUMMYFUNCTION("""COMPUTED_VALUE"""),0.0)</f>
        <v>0</v>
      </c>
      <c r="K39" s="11">
        <f>IFERROR(__xludf.DUMMYFUNCTION("""COMPUTED_VALUE"""),1.0)</f>
        <v>1</v>
      </c>
    </row>
    <row r="40" ht="15.75" customHeight="1">
      <c r="A40" s="10" t="str">
        <f>IFERROR(__xludf.DUMMYFUNCTION("""COMPUTED_VALUE"""),"https://adgeeks.agency/blogs/best-programmatic-dsp-agencies-for-google-dv360-access-in-2026")</f>
        <v>https://adgeeks.agency/blogs/best-programmatic-dsp-agencies-for-google-dv360-access-in-2026</v>
      </c>
      <c r="B40" s="11" t="str">
        <f>IFERROR(__xludf.DUMMYFUNCTION("""COMPUTED_VALUE"""),"Best Programmatic DSP Agencies for Google DV360 in 2026")</f>
        <v>Best Programmatic DSP Agencies for Google DV360 in 2026</v>
      </c>
      <c r="C40" s="11" t="str">
        <f>IFERROR(__xludf.DUMMYFUNCTION("""COMPUTED_VALUE"""),"adgeeks.agency")</f>
        <v>adgeeks.agency</v>
      </c>
      <c r="D40" s="11" t="str">
        <f>IFERROR(__xludf.DUMMYFUNCTION("""COMPUTED_VALUE"""),"OTHER")</f>
        <v>OTHER</v>
      </c>
      <c r="E40" s="11" t="str">
        <f>IFERROR(__xludf.DUMMYFUNCTION("""COMPUTED_VALUE"""),"CORPORATE")</f>
        <v>CORPORATE</v>
      </c>
      <c r="F40" s="11" t="str">
        <f>IFERROR(__xludf.DUMMYFUNCTION("""COMPUTED_VALUE"""),"Other")</f>
        <v>Other</v>
      </c>
      <c r="G40" s="11" t="b">
        <f>IFERROR(__xludf.DUMMYFUNCTION("""COMPUTED_VALUE"""),FALSE)</f>
        <v>0</v>
      </c>
      <c r="H40" s="11" t="str">
        <f>IFERROR(__xludf.DUMMYFUNCTION("""COMPUTED_VALUE"""),"Jellyfish, Kepler Group, Tinuiti, Merkle, Dentsu")</f>
        <v>Jellyfish, Kepler Group, Tinuiti, Merkle, Dentsu</v>
      </c>
      <c r="I40" s="11">
        <f>IFERROR(__xludf.DUMMYFUNCTION("""COMPUTED_VALUE"""),1.0)</f>
        <v>1</v>
      </c>
      <c r="J40" s="11">
        <f>IFERROR(__xludf.DUMMYFUNCTION("""COMPUTED_VALUE"""),0.0)</f>
        <v>0</v>
      </c>
      <c r="K40" s="11">
        <f>IFERROR(__xludf.DUMMYFUNCTION("""COMPUTED_VALUE"""),1.0)</f>
        <v>1</v>
      </c>
    </row>
    <row r="41" ht="15.75" customHeight="1">
      <c r="A41" s="10" t="str">
        <f>IFERROR(__xludf.DUMMYFUNCTION("""COMPUTED_VALUE"""),"https://ads.google.com/intl/fy/home/partners/become-a-partner/")</f>
        <v>https://ads.google.com/intl/fy/home/partners/become-a-partner/</v>
      </c>
      <c r="B41" s="11"/>
      <c r="C41" s="10" t="str">
        <f>IFERROR(__xludf.DUMMYFUNCTION("""COMPUTED_VALUE"""),"google.com")</f>
        <v>google.com</v>
      </c>
      <c r="D41" s="11" t="str">
        <f>IFERROR(__xludf.DUMMYFUNCTION("""COMPUTED_VALUE"""),"OTHER")</f>
        <v>OTHER</v>
      </c>
      <c r="E41" s="11" t="str">
        <f>IFERROR(__xludf.DUMMYFUNCTION("""COMPUTED_VALUE"""),"OTHER")</f>
        <v>OTHER</v>
      </c>
      <c r="F41" s="11" t="str">
        <f>IFERROR(__xludf.DUMMYFUNCTION("""COMPUTED_VALUE"""),"Other")</f>
        <v>Other</v>
      </c>
      <c r="G41" s="11"/>
      <c r="H41" s="11" t="str">
        <f>IFERROR(__xludf.DUMMYFUNCTION("""COMPUTED_VALUE"""),"Unknown")</f>
        <v>Unknown</v>
      </c>
      <c r="I41" s="11">
        <f>IFERROR(__xludf.DUMMYFUNCTION("""COMPUTED_VALUE"""),1.0)</f>
        <v>1</v>
      </c>
      <c r="J41" s="11">
        <f>IFERROR(__xludf.DUMMYFUNCTION("""COMPUTED_VALUE"""),0.0)</f>
        <v>0</v>
      </c>
      <c r="K41" s="11">
        <f>IFERROR(__xludf.DUMMYFUNCTION("""COMPUTED_VALUE"""),0.0)</f>
        <v>0</v>
      </c>
    </row>
    <row r="42" ht="15.75" customHeight="1">
      <c r="A42" s="10" t="str">
        <f>IFERROR(__xludf.DUMMYFUNCTION("""COMPUTED_VALUE"""),"https://agencylist.com/services/programmatic-display-and-video/us/florida/")</f>
        <v>https://agencylist.com/services/programmatic-display-and-video/us/florida/</v>
      </c>
      <c r="B42" s="11" t="str">
        <f>IFERROR(__xludf.DUMMYFUNCTION("""COMPUTED_VALUE"""),"Top Programmatic Display and Video Agencies in Florida, United States")</f>
        <v>Top Programmatic Display and Video Agencies in Florida, United States</v>
      </c>
      <c r="C42" s="10" t="str">
        <f>IFERROR(__xludf.DUMMYFUNCTION("""COMPUTED_VALUE"""),"agencylist.com")</f>
        <v>agencylist.com</v>
      </c>
      <c r="D42" s="11" t="str">
        <f>IFERROR(__xludf.DUMMYFUNCTION("""COMPUTED_VALUE"""),"OTHER")</f>
        <v>OTHER</v>
      </c>
      <c r="E42" s="11" t="str">
        <f>IFERROR(__xludf.DUMMYFUNCTION("""COMPUTED_VALUE"""),"REFERENCE")</f>
        <v>REFERENCE</v>
      </c>
      <c r="F42" s="11" t="str">
        <f>IFERROR(__xludf.DUMMYFUNCTION("""COMPUTED_VALUE"""),"Other")</f>
        <v>Other</v>
      </c>
      <c r="G42" s="11" t="b">
        <f>IFERROR(__xludf.DUMMYFUNCTION("""COMPUTED_VALUE"""),FALSE)</f>
        <v>0</v>
      </c>
      <c r="H42" s="11"/>
      <c r="I42" s="11">
        <f>IFERROR(__xludf.DUMMYFUNCTION("""COMPUTED_VALUE"""),1.0)</f>
        <v>1</v>
      </c>
      <c r="J42" s="11">
        <f>IFERROR(__xludf.DUMMYFUNCTION("""COMPUTED_VALUE"""),0.0)</f>
        <v>0</v>
      </c>
      <c r="K42" s="11">
        <f>IFERROR(__xludf.DUMMYFUNCTION("""COMPUTED_VALUE"""),0.0)</f>
        <v>0</v>
      </c>
    </row>
    <row r="43" ht="15.75" customHeight="1">
      <c r="A43" s="10" t="str">
        <f>IFERROR(__xludf.DUMMYFUNCTION("""COMPUTED_VALUE"""),"https://aimarketing-agency.com/")</f>
        <v>https://aimarketing-agency.com/</v>
      </c>
      <c r="B43" s="11"/>
      <c r="C43" s="10" t="str">
        <f>IFERROR(__xludf.DUMMYFUNCTION("""COMPUTED_VALUE"""),"aimarketing-agency.com")</f>
        <v>aimarketing-agency.com</v>
      </c>
      <c r="D43" s="11" t="str">
        <f>IFERROR(__xludf.DUMMYFUNCTION("""COMPUTED_VALUE"""),"OTHER")</f>
        <v>OTHER</v>
      </c>
      <c r="E43" s="11" t="str">
        <f>IFERROR(__xludf.DUMMYFUNCTION("""COMPUTED_VALUE"""),"OTHER")</f>
        <v>OTHER</v>
      </c>
      <c r="F43" s="11" t="str">
        <f>IFERROR(__xludf.DUMMYFUNCTION("""COMPUTED_VALUE"""),"Other")</f>
        <v>Other</v>
      </c>
      <c r="G43" s="11"/>
      <c r="H43" s="11" t="str">
        <f>IFERROR(__xludf.DUMMYFUNCTION("""COMPUTED_VALUE"""),"Unknown")</f>
        <v>Unknown</v>
      </c>
      <c r="I43" s="11">
        <f>IFERROR(__xludf.DUMMYFUNCTION("""COMPUTED_VALUE"""),1.0)</f>
        <v>1</v>
      </c>
      <c r="J43" s="11">
        <f>IFERROR(__xludf.DUMMYFUNCTION("""COMPUTED_VALUE"""),0.0)</f>
        <v>0</v>
      </c>
      <c r="K43" s="11">
        <f>IFERROR(__xludf.DUMMYFUNCTION("""COMPUTED_VALUE"""),0.0)</f>
        <v>0</v>
      </c>
    </row>
    <row r="44" ht="15.75" customHeight="1">
      <c r="A44" s="10" t="str">
        <f>IFERROR(__xludf.DUMMYFUNCTION("""COMPUTED_VALUE"""),"https://alicelabs.ai/en/insights/ai-consulting-pricing-2026")</f>
        <v>https://alicelabs.ai/en/insights/ai-consulting-pricing-2026</v>
      </c>
      <c r="B44" s="11" t="str">
        <f>IFERROR(__xludf.DUMMYFUNCTION("""COMPUTED_VALUE"""),"AI Consulting Pricing: Models, Rates &amp;amp; What to Expect in 2026")</f>
        <v>AI Consulting Pricing: Models, Rates &amp;amp; What to Expect in 2026</v>
      </c>
      <c r="C44" s="10" t="str">
        <f>IFERROR(__xludf.DUMMYFUNCTION("""COMPUTED_VALUE"""),"alicelabs.ai")</f>
        <v>alicelabs.ai</v>
      </c>
      <c r="D44" s="11" t="str">
        <f>IFERROR(__xludf.DUMMYFUNCTION("""COMPUTED_VALUE"""),"OTHER")</f>
        <v>OTHER</v>
      </c>
      <c r="E44" s="11" t="str">
        <f>IFERROR(__xludf.DUMMYFUNCTION("""COMPUTED_VALUE"""),"CORPORATE")</f>
        <v>CORPORATE</v>
      </c>
      <c r="F44" s="11" t="str">
        <f>IFERROR(__xludf.DUMMYFUNCTION("""COMPUTED_VALUE"""),"Other")</f>
        <v>Other</v>
      </c>
      <c r="G44" s="11" t="b">
        <f>IFERROR(__xludf.DUMMYFUNCTION("""COMPUTED_VALUE"""),FALSE)</f>
        <v>0</v>
      </c>
      <c r="H44" s="11" t="str">
        <f>IFERROR(__xludf.DUMMYFUNCTION("""COMPUTED_VALUE"""),"McKinsey, BCG, PwC, Measured")</f>
        <v>McKinsey, BCG, PwC, Measured</v>
      </c>
      <c r="I44" s="11">
        <f>IFERROR(__xludf.DUMMYFUNCTION("""COMPUTED_VALUE"""),1.0)</f>
        <v>1</v>
      </c>
      <c r="J44" s="11">
        <f>IFERROR(__xludf.DUMMYFUNCTION("""COMPUTED_VALUE"""),0.0)</f>
        <v>0</v>
      </c>
      <c r="K44" s="11">
        <f>IFERROR(__xludf.DUMMYFUNCTION("""COMPUTED_VALUE"""),1.0)</f>
        <v>1</v>
      </c>
    </row>
    <row r="45" ht="15.75" customHeight="1">
      <c r="A45" s="10" t="str">
        <f>IFERROR(__xludf.DUMMYFUNCTION("""COMPUTED_VALUE"""),"https://www.artefact.com/wp-content/uploads/2024/09/Artefact-Data-and-AI-Marketing-Report.pdf")</f>
        <v>https://www.artefact.com/wp-content/uploads/2024/09/Artefact-Data-and-AI-Marketing-Report.pdf</v>
      </c>
      <c r="B45" s="11"/>
      <c r="C45" s="10" t="str">
        <f>IFERROR(__xludf.DUMMYFUNCTION("""COMPUTED_VALUE"""),"artefact.com")</f>
        <v>artefact.com</v>
      </c>
      <c r="D45" s="11" t="str">
        <f>IFERROR(__xludf.DUMMYFUNCTION("""COMPUTED_VALUE"""),"OTHER")</f>
        <v>OTHER</v>
      </c>
      <c r="E45" s="11" t="str">
        <f>IFERROR(__xludf.DUMMYFUNCTION("""COMPUTED_VALUE"""),"COMPETITOR")</f>
        <v>COMPETITOR</v>
      </c>
      <c r="F45" s="11" t="str">
        <f>IFERROR(__xludf.DUMMYFUNCTION("""COMPUTED_VALUE"""),"Other")</f>
        <v>Other</v>
      </c>
      <c r="G45" s="11"/>
      <c r="H45" s="11" t="str">
        <f>IFERROR(__xludf.DUMMYFUNCTION("""COMPUTED_VALUE"""),"Unknown")</f>
        <v>Unknown</v>
      </c>
      <c r="I45" s="11">
        <f>IFERROR(__xludf.DUMMYFUNCTION("""COMPUTED_VALUE"""),1.0)</f>
        <v>1</v>
      </c>
      <c r="J45" s="11">
        <f>IFERROR(__xludf.DUMMYFUNCTION("""COMPUTED_VALUE"""),0.0)</f>
        <v>0</v>
      </c>
      <c r="K45" s="11">
        <f>IFERROR(__xludf.DUMMYFUNCTION("""COMPUTED_VALUE"""),1.0)</f>
        <v>1</v>
      </c>
    </row>
    <row r="46" ht="15.75" customHeight="1">
      <c r="A46" s="10" t="str">
        <f>IFERROR(__xludf.DUMMYFUNCTION("""COMPUTED_VALUE"""),"https://auradigitalmarketers.com/case-studies")</f>
        <v>https://auradigitalmarketers.com/case-studies</v>
      </c>
      <c r="B46" s="11"/>
      <c r="C46" s="10" t="str">
        <f>IFERROR(__xludf.DUMMYFUNCTION("""COMPUTED_VALUE"""),"auradigitalmarketers.com")</f>
        <v>auradigitalmarketers.com</v>
      </c>
      <c r="D46" s="11" t="str">
        <f>IFERROR(__xludf.DUMMYFUNCTION("""COMPUTED_VALUE"""),"OTHER")</f>
        <v>OTHER</v>
      </c>
      <c r="E46" s="11" t="str">
        <f>IFERROR(__xludf.DUMMYFUNCTION("""COMPUTED_VALUE"""),"CORPORATE")</f>
        <v>CORPORATE</v>
      </c>
      <c r="F46" s="11" t="str">
        <f>IFERROR(__xludf.DUMMYFUNCTION("""COMPUTED_VALUE"""),"Other")</f>
        <v>Other</v>
      </c>
      <c r="G46" s="11"/>
      <c r="H46" s="11" t="str">
        <f>IFERROR(__xludf.DUMMYFUNCTION("""COMPUTED_VALUE"""),"Unknown")</f>
        <v>Unknown</v>
      </c>
      <c r="I46" s="11">
        <f>IFERROR(__xludf.DUMMYFUNCTION("""COMPUTED_VALUE"""),1.0)</f>
        <v>1</v>
      </c>
      <c r="J46" s="11">
        <f>IFERROR(__xludf.DUMMYFUNCTION("""COMPUTED_VALUE"""),0.0)</f>
        <v>0</v>
      </c>
      <c r="K46" s="11">
        <f>IFERROR(__xludf.DUMMYFUNCTION("""COMPUTED_VALUE"""),0.0)</f>
        <v>0</v>
      </c>
    </row>
    <row r="47" ht="15.75" customHeight="1">
      <c r="A47" s="10" t="str">
        <f>IFERROR(__xludf.DUMMYFUNCTION("""COMPUTED_VALUE"""),"https://www.barchart.com/story/news/3274650/simpletiger-wins-a-spring-2026-clutch-global-award-for-seo-mobile-optimization#:~:text=Follow%20us%20on%20Google%20News.%20SimpleTiger%2C%20a,reviews%2C%20market%20presence%2C%20and%20proven%20industry%20experti"&amp;"se.")</f>
        <v>https://www.barchart.com/story/news/3274650/simpletiger-wins-a-spring-2026-clutch-global-award-for-seo-mobile-optimization#:~:text=Follow%20us%20on%20Google%20News.%20SimpleTiger%2C%20a,reviews%2C%20market%20presence%2C%20and%20proven%20industry%20expertise.</v>
      </c>
      <c r="B47" s="11" t="str">
        <f>IFERROR(__xludf.DUMMYFUNCTION("""COMPUTED_VALUE"""),"SimpleTiger Wins a Spring 2026 Clutch Global Award for SEO Mobile Optimization")</f>
        <v>SimpleTiger Wins a Spring 2026 Clutch Global Award for SEO Mobile Optimization</v>
      </c>
      <c r="C47" s="10" t="str">
        <f>IFERROR(__xludf.DUMMYFUNCTION("""COMPUTED_VALUE"""),"barchart.com")</f>
        <v>barchart.com</v>
      </c>
      <c r="D47" s="11" t="str">
        <f>IFERROR(__xludf.DUMMYFUNCTION("""COMPUTED_VALUE"""),"OTHER")</f>
        <v>OTHER</v>
      </c>
      <c r="E47" s="11" t="str">
        <f>IFERROR(__xludf.DUMMYFUNCTION("""COMPUTED_VALUE"""),"REFERENCE")</f>
        <v>REFERENCE</v>
      </c>
      <c r="F47" s="11" t="str">
        <f>IFERROR(__xludf.DUMMYFUNCTION("""COMPUTED_VALUE"""),"Other")</f>
        <v>Other</v>
      </c>
      <c r="G47" s="11" t="b">
        <f>IFERROR(__xludf.DUMMYFUNCTION("""COMPUTED_VALUE"""),FALSE)</f>
        <v>0</v>
      </c>
      <c r="H47" s="11" t="str">
        <f>IFERROR(__xludf.DUMMYFUNCTION("""COMPUTED_VALUE"""),"Momentum, Clutch")</f>
        <v>Momentum, Clutch</v>
      </c>
      <c r="I47" s="11">
        <f>IFERROR(__xludf.DUMMYFUNCTION("""COMPUTED_VALUE"""),1.0)</f>
        <v>1</v>
      </c>
      <c r="J47" s="11">
        <f>IFERROR(__xludf.DUMMYFUNCTION("""COMPUTED_VALUE"""),0.0)</f>
        <v>0</v>
      </c>
      <c r="K47" s="11">
        <f>IFERROR(__xludf.DUMMYFUNCTION("""COMPUTED_VALUE"""),2.0)</f>
        <v>2</v>
      </c>
    </row>
    <row r="48" ht="15.75" customHeight="1">
      <c r="A48" s="10" t="str">
        <f>IFERROR(__xludf.DUMMYFUNCTION("""COMPUTED_VALUE"""),"https://brillmedia.co/brill-media-advertising-platform/")</f>
        <v>https://brillmedia.co/brill-media-advertising-platform/</v>
      </c>
      <c r="B48" s="11" t="str">
        <f>IFERROR(__xludf.DUMMYFUNCTION("""COMPUTED_VALUE"""),"Brill Media Advertising Platform - Brill Media")</f>
        <v>Brill Media Advertising Platform - Brill Media</v>
      </c>
      <c r="C48" s="10" t="str">
        <f>IFERROR(__xludf.DUMMYFUNCTION("""COMPUTED_VALUE"""),"brillmedia.co")</f>
        <v>brillmedia.co</v>
      </c>
      <c r="D48" s="11" t="str">
        <f>IFERROR(__xludf.DUMMYFUNCTION("""COMPUTED_VALUE"""),"OTHER")</f>
        <v>OTHER</v>
      </c>
      <c r="E48" s="11" t="str">
        <f>IFERROR(__xludf.DUMMYFUNCTION("""COMPUTED_VALUE"""),"CORPORATE")</f>
        <v>CORPORATE</v>
      </c>
      <c r="F48" s="11" t="str">
        <f>IFERROR(__xludf.DUMMYFUNCTION("""COMPUTED_VALUE"""),"Other")</f>
        <v>Other</v>
      </c>
      <c r="G48" s="11" t="b">
        <f>IFERROR(__xludf.DUMMYFUNCTION("""COMPUTED_VALUE"""),FALSE)</f>
        <v>0</v>
      </c>
      <c r="H48" s="11"/>
      <c r="I48" s="11">
        <f>IFERROR(__xludf.DUMMYFUNCTION("""COMPUTED_VALUE"""),1.0)</f>
        <v>1</v>
      </c>
      <c r="J48" s="11">
        <f>IFERROR(__xludf.DUMMYFUNCTION("""COMPUTED_VALUE"""),0.0)</f>
        <v>0</v>
      </c>
      <c r="K48" s="11">
        <f>IFERROR(__xludf.DUMMYFUNCTION("""COMPUTED_VALUE"""),1.0)</f>
        <v>1</v>
      </c>
    </row>
    <row r="49" ht="15.75" customHeight="1">
      <c r="A49" s="10" t="str">
        <f>IFERROR(__xludf.DUMMYFUNCTION("""COMPUTED_VALUE"""),"https://byaries.com/services/ai-enablement-program-for-law-firm-marketing-teams/")</f>
        <v>https://byaries.com/services/ai-enablement-program-for-law-firm-marketing-teams/</v>
      </c>
      <c r="B49" s="11" t="str">
        <f>IFERROR(__xludf.DUMMYFUNCTION("""COMPUTED_VALUE"""),"AI Training and Enablement for Law Firm Marketing Teams - By Aries")</f>
        <v>AI Training and Enablement for Law Firm Marketing Teams - By Aries</v>
      </c>
      <c r="C49" s="10" t="str">
        <f>IFERROR(__xludf.DUMMYFUNCTION("""COMPUTED_VALUE"""),"byaries.com")</f>
        <v>byaries.com</v>
      </c>
      <c r="D49" s="11" t="str">
        <f>IFERROR(__xludf.DUMMYFUNCTION("""COMPUTED_VALUE"""),"OTHER")</f>
        <v>OTHER</v>
      </c>
      <c r="E49" s="11" t="str">
        <f>IFERROR(__xludf.DUMMYFUNCTION("""COMPUTED_VALUE"""),"CORPORATE")</f>
        <v>CORPORATE</v>
      </c>
      <c r="F49" s="11" t="str">
        <f>IFERROR(__xludf.DUMMYFUNCTION("""COMPUTED_VALUE"""),"Other")</f>
        <v>Other</v>
      </c>
      <c r="G49" s="11" t="b">
        <f>IFERROR(__xludf.DUMMYFUNCTION("""COMPUTED_VALUE"""),FALSE)</f>
        <v>0</v>
      </c>
      <c r="H49" s="11"/>
      <c r="I49" s="11">
        <f>IFERROR(__xludf.DUMMYFUNCTION("""COMPUTED_VALUE"""),1.0)</f>
        <v>1</v>
      </c>
      <c r="J49" s="11">
        <f>IFERROR(__xludf.DUMMYFUNCTION("""COMPUTED_VALUE"""),0.0)</f>
        <v>0</v>
      </c>
      <c r="K49" s="11">
        <f>IFERROR(__xludf.DUMMYFUNCTION("""COMPUTED_VALUE"""),1.0)</f>
        <v>1</v>
      </c>
    </row>
    <row r="50" ht="15.75" customHeight="1">
      <c r="A50" s="10" t="str">
        <f>IFERROR(__xludf.DUMMYFUNCTION("""COMPUTED_VALUE"""),"https://www.capterra.com/services/marketing-analytics/l/us/")</f>
        <v>https://www.capterra.com/services/marketing-analytics/l/us/</v>
      </c>
      <c r="B50" s="11"/>
      <c r="C50" s="10" t="str">
        <f>IFERROR(__xludf.DUMMYFUNCTION("""COMPUTED_VALUE"""),"capterra.com")</f>
        <v>capterra.com</v>
      </c>
      <c r="D50" s="11" t="str">
        <f>IFERROR(__xludf.DUMMYFUNCTION("""COMPUTED_VALUE"""),"OTHER")</f>
        <v>OTHER</v>
      </c>
      <c r="E50" s="11" t="str">
        <f>IFERROR(__xludf.DUMMYFUNCTION("""COMPUTED_VALUE"""),"UGC")</f>
        <v>UGC</v>
      </c>
      <c r="F50" s="11" t="str">
        <f>IFERROR(__xludf.DUMMYFUNCTION("""COMPUTED_VALUE"""),"Other")</f>
        <v>Other</v>
      </c>
      <c r="G50" s="11"/>
      <c r="H50" s="11" t="str">
        <f>IFERROR(__xludf.DUMMYFUNCTION("""COMPUTED_VALUE"""),"Unknown")</f>
        <v>Unknown</v>
      </c>
      <c r="I50" s="11">
        <f>IFERROR(__xludf.DUMMYFUNCTION("""COMPUTED_VALUE"""),1.0)</f>
        <v>1</v>
      </c>
      <c r="J50" s="11">
        <f>IFERROR(__xludf.DUMMYFUNCTION("""COMPUTED_VALUE"""),0.0)</f>
        <v>0</v>
      </c>
      <c r="K50" s="11">
        <f>IFERROR(__xludf.DUMMYFUNCTION("""COMPUTED_VALUE"""),1.0)</f>
        <v>1</v>
      </c>
    </row>
    <row r="51" ht="15.75" customHeight="1">
      <c r="A51" s="10" t="str">
        <f>IFERROR(__xludf.DUMMYFUNCTION("""COMPUTED_VALUE"""),"https://www.cdw.com/content/cdw/en/articles/cloud/agentic-ai-readiness-checklist-for-google-cloud.html")</f>
        <v>https://www.cdw.com/content/cdw/en/articles/cloud/agentic-ai-readiness-checklist-for-google-cloud.html</v>
      </c>
      <c r="B51" s="11" t="str">
        <f>IFERROR(__xludf.DUMMYFUNCTION("""COMPUTED_VALUE"""),"Agentic AI Readiness Checklist for Google Cloud \| CDW")</f>
        <v>Agentic AI Readiness Checklist for Google Cloud \| CDW</v>
      </c>
      <c r="C51" s="10" t="str">
        <f>IFERROR(__xludf.DUMMYFUNCTION("""COMPUTED_VALUE"""),"cdw.com")</f>
        <v>cdw.com</v>
      </c>
      <c r="D51" s="11" t="str">
        <f>IFERROR(__xludf.DUMMYFUNCTION("""COMPUTED_VALUE"""),"OTHER")</f>
        <v>OTHER</v>
      </c>
      <c r="E51" s="11" t="str">
        <f>IFERROR(__xludf.DUMMYFUNCTION("""COMPUTED_VALUE"""),"CORPORATE")</f>
        <v>CORPORATE</v>
      </c>
      <c r="F51" s="11" t="str">
        <f>IFERROR(__xludf.DUMMYFUNCTION("""COMPUTED_VALUE"""),"Other")</f>
        <v>Other</v>
      </c>
      <c r="G51" s="11" t="b">
        <f>IFERROR(__xludf.DUMMYFUNCTION("""COMPUTED_VALUE"""),FALSE)</f>
        <v>0</v>
      </c>
      <c r="H51" s="11"/>
      <c r="I51" s="11">
        <f>IFERROR(__xludf.DUMMYFUNCTION("""COMPUTED_VALUE"""),1.0)</f>
        <v>1</v>
      </c>
      <c r="J51" s="11">
        <f>IFERROR(__xludf.DUMMYFUNCTION("""COMPUTED_VALUE"""),0.0)</f>
        <v>0</v>
      </c>
      <c r="K51" s="11">
        <f>IFERROR(__xludf.DUMMYFUNCTION("""COMPUTED_VALUE"""),1.0)</f>
        <v>1</v>
      </c>
    </row>
    <row r="52" ht="15.75" customHeight="1">
      <c r="A52" s="10" t="str">
        <f>IFERROR(__xludf.DUMMYFUNCTION("""COMPUTED_VALUE"""),"https://www.chiefoutsiders.com/ai-assessment")</f>
        <v>https://www.chiefoutsiders.com/ai-assessment</v>
      </c>
      <c r="B52" s="11" t="str">
        <f>IFERROR(__xludf.DUMMYFUNCTION("""COMPUTED_VALUE"""),"RISE AI Readiness Assessment")</f>
        <v>RISE AI Readiness Assessment</v>
      </c>
      <c r="C52" s="10" t="str">
        <f>IFERROR(__xludf.DUMMYFUNCTION("""COMPUTED_VALUE"""),"chiefoutsiders.com")</f>
        <v>chiefoutsiders.com</v>
      </c>
      <c r="D52" s="11" t="str">
        <f>IFERROR(__xludf.DUMMYFUNCTION("""COMPUTED_VALUE"""),"OTHER")</f>
        <v>OTHER</v>
      </c>
      <c r="E52" s="11" t="str">
        <f>IFERROR(__xludf.DUMMYFUNCTION("""COMPUTED_VALUE"""),"CORPORATE")</f>
        <v>CORPORATE</v>
      </c>
      <c r="F52" s="11" t="str">
        <f>IFERROR(__xludf.DUMMYFUNCTION("""COMPUTED_VALUE"""),"Other")</f>
        <v>Other</v>
      </c>
      <c r="G52" s="11" t="b">
        <f>IFERROR(__xludf.DUMMYFUNCTION("""COMPUTED_VALUE"""),FALSE)</f>
        <v>0</v>
      </c>
      <c r="H52" s="11"/>
      <c r="I52" s="11">
        <f>IFERROR(__xludf.DUMMYFUNCTION("""COMPUTED_VALUE"""),1.0)</f>
        <v>1</v>
      </c>
      <c r="J52" s="11">
        <f>IFERROR(__xludf.DUMMYFUNCTION("""COMPUTED_VALUE"""),0.0)</f>
        <v>0</v>
      </c>
      <c r="K52" s="11">
        <f>IFERROR(__xludf.DUMMYFUNCTION("""COMPUTED_VALUE"""),1.0)</f>
        <v>1</v>
      </c>
    </row>
    <row r="53" ht="15.75" customHeight="1">
      <c r="A53" s="10" t="str">
        <f>IFERROR(__xludf.DUMMYFUNCTION("""COMPUTED_VALUE"""),"https://www.ciocoverage.com/top-10-leading-google-partners-to-watch-in-2022/")</f>
        <v>https://www.ciocoverage.com/top-10-leading-google-partners-to-watch-in-2022/</v>
      </c>
      <c r="B53" s="11" t="str">
        <f>IFERROR(__xludf.DUMMYFUNCTION("""COMPUTED_VALUE"""),"Top 10 Leading Google Partners to Watch in 2022 – CIOCoverage- Driven for Technology Leaders")</f>
        <v>Top 10 Leading Google Partners to Watch in 2022 – CIOCoverage- Driven for Technology Leaders</v>
      </c>
      <c r="C53" s="10" t="str">
        <f>IFERROR(__xludf.DUMMYFUNCTION("""COMPUTED_VALUE"""),"ciocoverage.com")</f>
        <v>ciocoverage.com</v>
      </c>
      <c r="D53" s="11" t="str">
        <f>IFERROR(__xludf.DUMMYFUNCTION("""COMPUTED_VALUE"""),"OTHER")</f>
        <v>OTHER</v>
      </c>
      <c r="E53" s="11" t="str">
        <f>IFERROR(__xludf.DUMMYFUNCTION("""COMPUTED_VALUE"""),"EDITORIAL")</f>
        <v>EDITORIAL</v>
      </c>
      <c r="F53" s="11" t="str">
        <f>IFERROR(__xludf.DUMMYFUNCTION("""COMPUTED_VALUE"""),"Other")</f>
        <v>Other</v>
      </c>
      <c r="G53" s="11" t="b">
        <f>IFERROR(__xludf.DUMMYFUNCTION("""COMPUTED_VALUE"""),FALSE)</f>
        <v>0</v>
      </c>
      <c r="H53" s="11" t="str">
        <f>IFERROR(__xludf.DUMMYFUNCTION("""COMPUTED_VALUE"""),"Adswerve, Bounteous")</f>
        <v>Adswerve, Bounteous</v>
      </c>
      <c r="I53" s="11">
        <f>IFERROR(__xludf.DUMMYFUNCTION("""COMPUTED_VALUE"""),1.0)</f>
        <v>1</v>
      </c>
      <c r="J53" s="11">
        <f>IFERROR(__xludf.DUMMYFUNCTION("""COMPUTED_VALUE"""),0.0)</f>
        <v>0</v>
      </c>
      <c r="K53" s="11">
        <f>IFERROR(__xludf.DUMMYFUNCTION("""COMPUTED_VALUE"""),1.0)</f>
        <v>1</v>
      </c>
    </row>
    <row r="54" ht="15.75" customHeight="1">
      <c r="A54" s="10" t="str">
        <f>IFERROR(__xludf.DUMMYFUNCTION("""COMPUTED_VALUE"""),"https://claritydigital.agency/services/ai-marketing-enablement/ai-marketing-strategy")</f>
        <v>https://claritydigital.agency/services/ai-marketing-enablement/ai-marketing-strategy</v>
      </c>
      <c r="B54" s="11"/>
      <c r="C54" s="11" t="str">
        <f>IFERROR(__xludf.DUMMYFUNCTION("""COMPUTED_VALUE"""),"claritydigital.agency")</f>
        <v>claritydigital.agency</v>
      </c>
      <c r="D54" s="11" t="str">
        <f>IFERROR(__xludf.DUMMYFUNCTION("""COMPUTED_VALUE"""),"OTHER")</f>
        <v>OTHER</v>
      </c>
      <c r="E54" s="11" t="str">
        <f>IFERROR(__xludf.DUMMYFUNCTION("""COMPUTED_VALUE"""),"CORPORATE")</f>
        <v>CORPORATE</v>
      </c>
      <c r="F54" s="11" t="str">
        <f>IFERROR(__xludf.DUMMYFUNCTION("""COMPUTED_VALUE"""),"Other")</f>
        <v>Other</v>
      </c>
      <c r="G54" s="11"/>
      <c r="H54" s="11" t="str">
        <f>IFERROR(__xludf.DUMMYFUNCTION("""COMPUTED_VALUE"""),"Unknown")</f>
        <v>Unknown</v>
      </c>
      <c r="I54" s="11">
        <f>IFERROR(__xludf.DUMMYFUNCTION("""COMPUTED_VALUE"""),1.0)</f>
        <v>1</v>
      </c>
      <c r="J54" s="11">
        <f>IFERROR(__xludf.DUMMYFUNCTION("""COMPUTED_VALUE"""),0.0)</f>
        <v>0</v>
      </c>
      <c r="K54" s="11">
        <f>IFERROR(__xludf.DUMMYFUNCTION("""COMPUTED_VALUE"""),0.0)</f>
        <v>0</v>
      </c>
    </row>
    <row r="55" ht="15.75" customHeight="1">
      <c r="A55" s="10" t="str">
        <f>IFERROR(__xludf.DUMMYFUNCTION("""COMPUTED_VALUE"""),"https://cloud.google.com/customers/jellyfish2")</f>
        <v>https://cloud.google.com/customers/jellyfish2</v>
      </c>
      <c r="B55" s="11" t="str">
        <f>IFERROR(__xludf.DUMMYFUNCTION("""COMPUTED_VALUE"""),"Jellyfish Case Study  \|  Google Cloud")</f>
        <v>Jellyfish Case Study  \|  Google Cloud</v>
      </c>
      <c r="C55" s="10" t="str">
        <f>IFERROR(__xludf.DUMMYFUNCTION("""COMPUTED_VALUE"""),"google.com")</f>
        <v>google.com</v>
      </c>
      <c r="D55" s="11" t="str">
        <f>IFERROR(__xludf.DUMMYFUNCTION("""COMPUTED_VALUE"""),"OTHER")</f>
        <v>OTHER</v>
      </c>
      <c r="E55" s="11" t="str">
        <f>IFERROR(__xludf.DUMMYFUNCTION("""COMPUTED_VALUE"""),"OTHER")</f>
        <v>OTHER</v>
      </c>
      <c r="F55" s="11" t="str">
        <f>IFERROR(__xludf.DUMMYFUNCTION("""COMPUTED_VALUE"""),"Other")</f>
        <v>Other</v>
      </c>
      <c r="G55" s="11" t="b">
        <f>IFERROR(__xludf.DUMMYFUNCTION("""COMPUTED_VALUE"""),FALSE)</f>
        <v>0</v>
      </c>
      <c r="H55" s="11" t="str">
        <f>IFERROR(__xludf.DUMMYFUNCTION("""COMPUTED_VALUE"""),"Jellyfish")</f>
        <v>Jellyfish</v>
      </c>
      <c r="I55" s="11">
        <f>IFERROR(__xludf.DUMMYFUNCTION("""COMPUTED_VALUE"""),1.0)</f>
        <v>1</v>
      </c>
      <c r="J55" s="11">
        <f>IFERROR(__xludf.DUMMYFUNCTION("""COMPUTED_VALUE"""),0.0)</f>
        <v>0</v>
      </c>
      <c r="K55" s="11">
        <f>IFERROR(__xludf.DUMMYFUNCTION("""COMPUTED_VALUE"""),1.0)</f>
        <v>1</v>
      </c>
    </row>
    <row r="56" ht="15.75" customHeight="1">
      <c r="A56" s="10" t="str">
        <f>IFERROR(__xludf.DUMMYFUNCTION("""COMPUTED_VALUE"""),"https://clutch.co/us/agencies/digital-marketing/small-business#:~:text=%2410%2C000%2B%20250%20%2D%20999.%20San%20Diego%2C%20CA.,execution%2C%20strong%20communication%2C%20and%20impressive%20project%20management.")</f>
        <v>https://clutch.co/us/agencies/digital-marketing/small-business#:~:text=%2410%2C000%2B%20250%20%2D%20999.%20San%20Diego%2C%20CA.,execution%2C%20strong%20communication%2C%20and%20impressive%20project%20management.</v>
      </c>
      <c r="B56" s="11" t="str">
        <f>IFERROR(__xludf.DUMMYFUNCTION("""COMPUTED_VALUE"""),"Top Digital Marketing Agencies for Small Business in the United States - Jul 2026 Rankings \| Clutch.co")</f>
        <v>Top Digital Marketing Agencies for Small Business in the United States - Jul 2026 Rankings \| Clutch.co</v>
      </c>
      <c r="C56" s="10" t="str">
        <f>IFERROR(__xludf.DUMMYFUNCTION("""COMPUTED_VALUE"""),"clutch.co")</f>
        <v>clutch.co</v>
      </c>
      <c r="D56" s="11" t="str">
        <f>IFERROR(__xludf.DUMMYFUNCTION("""COMPUTED_VALUE"""),"OTHER")</f>
        <v>OTHER</v>
      </c>
      <c r="E56" s="11" t="str">
        <f>IFERROR(__xludf.DUMMYFUNCTION("""COMPUTED_VALUE"""),"COMPETITOR")</f>
        <v>COMPETITOR</v>
      </c>
      <c r="F56" s="11" t="str">
        <f>IFERROR(__xludf.DUMMYFUNCTION("""COMPUTED_VALUE"""),"Other")</f>
        <v>Other</v>
      </c>
      <c r="G56" s="11" t="b">
        <f>IFERROR(__xludf.DUMMYFUNCTION("""COMPUTED_VALUE"""),FALSE)</f>
        <v>0</v>
      </c>
      <c r="H56" s="11" t="str">
        <f>IFERROR(__xludf.DUMMYFUNCTION("""COMPUTED_VALUE"""),"Clutch, Thrive Internet Marketing Agency, Intero Digital, Disruptive Advertising, Ignite Visibility, Elit-Web, NinjaPromo, SmartSites, HawkSEM, Acadia")</f>
        <v>Clutch, Thrive Internet Marketing Agency, Intero Digital, Disruptive Advertising, Ignite Visibility, Elit-Web, NinjaPromo, SmartSites, HawkSEM, Acadia</v>
      </c>
      <c r="I56" s="11">
        <f>IFERROR(__xludf.DUMMYFUNCTION("""COMPUTED_VALUE"""),1.0)</f>
        <v>1</v>
      </c>
      <c r="J56" s="11">
        <f>IFERROR(__xludf.DUMMYFUNCTION("""COMPUTED_VALUE"""),0.0)</f>
        <v>0</v>
      </c>
      <c r="K56" s="11">
        <f>IFERROR(__xludf.DUMMYFUNCTION("""COMPUTED_VALUE"""),1.0)</f>
        <v>1</v>
      </c>
    </row>
    <row r="57" ht="15.75" customHeight="1">
      <c r="A57" s="10" t="str">
        <f>IFERROR(__xludf.DUMMYFUNCTION("""COMPUTED_VALUE"""),"https://clutch.co/us/agencies/ppc/display?page=10")</f>
        <v>https://clutch.co/us/agencies/ppc/display?page=10</v>
      </c>
      <c r="B57" s="11" t="str">
        <f>IFERROR(__xludf.DUMMYFUNCTION("""COMPUTED_VALUE"""),"Page 10 - Top Display Advertising Agencies in the United States - Jul 2026 Rankings | Clutch.co")</f>
        <v>Page 10 - Top Display Advertising Agencies in the United States - Jul 2026 Rankings | Clutch.co</v>
      </c>
      <c r="C57" s="10" t="str">
        <f>IFERROR(__xludf.DUMMYFUNCTION("""COMPUTED_VALUE"""),"clutch.co")</f>
        <v>clutch.co</v>
      </c>
      <c r="D57" s="11" t="str">
        <f>IFERROR(__xludf.DUMMYFUNCTION("""COMPUTED_VALUE"""),"OTHER")</f>
        <v>OTHER</v>
      </c>
      <c r="E57" s="11" t="str">
        <f>IFERROR(__xludf.DUMMYFUNCTION("""COMPUTED_VALUE"""),"COMPETITOR")</f>
        <v>COMPETITOR</v>
      </c>
      <c r="F57" s="11" t="str">
        <f>IFERROR(__xludf.DUMMYFUNCTION("""COMPUTED_VALUE"""),"Other")</f>
        <v>Other</v>
      </c>
      <c r="G57" s="11" t="b">
        <f>IFERROR(__xludf.DUMMYFUNCTION("""COMPUTED_VALUE"""),FALSE)</f>
        <v>0</v>
      </c>
      <c r="H57" s="11" t="str">
        <f>IFERROR(__xludf.DUMMYFUNCTION("""COMPUTED_VALUE"""),"Clutch, Elit-Web, AdVenture Media, Go Fish Digital, Storm Brain, NoGood, Tinuiti")</f>
        <v>Clutch, Elit-Web, AdVenture Media, Go Fish Digital, Storm Brain, NoGood, Tinuiti</v>
      </c>
      <c r="I57" s="11">
        <f>IFERROR(__xludf.DUMMYFUNCTION("""COMPUTED_VALUE"""),1.0)</f>
        <v>1</v>
      </c>
      <c r="J57" s="11">
        <f>IFERROR(__xludf.DUMMYFUNCTION("""COMPUTED_VALUE"""),0.0)</f>
        <v>0</v>
      </c>
      <c r="K57" s="11">
        <f>IFERROR(__xludf.DUMMYFUNCTION("""COMPUTED_VALUE"""),0.0)</f>
        <v>0</v>
      </c>
    </row>
    <row r="58" ht="15.75" customHeight="1">
      <c r="A58" s="10" t="str">
        <f>IFERROR(__xludf.DUMMYFUNCTION("""COMPUTED_VALUE"""),"https://www.cmswire.com/digital-marketing/before-you-buy-the-marketing-agent-build-the-martech-foundation/")</f>
        <v>https://www.cmswire.com/digital-marketing/before-you-buy-the-marketing-agent-build-the-martech-foundation/</v>
      </c>
      <c r="B58" s="11" t="str">
        <f>IFERROR(__xludf.DUMMYFUNCTION("""COMPUTED_VALUE"""),"AI Agents vs. Marketing Readiness: Gartner Recap")</f>
        <v>AI Agents vs. Marketing Readiness: Gartner Recap</v>
      </c>
      <c r="C58" s="10" t="str">
        <f>IFERROR(__xludf.DUMMYFUNCTION("""COMPUTED_VALUE"""),"cmswire.com")</f>
        <v>cmswire.com</v>
      </c>
      <c r="D58" s="11" t="str">
        <f>IFERROR(__xludf.DUMMYFUNCTION("""COMPUTED_VALUE"""),"OTHER")</f>
        <v>OTHER</v>
      </c>
      <c r="E58" s="11" t="str">
        <f>IFERROR(__xludf.DUMMYFUNCTION("""COMPUTED_VALUE"""),"UGC")</f>
        <v>UGC</v>
      </c>
      <c r="F58" s="11" t="str">
        <f>IFERROR(__xludf.DUMMYFUNCTION("""COMPUTED_VALUE"""),"Other")</f>
        <v>Other</v>
      </c>
      <c r="G58" s="11" t="b">
        <f>IFERROR(__xludf.DUMMYFUNCTION("""COMPUTED_VALUE"""),FALSE)</f>
        <v>0</v>
      </c>
      <c r="H58" s="11" t="str">
        <f>IFERROR(__xludf.DUMMYFUNCTION("""COMPUTED_VALUE"""),"McKinsey, QuantumBlack")</f>
        <v>McKinsey, QuantumBlack</v>
      </c>
      <c r="I58" s="11">
        <f>IFERROR(__xludf.DUMMYFUNCTION("""COMPUTED_VALUE"""),1.0)</f>
        <v>1</v>
      </c>
      <c r="J58" s="11">
        <f>IFERROR(__xludf.DUMMYFUNCTION("""COMPUTED_VALUE"""),0.0)</f>
        <v>0</v>
      </c>
      <c r="K58" s="11">
        <f>IFERROR(__xludf.DUMMYFUNCTION("""COMPUTED_VALUE"""),1.0)</f>
        <v>1</v>
      </c>
    </row>
    <row r="59" ht="15.75" customHeight="1">
      <c r="A59" s="10" t="str">
        <f>IFERROR(__xludf.DUMMYFUNCTION("""COMPUTED_VALUE"""),"https://coalitiontechnologies.com/ai-seo-company#:~:text=An%20AI%20SEO%20agency%20gets%20a%20brand,website%20and%20wider%20online%20footprint%20to%20match.")</f>
        <v>https://coalitiontechnologies.com/ai-seo-company#:~:text=An%20AI%20SEO%20agency%20gets%20a%20brand,website%20and%20wider%20online%20footprint%20to%20match.</v>
      </c>
      <c r="B59" s="11" t="str">
        <f>IFERROR(__xludf.DUMMYFUNCTION("""COMPUTED_VALUE"""),"Rank in ChatGPT and AI Overviews with AI SEO | Coalition Technologies")</f>
        <v>Rank in ChatGPT and AI Overviews with AI SEO | Coalition Technologies</v>
      </c>
      <c r="C59" s="10" t="str">
        <f>IFERROR(__xludf.DUMMYFUNCTION("""COMPUTED_VALUE"""),"coalitiontechnologies.com")</f>
        <v>coalitiontechnologies.com</v>
      </c>
      <c r="D59" s="11" t="str">
        <f>IFERROR(__xludf.DUMMYFUNCTION("""COMPUTED_VALUE"""),"OTHER")</f>
        <v>OTHER</v>
      </c>
      <c r="E59" s="11" t="str">
        <f>IFERROR(__xludf.DUMMYFUNCTION("""COMPUTED_VALUE"""),"CORPORATE")</f>
        <v>CORPORATE</v>
      </c>
      <c r="F59" s="11" t="str">
        <f>IFERROR(__xludf.DUMMYFUNCTION("""COMPUTED_VALUE"""),"Other")</f>
        <v>Other</v>
      </c>
      <c r="G59" s="11" t="b">
        <f>IFERROR(__xludf.DUMMYFUNCTION("""COMPUTED_VALUE"""),FALSE)</f>
        <v>0</v>
      </c>
      <c r="H59" s="11" t="str">
        <f>IFERROR(__xludf.DUMMYFUNCTION("""COMPUTED_VALUE"""),"Clutch")</f>
        <v>Clutch</v>
      </c>
      <c r="I59" s="11">
        <f>IFERROR(__xludf.DUMMYFUNCTION("""COMPUTED_VALUE"""),1.0)</f>
        <v>1</v>
      </c>
      <c r="J59" s="11">
        <f>IFERROR(__xludf.DUMMYFUNCTION("""COMPUTED_VALUE"""),0.0)</f>
        <v>0</v>
      </c>
      <c r="K59" s="11">
        <f>IFERROR(__xludf.DUMMYFUNCTION("""COMPUTED_VALUE"""),1.0)</f>
        <v>1</v>
      </c>
    </row>
    <row r="60" ht="15.75" customHeight="1">
      <c r="A60" s="10" t="str">
        <f>IFERROR(__xludf.DUMMYFUNCTION("""COMPUTED_VALUE"""),"https://contently.com/2025/07/17/top-10-agencies-leading-answer-engine-optimization-aeo-in-2025/#:~:text=New%2DYork%2Dbased%20NoGood%20launched%20a%20stand%2Dalone%20Answer%20Engine,AI%2Dsearch%20wins%20for%20fintech%20and%20health%2Dcare%20clients.")</f>
        <v>https://contently.com/2025/07/17/top-10-agencies-leading-answer-engine-optimization-aeo-in-2025/#:~:text=New%2DYork%2Dbased%20NoGood%20launched%20a%20stand%2Dalone%20Answer%20Engine,AI%2Dsearch%20wins%20for%20fintech%20and%20health%2Dcare%20clients.</v>
      </c>
      <c r="B60" s="11" t="str">
        <f>IFERROR(__xludf.DUMMYFUNCTION("""COMPUTED_VALUE"""),"Top 10 Agencies Leading Answer Engine Optimization (AEO) in 2025 - Contently")</f>
        <v>Top 10 Agencies Leading Answer Engine Optimization (AEO) in 2025 - Contently</v>
      </c>
      <c r="C60" s="10" t="str">
        <f>IFERROR(__xludf.DUMMYFUNCTION("""COMPUTED_VALUE"""),"contently.com")</f>
        <v>contently.com</v>
      </c>
      <c r="D60" s="11" t="str">
        <f>IFERROR(__xludf.DUMMYFUNCTION("""COMPUTED_VALUE"""),"OTHER")</f>
        <v>OTHER</v>
      </c>
      <c r="E60" s="11" t="str">
        <f>IFERROR(__xludf.DUMMYFUNCTION("""COMPUTED_VALUE"""),"CORPORATE")</f>
        <v>CORPORATE</v>
      </c>
      <c r="F60" s="11" t="str">
        <f>IFERROR(__xludf.DUMMYFUNCTION("""COMPUTED_VALUE"""),"Other")</f>
        <v>Other</v>
      </c>
      <c r="G60" s="11" t="b">
        <f>IFERROR(__xludf.DUMMYFUNCTION("""COMPUTED_VALUE"""),FALSE)</f>
        <v>0</v>
      </c>
      <c r="H60" s="11" t="str">
        <f>IFERROR(__xludf.DUMMYFUNCTION("""COMPUTED_VALUE"""),"NoGood, Brainlabs, NP Digital, Single Grain")</f>
        <v>NoGood, Brainlabs, NP Digital, Single Grain</v>
      </c>
      <c r="I60" s="11">
        <f>IFERROR(__xludf.DUMMYFUNCTION("""COMPUTED_VALUE"""),1.0)</f>
        <v>1</v>
      </c>
      <c r="J60" s="11">
        <f>IFERROR(__xludf.DUMMYFUNCTION("""COMPUTED_VALUE"""),0.0)</f>
        <v>0</v>
      </c>
      <c r="K60" s="11">
        <f>IFERROR(__xludf.DUMMYFUNCTION("""COMPUTED_VALUE"""),1.0)</f>
        <v>1</v>
      </c>
    </row>
    <row r="61" ht="15.75" customHeight="1">
      <c r="A61" s="10" t="str">
        <f>IFERROR(__xludf.DUMMYFUNCTION("""COMPUTED_VALUE"""),"https://createscale.com/production")</f>
        <v>https://createscale.com/production</v>
      </c>
      <c r="B61" s="11"/>
      <c r="C61" s="10" t="str">
        <f>IFERROR(__xludf.DUMMYFUNCTION("""COMPUTED_VALUE"""),"createscale.com")</f>
        <v>createscale.com</v>
      </c>
      <c r="D61" s="11" t="str">
        <f>IFERROR(__xludf.DUMMYFUNCTION("""COMPUTED_VALUE"""),"OTHER")</f>
        <v>OTHER</v>
      </c>
      <c r="E61" s="11" t="str">
        <f>IFERROR(__xludf.DUMMYFUNCTION("""COMPUTED_VALUE"""),"CORPORATE")</f>
        <v>CORPORATE</v>
      </c>
      <c r="F61" s="11" t="str">
        <f>IFERROR(__xludf.DUMMYFUNCTION("""COMPUTED_VALUE"""),"Other")</f>
        <v>Other</v>
      </c>
      <c r="G61" s="11"/>
      <c r="H61" s="11" t="str">
        <f>IFERROR(__xludf.DUMMYFUNCTION("""COMPUTED_VALUE"""),"Unknown")</f>
        <v>Unknown</v>
      </c>
      <c r="I61" s="11">
        <f>IFERROR(__xludf.DUMMYFUNCTION("""COMPUTED_VALUE"""),1.0)</f>
        <v>1</v>
      </c>
      <c r="J61" s="11">
        <f>IFERROR(__xludf.DUMMYFUNCTION("""COMPUTED_VALUE"""),0.0)</f>
        <v>0</v>
      </c>
      <c r="K61" s="11">
        <f>IFERROR(__xludf.DUMMYFUNCTION("""COMPUTED_VALUE"""),0.0)</f>
        <v>0</v>
      </c>
    </row>
    <row r="62" ht="15.75" customHeight="1">
      <c r="A62" s="10" t="str">
        <f>IFERROR(__xludf.DUMMYFUNCTION("""COMPUTED_VALUE"""),"https://www.customssupport.com/solutions/trade-customs-accreditation/aeo-certification/#:~:text=Absolutely.%20AEO%20certification%20solidifies%20your%20status%20as,certification%20is%20a%20relevant%20option%20for%20you.")</f>
        <v>https://www.customssupport.com/solutions/trade-customs-accreditation/aeo-certification/#:~:text=Absolutely.%20AEO%20certification%20solidifies%20your%20status%20as,certification%20is%20a%20relevant%20option%20for%20you.</v>
      </c>
      <c r="B62" s="11" t="str">
        <f>IFERROR(__xludf.DUMMYFUNCTION("""COMPUTED_VALUE"""),"Authorised Economic Operator AEO Certification I CSG")</f>
        <v>Authorised Economic Operator AEO Certification I CSG</v>
      </c>
      <c r="C62" s="10" t="str">
        <f>IFERROR(__xludf.DUMMYFUNCTION("""COMPUTED_VALUE"""),"customssupport.com")</f>
        <v>customssupport.com</v>
      </c>
      <c r="D62" s="11" t="str">
        <f>IFERROR(__xludf.DUMMYFUNCTION("""COMPUTED_VALUE"""),"OTHER")</f>
        <v>OTHER</v>
      </c>
      <c r="E62" s="11" t="str">
        <f>IFERROR(__xludf.DUMMYFUNCTION("""COMPUTED_VALUE"""),"CORPORATE")</f>
        <v>CORPORATE</v>
      </c>
      <c r="F62" s="11" t="str">
        <f>IFERROR(__xludf.DUMMYFUNCTION("""COMPUTED_VALUE"""),"Other")</f>
        <v>Other</v>
      </c>
      <c r="G62" s="11" t="b">
        <f>IFERROR(__xludf.DUMMYFUNCTION("""COMPUTED_VALUE"""),FALSE)</f>
        <v>0</v>
      </c>
      <c r="H62" s="11"/>
      <c r="I62" s="11">
        <f>IFERROR(__xludf.DUMMYFUNCTION("""COMPUTED_VALUE"""),1.0)</f>
        <v>1</v>
      </c>
      <c r="J62" s="11">
        <f>IFERROR(__xludf.DUMMYFUNCTION("""COMPUTED_VALUE"""),0.0)</f>
        <v>0</v>
      </c>
      <c r="K62" s="11">
        <f>IFERROR(__xludf.DUMMYFUNCTION("""COMPUTED_VALUE"""),2.0)</f>
        <v>2</v>
      </c>
    </row>
    <row r="63" ht="15.75" customHeight="1">
      <c r="A63" s="10" t="str">
        <f>IFERROR(__xludf.DUMMYFUNCTION("""COMPUTED_VALUE"""),"https://dashboard.incrmntal.net/")</f>
        <v>https://dashboard.incrmntal.net/</v>
      </c>
      <c r="B63" s="11"/>
      <c r="C63" s="10" t="str">
        <f>IFERROR(__xludf.DUMMYFUNCTION("""COMPUTED_VALUE"""),"incrmntal.net")</f>
        <v>incrmntal.net</v>
      </c>
      <c r="D63" s="11" t="str">
        <f>IFERROR(__xludf.DUMMYFUNCTION("""COMPUTED_VALUE"""),"OTHER")</f>
        <v>OTHER</v>
      </c>
      <c r="E63" s="11" t="str">
        <f>IFERROR(__xludf.DUMMYFUNCTION("""COMPUTED_VALUE"""),"OTHER")</f>
        <v>OTHER</v>
      </c>
      <c r="F63" s="11" t="str">
        <f>IFERROR(__xludf.DUMMYFUNCTION("""COMPUTED_VALUE"""),"Other")</f>
        <v>Other</v>
      </c>
      <c r="G63" s="11"/>
      <c r="H63" s="11" t="str">
        <f>IFERROR(__xludf.DUMMYFUNCTION("""COMPUTED_VALUE"""),"Unknown")</f>
        <v>Unknown</v>
      </c>
      <c r="I63" s="11">
        <f>IFERROR(__xludf.DUMMYFUNCTION("""COMPUTED_VALUE"""),1.0)</f>
        <v>1</v>
      </c>
      <c r="J63" s="11">
        <f>IFERROR(__xludf.DUMMYFUNCTION("""COMPUTED_VALUE"""),0.0)</f>
        <v>0</v>
      </c>
      <c r="K63" s="11">
        <f>IFERROR(__xludf.DUMMYFUNCTION("""COMPUTED_VALUE"""),1.0)</f>
        <v>1</v>
      </c>
    </row>
    <row r="64" ht="15.75" customHeight="1">
      <c r="A64" s="10" t="str">
        <f>IFERROR(__xludf.DUMMYFUNCTION("""COMPUTED_VALUE"""),"https://diginsights.com/resources/market-research-companies-us-2025/#:~:text=Whether%20you're%20mapping%20a,what%20really%20sets%20us%20apart%3F")</f>
        <v>https://diginsights.com/resources/market-research-companies-us-2025/#:~:text=Whether%20you're%20mapping%20a,what%20really%20sets%20us%20apart%3F</v>
      </c>
      <c r="B64" s="11"/>
      <c r="C64" s="10" t="str">
        <f>IFERROR(__xludf.DUMMYFUNCTION("""COMPUTED_VALUE"""),"diginsights.com")</f>
        <v>diginsights.com</v>
      </c>
      <c r="D64" s="11" t="str">
        <f>IFERROR(__xludf.DUMMYFUNCTION("""COMPUTED_VALUE"""),"OTHER")</f>
        <v>OTHER</v>
      </c>
      <c r="E64" s="11" t="str">
        <f>IFERROR(__xludf.DUMMYFUNCTION("""COMPUTED_VALUE"""),"CORPORATE")</f>
        <v>CORPORATE</v>
      </c>
      <c r="F64" s="11" t="str">
        <f>IFERROR(__xludf.DUMMYFUNCTION("""COMPUTED_VALUE"""),"Other")</f>
        <v>Other</v>
      </c>
      <c r="G64" s="11" t="b">
        <f>IFERROR(__xludf.DUMMYFUNCTION("""COMPUTED_VALUE"""),FALSE)</f>
        <v>0</v>
      </c>
      <c r="H64" s="11"/>
      <c r="I64" s="11">
        <f>IFERROR(__xludf.DUMMYFUNCTION("""COMPUTED_VALUE"""),1.0)</f>
        <v>1</v>
      </c>
      <c r="J64" s="11">
        <f>IFERROR(__xludf.DUMMYFUNCTION("""COMPUTED_VALUE"""),0.0)</f>
        <v>0</v>
      </c>
      <c r="K64" s="11">
        <f>IFERROR(__xludf.DUMMYFUNCTION("""COMPUTED_VALUE"""),1.0)</f>
        <v>1</v>
      </c>
    </row>
    <row r="65" ht="15.75" customHeight="1">
      <c r="A65" s="10" t="str">
        <f>IFERROR(__xludf.DUMMYFUNCTION("""COMPUTED_VALUE"""),"https://www.digitalapplied.com/blog/data-clean-rooms-advertising-2026-marketer-decision-guide")</f>
        <v>https://www.digitalapplied.com/blog/data-clean-rooms-advertising-2026-marketer-decision-guide</v>
      </c>
      <c r="B65" s="11" t="str">
        <f>IFERROR(__xludf.DUMMYFUNCTION("""COMPUTED_VALUE"""),"Data Clean Rooms in 2026: A Marketer's Decision Guide")</f>
        <v>Data Clean Rooms in 2026: A Marketer's Decision Guide</v>
      </c>
      <c r="C65" s="10" t="str">
        <f>IFERROR(__xludf.DUMMYFUNCTION("""COMPUTED_VALUE"""),"digitalapplied.com")</f>
        <v>digitalapplied.com</v>
      </c>
      <c r="D65" s="11" t="str">
        <f>IFERROR(__xludf.DUMMYFUNCTION("""COMPUTED_VALUE"""),"OTHER")</f>
        <v>OTHER</v>
      </c>
      <c r="E65" s="11" t="str">
        <f>IFERROR(__xludf.DUMMYFUNCTION("""COMPUTED_VALUE"""),"CORPORATE")</f>
        <v>CORPORATE</v>
      </c>
      <c r="F65" s="11" t="str">
        <f>IFERROR(__xludf.DUMMYFUNCTION("""COMPUTED_VALUE"""),"Other")</f>
        <v>Other</v>
      </c>
      <c r="G65" s="11" t="b">
        <f>IFERROR(__xludf.DUMMYFUNCTION("""COMPUTED_VALUE"""),FALSE)</f>
        <v>0</v>
      </c>
      <c r="H65" s="11" t="str">
        <f>IFERROR(__xludf.DUMMYFUNCTION("""COMPUTED_VALUE"""),"WPP, GroupM")</f>
        <v>WPP, GroupM</v>
      </c>
      <c r="I65" s="11">
        <f>IFERROR(__xludf.DUMMYFUNCTION("""COMPUTED_VALUE"""),1.0)</f>
        <v>1</v>
      </c>
      <c r="J65" s="11">
        <f>IFERROR(__xludf.DUMMYFUNCTION("""COMPUTED_VALUE"""),0.0)</f>
        <v>0</v>
      </c>
      <c r="K65" s="11">
        <f>IFERROR(__xludf.DUMMYFUNCTION("""COMPUTED_VALUE"""),0.0)</f>
        <v>0</v>
      </c>
    </row>
    <row r="66" ht="15.75" customHeight="1">
      <c r="A66" s="10" t="str">
        <f>IFERROR(__xludf.DUMMYFUNCTION("""COMPUTED_VALUE"""),"https://directiveconsulting.com/wp-content/uploads/2019/08/MediaKit.pdf")</f>
        <v>https://directiveconsulting.com/wp-content/uploads/2019/08/MediaKit.pdf</v>
      </c>
      <c r="B66" s="11"/>
      <c r="C66" s="10" t="str">
        <f>IFERROR(__xludf.DUMMYFUNCTION("""COMPUTED_VALUE"""),"directiveconsulting.com")</f>
        <v>directiveconsulting.com</v>
      </c>
      <c r="D66" s="11" t="str">
        <f>IFERROR(__xludf.DUMMYFUNCTION("""COMPUTED_VALUE"""),"OTHER")</f>
        <v>OTHER</v>
      </c>
      <c r="E66" s="11" t="str">
        <f>IFERROR(__xludf.DUMMYFUNCTION("""COMPUTED_VALUE"""),"COMPETITOR")</f>
        <v>COMPETITOR</v>
      </c>
      <c r="F66" s="11" t="str">
        <f>IFERROR(__xludf.DUMMYFUNCTION("""COMPUTED_VALUE"""),"Other")</f>
        <v>Other</v>
      </c>
      <c r="G66" s="11" t="b">
        <f>IFERROR(__xludf.DUMMYFUNCTION("""COMPUTED_VALUE"""),FALSE)</f>
        <v>0</v>
      </c>
      <c r="H66" s="11" t="str">
        <f>IFERROR(__xludf.DUMMYFUNCTION("""COMPUTED_VALUE"""),"Directive")</f>
        <v>Directive</v>
      </c>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IFERROR(__xludf.DUMMYFUNCTION("""COMPUTED_VALUE"""),"https://droga5.co.uk/people/")</f>
        <v>https://droga5.co.uk/people/</v>
      </c>
      <c r="B67" s="11"/>
      <c r="C67" s="10" t="str">
        <f>IFERROR(__xludf.DUMMYFUNCTION("""COMPUTED_VALUE"""),"droga5.co.uk")</f>
        <v>droga5.co.uk</v>
      </c>
      <c r="D67" s="11" t="str">
        <f>IFERROR(__xludf.DUMMYFUNCTION("""COMPUTED_VALUE"""),"OTHER")</f>
        <v>OTHER</v>
      </c>
      <c r="E67" s="11" t="str">
        <f>IFERROR(__xludf.DUMMYFUNCTION("""COMPUTED_VALUE"""),"OTHER")</f>
        <v>OTHER</v>
      </c>
      <c r="F67" s="11" t="str">
        <f>IFERROR(__xludf.DUMMYFUNCTION("""COMPUTED_VALUE"""),"Other")</f>
        <v>Other</v>
      </c>
      <c r="G67" s="11"/>
      <c r="H67" s="11" t="str">
        <f>IFERROR(__xludf.DUMMYFUNCTION("""COMPUTED_VALUE"""),"Unknown")</f>
        <v>Unknown</v>
      </c>
      <c r="I67" s="11">
        <f>IFERROR(__xludf.DUMMYFUNCTION("""COMPUTED_VALUE"""),1.0)</f>
        <v>1</v>
      </c>
      <c r="J67" s="11">
        <f>IFERROR(__xludf.DUMMYFUNCTION("""COMPUTED_VALUE"""),0.0)</f>
        <v>0</v>
      </c>
      <c r="K67" s="11">
        <f>IFERROR(__xludf.DUMMYFUNCTION("""COMPUTED_VALUE"""),1.0)</f>
        <v>1</v>
      </c>
    </row>
    <row r="68" ht="15.75" customHeight="1">
      <c r="A68" s="10" t="str">
        <f>IFERROR(__xludf.DUMMYFUNCTION("""COMPUTED_VALUE"""),"https://www.edelmandxi.com/paid-media")</f>
        <v>https://www.edelmandxi.com/paid-media</v>
      </c>
      <c r="B68" s="11" t="str">
        <f>IFERROR(__xludf.DUMMYFUNCTION("""COMPUTED_VALUE"""),"Paid Media | Edelman Data and Intelligence")</f>
        <v>Paid Media | Edelman Data and Intelligence</v>
      </c>
      <c r="C68" s="10" t="str">
        <f>IFERROR(__xludf.DUMMYFUNCTION("""COMPUTED_VALUE"""),"edelmandxi.com")</f>
        <v>edelmandxi.com</v>
      </c>
      <c r="D68" s="11" t="str">
        <f>IFERROR(__xludf.DUMMYFUNCTION("""COMPUTED_VALUE"""),"OTHER")</f>
        <v>OTHER</v>
      </c>
      <c r="E68" s="11" t="str">
        <f>IFERROR(__xludf.DUMMYFUNCTION("""COMPUTED_VALUE"""),"CORPORATE")</f>
        <v>CORPORATE</v>
      </c>
      <c r="F68" s="11" t="str">
        <f>IFERROR(__xludf.DUMMYFUNCTION("""COMPUTED_VALUE"""),"Other")</f>
        <v>Other</v>
      </c>
      <c r="G68" s="11" t="b">
        <f>IFERROR(__xludf.DUMMYFUNCTION("""COMPUTED_VALUE"""),FALSE)</f>
        <v>0</v>
      </c>
      <c r="H68" s="11"/>
      <c r="I68" s="11">
        <f>IFERROR(__xludf.DUMMYFUNCTION("""COMPUTED_VALUE"""),1.0)</f>
        <v>1</v>
      </c>
      <c r="J68" s="11">
        <f>IFERROR(__xludf.DUMMYFUNCTION("""COMPUTED_VALUE"""),0.0)</f>
        <v>0</v>
      </c>
      <c r="K68" s="11">
        <f>IFERROR(__xludf.DUMMYFUNCTION("""COMPUTED_VALUE"""),1.0)</f>
        <v>1</v>
      </c>
    </row>
    <row r="69" ht="15.75" customHeight="1">
      <c r="A69" s="10" t="str">
        <f>IFERROR(__xludf.DUMMYFUNCTION("""COMPUTED_VALUE"""),"https://ensun.io/search/geospatial-gis/united-states#:~:text=Esri%20is%20a%20leading%20provider,insights%20from%20location%2Dbased%20data.")</f>
        <v>https://ensun.io/search/geospatial-gis/united-states#:~:text=Esri%20is%20a%20leading%20provider,insights%20from%20location%2Dbased%20data.</v>
      </c>
      <c r="B69" s="11" t="str">
        <f>IFERROR(__xludf.DUMMYFUNCTION("""COMPUTED_VALUE"""),"Top 100 Geospatial (Gis) Companies in United States (2026) \| ensun")</f>
        <v>Top 100 Geospatial (Gis) Companies in United States (2026) \| ensun</v>
      </c>
      <c r="C69" s="10" t="str">
        <f>IFERROR(__xludf.DUMMYFUNCTION("""COMPUTED_VALUE"""),"ensun.io")</f>
        <v>ensun.io</v>
      </c>
      <c r="D69" s="11" t="str">
        <f>IFERROR(__xludf.DUMMYFUNCTION("""COMPUTED_VALUE"""),"OTHER")</f>
        <v>OTHER</v>
      </c>
      <c r="E69" s="11" t="str">
        <f>IFERROR(__xludf.DUMMYFUNCTION("""COMPUTED_VALUE"""),"OTHER")</f>
        <v>OTHER</v>
      </c>
      <c r="F69" s="11" t="str">
        <f>IFERROR(__xludf.DUMMYFUNCTION("""COMPUTED_VALUE"""),"Other")</f>
        <v>Other</v>
      </c>
      <c r="G69" s="11" t="b">
        <f>IFERROR(__xludf.DUMMYFUNCTION("""COMPUTED_VALUE"""),FALSE)</f>
        <v>0</v>
      </c>
      <c r="H69" s="11"/>
      <c r="I69" s="11">
        <f>IFERROR(__xludf.DUMMYFUNCTION("""COMPUTED_VALUE"""),1.0)</f>
        <v>1</v>
      </c>
      <c r="J69" s="11">
        <f>IFERROR(__xludf.DUMMYFUNCTION("""COMPUTED_VALUE"""),0.0)</f>
        <v>0</v>
      </c>
      <c r="K69" s="11">
        <f>IFERROR(__xludf.DUMMYFUNCTION("""COMPUTED_VALUE"""),1.0)</f>
        <v>1</v>
      </c>
    </row>
    <row r="70" ht="15.75" customHeight="1">
      <c r="A70" s="10" t="str">
        <f>IFERROR(__xludf.DUMMYFUNCTION("""COMPUTED_VALUE"""),"https://enterprisemarketingportal.google/find-a-partner/adswerve-us")</f>
        <v>https://enterprisemarketingportal.google/find-a-partner/adswerve-us</v>
      </c>
      <c r="B70" s="11"/>
      <c r="C70" s="11" t="str">
        <f>IFERROR(__xludf.DUMMYFUNCTION("""COMPUTED_VALUE"""),"enterprisemarketingportal.google")</f>
        <v>enterprisemarketingportal.google</v>
      </c>
      <c r="D70" s="11" t="str">
        <f>IFERROR(__xludf.DUMMYFUNCTION("""COMPUTED_VALUE"""),"OTHER")</f>
        <v>OTHER</v>
      </c>
      <c r="E70" s="11" t="str">
        <f>IFERROR(__xludf.DUMMYFUNCTION("""COMPUTED_VALUE"""),"OTHER")</f>
        <v>OTHER</v>
      </c>
      <c r="F70" s="11" t="str">
        <f>IFERROR(__xludf.DUMMYFUNCTION("""COMPUTED_VALUE"""),"Other")</f>
        <v>Other</v>
      </c>
      <c r="G70" s="11"/>
      <c r="H70" s="11" t="str">
        <f>IFERROR(__xludf.DUMMYFUNCTION("""COMPUTED_VALUE"""),"Unknown")</f>
        <v>Unknown</v>
      </c>
      <c r="I70" s="11">
        <f>IFERROR(__xludf.DUMMYFUNCTION("""COMPUTED_VALUE"""),1.0)</f>
        <v>1</v>
      </c>
      <c r="J70" s="11">
        <f>IFERROR(__xludf.DUMMYFUNCTION("""COMPUTED_VALUE"""),0.0)</f>
        <v>0</v>
      </c>
      <c r="K70" s="11">
        <f>IFERROR(__xludf.DUMMYFUNCTION("""COMPUTED_VALUE"""),1.0)</f>
        <v>1</v>
      </c>
    </row>
    <row r="71" ht="15.75" customHeight="1">
      <c r="A71" s="10" t="str">
        <f>IFERROR(__xludf.DUMMYFUNCTION("""COMPUTED_VALUE"""),"https://www.f6s.com/software/category/first-party-data-activation")</f>
        <v>https://www.f6s.com/software/category/first-party-data-activation</v>
      </c>
      <c r="B71" s="11" t="str">
        <f>IFERROR(__xludf.DUMMYFUNCTION("""COMPUTED_VALUE"""),"Best First-Party Data Activation Software • March 2026 \| F6S")</f>
        <v>Best First-Party Data Activation Software • March 2026 \| F6S</v>
      </c>
      <c r="C71" s="10" t="str">
        <f>IFERROR(__xludf.DUMMYFUNCTION("""COMPUTED_VALUE"""),"f6s.com")</f>
        <v>f6s.com</v>
      </c>
      <c r="D71" s="11" t="str">
        <f>IFERROR(__xludf.DUMMYFUNCTION("""COMPUTED_VALUE"""),"OTHER")</f>
        <v>OTHER</v>
      </c>
      <c r="E71" s="11" t="str">
        <f>IFERROR(__xludf.DUMMYFUNCTION("""COMPUTED_VALUE"""),"UGC")</f>
        <v>UGC</v>
      </c>
      <c r="F71" s="11" t="str">
        <f>IFERROR(__xludf.DUMMYFUNCTION("""COMPUTED_VALUE"""),"Other")</f>
        <v>Other</v>
      </c>
      <c r="G71" s="11" t="b">
        <f>IFERROR(__xludf.DUMMYFUNCTION("""COMPUTED_VALUE"""),FALSE)</f>
        <v>0</v>
      </c>
      <c r="H71" s="11"/>
      <c r="I71" s="11">
        <f>IFERROR(__xludf.DUMMYFUNCTION("""COMPUTED_VALUE"""),1.0)</f>
        <v>1</v>
      </c>
      <c r="J71" s="11">
        <f>IFERROR(__xludf.DUMMYFUNCTION("""COMPUTED_VALUE"""),0.0)</f>
        <v>0</v>
      </c>
      <c r="K71" s="11">
        <f>IFERROR(__xludf.DUMMYFUNCTION("""COMPUTED_VALUE"""),0.0)</f>
        <v>0</v>
      </c>
    </row>
    <row r="72" ht="15.75" customHeight="1">
      <c r="A72" s="10" t="str">
        <f>IFERROR(__xludf.DUMMYFUNCTION("""COMPUTED_VALUE"""),"https://www.facebook.com/McKinsey/videos/only-11-of-companies-are-fully-leveraging-the-potential-of-gen-ai-quantumblack-a/932826565549113/")</f>
        <v>https://www.facebook.com/McKinsey/videos/only-11-of-companies-are-fully-leveraging-the-potential-of-gen-ai-quantumblack-a/932826565549113/</v>
      </c>
      <c r="B72" s="11"/>
      <c r="C72" s="10" t="str">
        <f>IFERROR(__xludf.DUMMYFUNCTION("""COMPUTED_VALUE"""),"facebook.com")</f>
        <v>facebook.com</v>
      </c>
      <c r="D72" s="11" t="str">
        <f>IFERROR(__xludf.DUMMYFUNCTION("""COMPUTED_VALUE"""),"OTHER")</f>
        <v>OTHER</v>
      </c>
      <c r="E72" s="11" t="str">
        <f>IFERROR(__xludf.DUMMYFUNCTION("""COMPUTED_VALUE"""),"UGC")</f>
        <v>UGC</v>
      </c>
      <c r="F72" s="11" t="str">
        <f>IFERROR(__xludf.DUMMYFUNCTION("""COMPUTED_VALUE"""),"Other")</f>
        <v>Other</v>
      </c>
      <c r="G72" s="11" t="b">
        <f>IFERROR(__xludf.DUMMYFUNCTION("""COMPUTED_VALUE"""),FALSE)</f>
        <v>0</v>
      </c>
      <c r="H72" s="11" t="str">
        <f>IFERROR(__xludf.DUMMYFUNCTION("""COMPUTED_VALUE"""),"QuantumBlack, McKinsey")</f>
        <v>QuantumBlack, McKinsey</v>
      </c>
      <c r="I72" s="11">
        <f>IFERROR(__xludf.DUMMYFUNCTION("""COMPUTED_VALUE"""),1.0)</f>
        <v>1</v>
      </c>
      <c r="J72" s="11">
        <f>IFERROR(__xludf.DUMMYFUNCTION("""COMPUTED_VALUE"""),0.0)</f>
        <v>0</v>
      </c>
      <c r="K72" s="11">
        <f>IFERROR(__xludf.DUMMYFUNCTION("""COMPUTED_VALUE"""),1.0)</f>
        <v>1</v>
      </c>
    </row>
    <row r="73" ht="15.75" customHeight="1">
      <c r="A73" s="10" t="str">
        <f>IFERROR(__xludf.DUMMYFUNCTION("""COMPUTED_VALUE"""),"https://firstpagesage.com/seo-blog/the-top-ecommerce-agentic-search-optimization-aso-agencies")</f>
        <v>https://firstpagesage.com/seo-blog/the-top-ecommerce-agentic-search-optimization-aso-agencies</v>
      </c>
      <c r="B73" s="11" t="str">
        <f>IFERROR(__xludf.DUMMYFUNCTION("""COMPUTED_VALUE"""),"The Top eCommerce Agentic Search Optimization (ASO) Agencies of 2026 – First Page Sage")</f>
        <v>The Top eCommerce Agentic Search Optimization (ASO) Agencies of 2026 – First Page Sage</v>
      </c>
      <c r="C73" s="10" t="str">
        <f>IFERROR(__xludf.DUMMYFUNCTION("""COMPUTED_VALUE"""),"firstpagesage.com")</f>
        <v>firstpagesage.com</v>
      </c>
      <c r="D73" s="11" t="str">
        <f>IFERROR(__xludf.DUMMYFUNCTION("""COMPUTED_VALUE"""),"OTHER")</f>
        <v>OTHER</v>
      </c>
      <c r="E73" s="11" t="str">
        <f>IFERROR(__xludf.DUMMYFUNCTION("""COMPUTED_VALUE"""),"COMPETITOR")</f>
        <v>COMPETITOR</v>
      </c>
      <c r="F73" s="11" t="str">
        <f>IFERROR(__xludf.DUMMYFUNCTION("""COMPUTED_VALUE"""),"Other")</f>
        <v>Other</v>
      </c>
      <c r="G73" s="11" t="b">
        <f>IFERROR(__xludf.DUMMYFUNCTION("""COMPUTED_VALUE"""),FALSE)</f>
        <v>0</v>
      </c>
      <c r="H73" s="11" t="str">
        <f>IFERROR(__xludf.DUMMYFUNCTION("""COMPUTED_VALUE"""),"First Page Sage, Clutch, Tinuiti, SmartSites")</f>
        <v>First Page Sage, Clutch, Tinuiti, SmartSites</v>
      </c>
      <c r="I73" s="11">
        <f>IFERROR(__xludf.DUMMYFUNCTION("""COMPUTED_VALUE"""),1.0)</f>
        <v>1</v>
      </c>
      <c r="J73" s="11">
        <f>IFERROR(__xludf.DUMMYFUNCTION("""COMPUTED_VALUE"""),0.0)</f>
        <v>0</v>
      </c>
      <c r="K73" s="11">
        <f>IFERROR(__xludf.DUMMYFUNCTION("""COMPUTED_VALUE"""),1.0)</f>
        <v>1</v>
      </c>
    </row>
    <row r="74" ht="15.75" customHeight="1">
      <c r="A74" s="10" t="str">
        <f>IFERROR(__xludf.DUMMYFUNCTION("""COMPUTED_VALUE"""),"https://firstpagesage.com/seo-blog/top-b2b-seo-agencies-us/#:~:text=First%20Page%20Sage%20is%20consistently%20ranked%20the,specifically%20for%20the%20complexity%20of%20B2B%20sales.")</f>
        <v>https://firstpagesage.com/seo-blog/top-b2b-seo-agencies-us/#:~:text=First%20Page%20Sage%20is%20consistently%20ranked%20the,specifically%20for%20the%20complexity%20of%20B2B%20sales.</v>
      </c>
      <c r="B74" s="11" t="str">
        <f>IFERROR(__xludf.DUMMYFUNCTION("""COMPUTED_VALUE"""),"The Top B2B SEO Agencies in the US — 2026 – First Page Sage")</f>
        <v>The Top B2B SEO Agencies in the US — 2026 – First Page Sage</v>
      </c>
      <c r="C74" s="10" t="str">
        <f>IFERROR(__xludf.DUMMYFUNCTION("""COMPUTED_VALUE"""),"firstpagesage.com")</f>
        <v>firstpagesage.com</v>
      </c>
      <c r="D74" s="11" t="str">
        <f>IFERROR(__xludf.DUMMYFUNCTION("""COMPUTED_VALUE"""),"OTHER")</f>
        <v>OTHER</v>
      </c>
      <c r="E74" s="11" t="str">
        <f>IFERROR(__xludf.DUMMYFUNCTION("""COMPUTED_VALUE"""),"COMPETITOR")</f>
        <v>COMPETITOR</v>
      </c>
      <c r="F74" s="11" t="str">
        <f>IFERROR(__xludf.DUMMYFUNCTION("""COMPUTED_VALUE"""),"Other")</f>
        <v>Other</v>
      </c>
      <c r="G74" s="11" t="b">
        <f>IFERROR(__xludf.DUMMYFUNCTION("""COMPUTED_VALUE"""),FALSE)</f>
        <v>0</v>
      </c>
      <c r="H74" s="11" t="str">
        <f>IFERROR(__xludf.DUMMYFUNCTION("""COMPUTED_VALUE"""),"First Page Sage, Epsilon, Metric Theory, Monks")</f>
        <v>First Page Sage, Epsilon, Metric Theory, Monks</v>
      </c>
      <c r="I74" s="11">
        <f>IFERROR(__xludf.DUMMYFUNCTION("""COMPUTED_VALUE"""),1.0)</f>
        <v>1</v>
      </c>
      <c r="J74" s="11">
        <f>IFERROR(__xludf.DUMMYFUNCTION("""COMPUTED_VALUE"""),0.0)</f>
        <v>0</v>
      </c>
      <c r="K74" s="11">
        <f>IFERROR(__xludf.DUMMYFUNCTION("""COMPUTED_VALUE"""),2.0)</f>
        <v>2</v>
      </c>
    </row>
    <row r="75" ht="15.75" customHeight="1">
      <c r="A75" s="10" t="str">
        <f>IFERROR(__xludf.DUMMYFUNCTION("""COMPUTED_VALUE"""),"https://www.flyingvgroup.com/programmatic-agency/#:~:text=1.%20%2D%20Flying%20V%20Group.%20Flying%20V,numerous%20successful%20client%20campaigns%20and%20glowing%20testimonials.")</f>
        <v>https://www.flyingvgroup.com/programmatic-agency/#:~:text=1.%20%2D%20Flying%20V%20Group.%20Flying%20V,numerous%20successful%20client%20campaigns%20and%20glowing%20testimonials.</v>
      </c>
      <c r="B75" s="11" t="str">
        <f>IFERROR(__xludf.DUMMYFUNCTION("""COMPUTED_VALUE"""),"Top 16 Programmatic Agencies of 2026 (Expert List) – Flying V Group")</f>
        <v>Top 16 Programmatic Agencies of 2026 (Expert List) – Flying V Group</v>
      </c>
      <c r="C75" s="10" t="str">
        <f>IFERROR(__xludf.DUMMYFUNCTION("""COMPUTED_VALUE"""),"flyingvgroup.com")</f>
        <v>flyingvgroup.com</v>
      </c>
      <c r="D75" s="11" t="str">
        <f>IFERROR(__xludf.DUMMYFUNCTION("""COMPUTED_VALUE"""),"OTHER")</f>
        <v>OTHER</v>
      </c>
      <c r="E75" s="11" t="str">
        <f>IFERROR(__xludf.DUMMYFUNCTION("""COMPUTED_VALUE"""),"CORPORATE")</f>
        <v>CORPORATE</v>
      </c>
      <c r="F75" s="11" t="str">
        <f>IFERROR(__xludf.DUMMYFUNCTION("""COMPUTED_VALUE"""),"Other")</f>
        <v>Other</v>
      </c>
      <c r="G75" s="11" t="b">
        <f>IFERROR(__xludf.DUMMYFUNCTION("""COMPUTED_VALUE"""),FALSE)</f>
        <v>0</v>
      </c>
      <c r="H75" s="11" t="str">
        <f>IFERROR(__xludf.DUMMYFUNCTION("""COMPUTED_VALUE"""),"Single Grain, Power Digital, Clutch")</f>
        <v>Single Grain, Power Digital, Clutch</v>
      </c>
      <c r="I75" s="11">
        <f>IFERROR(__xludf.DUMMYFUNCTION("""COMPUTED_VALUE"""),1.0)</f>
        <v>1</v>
      </c>
      <c r="J75" s="11">
        <f>IFERROR(__xludf.DUMMYFUNCTION("""COMPUTED_VALUE"""),0.0)</f>
        <v>0</v>
      </c>
      <c r="K75" s="11">
        <f>IFERROR(__xludf.DUMMYFUNCTION("""COMPUTED_VALUE"""),2.0)</f>
        <v>2</v>
      </c>
    </row>
    <row r="76" ht="15.75" customHeight="1">
      <c r="A76" s="10" t="str">
        <f>IFERROR(__xludf.DUMMYFUNCTION("""COMPUTED_VALUE"""),"https://www.geekwire.com/2018/adswerve-acquires-seattle-based-analytics-pros-24m-creating-google-marketing-powerhouse/")</f>
        <v>https://www.geekwire.com/2018/adswerve-acquires-seattle-based-analytics-pros-24m-creating-google-marketing-powerhouse/</v>
      </c>
      <c r="B76" s="11" t="str">
        <f>IFERROR(__xludf.DUMMYFUNCTION("""COMPUTED_VALUE"""),"AdSwerve acquires Seattle-based Analytics Pros for $24M, creating Google marketing powerhouse – GeekWire")</f>
        <v>AdSwerve acquires Seattle-based Analytics Pros for $24M, creating Google marketing powerhouse – GeekWire</v>
      </c>
      <c r="C76" s="10" t="str">
        <f>IFERROR(__xludf.DUMMYFUNCTION("""COMPUTED_VALUE"""),"geekwire.com")</f>
        <v>geekwire.com</v>
      </c>
      <c r="D76" s="11" t="str">
        <f>IFERROR(__xludf.DUMMYFUNCTION("""COMPUTED_VALUE"""),"OTHER")</f>
        <v>OTHER</v>
      </c>
      <c r="E76" s="11" t="str">
        <f>IFERROR(__xludf.DUMMYFUNCTION("""COMPUTED_VALUE"""),"EDITORIAL")</f>
        <v>EDITORIAL</v>
      </c>
      <c r="F76" s="11" t="str">
        <f>IFERROR(__xludf.DUMMYFUNCTION("""COMPUTED_VALUE"""),"Other")</f>
        <v>Other</v>
      </c>
      <c r="G76" s="11" t="b">
        <f>IFERROR(__xludf.DUMMYFUNCTION("""COMPUTED_VALUE"""),FALSE)</f>
        <v>0</v>
      </c>
      <c r="H76" s="11" t="str">
        <f>IFERROR(__xludf.DUMMYFUNCTION("""COMPUTED_VALUE"""),"Adswerve")</f>
        <v>Adswerve</v>
      </c>
      <c r="I76" s="11">
        <f>IFERROR(__xludf.DUMMYFUNCTION("""COMPUTED_VALUE"""),1.0)</f>
        <v>1</v>
      </c>
      <c r="J76" s="11">
        <f>IFERROR(__xludf.DUMMYFUNCTION("""COMPUTED_VALUE"""),0.0)</f>
        <v>0</v>
      </c>
      <c r="K76" s="11">
        <f>IFERROR(__xludf.DUMMYFUNCTION("""COMPUTED_VALUE"""),1.0)</f>
        <v>1</v>
      </c>
    </row>
    <row r="77" ht="15.75" customHeight="1">
      <c r="A77" s="10" t="str">
        <f>IFERROR(__xludf.DUMMYFUNCTION("""COMPUTED_VALUE"""),"https://www.getcrux.ai/discover/marketing-attribution-tools")</f>
        <v>https://www.getcrux.ai/discover/marketing-attribution-tools</v>
      </c>
      <c r="B77" s="11" t="str">
        <f>IFERROR(__xludf.DUMMYFUNCTION("""COMPUTED_VALUE"""),"8 Best Marketing Attribution Tools in 2026: Compared")</f>
        <v>8 Best Marketing Attribution Tools in 2026: Compared</v>
      </c>
      <c r="C77" s="10" t="str">
        <f>IFERROR(__xludf.DUMMYFUNCTION("""COMPUTED_VALUE"""),"getcrux.ai")</f>
        <v>getcrux.ai</v>
      </c>
      <c r="D77" s="11" t="str">
        <f>IFERROR(__xludf.DUMMYFUNCTION("""COMPUTED_VALUE"""),"OTHER")</f>
        <v>OTHER</v>
      </c>
      <c r="E77" s="11" t="str">
        <f>IFERROR(__xludf.DUMMYFUNCTION("""COMPUTED_VALUE"""),"CORPORATE")</f>
        <v>CORPORATE</v>
      </c>
      <c r="F77" s="11" t="str">
        <f>IFERROR(__xludf.DUMMYFUNCTION("""COMPUTED_VALUE"""),"Other")</f>
        <v>Other</v>
      </c>
      <c r="G77" s="11" t="b">
        <f>IFERROR(__xludf.DUMMYFUNCTION("""COMPUTED_VALUE"""),FALSE)</f>
        <v>0</v>
      </c>
      <c r="H77" s="11" t="str">
        <f>IFERROR(__xludf.DUMMYFUNCTION("""COMPUTED_VALUE"""),"Triple Whale, Northbeam, Rockerbox, Cometly, Ruler Analytics, HockeyStack, Anomaly")</f>
        <v>Triple Whale, Northbeam, Rockerbox, Cometly, Ruler Analytics, HockeyStack, Anomaly</v>
      </c>
      <c r="I77" s="11">
        <f>IFERROR(__xludf.DUMMYFUNCTION("""COMPUTED_VALUE"""),1.0)</f>
        <v>1</v>
      </c>
      <c r="J77" s="11">
        <f>IFERROR(__xludf.DUMMYFUNCTION("""COMPUTED_VALUE"""),0.0)</f>
        <v>0</v>
      </c>
      <c r="K77" s="11">
        <f>IFERROR(__xludf.DUMMYFUNCTION("""COMPUTED_VALUE"""),1.0)</f>
        <v>1</v>
      </c>
    </row>
    <row r="78" ht="15.75" customHeight="1">
      <c r="A78" s="10" t="str">
        <f>IFERROR(__xludf.DUMMYFUNCTION("""COMPUTED_VALUE"""),"https://www.goodfirms.co/advertising-companies/creative?sort_by=rating")</f>
        <v>https://www.goodfirms.co/advertising-companies/creative?sort_by=rating</v>
      </c>
      <c r="B78" s="11" t="str">
        <f>IFERROR(__xludf.DUMMYFUNCTION("""COMPUTED_VALUE"""),"Top Creative Agencies - 2026 Reviews | Goodfirms")</f>
        <v>Top Creative Agencies - 2026 Reviews | Goodfirms</v>
      </c>
      <c r="C78" s="10" t="str">
        <f>IFERROR(__xludf.DUMMYFUNCTION("""COMPUTED_VALUE"""),"goodfirms.co")</f>
        <v>goodfirms.co</v>
      </c>
      <c r="D78" s="11" t="str">
        <f>IFERROR(__xludf.DUMMYFUNCTION("""COMPUTED_VALUE"""),"OTHER")</f>
        <v>OTHER</v>
      </c>
      <c r="E78" s="11" t="str">
        <f>IFERROR(__xludf.DUMMYFUNCTION("""COMPUTED_VALUE"""),"UGC")</f>
        <v>UGC</v>
      </c>
      <c r="F78" s="11" t="str">
        <f>IFERROR(__xludf.DUMMYFUNCTION("""COMPUTED_VALUE"""),"Other")</f>
        <v>Other</v>
      </c>
      <c r="G78" s="11" t="b">
        <f>IFERROR(__xludf.DUMMYFUNCTION("""COMPUTED_VALUE"""),FALSE)</f>
        <v>0</v>
      </c>
      <c r="H78" s="11" t="str">
        <f>IFERROR(__xludf.DUMMYFUNCTION("""COMPUTED_VALUE"""),"IBM")</f>
        <v>IBM</v>
      </c>
      <c r="I78" s="11">
        <f>IFERROR(__xludf.DUMMYFUNCTION("""COMPUTED_VALUE"""),1.0)</f>
        <v>1</v>
      </c>
      <c r="J78" s="11">
        <f>IFERROR(__xludf.DUMMYFUNCTION("""COMPUTED_VALUE"""),0.0)</f>
        <v>0</v>
      </c>
      <c r="K78" s="11">
        <f>IFERROR(__xludf.DUMMYFUNCTION("""COMPUTED_VALUE"""),0.0)</f>
        <v>0</v>
      </c>
    </row>
    <row r="79" ht="15.75" customHeight="1">
      <c r="A79" s="10" t="str">
        <f>IFERROR(__xludf.DUMMYFUNCTION("""COMPUTED_VALUE"""),"https://www.goodfirms.co/directory/country/top-digital-marketing-companies/us?reviews=1&amp;sort_by=rating")</f>
        <v>https://www.goodfirms.co/directory/country/top-digital-marketing-companies/us?reviews=1&amp;sort_by=rating</v>
      </c>
      <c r="B79" s="11" t="str">
        <f>IFERROR(__xludf.DUMMYFUNCTION("""COMPUTED_VALUE"""),"Top Digital Marketing Agencies in USA - 2026 Reviews | Goodfirms")</f>
        <v>Top Digital Marketing Agencies in USA - 2026 Reviews | Goodfirms</v>
      </c>
      <c r="C79" s="10" t="str">
        <f>IFERROR(__xludf.DUMMYFUNCTION("""COMPUTED_VALUE"""),"goodfirms.co")</f>
        <v>goodfirms.co</v>
      </c>
      <c r="D79" s="11" t="str">
        <f>IFERROR(__xludf.DUMMYFUNCTION("""COMPUTED_VALUE"""),"OTHER")</f>
        <v>OTHER</v>
      </c>
      <c r="E79" s="11" t="str">
        <f>IFERROR(__xludf.DUMMYFUNCTION("""COMPUTED_VALUE"""),"UGC")</f>
        <v>UGC</v>
      </c>
      <c r="F79" s="11" t="str">
        <f>IFERROR(__xludf.DUMMYFUNCTION("""COMPUTED_VALUE"""),"Other")</f>
        <v>Other</v>
      </c>
      <c r="G79" s="11" t="b">
        <f>IFERROR(__xludf.DUMMYFUNCTION("""COMPUTED_VALUE"""),FALSE)</f>
        <v>0</v>
      </c>
      <c r="H79" s="11" t="str">
        <f>IFERROR(__xludf.DUMMYFUNCTION("""COMPUTED_VALUE"""),"Funnel Boost Media, Elit-Web, Searchbloom, Storm Brain")</f>
        <v>Funnel Boost Media, Elit-Web, Searchbloom, Storm Brain</v>
      </c>
      <c r="I79" s="11">
        <f>IFERROR(__xludf.DUMMYFUNCTION("""COMPUTED_VALUE"""),1.0)</f>
        <v>1</v>
      </c>
      <c r="J79" s="11">
        <f>IFERROR(__xludf.DUMMYFUNCTION("""COMPUTED_VALUE"""),0.0)</f>
        <v>0</v>
      </c>
      <c r="K79" s="11">
        <f>IFERROR(__xludf.DUMMYFUNCTION("""COMPUTED_VALUE"""),0.0)</f>
        <v>0</v>
      </c>
    </row>
    <row r="80" ht="15.75" customHeight="1">
      <c r="A80" s="10" t="str">
        <f>IFERROR(__xludf.DUMMYFUNCTION("""COMPUTED_VALUE"""),"https://www.goodfirms.co/directory/country/top-digital-marketing-companies/us?sid=3951")</f>
        <v>https://www.goodfirms.co/directory/country/top-digital-marketing-companies/us?sid=3951</v>
      </c>
      <c r="B80" s="11" t="str">
        <f>IFERROR(__xludf.DUMMYFUNCTION("""COMPUTED_VALUE"""),"Top Digital Marketing Agencies in USA - 2026 Reviews | Goodfirms")</f>
        <v>Top Digital Marketing Agencies in USA - 2026 Reviews | Goodfirms</v>
      </c>
      <c r="C80" s="10" t="str">
        <f>IFERROR(__xludf.DUMMYFUNCTION("""COMPUTED_VALUE"""),"goodfirms.co")</f>
        <v>goodfirms.co</v>
      </c>
      <c r="D80" s="11" t="str">
        <f>IFERROR(__xludf.DUMMYFUNCTION("""COMPUTED_VALUE"""),"OTHER")</f>
        <v>OTHER</v>
      </c>
      <c r="E80" s="11" t="str">
        <f>IFERROR(__xludf.DUMMYFUNCTION("""COMPUTED_VALUE"""),"UGC")</f>
        <v>UGC</v>
      </c>
      <c r="F80" s="11" t="str">
        <f>IFERROR(__xludf.DUMMYFUNCTION("""COMPUTED_VALUE"""),"Other")</f>
        <v>Other</v>
      </c>
      <c r="G80" s="11" t="b">
        <f>IFERROR(__xludf.DUMMYFUNCTION("""COMPUTED_VALUE"""),FALSE)</f>
        <v>0</v>
      </c>
      <c r="H80" s="11" t="str">
        <f>IFERROR(__xludf.DUMMYFUNCTION("""COMPUTED_VALUE"""),"Searchbloom, Elit-Web, Storm Brain")</f>
        <v>Searchbloom, Elit-Web, Storm Brain</v>
      </c>
      <c r="I80" s="11">
        <f>IFERROR(__xludf.DUMMYFUNCTION("""COMPUTED_VALUE"""),1.0)</f>
        <v>1</v>
      </c>
      <c r="J80" s="11">
        <f>IFERROR(__xludf.DUMMYFUNCTION("""COMPUTED_VALUE"""),0.0)</f>
        <v>0</v>
      </c>
      <c r="K80" s="11">
        <f>IFERROR(__xludf.DUMMYFUNCTION("""COMPUTED_VALUE"""),0.0)</f>
        <v>0</v>
      </c>
    </row>
    <row r="81" ht="15.75" customHeight="1">
      <c r="A81" s="10" t="str">
        <f>IFERROR(__xludf.DUMMYFUNCTION("""COMPUTED_VALUE"""),"https://www.goodfirms.co/directory/country/top-digital-marketing-companies/us?sid=3953")</f>
        <v>https://www.goodfirms.co/directory/country/top-digital-marketing-companies/us?sid=3953</v>
      </c>
      <c r="B81" s="11" t="str">
        <f>IFERROR(__xludf.DUMMYFUNCTION("""COMPUTED_VALUE"""),"Top Digital Marketing Agencies in USA - 2026 Reviews | Goodfirms")</f>
        <v>Top Digital Marketing Agencies in USA - 2026 Reviews | Goodfirms</v>
      </c>
      <c r="C81" s="10" t="str">
        <f>IFERROR(__xludf.DUMMYFUNCTION("""COMPUTED_VALUE"""),"goodfirms.co")</f>
        <v>goodfirms.co</v>
      </c>
      <c r="D81" s="11" t="str">
        <f>IFERROR(__xludf.DUMMYFUNCTION("""COMPUTED_VALUE"""),"OTHER")</f>
        <v>OTHER</v>
      </c>
      <c r="E81" s="11" t="str">
        <f>IFERROR(__xludf.DUMMYFUNCTION("""COMPUTED_VALUE"""),"UGC")</f>
        <v>UGC</v>
      </c>
      <c r="F81" s="11" t="str">
        <f>IFERROR(__xludf.DUMMYFUNCTION("""COMPUTED_VALUE"""),"Other")</f>
        <v>Other</v>
      </c>
      <c r="G81" s="11" t="b">
        <f>IFERROR(__xludf.DUMMYFUNCTION("""COMPUTED_VALUE"""),FALSE)</f>
        <v>0</v>
      </c>
      <c r="H81" s="11" t="str">
        <f>IFERROR(__xludf.DUMMYFUNCTION("""COMPUTED_VALUE"""),"Searchbloom, SmartSites, Elit-Web, Storm Brain")</f>
        <v>Searchbloom, SmartSites, Elit-Web, Storm Brain</v>
      </c>
      <c r="I81" s="11">
        <f>IFERROR(__xludf.DUMMYFUNCTION("""COMPUTED_VALUE"""),1.0)</f>
        <v>1</v>
      </c>
      <c r="J81" s="11">
        <f>IFERROR(__xludf.DUMMYFUNCTION("""COMPUTED_VALUE"""),0.0)</f>
        <v>0</v>
      </c>
      <c r="K81" s="11">
        <f>IFERROR(__xludf.DUMMYFUNCTION("""COMPUTED_VALUE"""),0.0)</f>
        <v>0</v>
      </c>
    </row>
    <row r="82" ht="15.75" customHeight="1">
      <c r="A82" s="10" t="str">
        <f>IFERROR(__xludf.DUMMYFUNCTION("""COMPUTED_VALUE"""),"https://www.goodfirms.co/directory/country/top-digital-marketing-companies/us?sid=3975")</f>
        <v>https://www.goodfirms.co/directory/country/top-digital-marketing-companies/us?sid=3975</v>
      </c>
      <c r="B82" s="11" t="str">
        <f>IFERROR(__xludf.DUMMYFUNCTION("""COMPUTED_VALUE"""),"Top Digital Marketing Agencies in USA - 2026 Reviews | Goodfirms")</f>
        <v>Top Digital Marketing Agencies in USA - 2026 Reviews | Goodfirms</v>
      </c>
      <c r="C82" s="10" t="str">
        <f>IFERROR(__xludf.DUMMYFUNCTION("""COMPUTED_VALUE"""),"goodfirms.co")</f>
        <v>goodfirms.co</v>
      </c>
      <c r="D82" s="11" t="str">
        <f>IFERROR(__xludf.DUMMYFUNCTION("""COMPUTED_VALUE"""),"OTHER")</f>
        <v>OTHER</v>
      </c>
      <c r="E82" s="11" t="str">
        <f>IFERROR(__xludf.DUMMYFUNCTION("""COMPUTED_VALUE"""),"UGC")</f>
        <v>UGC</v>
      </c>
      <c r="F82" s="11" t="str">
        <f>IFERROR(__xludf.DUMMYFUNCTION("""COMPUTED_VALUE"""),"Other")</f>
        <v>Other</v>
      </c>
      <c r="G82" s="11" t="b">
        <f>IFERROR(__xludf.DUMMYFUNCTION("""COMPUTED_VALUE"""),FALSE)</f>
        <v>0</v>
      </c>
      <c r="H82" s="11" t="str">
        <f>IFERROR(__xludf.DUMMYFUNCTION("""COMPUTED_VALUE"""),"WebFX, Searchbloom, SmartSites, Elit-Web, Storm Brain")</f>
        <v>WebFX, Searchbloom, SmartSites, Elit-Web, Storm Brain</v>
      </c>
      <c r="I82" s="11">
        <f>IFERROR(__xludf.DUMMYFUNCTION("""COMPUTED_VALUE"""),1.0)</f>
        <v>1</v>
      </c>
      <c r="J82" s="11">
        <f>IFERROR(__xludf.DUMMYFUNCTION("""COMPUTED_VALUE"""),0.0)</f>
        <v>0</v>
      </c>
      <c r="K82" s="11">
        <f>IFERROR(__xludf.DUMMYFUNCTION("""COMPUTED_VALUE"""),0.0)</f>
        <v>0</v>
      </c>
    </row>
    <row r="83" ht="15.75" customHeight="1">
      <c r="A83" s="10" t="str">
        <f>IFERROR(__xludf.DUMMYFUNCTION("""COMPUTED_VALUE"""),"https://www.google.com/ads/publisher/partners/work-with-a-partner/")</f>
        <v>https://www.google.com/ads/publisher/partners/work-with-a-partner/</v>
      </c>
      <c r="B83" s="11"/>
      <c r="C83" s="10" t="str">
        <f>IFERROR(__xludf.DUMMYFUNCTION("""COMPUTED_VALUE"""),"google.com")</f>
        <v>google.com</v>
      </c>
      <c r="D83" s="11" t="str">
        <f>IFERROR(__xludf.DUMMYFUNCTION("""COMPUTED_VALUE"""),"OTHER")</f>
        <v>OTHER</v>
      </c>
      <c r="E83" s="11" t="str">
        <f>IFERROR(__xludf.DUMMYFUNCTION("""COMPUTED_VALUE"""),"OTHER")</f>
        <v>OTHER</v>
      </c>
      <c r="F83" s="11" t="str">
        <f>IFERROR(__xludf.DUMMYFUNCTION("""COMPUTED_VALUE"""),"Other")</f>
        <v>Other</v>
      </c>
      <c r="G83" s="11"/>
      <c r="H83" s="11" t="str">
        <f>IFERROR(__xludf.DUMMYFUNCTION("""COMPUTED_VALUE"""),"Unknown")</f>
        <v>Unknown</v>
      </c>
      <c r="I83" s="11">
        <f>IFERROR(__xludf.DUMMYFUNCTION("""COMPUTED_VALUE"""),1.0)</f>
        <v>1</v>
      </c>
      <c r="J83" s="11">
        <f>IFERROR(__xludf.DUMMYFUNCTION("""COMPUTED_VALUE"""),0.0)</f>
        <v>0</v>
      </c>
      <c r="K83" s="11">
        <f>IFERROR(__xludf.DUMMYFUNCTION("""COMPUTED_VALUE"""),0.0)</f>
        <v>0</v>
      </c>
    </row>
    <row r="84" ht="15.75" customHeight="1">
      <c r="A84" s="10" t="str">
        <f>IFERROR(__xludf.DUMMYFUNCTION("""COMPUTED_VALUE"""),"https://www.google.com/searchviewer/10?svid=CAwSGxIZCgNwdnESEkNnc3ZaeTh4ZEhKd2NuQjRhZxgK")</f>
        <v>https://www.google.com/searchviewer/10?svid=CAwSGxIZCgNwdnESEkNnc3ZaeTh4ZEhKd2NuQjRhZxgK</v>
      </c>
      <c r="B84" s="11"/>
      <c r="C84" s="10" t="str">
        <f>IFERROR(__xludf.DUMMYFUNCTION("""COMPUTED_VALUE"""),"google.com")</f>
        <v>google.com</v>
      </c>
      <c r="D84" s="11" t="str">
        <f>IFERROR(__xludf.DUMMYFUNCTION("""COMPUTED_VALUE"""),"OTHER")</f>
        <v>OTHER</v>
      </c>
      <c r="E84" s="11" t="str">
        <f>IFERROR(__xludf.DUMMYFUNCTION("""COMPUTED_VALUE"""),"OTHER")</f>
        <v>OTHER</v>
      </c>
      <c r="F84" s="11" t="str">
        <f>IFERROR(__xludf.DUMMYFUNCTION("""COMPUTED_VALUE"""),"Other")</f>
        <v>Other</v>
      </c>
      <c r="G84" s="11"/>
      <c r="H84" s="11" t="str">
        <f>IFERROR(__xludf.DUMMYFUNCTION("""COMPUTED_VALUE"""),"Unknown")</f>
        <v>Unknown</v>
      </c>
      <c r="I84" s="11">
        <f>IFERROR(__xludf.DUMMYFUNCTION("""COMPUTED_VALUE"""),1.0)</f>
        <v>1</v>
      </c>
      <c r="J84" s="11">
        <f>IFERROR(__xludf.DUMMYFUNCTION("""COMPUTED_VALUE"""),0.0)</f>
        <v>0</v>
      </c>
      <c r="K84" s="11">
        <f>IFERROR(__xludf.DUMMYFUNCTION("""COMPUTED_VALUE"""),1.0)</f>
        <v>1</v>
      </c>
    </row>
    <row r="85" ht="15.75" customHeight="1">
      <c r="A85" s="10" t="str">
        <f>IFERROR(__xludf.DUMMYFUNCTION("""COMPUTED_VALUE"""),"https://www.google.com/searchviewer/10?svid=CAwSGxIZCgNwdnESEkNnc3ZaeTh4ZEhaMFkyTXliZxgK")</f>
        <v>https://www.google.com/searchviewer/10?svid=CAwSGxIZCgNwdnESEkNnc3ZaeTh4ZEhaMFkyTXliZxgK</v>
      </c>
      <c r="B85" s="11"/>
      <c r="C85" s="10" t="str">
        <f>IFERROR(__xludf.DUMMYFUNCTION("""COMPUTED_VALUE"""),"google.com")</f>
        <v>google.com</v>
      </c>
      <c r="D85" s="11" t="str">
        <f>IFERROR(__xludf.DUMMYFUNCTION("""COMPUTED_VALUE"""),"OTHER")</f>
        <v>OTHER</v>
      </c>
      <c r="E85" s="11" t="str">
        <f>IFERROR(__xludf.DUMMYFUNCTION("""COMPUTED_VALUE"""),"OTHER")</f>
        <v>OTHER</v>
      </c>
      <c r="F85" s="11" t="str">
        <f>IFERROR(__xludf.DUMMYFUNCTION("""COMPUTED_VALUE"""),"Other")</f>
        <v>Other</v>
      </c>
      <c r="G85" s="11"/>
      <c r="H85" s="11" t="str">
        <f>IFERROR(__xludf.DUMMYFUNCTION("""COMPUTED_VALUE"""),"Unknown")</f>
        <v>Unknown</v>
      </c>
      <c r="I85" s="11">
        <f>IFERROR(__xludf.DUMMYFUNCTION("""COMPUTED_VALUE"""),1.0)</f>
        <v>1</v>
      </c>
      <c r="J85" s="11">
        <f>IFERROR(__xludf.DUMMYFUNCTION("""COMPUTED_VALUE"""),0.0)</f>
        <v>0</v>
      </c>
      <c r="K85" s="11">
        <f>IFERROR(__xludf.DUMMYFUNCTION("""COMPUTED_VALUE"""),0.0)</f>
        <v>0</v>
      </c>
    </row>
    <row r="86" ht="15.75" customHeight="1">
      <c r="A86" s="10" t="str">
        <f>IFERROR(__xludf.DUMMYFUNCTION("""COMPUTED_VALUE"""),"https://www.google.com/searchviewer/10?svid=CAwSGxIZCgNwdnESEkNnc3ZaeTh4ZUc1ZmNEVjVhQRgK")</f>
        <v>https://www.google.com/searchviewer/10?svid=CAwSGxIZCgNwdnESEkNnc3ZaeTh4ZUc1ZmNEVjVhQRgK</v>
      </c>
      <c r="B86" s="11"/>
      <c r="C86" s="10" t="str">
        <f>IFERROR(__xludf.DUMMYFUNCTION("""COMPUTED_VALUE"""),"google.com")</f>
        <v>google.com</v>
      </c>
      <c r="D86" s="11" t="str">
        <f>IFERROR(__xludf.DUMMYFUNCTION("""COMPUTED_VALUE"""),"OTHER")</f>
        <v>OTHER</v>
      </c>
      <c r="E86" s="11" t="str">
        <f>IFERROR(__xludf.DUMMYFUNCTION("""COMPUTED_VALUE"""),"OTHER")</f>
        <v>OTHER</v>
      </c>
      <c r="F86" s="11" t="str">
        <f>IFERROR(__xludf.DUMMYFUNCTION("""COMPUTED_VALUE"""),"Other")</f>
        <v>Other</v>
      </c>
      <c r="G86" s="11"/>
      <c r="H86" s="11" t="str">
        <f>IFERROR(__xludf.DUMMYFUNCTION("""COMPUTED_VALUE"""),"Unknown")</f>
        <v>Unknown</v>
      </c>
      <c r="I86" s="11">
        <f>IFERROR(__xludf.DUMMYFUNCTION("""COMPUTED_VALUE"""),1.0)</f>
        <v>1</v>
      </c>
      <c r="J86" s="11">
        <f>IFERROR(__xludf.DUMMYFUNCTION("""COMPUTED_VALUE"""),0.0)</f>
        <v>0</v>
      </c>
      <c r="K86" s="11">
        <f>IFERROR(__xludf.DUMMYFUNCTION("""COMPUTED_VALUE"""),0.0)</f>
        <v>0</v>
      </c>
    </row>
    <row r="87" ht="15.75" customHeight="1">
      <c r="A87" s="10" t="str">
        <f>IFERROR(__xludf.DUMMYFUNCTION("""COMPUTED_VALUE"""),"https://www.google.com/searchviewer/10?svid=CAwSHBIaCgNwdnESE0Nnd3ZaeTh4TW1oNGJESTFkSGsYCg")</f>
        <v>https://www.google.com/searchviewer/10?svid=CAwSHBIaCgNwdnESE0Nnd3ZaeTh4TW1oNGJESTFkSGsYCg</v>
      </c>
      <c r="B87" s="11"/>
      <c r="C87" s="10" t="str">
        <f>IFERROR(__xludf.DUMMYFUNCTION("""COMPUTED_VALUE"""),"google.com")</f>
        <v>google.com</v>
      </c>
      <c r="D87" s="11" t="str">
        <f>IFERROR(__xludf.DUMMYFUNCTION("""COMPUTED_VALUE"""),"OTHER")</f>
        <v>OTHER</v>
      </c>
      <c r="E87" s="11" t="str">
        <f>IFERROR(__xludf.DUMMYFUNCTION("""COMPUTED_VALUE"""),"OTHER")</f>
        <v>OTHER</v>
      </c>
      <c r="F87" s="11" t="str">
        <f>IFERROR(__xludf.DUMMYFUNCTION("""COMPUTED_VALUE"""),"Other")</f>
        <v>Other</v>
      </c>
      <c r="G87" s="11"/>
      <c r="H87" s="11" t="str">
        <f>IFERROR(__xludf.DUMMYFUNCTION("""COMPUTED_VALUE"""),"Unknown")</f>
        <v>Unknown</v>
      </c>
      <c r="I87" s="11">
        <f>IFERROR(__xludf.DUMMYFUNCTION("""COMPUTED_VALUE"""),1.0)</f>
        <v>1</v>
      </c>
      <c r="J87" s="11">
        <f>IFERROR(__xludf.DUMMYFUNCTION("""COMPUTED_VALUE"""),0.0)</f>
        <v>0</v>
      </c>
      <c r="K87" s="11">
        <f>IFERROR(__xludf.DUMMYFUNCTION("""COMPUTED_VALUE"""),0.0)</f>
        <v>0</v>
      </c>
    </row>
    <row r="88" ht="15.75" customHeight="1">
      <c r="A88" s="10" t="str">
        <f>IFERROR(__xludf.DUMMYFUNCTION("""COMPUTED_VALUE"""),"https://www.google.com/searchviewer/10?svid=CAwSHRIbCgNwdnESFENnMHZaeTh4TVcwMWFqbDNjbk4yGAo")</f>
        <v>https://www.google.com/searchviewer/10?svid=CAwSHRIbCgNwdnESFENnMHZaeTh4TVcwMWFqbDNjbk4yGAo</v>
      </c>
      <c r="B88" s="11"/>
      <c r="C88" s="10" t="str">
        <f>IFERROR(__xludf.DUMMYFUNCTION("""COMPUTED_VALUE"""),"google.com")</f>
        <v>google.com</v>
      </c>
      <c r="D88" s="11" t="str">
        <f>IFERROR(__xludf.DUMMYFUNCTION("""COMPUTED_VALUE"""),"OTHER")</f>
        <v>OTHER</v>
      </c>
      <c r="E88" s="11" t="str">
        <f>IFERROR(__xludf.DUMMYFUNCTION("""COMPUTED_VALUE"""),"OTHER")</f>
        <v>OTHER</v>
      </c>
      <c r="F88" s="11" t="str">
        <f>IFERROR(__xludf.DUMMYFUNCTION("""COMPUTED_VALUE"""),"Other")</f>
        <v>Other</v>
      </c>
      <c r="G88" s="11"/>
      <c r="H88" s="11" t="str">
        <f>IFERROR(__xludf.DUMMYFUNCTION("""COMPUTED_VALUE"""),"Unknown")</f>
        <v>Unknown</v>
      </c>
      <c r="I88" s="11">
        <f>IFERROR(__xludf.DUMMYFUNCTION("""COMPUTED_VALUE"""),1.0)</f>
        <v>1</v>
      </c>
      <c r="J88" s="11">
        <f>IFERROR(__xludf.DUMMYFUNCTION("""COMPUTED_VALUE"""),0.0)</f>
        <v>0</v>
      </c>
      <c r="K88" s="11">
        <f>IFERROR(__xludf.DUMMYFUNCTION("""COMPUTED_VALUE"""),0.0)</f>
        <v>0</v>
      </c>
    </row>
    <row r="89" ht="15.75" customHeight="1">
      <c r="A89" s="10" t="str">
        <f>IFERROR(__xludf.DUMMYFUNCTION("""COMPUTED_VALUE"""),"https://www.google.com/searchviewer/10?svid=CAwSHRIbCgNwdnESFENnMHZaeTh4TVdJMk9ESjBjWFpzGAo")</f>
        <v>https://www.google.com/searchviewer/10?svid=CAwSHRIbCgNwdnESFENnMHZaeTh4TVdJMk9ESjBjWFpzGAo</v>
      </c>
      <c r="B89" s="11"/>
      <c r="C89" s="10" t="str">
        <f>IFERROR(__xludf.DUMMYFUNCTION("""COMPUTED_VALUE"""),"google.com")</f>
        <v>google.com</v>
      </c>
      <c r="D89" s="11" t="str">
        <f>IFERROR(__xludf.DUMMYFUNCTION("""COMPUTED_VALUE"""),"OTHER")</f>
        <v>OTHER</v>
      </c>
      <c r="E89" s="11" t="str">
        <f>IFERROR(__xludf.DUMMYFUNCTION("""COMPUTED_VALUE"""),"OTHER")</f>
        <v>OTHER</v>
      </c>
      <c r="F89" s="11" t="str">
        <f>IFERROR(__xludf.DUMMYFUNCTION("""COMPUTED_VALUE"""),"Other")</f>
        <v>Other</v>
      </c>
      <c r="G89" s="11"/>
      <c r="H89" s="11" t="str">
        <f>IFERROR(__xludf.DUMMYFUNCTION("""COMPUTED_VALUE"""),"Unknown")</f>
        <v>Unknown</v>
      </c>
      <c r="I89" s="11">
        <f>IFERROR(__xludf.DUMMYFUNCTION("""COMPUTED_VALUE"""),1.0)</f>
        <v>1</v>
      </c>
      <c r="J89" s="11">
        <f>IFERROR(__xludf.DUMMYFUNCTION("""COMPUTED_VALUE"""),0.0)</f>
        <v>0</v>
      </c>
      <c r="K89" s="11">
        <f>IFERROR(__xludf.DUMMYFUNCTION("""COMPUTED_VALUE"""),0.0)</f>
        <v>0</v>
      </c>
    </row>
    <row r="90" ht="15.75" customHeight="1">
      <c r="A90" s="10" t="str">
        <f>IFERROR(__xludf.DUMMYFUNCTION("""COMPUTED_VALUE"""),"https://www.google.com/searchviewer/10?svid=CAwSHRIbCgNwdnESFENnMHZaeTh4TVdnMWJXNHhhREJtGAo")</f>
        <v>https://www.google.com/searchviewer/10?svid=CAwSHRIbCgNwdnESFENnMHZaeTh4TVdnMWJXNHhhREJtGAo</v>
      </c>
      <c r="B90" s="11"/>
      <c r="C90" s="10" t="str">
        <f>IFERROR(__xludf.DUMMYFUNCTION("""COMPUTED_VALUE"""),"google.com")</f>
        <v>google.com</v>
      </c>
      <c r="D90" s="11" t="str">
        <f>IFERROR(__xludf.DUMMYFUNCTION("""COMPUTED_VALUE"""),"OTHER")</f>
        <v>OTHER</v>
      </c>
      <c r="E90" s="11" t="str">
        <f>IFERROR(__xludf.DUMMYFUNCTION("""COMPUTED_VALUE"""),"OTHER")</f>
        <v>OTHER</v>
      </c>
      <c r="F90" s="11" t="str">
        <f>IFERROR(__xludf.DUMMYFUNCTION("""COMPUTED_VALUE"""),"Other")</f>
        <v>Other</v>
      </c>
      <c r="G90" s="11"/>
      <c r="H90" s="11" t="str">
        <f>IFERROR(__xludf.DUMMYFUNCTION("""COMPUTED_VALUE"""),"Unknown")</f>
        <v>Unknown</v>
      </c>
      <c r="I90" s="11">
        <f>IFERROR(__xludf.DUMMYFUNCTION("""COMPUTED_VALUE"""),1.0)</f>
        <v>1</v>
      </c>
      <c r="J90" s="11">
        <f>IFERROR(__xludf.DUMMYFUNCTION("""COMPUTED_VALUE"""),0.0)</f>
        <v>0</v>
      </c>
      <c r="K90" s="11">
        <f>IFERROR(__xludf.DUMMYFUNCTION("""COMPUTED_VALUE"""),0.0)</f>
        <v>0</v>
      </c>
    </row>
    <row r="91" ht="15.75" customHeight="1">
      <c r="A91" s="10" t="str">
        <f>IFERROR(__xludf.DUMMYFUNCTION("""COMPUTED_VALUE"""),"https://www.google.com/searchviewer/10?svid=CAwSHRIbCgNwdnESFENnMHZaeTh4TVhZNWFqZHVOR3htGAo")</f>
        <v>https://www.google.com/searchviewer/10?svid=CAwSHRIbCgNwdnESFENnMHZaeTh4TVhZNWFqZHVOR3htGAo</v>
      </c>
      <c r="B91" s="11"/>
      <c r="C91" s="10" t="str">
        <f>IFERROR(__xludf.DUMMYFUNCTION("""COMPUTED_VALUE"""),"google.com")</f>
        <v>google.com</v>
      </c>
      <c r="D91" s="11" t="str">
        <f>IFERROR(__xludf.DUMMYFUNCTION("""COMPUTED_VALUE"""),"OTHER")</f>
        <v>OTHER</v>
      </c>
      <c r="E91" s="11" t="str">
        <f>IFERROR(__xludf.DUMMYFUNCTION("""COMPUTED_VALUE"""),"OTHER")</f>
        <v>OTHER</v>
      </c>
      <c r="F91" s="11" t="str">
        <f>IFERROR(__xludf.DUMMYFUNCTION("""COMPUTED_VALUE"""),"Other")</f>
        <v>Other</v>
      </c>
      <c r="G91" s="11"/>
      <c r="H91" s="11" t="str">
        <f>IFERROR(__xludf.DUMMYFUNCTION("""COMPUTED_VALUE"""),"Unknown")</f>
        <v>Unknown</v>
      </c>
      <c r="I91" s="11">
        <f>IFERROR(__xludf.DUMMYFUNCTION("""COMPUTED_VALUE"""),1.0)</f>
        <v>1</v>
      </c>
      <c r="J91" s="11">
        <f>IFERROR(__xludf.DUMMYFUNCTION("""COMPUTED_VALUE"""),0.0)</f>
        <v>0</v>
      </c>
      <c r="K91" s="11">
        <f>IFERROR(__xludf.DUMMYFUNCTION("""COMPUTED_VALUE"""),0.0)</f>
        <v>0</v>
      </c>
    </row>
    <row r="92" ht="15.75" customHeight="1">
      <c r="A92" s="10" t="str">
        <f>IFERROR(__xludf.DUMMYFUNCTION("""COMPUTED_VALUE"""),"https://www.groas.com/post/klientboost-pricing-review-2026-what-they-charge-groas-alternative")</f>
        <v>https://www.groas.com/post/klientboost-pricing-review-2026-what-they-charge-groas-alternative</v>
      </c>
      <c r="B92" s="11" t="str">
        <f>IFERROR(__xludf.DUMMYFUNCTION("""COMPUTED_VALUE"""),"KlientBoost Pricing And Review In 2026: What They Charge, What You Get, And Why groas Is A Better Alternative")</f>
        <v>KlientBoost Pricing And Review In 2026: What They Charge, What You Get, And Why groas Is A Better Alternative</v>
      </c>
      <c r="C92" s="10" t="str">
        <f>IFERROR(__xludf.DUMMYFUNCTION("""COMPUTED_VALUE"""),"groas.com")</f>
        <v>groas.com</v>
      </c>
      <c r="D92" s="11" t="str">
        <f>IFERROR(__xludf.DUMMYFUNCTION("""COMPUTED_VALUE"""),"OTHER")</f>
        <v>OTHER</v>
      </c>
      <c r="E92" s="11" t="str">
        <f>IFERROR(__xludf.DUMMYFUNCTION("""COMPUTED_VALUE"""),"CORPORATE")</f>
        <v>CORPORATE</v>
      </c>
      <c r="F92" s="11" t="str">
        <f>IFERROR(__xludf.DUMMYFUNCTION("""COMPUTED_VALUE"""),"Other")</f>
        <v>Other</v>
      </c>
      <c r="G92" s="11" t="b">
        <f>IFERROR(__xludf.DUMMYFUNCTION("""COMPUTED_VALUE"""),FALSE)</f>
        <v>0</v>
      </c>
      <c r="H92" s="11" t="str">
        <f>IFERROR(__xludf.DUMMYFUNCTION("""COMPUTED_VALUE"""),"KlientBoost, Tinuiti, Merkle, Disruptive Advertising, WebFX, Clutch, Directive")</f>
        <v>KlientBoost, Tinuiti, Merkle, Disruptive Advertising, WebFX, Clutch, Directive</v>
      </c>
      <c r="I92" s="11">
        <f>IFERROR(__xludf.DUMMYFUNCTION("""COMPUTED_VALUE"""),1.0)</f>
        <v>1</v>
      </c>
      <c r="J92" s="11">
        <f>IFERROR(__xludf.DUMMYFUNCTION("""COMPUTED_VALUE"""),0.0)</f>
        <v>0</v>
      </c>
      <c r="K92" s="11">
        <f>IFERROR(__xludf.DUMMYFUNCTION("""COMPUTED_VALUE"""),2.0)</f>
        <v>2</v>
      </c>
    </row>
    <row r="93" ht="15.75" customHeight="1">
      <c r="A93" s="10" t="str">
        <f>IFERROR(__xludf.DUMMYFUNCTION("""COMPUTED_VALUE"""),"https://www.indeed.com/q-media-&amp;-lawyer-l-washington,-dc-jobs.html")</f>
        <v>https://www.indeed.com/q-media-&amp;-lawyer-l-washington,-dc-jobs.html</v>
      </c>
      <c r="B93" s="11" t="str">
        <f>IFERROR(__xludf.DUMMYFUNCTION("""COMPUTED_VALUE"""),"Media &amp; Lawyer Jobs, Employment in Washington, DC \| Indeed")</f>
        <v>Media &amp; Lawyer Jobs, Employment in Washington, DC \| Indeed</v>
      </c>
      <c r="C93" s="10" t="str">
        <f>IFERROR(__xludf.DUMMYFUNCTION("""COMPUTED_VALUE"""),"indeed.com")</f>
        <v>indeed.com</v>
      </c>
      <c r="D93" s="11" t="str">
        <f>IFERROR(__xludf.DUMMYFUNCTION("""COMPUTED_VALUE"""),"OTHER")</f>
        <v>OTHER</v>
      </c>
      <c r="E93" s="11" t="str">
        <f>IFERROR(__xludf.DUMMYFUNCTION("""COMPUTED_VALUE"""),"CORPORATE")</f>
        <v>CORPORATE</v>
      </c>
      <c r="F93" s="11" t="str">
        <f>IFERROR(__xludf.DUMMYFUNCTION("""COMPUTED_VALUE"""),"Other")</f>
        <v>Other</v>
      </c>
      <c r="G93" s="11" t="b">
        <f>IFERROR(__xludf.DUMMYFUNCTION("""COMPUTED_VALUE"""),FALSE)</f>
        <v>0</v>
      </c>
      <c r="H93" s="11"/>
      <c r="I93" s="11">
        <f>IFERROR(__xludf.DUMMYFUNCTION("""COMPUTED_VALUE"""),1.0)</f>
        <v>1</v>
      </c>
      <c r="J93" s="11">
        <f>IFERROR(__xludf.DUMMYFUNCTION("""COMPUTED_VALUE"""),0.0)</f>
        <v>0</v>
      </c>
      <c r="K93" s="11">
        <f>IFERROR(__xludf.DUMMYFUNCTION("""COMPUTED_VALUE"""),1.0)</f>
        <v>1</v>
      </c>
    </row>
    <row r="94" ht="15.75" customHeight="1">
      <c r="A94" s="10" t="str">
        <f>IFERROR(__xludf.DUMMYFUNCTION("""COMPUTED_VALUE"""),"https://infotrust.com/resource/get-to-know-all-products-available-in-the-google-marketing-platform/")</f>
        <v>https://infotrust.com/resource/get-to-know-all-products-available-in-the-google-marketing-platform/</v>
      </c>
      <c r="B94" s="11" t="str">
        <f>IFERROR(__xludf.DUMMYFUNCTION("""COMPUTED_VALUE"""),"Get to Know All Products in the Google Marketing Platform | InfoTrust")</f>
        <v>Get to Know All Products in the Google Marketing Platform | InfoTrust</v>
      </c>
      <c r="C94" s="10" t="str">
        <f>IFERROR(__xludf.DUMMYFUNCTION("""COMPUTED_VALUE"""),"infotrust.com")</f>
        <v>infotrust.com</v>
      </c>
      <c r="D94" s="11" t="str">
        <f>IFERROR(__xludf.DUMMYFUNCTION("""COMPUTED_VALUE"""),"OTHER")</f>
        <v>OTHER</v>
      </c>
      <c r="E94" s="11" t="str">
        <f>IFERROR(__xludf.DUMMYFUNCTION("""COMPUTED_VALUE"""),"COMPETITOR")</f>
        <v>COMPETITOR</v>
      </c>
      <c r="F94" s="11" t="str">
        <f>IFERROR(__xludf.DUMMYFUNCTION("""COMPUTED_VALUE"""),"Other")</f>
        <v>Other</v>
      </c>
      <c r="G94" s="11" t="b">
        <f>IFERROR(__xludf.DUMMYFUNCTION("""COMPUTED_VALUE"""),FALSE)</f>
        <v>0</v>
      </c>
      <c r="H94" s="11" t="str">
        <f>IFERROR(__xludf.DUMMYFUNCTION("""COMPUTED_VALUE"""),"InfoTrust")</f>
        <v>InfoTrust</v>
      </c>
      <c r="I94" s="11">
        <f>IFERROR(__xludf.DUMMYFUNCTION("""COMPUTED_VALUE"""),1.0)</f>
        <v>1</v>
      </c>
      <c r="J94" s="11">
        <f>IFERROR(__xludf.DUMMYFUNCTION("""COMPUTED_VALUE"""),0.0)</f>
        <v>0</v>
      </c>
      <c r="K94" s="11">
        <f>IFERROR(__xludf.DUMMYFUNCTION("""COMPUTED_VALUE"""),2.0)</f>
        <v>2</v>
      </c>
    </row>
    <row r="95" ht="15.75" customHeight="1">
      <c r="A95" s="10" t="str">
        <f>IFERROR(__xludf.DUMMYFUNCTION("""COMPUTED_VALUE"""),"https://www.itsoftexpert.com/usa/blog/itsoftexpert-client-success-stories-revenue-growth")</f>
        <v>https://www.itsoftexpert.com/usa/blog/itsoftexpert-client-success-stories-revenue-growth</v>
      </c>
      <c r="B95" s="11" t="str">
        <f>IFERROR(__xludf.DUMMYFUNCTION("""COMPUTED_VALUE"""),"Real Client Results: How ITSoftExpert Helped 252+ Companies Scale Revenue")</f>
        <v>Real Client Results: How ITSoftExpert Helped 252+ Companies Scale Revenue</v>
      </c>
      <c r="C95" s="10" t="str">
        <f>IFERROR(__xludf.DUMMYFUNCTION("""COMPUTED_VALUE"""),"itsoftexpert.com")</f>
        <v>itsoftexpert.com</v>
      </c>
      <c r="D95" s="11" t="str">
        <f>IFERROR(__xludf.DUMMYFUNCTION("""COMPUTED_VALUE"""),"OTHER")</f>
        <v>OTHER</v>
      </c>
      <c r="E95" s="11" t="str">
        <f>IFERROR(__xludf.DUMMYFUNCTION("""COMPUTED_VALUE"""),"CORPORATE")</f>
        <v>CORPORATE</v>
      </c>
      <c r="F95" s="11" t="str">
        <f>IFERROR(__xludf.DUMMYFUNCTION("""COMPUTED_VALUE"""),"Other")</f>
        <v>Other</v>
      </c>
      <c r="G95" s="11" t="b">
        <f>IFERROR(__xludf.DUMMYFUNCTION("""COMPUTED_VALUE"""),FALSE)</f>
        <v>0</v>
      </c>
      <c r="H95" s="11" t="str">
        <f>IFERROR(__xludf.DUMMYFUNCTION("""COMPUTED_VALUE"""),"Clutch")</f>
        <v>Clutch</v>
      </c>
      <c r="I95" s="11">
        <f>IFERROR(__xludf.DUMMYFUNCTION("""COMPUTED_VALUE"""),1.0)</f>
        <v>1</v>
      </c>
      <c r="J95" s="11">
        <f>IFERROR(__xludf.DUMMYFUNCTION("""COMPUTED_VALUE"""),0.0)</f>
        <v>0</v>
      </c>
      <c r="K95" s="11">
        <f>IFERROR(__xludf.DUMMYFUNCTION("""COMPUTED_VALUE"""),0.0)</f>
        <v>0</v>
      </c>
    </row>
    <row r="96" ht="15.75" customHeight="1">
      <c r="A96" s="10" t="str">
        <f>IFERROR(__xludf.DUMMYFUNCTION("""COMPUTED_VALUE"""),"https://www.kuehne-nagel.com/us/services/customs-clearance/customs-and-trade-consultancy#:~:text=United%20States%20of%20America%20%2D%20U.S.%20Customs,Health%20Inspection%20Service%20(APHIS)%20%2D%20Federal%20Register.")</f>
        <v>https://www.kuehne-nagel.com/us/services/customs-clearance/customs-and-trade-consultancy#:~:text=United%20States%20of%20America%20%2D%20U.S.%20Customs,Health%20Inspection%20Service%20(APHIS)%20%2D%20Federal%20Register.</v>
      </c>
      <c r="B96" s="11" t="str">
        <f>IFERROR(__xludf.DUMMYFUNCTION("""COMPUTED_VALUE"""),"Customs and trade consultancy services | Customs optimization | Kuehne+Nagel United States")</f>
        <v>Customs and trade consultancy services | Customs optimization | Kuehne+Nagel United States</v>
      </c>
      <c r="C96" s="10" t="str">
        <f>IFERROR(__xludf.DUMMYFUNCTION("""COMPUTED_VALUE"""),"kuehne-nagel.com")</f>
        <v>kuehne-nagel.com</v>
      </c>
      <c r="D96" s="11" t="str">
        <f>IFERROR(__xludf.DUMMYFUNCTION("""COMPUTED_VALUE"""),"OTHER")</f>
        <v>OTHER</v>
      </c>
      <c r="E96" s="11" t="str">
        <f>IFERROR(__xludf.DUMMYFUNCTION("""COMPUTED_VALUE"""),"CORPORATE")</f>
        <v>CORPORATE</v>
      </c>
      <c r="F96" s="11" t="str">
        <f>IFERROR(__xludf.DUMMYFUNCTION("""COMPUTED_VALUE"""),"Other")</f>
        <v>Other</v>
      </c>
      <c r="G96" s="11" t="b">
        <f>IFERROR(__xludf.DUMMYFUNCTION("""COMPUTED_VALUE"""),FALSE)</f>
        <v>0</v>
      </c>
      <c r="H96" s="11"/>
      <c r="I96" s="11">
        <f>IFERROR(__xludf.DUMMYFUNCTION("""COMPUTED_VALUE"""),1.0)</f>
        <v>1</v>
      </c>
      <c r="J96" s="11">
        <f>IFERROR(__xludf.DUMMYFUNCTION("""COMPUTED_VALUE"""),0.0)</f>
        <v>0</v>
      </c>
      <c r="K96" s="11">
        <f>IFERROR(__xludf.DUMMYFUNCTION("""COMPUTED_VALUE"""),2.0)</f>
        <v>2</v>
      </c>
    </row>
    <row r="97" ht="15.75" customHeight="1">
      <c r="A97" s="10" t="str">
        <f>IFERROR(__xludf.DUMMYFUNCTION("""COMPUTED_VALUE"""),"https://lawrencebros.com/top-7-marketing-attribution-software-platforms-for-2026/")</f>
        <v>https://lawrencebros.com/top-7-marketing-attribution-software-platforms-for-2026/</v>
      </c>
      <c r="B97" s="11" t="str">
        <f>IFERROR(__xludf.DUMMYFUNCTION("""COMPUTED_VALUE"""),"Top 7 Marketing Attribution Software Platforms for 2026 - Lawrence Bros")</f>
        <v>Top 7 Marketing Attribution Software Platforms for 2026 - Lawrence Bros</v>
      </c>
      <c r="C97" s="10" t="str">
        <f>IFERROR(__xludf.DUMMYFUNCTION("""COMPUTED_VALUE"""),"lawrencebros.com")</f>
        <v>lawrencebros.com</v>
      </c>
      <c r="D97" s="11" t="str">
        <f>IFERROR(__xludf.DUMMYFUNCTION("""COMPUTED_VALUE"""),"OTHER")</f>
        <v>OTHER</v>
      </c>
      <c r="E97" s="11" t="str">
        <f>IFERROR(__xludf.DUMMYFUNCTION("""COMPUTED_VALUE"""),"CORPORATE")</f>
        <v>CORPORATE</v>
      </c>
      <c r="F97" s="11" t="str">
        <f>IFERROR(__xludf.DUMMYFUNCTION("""COMPUTED_VALUE"""),"Other")</f>
        <v>Other</v>
      </c>
      <c r="G97" s="11" t="b">
        <f>IFERROR(__xludf.DUMMYFUNCTION("""COMPUTED_VALUE"""),FALSE)</f>
        <v>0</v>
      </c>
      <c r="H97" s="11" t="str">
        <f>IFERROR(__xludf.DUMMYFUNCTION("""COMPUTED_VALUE"""),"HockeyStack, Triple Whale, Northbeam, Ruler Analytics")</f>
        <v>HockeyStack, Triple Whale, Northbeam, Ruler Analytics</v>
      </c>
      <c r="I97" s="11">
        <f>IFERROR(__xludf.DUMMYFUNCTION("""COMPUTED_VALUE"""),1.0)</f>
        <v>1</v>
      </c>
      <c r="J97" s="11">
        <f>IFERROR(__xludf.DUMMYFUNCTION("""COMPUTED_VALUE"""),0.0)</f>
        <v>0</v>
      </c>
      <c r="K97" s="11">
        <f>IFERROR(__xludf.DUMMYFUNCTION("""COMPUTED_VALUE"""),4.0)</f>
        <v>4</v>
      </c>
    </row>
    <row r="98" ht="15.75" customHeight="1">
      <c r="A98" s="10" t="str">
        <f>IFERROR(__xludf.DUMMYFUNCTION("""COMPUTED_VALUE"""),"https://www.linkedin.com/company/analytics-pros")</f>
        <v>https://www.linkedin.com/company/analytics-pros</v>
      </c>
      <c r="B98" s="11" t="str">
        <f>IFERROR(__xludf.DUMMYFUNCTION("""COMPUTED_VALUE"""),"Analytics Pros | LinkedIn")</f>
        <v>Analytics Pros | LinkedIn</v>
      </c>
      <c r="C98" s="10" t="str">
        <f>IFERROR(__xludf.DUMMYFUNCTION("""COMPUTED_VALUE"""),"linkedin.com")</f>
        <v>linkedin.com</v>
      </c>
      <c r="D98" s="11" t="str">
        <f>IFERROR(__xludf.DUMMYFUNCTION("""COMPUTED_VALUE"""),"OTHER")</f>
        <v>OTHER</v>
      </c>
      <c r="E98" s="11" t="str">
        <f>IFERROR(__xludf.DUMMYFUNCTION("""COMPUTED_VALUE"""),"UGC")</f>
        <v>UGC</v>
      </c>
      <c r="F98" s="11" t="str">
        <f>IFERROR(__xludf.DUMMYFUNCTION("""COMPUTED_VALUE"""),"Other")</f>
        <v>Other</v>
      </c>
      <c r="G98" s="11" t="b">
        <f>IFERROR(__xludf.DUMMYFUNCTION("""COMPUTED_VALUE"""),FALSE)</f>
        <v>0</v>
      </c>
      <c r="H98" s="11" t="str">
        <f>IFERROR(__xludf.DUMMYFUNCTION("""COMPUTED_VALUE"""),"Adswerve, InfoTrust, Tinuiti, Monks, Acxiom")</f>
        <v>Adswerve, InfoTrust, Tinuiti, Monks, Acxiom</v>
      </c>
      <c r="I98" s="11">
        <f>IFERROR(__xludf.DUMMYFUNCTION("""COMPUTED_VALUE"""),1.0)</f>
        <v>1</v>
      </c>
      <c r="J98" s="11">
        <f>IFERROR(__xludf.DUMMYFUNCTION("""COMPUTED_VALUE"""),0.0)</f>
        <v>0</v>
      </c>
      <c r="K98" s="11">
        <f>IFERROR(__xludf.DUMMYFUNCTION("""COMPUTED_VALUE"""),1.0)</f>
        <v>1</v>
      </c>
    </row>
    <row r="99" ht="15.75" customHeight="1">
      <c r="A99" s="10" t="str">
        <f>IFERROR(__xludf.DUMMYFUNCTION("""COMPUTED_VALUE"""),"https://m.economictimes.com/small-biz/security-tech/technology/beyond-seo-the-new-rules-of-brand-discoverability-in-the-ai-era/articleshow/132474370.cms")</f>
        <v>https://m.economictimes.com/small-biz/security-tech/technology/beyond-seo-the-new-rules-of-brand-discoverability-in-the-ai-era/articleshow/132474370.cms</v>
      </c>
      <c r="B99" s="11" t="str">
        <f>IFERROR(__xludf.DUMMYFUNCTION("""COMPUTED_VALUE"""),"Beyond SEO: The new rules of brand discoverability in the AI era - The Economic Times")</f>
        <v>Beyond SEO: The new rules of brand discoverability in the AI era - The Economic Times</v>
      </c>
      <c r="C99" s="10" t="str">
        <f>IFERROR(__xludf.DUMMYFUNCTION("""COMPUTED_VALUE"""),"economictimes.com")</f>
        <v>economictimes.com</v>
      </c>
      <c r="D99" s="11" t="str">
        <f>IFERROR(__xludf.DUMMYFUNCTION("""COMPUTED_VALUE"""),"OTHER")</f>
        <v>OTHER</v>
      </c>
      <c r="E99" s="11" t="str">
        <f>IFERROR(__xludf.DUMMYFUNCTION("""COMPUTED_VALUE"""),"EDITORIAL")</f>
        <v>EDITORIAL</v>
      </c>
      <c r="F99" s="11" t="str">
        <f>IFERROR(__xludf.DUMMYFUNCTION("""COMPUTED_VALUE"""),"Other")</f>
        <v>Other</v>
      </c>
      <c r="G99" s="11" t="b">
        <f>IFERROR(__xludf.DUMMYFUNCTION("""COMPUTED_VALUE"""),FALSE)</f>
        <v>0</v>
      </c>
      <c r="H99" s="11" t="str">
        <f>IFERROR(__xludf.DUMMYFUNCTION("""COMPUTED_VALUE"""),"IBM, Momentum")</f>
        <v>IBM, Momentum</v>
      </c>
      <c r="I99" s="11">
        <f>IFERROR(__xludf.DUMMYFUNCTION("""COMPUTED_VALUE"""),1.0)</f>
        <v>1</v>
      </c>
      <c r="J99" s="11">
        <f>IFERROR(__xludf.DUMMYFUNCTION("""COMPUTED_VALUE"""),0.0)</f>
        <v>0</v>
      </c>
      <c r="K99" s="11">
        <f>IFERROR(__xludf.DUMMYFUNCTION("""COMPUTED_VALUE"""),2.0)</f>
        <v>2</v>
      </c>
    </row>
    <row r="100" ht="15.75" customHeight="1">
      <c r="A100" s="10" t="str">
        <f>IFERROR(__xludf.DUMMYFUNCTION("""COMPUTED_VALUE"""),"https://marketerhire.com/blog/aeo-agency#:~:text=What%20an%20AEO%20Agency%20Does.%20An%20AEO,The%20core%20services%20usually%20include%3A%20Content%20restructuring.")</f>
        <v>https://marketerhire.com/blog/aeo-agency#:~:text=What%20an%20AEO%20Agency%20Does.%20An%20AEO,The%20core%20services%20usually%20include%3A%20Content%20restructuring.</v>
      </c>
      <c r="B100" s="11" t="str">
        <f>IFERROR(__xludf.DUMMYFUNCTION("""COMPUTED_VALUE"""),"What an AEO Agency Actually Does (and How to Hire One That Works)")</f>
        <v>What an AEO Agency Actually Does (and How to Hire One That Works)</v>
      </c>
      <c r="C100" s="10" t="str">
        <f>IFERROR(__xludf.DUMMYFUNCTION("""COMPUTED_VALUE"""),"marketerhire.com")</f>
        <v>marketerhire.com</v>
      </c>
      <c r="D100" s="11" t="str">
        <f>IFERROR(__xludf.DUMMYFUNCTION("""COMPUTED_VALUE"""),"OTHER")</f>
        <v>OTHER</v>
      </c>
      <c r="E100" s="11" t="str">
        <f>IFERROR(__xludf.DUMMYFUNCTION("""COMPUTED_VALUE"""),"CORPORATE")</f>
        <v>CORPORATE</v>
      </c>
      <c r="F100" s="11" t="str">
        <f>IFERROR(__xludf.DUMMYFUNCTION("""COMPUTED_VALUE"""),"Other")</f>
        <v>Other</v>
      </c>
      <c r="G100" s="11" t="b">
        <f>IFERROR(__xludf.DUMMYFUNCTION("""COMPUTED_VALUE"""),FALSE)</f>
        <v>0</v>
      </c>
      <c r="H100" s="11" t="str">
        <f>IFERROR(__xludf.DUMMYFUNCTION("""COMPUTED_VALUE"""),"Clutch")</f>
        <v>Clutch</v>
      </c>
      <c r="I100" s="11">
        <f>IFERROR(__xludf.DUMMYFUNCTION("""COMPUTED_VALUE"""),1.0)</f>
        <v>1</v>
      </c>
      <c r="J100" s="11">
        <f>IFERROR(__xludf.DUMMYFUNCTION("""COMPUTED_VALUE"""),0.0)</f>
        <v>0</v>
      </c>
      <c r="K100" s="11">
        <f>IFERROR(__xludf.DUMMYFUNCTION("""COMPUTED_VALUE"""),4.0)</f>
        <v>4</v>
      </c>
    </row>
    <row r="101" ht="15.75" customHeight="1">
      <c r="A101" s="10" t="str">
        <f>IFERROR(__xludf.DUMMYFUNCTION("""COMPUTED_VALUE"""),"https://www.marketingmonk.so/agency-directory/country/united%20states/service/conversion-optimization?page=2")</f>
        <v>https://www.marketingmonk.so/agency-directory/country/united%20states/service/conversion-optimization?page=2</v>
      </c>
      <c r="B101" s="11"/>
      <c r="C101" s="10" t="str">
        <f>IFERROR(__xludf.DUMMYFUNCTION("""COMPUTED_VALUE"""),"marketingmonk.so")</f>
        <v>marketingmonk.so</v>
      </c>
      <c r="D101" s="11" t="str">
        <f>IFERROR(__xludf.DUMMYFUNCTION("""COMPUTED_VALUE"""),"OTHER")</f>
        <v>OTHER</v>
      </c>
      <c r="E101" s="11" t="str">
        <f>IFERROR(__xludf.DUMMYFUNCTION("""COMPUTED_VALUE"""),"OTHER")</f>
        <v>OTHER</v>
      </c>
      <c r="F101" s="11" t="str">
        <f>IFERROR(__xludf.DUMMYFUNCTION("""COMPUTED_VALUE"""),"Other")</f>
        <v>Other</v>
      </c>
      <c r="G101" s="11"/>
      <c r="H101" s="11" t="str">
        <f>IFERROR(__xludf.DUMMYFUNCTION("""COMPUTED_VALUE"""),"Unknown")</f>
        <v>Unknown</v>
      </c>
      <c r="I101" s="11">
        <f>IFERROR(__xludf.DUMMYFUNCTION("""COMPUTED_VALUE"""),1.0)</f>
        <v>1</v>
      </c>
      <c r="J101" s="11">
        <f>IFERROR(__xludf.DUMMYFUNCTION("""COMPUTED_VALUE"""),0.0)</f>
        <v>0</v>
      </c>
      <c r="K101" s="11">
        <f>IFERROR(__xludf.DUMMYFUNCTION("""COMPUTED_VALUE"""),1.0)</f>
        <v>1</v>
      </c>
    </row>
    <row r="102" ht="15.75" customHeight="1">
      <c r="A102" s="10" t="str">
        <f>IFERROR(__xludf.DUMMYFUNCTION("""COMPUTED_VALUE"""),"https://marketingplatform.google.com/about/partners/find-a-partner")</f>
        <v>https://marketingplatform.google.com/about/partners/find-a-partner</v>
      </c>
      <c r="B102" s="11"/>
      <c r="C102" s="10" t="str">
        <f>IFERROR(__xludf.DUMMYFUNCTION("""COMPUTED_VALUE"""),"google.com")</f>
        <v>google.com</v>
      </c>
      <c r="D102" s="11" t="str">
        <f>IFERROR(__xludf.DUMMYFUNCTION("""COMPUTED_VALUE"""),"OTHER")</f>
        <v>OTHER</v>
      </c>
      <c r="E102" s="11" t="str">
        <f>IFERROR(__xludf.DUMMYFUNCTION("""COMPUTED_VALUE"""),"OTHER")</f>
        <v>OTHER</v>
      </c>
      <c r="F102" s="11" t="str">
        <f>IFERROR(__xludf.DUMMYFUNCTION("""COMPUTED_VALUE"""),"Other")</f>
        <v>Other</v>
      </c>
      <c r="G102" s="11"/>
      <c r="H102" s="11" t="str">
        <f>IFERROR(__xludf.DUMMYFUNCTION("""COMPUTED_VALUE"""),"Unknown")</f>
        <v>Unknown</v>
      </c>
      <c r="I102" s="11">
        <f>IFERROR(__xludf.DUMMYFUNCTION("""COMPUTED_VALUE"""),1.0)</f>
        <v>1</v>
      </c>
      <c r="J102" s="11">
        <f>IFERROR(__xludf.DUMMYFUNCTION("""COMPUTED_VALUE"""),0.0)</f>
        <v>0</v>
      </c>
      <c r="K102" s="11">
        <f>IFERROR(__xludf.DUMMYFUNCTION("""COMPUTED_VALUE"""),0.0)</f>
        <v>0</v>
      </c>
    </row>
    <row r="103" ht="15.75" customHeight="1">
      <c r="A103" s="10" t="str">
        <f>IFERROR(__xludf.DUMMYFUNCTION("""COMPUTED_VALUE"""),"https://marketingplatform.google.com/about/partners/find-a-partner?category=206")</f>
        <v>https://marketingplatform.google.com/about/partners/find-a-partner?category=206</v>
      </c>
      <c r="B103" s="11"/>
      <c r="C103" s="10" t="str">
        <f>IFERROR(__xludf.DUMMYFUNCTION("""COMPUTED_VALUE"""),"google.com")</f>
        <v>google.com</v>
      </c>
      <c r="D103" s="11" t="str">
        <f>IFERROR(__xludf.DUMMYFUNCTION("""COMPUTED_VALUE"""),"OTHER")</f>
        <v>OTHER</v>
      </c>
      <c r="E103" s="11" t="str">
        <f>IFERROR(__xludf.DUMMYFUNCTION("""COMPUTED_VALUE"""),"OTHER")</f>
        <v>OTHER</v>
      </c>
      <c r="F103" s="11" t="str">
        <f>IFERROR(__xludf.DUMMYFUNCTION("""COMPUTED_VALUE"""),"Other")</f>
        <v>Other</v>
      </c>
      <c r="G103" s="11"/>
      <c r="H103" s="11" t="str">
        <f>IFERROR(__xludf.DUMMYFUNCTION("""COMPUTED_VALUE"""),"Unknown")</f>
        <v>Unknown</v>
      </c>
      <c r="I103" s="11">
        <f>IFERROR(__xludf.DUMMYFUNCTION("""COMPUTED_VALUE"""),1.0)</f>
        <v>1</v>
      </c>
      <c r="J103" s="11">
        <f>IFERROR(__xludf.DUMMYFUNCTION("""COMPUTED_VALUE"""),0.0)</f>
        <v>0</v>
      </c>
      <c r="K103" s="11">
        <f>IFERROR(__xludf.DUMMYFUNCTION("""COMPUTED_VALUE"""),1.0)</f>
        <v>1</v>
      </c>
    </row>
    <row r="104" ht="15.75" customHeight="1">
      <c r="A104" s="10" t="str">
        <f>IFERROR(__xludf.DUMMYFUNCTION("""COMPUTED_VALUE"""),"https://www.merkle.com/en/about-us/partnerships/google.html")</f>
        <v>https://www.merkle.com/en/about-us/partnerships/google.html</v>
      </c>
      <c r="B104" s="11" t="str">
        <f>IFERROR(__xludf.DUMMYFUNCTION("""COMPUTED_VALUE"""),"Merkle &amp;amp; Google Partnership - GMP &amp;amp; GCP Expertise | Merkle")</f>
        <v>Merkle &amp;amp; Google Partnership - GMP &amp;amp; GCP Expertise | Merkle</v>
      </c>
      <c r="C104" s="10" t="str">
        <f>IFERROR(__xludf.DUMMYFUNCTION("""COMPUTED_VALUE"""),"merkle.com")</f>
        <v>merkle.com</v>
      </c>
      <c r="D104" s="11" t="str">
        <f>IFERROR(__xludf.DUMMYFUNCTION("""COMPUTED_VALUE"""),"OTHER")</f>
        <v>OTHER</v>
      </c>
      <c r="E104" s="11" t="str">
        <f>IFERROR(__xludf.DUMMYFUNCTION("""COMPUTED_VALUE"""),"COMPETITOR")</f>
        <v>COMPETITOR</v>
      </c>
      <c r="F104" s="11" t="str">
        <f>IFERROR(__xludf.DUMMYFUNCTION("""COMPUTED_VALUE"""),"Other")</f>
        <v>Other</v>
      </c>
      <c r="G104" s="11" t="b">
        <f>IFERROR(__xludf.DUMMYFUNCTION("""COMPUTED_VALUE"""),FALSE)</f>
        <v>0</v>
      </c>
      <c r="H104" s="11" t="str">
        <f>IFERROR(__xludf.DUMMYFUNCTION("""COMPUTED_VALUE"""),"Merkle, Dentsu")</f>
        <v>Merkle, Dentsu</v>
      </c>
      <c r="I104" s="11">
        <f>IFERROR(__xludf.DUMMYFUNCTION("""COMPUTED_VALUE"""),1.0)</f>
        <v>1</v>
      </c>
      <c r="J104" s="11">
        <f>IFERROR(__xludf.DUMMYFUNCTION("""COMPUTED_VALUE"""),0.0)</f>
        <v>0</v>
      </c>
      <c r="K104" s="11">
        <f>IFERROR(__xludf.DUMMYFUNCTION("""COMPUTED_VALUE"""),1.0)</f>
        <v>1</v>
      </c>
    </row>
    <row r="105" ht="15.75" customHeight="1">
      <c r="A105" s="10" t="str">
        <f>IFERROR(__xludf.DUMMYFUNCTION("""COMPUTED_VALUE"""),"https://minuttia.com/best-aeo-agencies/#:~:text=Now%20Over%20to%20You.%20HUMAN%20CRAFTED.%20This,Now%2C%20let's%20discuss%20each%20agency%20in%20detail.")</f>
        <v>https://minuttia.com/best-aeo-agencies/#:~:text=Now%20Over%20to%20You.%20HUMAN%20CRAFTED.%20This,Now%2C%20let's%20discuss%20each%20agency%20in%20detail.</v>
      </c>
      <c r="B105" s="11" t="str">
        <f>IFERROR(__xludf.DUMMYFUNCTION("""COMPUTED_VALUE"""),"10 Best Answer Engine Optimization (AEO) Agencies in July, 2026")</f>
        <v>10 Best Answer Engine Optimization (AEO) Agencies in July, 2026</v>
      </c>
      <c r="C105" s="10" t="str">
        <f>IFERROR(__xludf.DUMMYFUNCTION("""COMPUTED_VALUE"""),"minuttia.com")</f>
        <v>minuttia.com</v>
      </c>
      <c r="D105" s="11" t="str">
        <f>IFERROR(__xludf.DUMMYFUNCTION("""COMPUTED_VALUE"""),"OTHER")</f>
        <v>OTHER</v>
      </c>
      <c r="E105" s="11" t="str">
        <f>IFERROR(__xludf.DUMMYFUNCTION("""COMPUTED_VALUE"""),"CORPORATE")</f>
        <v>CORPORATE</v>
      </c>
      <c r="F105" s="11" t="str">
        <f>IFERROR(__xludf.DUMMYFUNCTION("""COMPUTED_VALUE"""),"Other")</f>
        <v>Other</v>
      </c>
      <c r="G105" s="11" t="b">
        <f>IFERROR(__xludf.DUMMYFUNCTION("""COMPUTED_VALUE"""),FALSE)</f>
        <v>0</v>
      </c>
      <c r="H105" s="11" t="str">
        <f>IFERROR(__xludf.DUMMYFUNCTION("""COMPUTED_VALUE"""),"Single Grain, First Page Sage, Siege Media, iPullRank, Avenue Z, NoGood, Clutch")</f>
        <v>Single Grain, First Page Sage, Siege Media, iPullRank, Avenue Z, NoGood, Clutch</v>
      </c>
      <c r="I105" s="11">
        <f>IFERROR(__xludf.DUMMYFUNCTION("""COMPUTED_VALUE"""),1.0)</f>
        <v>1</v>
      </c>
      <c r="J105" s="11">
        <f>IFERROR(__xludf.DUMMYFUNCTION("""COMPUTED_VALUE"""),0.0)</f>
        <v>0</v>
      </c>
      <c r="K105" s="11">
        <f>IFERROR(__xludf.DUMMYFUNCTION("""COMPUTED_VALUE"""),1.0)</f>
        <v>1</v>
      </c>
    </row>
    <row r="106" ht="15.75" customHeight="1">
      <c r="A106" s="10" t="str">
        <f>IFERROR(__xludf.DUMMYFUNCTION("""COMPUTED_VALUE"""),"https://www.ombrella.net/work/")</f>
        <v>https://www.ombrella.net/work/</v>
      </c>
      <c r="B106" s="11" t="str">
        <f>IFERROR(__xludf.DUMMYFUNCTION("""COMPUTED_VALUE"""),"Marketing Case Studies | Ombrella Digital Marketing Agency")</f>
        <v>Marketing Case Studies | Ombrella Digital Marketing Agency</v>
      </c>
      <c r="C106" s="10" t="str">
        <f>IFERROR(__xludf.DUMMYFUNCTION("""COMPUTED_VALUE"""),"ombrella.net")</f>
        <v>ombrella.net</v>
      </c>
      <c r="D106" s="11" t="str">
        <f>IFERROR(__xludf.DUMMYFUNCTION("""COMPUTED_VALUE"""),"OTHER")</f>
        <v>OTHER</v>
      </c>
      <c r="E106" s="11" t="str">
        <f>IFERROR(__xludf.DUMMYFUNCTION("""COMPUTED_VALUE"""),"OTHER")</f>
        <v>OTHER</v>
      </c>
      <c r="F106" s="11" t="str">
        <f>IFERROR(__xludf.DUMMYFUNCTION("""COMPUTED_VALUE"""),"Other")</f>
        <v>Other</v>
      </c>
      <c r="G106" s="11" t="b">
        <f>IFERROR(__xludf.DUMMYFUNCTION("""COMPUTED_VALUE"""),FALSE)</f>
        <v>0</v>
      </c>
      <c r="H106" s="11"/>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IFERROR(__xludf.DUMMYFUNCTION("""COMPUTED_VALUE"""),"https://partners.adobe.com/s/directory/solution/merkle")</f>
        <v>https://partners.adobe.com/s/directory/solution/merkle</v>
      </c>
      <c r="B107" s="11"/>
      <c r="C107" s="10" t="str">
        <f>IFERROR(__xludf.DUMMYFUNCTION("""COMPUTED_VALUE"""),"adobe.com")</f>
        <v>adobe.com</v>
      </c>
      <c r="D107" s="11" t="str">
        <f>IFERROR(__xludf.DUMMYFUNCTION("""COMPUTED_VALUE"""),"OTHER")</f>
        <v>OTHER</v>
      </c>
      <c r="E107" s="11" t="str">
        <f>IFERROR(__xludf.DUMMYFUNCTION("""COMPUTED_VALUE"""),"OTHER")</f>
        <v>OTHER</v>
      </c>
      <c r="F107" s="11" t="str">
        <f>IFERROR(__xludf.DUMMYFUNCTION("""COMPUTED_VALUE"""),"Other")</f>
        <v>Other</v>
      </c>
      <c r="G107" s="11"/>
      <c r="H107" s="11" t="str">
        <f>IFERROR(__xludf.DUMMYFUNCTION("""COMPUTED_VALUE"""),"Unknown")</f>
        <v>Unknown</v>
      </c>
      <c r="I107" s="11">
        <f>IFERROR(__xludf.DUMMYFUNCTION("""COMPUTED_VALUE"""),1.0)</f>
        <v>1</v>
      </c>
      <c r="J107" s="11">
        <f>IFERROR(__xludf.DUMMYFUNCTION("""COMPUTED_VALUE"""),0.0)</f>
        <v>0</v>
      </c>
      <c r="K107" s="11">
        <f>IFERROR(__xludf.DUMMYFUNCTION("""COMPUTED_VALUE"""),1.0)</f>
        <v>1</v>
      </c>
    </row>
    <row r="108" ht="15.75" customHeight="1">
      <c r="A108" s="10" t="str">
        <f>IFERROR(__xludf.DUMMYFUNCTION("""COMPUTED_VALUE"""),"https://partnersdirectory.withgoogle.com/intl/en-GB/")</f>
        <v>https://partnersdirectory.withgoogle.com/intl/en-GB/</v>
      </c>
      <c r="B108" s="11" t="str">
        <f>IFERROR(__xludf.DUMMYFUNCTION("""COMPUTED_VALUE"""),"Google Partners directory – Find a Partner for business growth")</f>
        <v>Google Partners directory – Find a Partner for business growth</v>
      </c>
      <c r="C108" s="10" t="str">
        <f>IFERROR(__xludf.DUMMYFUNCTION("""COMPUTED_VALUE"""),"withgoogle.com")</f>
        <v>withgoogle.com</v>
      </c>
      <c r="D108" s="11" t="str">
        <f>IFERROR(__xludf.DUMMYFUNCTION("""COMPUTED_VALUE"""),"OTHER")</f>
        <v>OTHER</v>
      </c>
      <c r="E108" s="11" t="str">
        <f>IFERROR(__xludf.DUMMYFUNCTION("""COMPUTED_VALUE"""),"CORPORATE")</f>
        <v>CORPORATE</v>
      </c>
      <c r="F108" s="11" t="str">
        <f>IFERROR(__xludf.DUMMYFUNCTION("""COMPUTED_VALUE"""),"Other")</f>
        <v>Other</v>
      </c>
      <c r="G108" s="11" t="b">
        <f>IFERROR(__xludf.DUMMYFUNCTION("""COMPUTED_VALUE"""),FALSE)</f>
        <v>0</v>
      </c>
      <c r="H108" s="11" t="str">
        <f>IFERROR(__xludf.DUMMYFUNCTION("""COMPUTED_VALUE"""),"Acadia, Accelerated Digital Media")</f>
        <v>Acadia, Accelerated Digital Media</v>
      </c>
      <c r="I108" s="11">
        <f>IFERROR(__xludf.DUMMYFUNCTION("""COMPUTED_VALUE"""),1.0)</f>
        <v>1</v>
      </c>
      <c r="J108" s="11">
        <f>IFERROR(__xludf.DUMMYFUNCTION("""COMPUTED_VALUE"""),0.0)</f>
        <v>0</v>
      </c>
      <c r="K108" s="11">
        <f>IFERROR(__xludf.DUMMYFUNCTION("""COMPUTED_VALUE"""),0.0)</f>
        <v>0</v>
      </c>
    </row>
    <row r="109" ht="15.75" customHeight="1">
      <c r="A109" s="10"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B109" s="11"/>
      <c r="C109" s="10" t="str">
        <f>IFERROR(__xludf.DUMMYFUNCTION("""COMPUTED_VALUE"""),"withgoogle.com")</f>
        <v>withgoogle.com</v>
      </c>
      <c r="D109" s="11" t="str">
        <f>IFERROR(__xludf.DUMMYFUNCTION("""COMPUTED_VALUE"""),"OTHER")</f>
        <v>OTHER</v>
      </c>
      <c r="E109" s="11" t="str">
        <f>IFERROR(__xludf.DUMMYFUNCTION("""COMPUTED_VALUE"""),"CORPORATE")</f>
        <v>CORPORATE</v>
      </c>
      <c r="F109" s="11" t="str">
        <f>IFERROR(__xludf.DUMMYFUNCTION("""COMPUTED_VALUE"""),"Other")</f>
        <v>Other</v>
      </c>
      <c r="G109" s="11"/>
      <c r="H109" s="11" t="str">
        <f>IFERROR(__xludf.DUMMYFUNCTION("""COMPUTED_VALUE"""),"Unknown")</f>
        <v>Unknown</v>
      </c>
      <c r="I109" s="11">
        <f>IFERROR(__xludf.DUMMYFUNCTION("""COMPUTED_VALUE"""),1.0)</f>
        <v>1</v>
      </c>
      <c r="J109" s="11">
        <f>IFERROR(__xludf.DUMMYFUNCTION("""COMPUTED_VALUE"""),0.0)</f>
        <v>0</v>
      </c>
      <c r="K109" s="11">
        <f>IFERROR(__xludf.DUMMYFUNCTION("""COMPUTED_VALUE"""),0.0)</f>
        <v>0</v>
      </c>
    </row>
    <row r="110" ht="15.75" customHeight="1">
      <c r="A110" s="10" t="str">
        <f>IFERROR(__xludf.DUMMYFUNCTION("""COMPUTED_VALUE"""),"https://pixelprodigies.com/case-studies/")</f>
        <v>https://pixelprodigies.com/case-studies/</v>
      </c>
      <c r="B110" s="11" t="str">
        <f>IFERROR(__xludf.DUMMYFUNCTION("""COMPUTED_VALUE"""),"Case Studies - Pixel Prodigies")</f>
        <v>Case Studies - Pixel Prodigies</v>
      </c>
      <c r="C110" s="10" t="str">
        <f>IFERROR(__xludf.DUMMYFUNCTION("""COMPUTED_VALUE"""),"pixelprodigies.com")</f>
        <v>pixelprodigies.com</v>
      </c>
      <c r="D110" s="11" t="str">
        <f>IFERROR(__xludf.DUMMYFUNCTION("""COMPUTED_VALUE"""),"OTHER")</f>
        <v>OTHER</v>
      </c>
      <c r="E110" s="11" t="str">
        <f>IFERROR(__xludf.DUMMYFUNCTION("""COMPUTED_VALUE"""),"CORPORATE")</f>
        <v>CORPORATE</v>
      </c>
      <c r="F110" s="11" t="str">
        <f>IFERROR(__xludf.DUMMYFUNCTION("""COMPUTED_VALUE"""),"Other")</f>
        <v>Other</v>
      </c>
      <c r="G110" s="11" t="b">
        <f>IFERROR(__xludf.DUMMYFUNCTION("""COMPUTED_VALUE"""),FALSE)</f>
        <v>0</v>
      </c>
      <c r="H110" s="11"/>
      <c r="I110" s="11">
        <f>IFERROR(__xludf.DUMMYFUNCTION("""COMPUTED_VALUE"""),1.0)</f>
        <v>1</v>
      </c>
      <c r="J110" s="11">
        <f>IFERROR(__xludf.DUMMYFUNCTION("""COMPUTED_VALUE"""),0.0)</f>
        <v>0</v>
      </c>
      <c r="K110" s="11">
        <f>IFERROR(__xludf.DUMMYFUNCTION("""COMPUTED_VALUE"""),0.0)</f>
        <v>0</v>
      </c>
    </row>
    <row r="111" ht="15.75" customHeight="1">
      <c r="A111" s="10" t="str">
        <f>IFERROR(__xludf.DUMMYFUNCTION("""COMPUTED_VALUE"""),"https://www.primeone.global/case-study/")</f>
        <v>https://www.primeone.global/case-study/</v>
      </c>
      <c r="B111" s="11" t="str">
        <f>IFERROR(__xludf.DUMMYFUNCTION("""COMPUTED_VALUE"""),"Successful Digital Marketing Case Studies - Prime One Global")</f>
        <v>Successful Digital Marketing Case Studies - Prime One Global</v>
      </c>
      <c r="C111" s="11" t="str">
        <f>IFERROR(__xludf.DUMMYFUNCTION("""COMPUTED_VALUE"""),"primeone.global")</f>
        <v>primeone.global</v>
      </c>
      <c r="D111" s="11" t="str">
        <f>IFERROR(__xludf.DUMMYFUNCTION("""COMPUTED_VALUE"""),"OTHER")</f>
        <v>OTHER</v>
      </c>
      <c r="E111" s="11" t="str">
        <f>IFERROR(__xludf.DUMMYFUNCTION("""COMPUTED_VALUE"""),"CORPORATE")</f>
        <v>CORPORATE</v>
      </c>
      <c r="F111" s="11" t="str">
        <f>IFERROR(__xludf.DUMMYFUNCTION("""COMPUTED_VALUE"""),"Other")</f>
        <v>Other</v>
      </c>
      <c r="G111" s="11" t="b">
        <f>IFERROR(__xludf.DUMMYFUNCTION("""COMPUTED_VALUE"""),FALSE)</f>
        <v>0</v>
      </c>
      <c r="H111" s="11"/>
      <c r="I111" s="11">
        <f>IFERROR(__xludf.DUMMYFUNCTION("""COMPUTED_VALUE"""),1.0)</f>
        <v>1</v>
      </c>
      <c r="J111" s="11">
        <f>IFERROR(__xludf.DUMMYFUNCTION("""COMPUTED_VALUE"""),0.0)</f>
        <v>0</v>
      </c>
      <c r="K111" s="11">
        <f>IFERROR(__xludf.DUMMYFUNCTION("""COMPUTED_VALUE"""),0.0)</f>
        <v>0</v>
      </c>
    </row>
    <row r="112" ht="15.75" customHeight="1">
      <c r="A112" s="10" t="str">
        <f>IFERROR(__xludf.DUMMYFUNCTION("""COMPUTED_VALUE"""),"https://www.prweek.com/article/1908852/prweek-us-awards-2025-outstanding-large-agency")</f>
        <v>https://www.prweek.com/article/1908852/prweek-us-awards-2025-outstanding-large-agency</v>
      </c>
      <c r="B112" s="11" t="str">
        <f>IFERROR(__xludf.DUMMYFUNCTION("""COMPUTED_VALUE"""),"PRWeek US Awards 2025: Outstanding Large Agency | PR Week")</f>
        <v>PRWeek US Awards 2025: Outstanding Large Agency | PR Week</v>
      </c>
      <c r="C112" s="10" t="str">
        <f>IFERROR(__xludf.DUMMYFUNCTION("""COMPUTED_VALUE"""),"prweek.com")</f>
        <v>prweek.com</v>
      </c>
      <c r="D112" s="11" t="str">
        <f>IFERROR(__xludf.DUMMYFUNCTION("""COMPUTED_VALUE"""),"OTHER")</f>
        <v>OTHER</v>
      </c>
      <c r="E112" s="11" t="str">
        <f>IFERROR(__xludf.DUMMYFUNCTION("""COMPUTED_VALUE"""),"EDITORIAL")</f>
        <v>EDITORIAL</v>
      </c>
      <c r="F112" s="11" t="str">
        <f>IFERROR(__xludf.DUMMYFUNCTION("""COMPUTED_VALUE"""),"Other")</f>
        <v>Other</v>
      </c>
      <c r="G112" s="11" t="b">
        <f>IFERROR(__xludf.DUMMYFUNCTION("""COMPUTED_VALUE"""),FALSE)</f>
        <v>0</v>
      </c>
      <c r="H112" s="11" t="str">
        <f>IFERROR(__xludf.DUMMYFUNCTION("""COMPUTED_VALUE"""),"Ogilvy")</f>
        <v>Ogilvy</v>
      </c>
      <c r="I112" s="11">
        <f>IFERROR(__xludf.DUMMYFUNCTION("""COMPUTED_VALUE"""),1.0)</f>
        <v>1</v>
      </c>
      <c r="J112" s="11">
        <f>IFERROR(__xludf.DUMMYFUNCTION("""COMPUTED_VALUE"""),0.0)</f>
        <v>0</v>
      </c>
      <c r="K112" s="11">
        <f>IFERROR(__xludf.DUMMYFUNCTION("""COMPUTED_VALUE"""),0.0)</f>
        <v>0</v>
      </c>
    </row>
    <row r="113" ht="15.75" customHeight="1">
      <c r="A113" s="10" t="str">
        <f>IFERROR(__xludf.DUMMYFUNCTION("""COMPUTED_VALUE"""),"https://purplez.com/digital-marketing-services/display-advertising-services/")</f>
        <v>https://purplez.com/digital-marketing-services/display-advertising-services/</v>
      </c>
      <c r="B113" s="11" t="str">
        <f>IFERROR(__xludf.DUMMYFUNCTION("""COMPUTED_VALUE"""),"Display Advertising Services | PurpleZ Digital Marketing Agency")</f>
        <v>Display Advertising Services | PurpleZ Digital Marketing Agency</v>
      </c>
      <c r="C113" s="10" t="str">
        <f>IFERROR(__xludf.DUMMYFUNCTION("""COMPUTED_VALUE"""),"purplez.com")</f>
        <v>purplez.com</v>
      </c>
      <c r="D113" s="11" t="str">
        <f>IFERROR(__xludf.DUMMYFUNCTION("""COMPUTED_VALUE"""),"OTHER")</f>
        <v>OTHER</v>
      </c>
      <c r="E113" s="11" t="str">
        <f>IFERROR(__xludf.DUMMYFUNCTION("""COMPUTED_VALUE"""),"CORPORATE")</f>
        <v>CORPORATE</v>
      </c>
      <c r="F113" s="11" t="str">
        <f>IFERROR(__xludf.DUMMYFUNCTION("""COMPUTED_VALUE"""),"Other")</f>
        <v>Other</v>
      </c>
      <c r="G113" s="11" t="b">
        <f>IFERROR(__xludf.DUMMYFUNCTION("""COMPUTED_VALUE"""),FALSE)</f>
        <v>0</v>
      </c>
      <c r="H113" s="11"/>
      <c r="I113" s="11">
        <f>IFERROR(__xludf.DUMMYFUNCTION("""COMPUTED_VALUE"""),1.0)</f>
        <v>1</v>
      </c>
      <c r="J113" s="11">
        <f>IFERROR(__xludf.DUMMYFUNCTION("""COMPUTED_VALUE"""),0.0)</f>
        <v>0</v>
      </c>
      <c r="K113" s="11">
        <f>IFERROR(__xludf.DUMMYFUNCTION("""COMPUTED_VALUE"""),1.0)</f>
        <v>1</v>
      </c>
    </row>
    <row r="114" ht="15.75" customHeight="1">
      <c r="A114" s="10" t="str">
        <f>IFERROR(__xludf.DUMMYFUNCTION("""COMPUTED_VALUE"""),"https://pwskills.com/blog/digital-marketing/performance-marketing-agencies")</f>
        <v>https://pwskills.com/blog/digital-marketing/performance-marketing-agencies</v>
      </c>
      <c r="B114" s="11" t="str">
        <f>IFERROR(__xludf.DUMMYFUNCTION("""COMPUTED_VALUE"""),"What Are Performance Marketing Agencies")</f>
        <v>What Are Performance Marketing Agencies</v>
      </c>
      <c r="C114" s="10" t="str">
        <f>IFERROR(__xludf.DUMMYFUNCTION("""COMPUTED_VALUE"""),"pwskills.com")</f>
        <v>pwskills.com</v>
      </c>
      <c r="D114" s="11" t="str">
        <f>IFERROR(__xludf.DUMMYFUNCTION("""COMPUTED_VALUE"""),"OTHER")</f>
        <v>OTHER</v>
      </c>
      <c r="E114" s="11" t="str">
        <f>IFERROR(__xludf.DUMMYFUNCTION("""COMPUTED_VALUE"""),"OTHER")</f>
        <v>OTHER</v>
      </c>
      <c r="F114" s="11" t="str">
        <f>IFERROR(__xludf.DUMMYFUNCTION("""COMPUTED_VALUE"""),"Other")</f>
        <v>Other</v>
      </c>
      <c r="G114" s="11" t="b">
        <f>IFERROR(__xludf.DUMMYFUNCTION("""COMPUTED_VALUE"""),FALSE)</f>
        <v>0</v>
      </c>
      <c r="H114" s="11" t="str">
        <f>IFERROR(__xludf.DUMMYFUNCTION("""COMPUTED_VALUE"""),"NinjaPromo, Brainlabs, NoGood, MuteSix, Measured")</f>
        <v>NinjaPromo, Brainlabs, NoGood, MuteSix, Measured</v>
      </c>
      <c r="I114" s="11">
        <f>IFERROR(__xludf.DUMMYFUNCTION("""COMPUTED_VALUE"""),1.0)</f>
        <v>1</v>
      </c>
      <c r="J114" s="11">
        <f>IFERROR(__xludf.DUMMYFUNCTION("""COMPUTED_VALUE"""),0.0)</f>
        <v>0</v>
      </c>
      <c r="K114" s="11">
        <f>IFERROR(__xludf.DUMMYFUNCTION("""COMPUTED_VALUE"""),1.0)</f>
        <v>1</v>
      </c>
    </row>
    <row r="115" ht="15.75" customHeight="1">
      <c r="A115" s="10" t="str">
        <f>IFERROR(__xludf.DUMMYFUNCTION("""COMPUTED_VALUE"""),"https://www.quora.com/Which-are-the-best-social-media-marketing-agencies-in-USA")</f>
        <v>https://www.quora.com/Which-are-the-best-social-media-marketing-agencies-in-USA</v>
      </c>
      <c r="B115" s="11"/>
      <c r="C115" s="10" t="str">
        <f>IFERROR(__xludf.DUMMYFUNCTION("""COMPUTED_VALUE"""),"quora.com")</f>
        <v>quora.com</v>
      </c>
      <c r="D115" s="11" t="str">
        <f>IFERROR(__xludf.DUMMYFUNCTION("""COMPUTED_VALUE"""),"OTHER")</f>
        <v>OTHER</v>
      </c>
      <c r="E115" s="11" t="str">
        <f>IFERROR(__xludf.DUMMYFUNCTION("""COMPUTED_VALUE"""),"OTHER")</f>
        <v>OTHER</v>
      </c>
      <c r="F115" s="11" t="str">
        <f>IFERROR(__xludf.DUMMYFUNCTION("""COMPUTED_VALUE"""),"Other")</f>
        <v>Other</v>
      </c>
      <c r="G115" s="11"/>
      <c r="H115" s="11" t="str">
        <f>IFERROR(__xludf.DUMMYFUNCTION("""COMPUTED_VALUE"""),"Unknown")</f>
        <v>Unknown</v>
      </c>
      <c r="I115" s="11">
        <f>IFERROR(__xludf.DUMMYFUNCTION("""COMPUTED_VALUE"""),1.0)</f>
        <v>1</v>
      </c>
      <c r="J115" s="11">
        <f>IFERROR(__xludf.DUMMYFUNCTION("""COMPUTED_VALUE"""),0.0)</f>
        <v>0</v>
      </c>
      <c r="K115" s="11">
        <f>IFERROR(__xludf.DUMMYFUNCTION("""COMPUTED_VALUE"""),1.0)</f>
        <v>1</v>
      </c>
    </row>
    <row r="116" ht="15.75" customHeight="1">
      <c r="A116" s="10" t="str">
        <f>IFERROR(__xludf.DUMMYFUNCTION("""COMPUTED_VALUE"""),"https://revclickmarketing.com/services/incrementality-testing-mmm/")</f>
        <v>https://revclickmarketing.com/services/incrementality-testing-mmm/</v>
      </c>
      <c r="B116" s="11"/>
      <c r="C116" s="10" t="str">
        <f>IFERROR(__xludf.DUMMYFUNCTION("""COMPUTED_VALUE"""),"revclickmarketing.com")</f>
        <v>revclickmarketing.com</v>
      </c>
      <c r="D116" s="11" t="str">
        <f>IFERROR(__xludf.DUMMYFUNCTION("""COMPUTED_VALUE"""),"OTHER")</f>
        <v>OTHER</v>
      </c>
      <c r="E116" s="11" t="str">
        <f>IFERROR(__xludf.DUMMYFUNCTION("""COMPUTED_VALUE"""),"CORPORATE")</f>
        <v>CORPORATE</v>
      </c>
      <c r="F116" s="11" t="str">
        <f>IFERROR(__xludf.DUMMYFUNCTION("""COMPUTED_VALUE"""),"Other")</f>
        <v>Other</v>
      </c>
      <c r="G116" s="11"/>
      <c r="H116" s="11" t="str">
        <f>IFERROR(__xludf.DUMMYFUNCTION("""COMPUTED_VALUE"""),"Unknown")</f>
        <v>Unknown</v>
      </c>
      <c r="I116" s="11">
        <f>IFERROR(__xludf.DUMMYFUNCTION("""COMPUTED_VALUE"""),1.0)</f>
        <v>1</v>
      </c>
      <c r="J116" s="11">
        <f>IFERROR(__xludf.DUMMYFUNCTION("""COMPUTED_VALUE"""),0.0)</f>
        <v>0</v>
      </c>
      <c r="K116" s="11">
        <f>IFERROR(__xludf.DUMMYFUNCTION("""COMPUTED_VALUE"""),0.0)</f>
        <v>0</v>
      </c>
    </row>
    <row r="117" ht="15.75" customHeight="1">
      <c r="A117" s="10" t="str">
        <f>IFERROR(__xludf.DUMMYFUNCTION("""COMPUTED_VALUE"""),"https://scopicstudios.com/blog/first-party-data-adoption-statistics-every-marketer-must-know/")</f>
        <v>https://scopicstudios.com/blog/first-party-data-adoption-statistics-every-marketer-must-know/</v>
      </c>
      <c r="B117" s="11" t="str">
        <f>IFERROR(__xludf.DUMMYFUNCTION("""COMPUTED_VALUE"""),"First-Party Data Strategies: Key Stats for Marketers in 2026")</f>
        <v>First-Party Data Strategies: Key Stats for Marketers in 2026</v>
      </c>
      <c r="C117" s="10" t="str">
        <f>IFERROR(__xludf.DUMMYFUNCTION("""COMPUTED_VALUE"""),"scopicstudios.com")</f>
        <v>scopicstudios.com</v>
      </c>
      <c r="D117" s="11" t="str">
        <f>IFERROR(__xludf.DUMMYFUNCTION("""COMPUTED_VALUE"""),"OTHER")</f>
        <v>OTHER</v>
      </c>
      <c r="E117" s="11" t="str">
        <f>IFERROR(__xludf.DUMMYFUNCTION("""COMPUTED_VALUE"""),"CORPORATE")</f>
        <v>CORPORATE</v>
      </c>
      <c r="F117" s="11" t="str">
        <f>IFERROR(__xludf.DUMMYFUNCTION("""COMPUTED_VALUE"""),"Other")</f>
        <v>Other</v>
      </c>
      <c r="G117" s="11" t="b">
        <f>IFERROR(__xludf.DUMMYFUNCTION("""COMPUTED_VALUE"""),FALSE)</f>
        <v>0</v>
      </c>
      <c r="H117" s="11" t="str">
        <f>IFERROR(__xludf.DUMMYFUNCTION("""COMPUTED_VALUE"""),"Epsilon, NoGood")</f>
        <v>Epsilon, NoGood</v>
      </c>
      <c r="I117" s="11">
        <f>IFERROR(__xludf.DUMMYFUNCTION("""COMPUTED_VALUE"""),1.0)</f>
        <v>1</v>
      </c>
      <c r="J117" s="11">
        <f>IFERROR(__xludf.DUMMYFUNCTION("""COMPUTED_VALUE"""),0.0)</f>
        <v>0</v>
      </c>
      <c r="K117" s="11">
        <f>IFERROR(__xludf.DUMMYFUNCTION("""COMPUTED_VALUE"""),0.0)</f>
        <v>0</v>
      </c>
    </row>
    <row r="118" ht="15.75" customHeight="1">
      <c r="A118" s="10" t="str">
        <f>IFERROR(__xludf.DUMMYFUNCTION("""COMPUTED_VALUE"""),"https://www.sealglobalholdings.com/blog/best-ai-search-optimization-agencies-2026#:~:text=AI%20visibility%20monitoring.-,Generative%20Engine%20Optimization%20(GEO),Answer%20Engine%20Optimization%20(AEO)")</f>
        <v>https://www.sealglobalholdings.com/blog/best-ai-search-optimization-agencies-2026#:~:text=AI%20visibility%20monitoring.-,Generative%20Engine%20Optimization%20(GEO),Answer%20Engine%20Optimization%20(AEO)</v>
      </c>
      <c r="B118" s="11"/>
      <c r="C118" s="10" t="str">
        <f>IFERROR(__xludf.DUMMYFUNCTION("""COMPUTED_VALUE"""),"sealglobalholdings.com")</f>
        <v>sealglobalholdings.com</v>
      </c>
      <c r="D118" s="11" t="str">
        <f>IFERROR(__xludf.DUMMYFUNCTION("""COMPUTED_VALUE"""),"OTHER")</f>
        <v>OTHER</v>
      </c>
      <c r="E118" s="11" t="str">
        <f>IFERROR(__xludf.DUMMYFUNCTION("""COMPUTED_VALUE"""),"CORPORATE")</f>
        <v>CORPORATE</v>
      </c>
      <c r="F118" s="11" t="str">
        <f>IFERROR(__xludf.DUMMYFUNCTION("""COMPUTED_VALUE"""),"Other")</f>
        <v>Other</v>
      </c>
      <c r="G118" s="11"/>
      <c r="H118" s="11" t="str">
        <f>IFERROR(__xludf.DUMMYFUNCTION("""COMPUTED_VALUE"""),"Unknown")</f>
        <v>Unknown</v>
      </c>
      <c r="I118" s="11">
        <f>IFERROR(__xludf.DUMMYFUNCTION("""COMPUTED_VALUE"""),1.0)</f>
        <v>1</v>
      </c>
      <c r="J118" s="11">
        <f>IFERROR(__xludf.DUMMYFUNCTION("""COMPUTED_VALUE"""),0.0)</f>
        <v>0</v>
      </c>
      <c r="K118" s="11">
        <f>IFERROR(__xludf.DUMMYFUNCTION("""COMPUTED_VALUE"""),1.0)</f>
        <v>1</v>
      </c>
    </row>
    <row r="119" ht="15.75" customHeight="1">
      <c r="A119" s="10" t="str">
        <f>IFERROR(__xludf.DUMMYFUNCTION("""COMPUTED_VALUE"""),"https://www.singlegrain.com/?p=69243")</f>
        <v>https://www.singlegrain.com/?p=69243</v>
      </c>
      <c r="B119" s="11" t="str">
        <f>IFERROR(__xludf.DUMMYFUNCTION("""COMPUTED_VALUE"""),"Top 14 AEO Agencies in 2025")</f>
        <v>Top 14 AEO Agencies in 2025</v>
      </c>
      <c r="C119" s="10" t="str">
        <f>IFERROR(__xludf.DUMMYFUNCTION("""COMPUTED_VALUE"""),"singlegrain.com")</f>
        <v>singlegrain.com</v>
      </c>
      <c r="D119" s="11" t="str">
        <f>IFERROR(__xludf.DUMMYFUNCTION("""COMPUTED_VALUE"""),"OTHER")</f>
        <v>OTHER</v>
      </c>
      <c r="E119" s="11" t="str">
        <f>IFERROR(__xludf.DUMMYFUNCTION("""COMPUTED_VALUE"""),"COMPETITOR")</f>
        <v>COMPETITOR</v>
      </c>
      <c r="F119" s="11" t="str">
        <f>IFERROR(__xludf.DUMMYFUNCTION("""COMPUTED_VALUE"""),"Other")</f>
        <v>Other</v>
      </c>
      <c r="G119" s="11" t="b">
        <f>IFERROR(__xludf.DUMMYFUNCTION("""COMPUTED_VALUE"""),FALSE)</f>
        <v>0</v>
      </c>
      <c r="H119" s="11" t="str">
        <f>IFERROR(__xludf.DUMMYFUNCTION("""COMPUTED_VALUE"""),"Single Grain, NoGood, RevenueZen, iPullRank, WebFX, First Page Sage")</f>
        <v>Single Grain, NoGood, RevenueZen, iPullRank, WebFX, First Page Sage</v>
      </c>
      <c r="I119" s="11">
        <f>IFERROR(__xludf.DUMMYFUNCTION("""COMPUTED_VALUE"""),1.0)</f>
        <v>1</v>
      </c>
      <c r="J119" s="11">
        <f>IFERROR(__xludf.DUMMYFUNCTION("""COMPUTED_VALUE"""),0.0)</f>
        <v>0</v>
      </c>
      <c r="K119" s="11">
        <f>IFERROR(__xludf.DUMMYFUNCTION("""COMPUTED_VALUE"""),0.0)</f>
        <v>0</v>
      </c>
    </row>
    <row r="120" ht="15.75" customHeight="1">
      <c r="A120" s="10" t="str">
        <f>IFERROR(__xludf.DUMMYFUNCTION("""COMPUTED_VALUE"""),"https://www.singlegrain.com/?p=69273")</f>
        <v>https://www.singlegrain.com/?p=69273</v>
      </c>
      <c r="B120" s="11" t="str">
        <f>IFERROR(__xludf.DUMMYFUNCTION("""COMPUTED_VALUE"""),"Top 14 AEO Agencies in 2025")</f>
        <v>Top 14 AEO Agencies in 2025</v>
      </c>
      <c r="C120" s="10" t="str">
        <f>IFERROR(__xludf.DUMMYFUNCTION("""COMPUTED_VALUE"""),"singlegrain.com")</f>
        <v>singlegrain.com</v>
      </c>
      <c r="D120" s="11" t="str">
        <f>IFERROR(__xludf.DUMMYFUNCTION("""COMPUTED_VALUE"""),"OTHER")</f>
        <v>OTHER</v>
      </c>
      <c r="E120" s="11" t="str">
        <f>IFERROR(__xludf.DUMMYFUNCTION("""COMPUTED_VALUE"""),"COMPETITOR")</f>
        <v>COMPETITOR</v>
      </c>
      <c r="F120" s="11" t="str">
        <f>IFERROR(__xludf.DUMMYFUNCTION("""COMPUTED_VALUE"""),"Other")</f>
        <v>Other</v>
      </c>
      <c r="G120" s="11" t="b">
        <f>IFERROR(__xludf.DUMMYFUNCTION("""COMPUTED_VALUE"""),FALSE)</f>
        <v>0</v>
      </c>
      <c r="H120" s="11" t="str">
        <f>IFERROR(__xludf.DUMMYFUNCTION("""COMPUTED_VALUE"""),"Single Grain, NoGood, RevenueZen, iPullRank, WebFX, First Page Sage")</f>
        <v>Single Grain, NoGood, RevenueZen, iPullRank, WebFX, First Page Sage</v>
      </c>
      <c r="I120" s="11">
        <f>IFERROR(__xludf.DUMMYFUNCTION("""COMPUTED_VALUE"""),1.0)</f>
        <v>1</v>
      </c>
      <c r="J120" s="11">
        <f>IFERROR(__xludf.DUMMYFUNCTION("""COMPUTED_VALUE"""),0.0)</f>
        <v>0</v>
      </c>
      <c r="K120" s="11">
        <f>IFERROR(__xludf.DUMMYFUNCTION("""COMPUTED_VALUE"""),0.0)</f>
        <v>0</v>
      </c>
    </row>
    <row r="121" ht="15.75" customHeight="1">
      <c r="A121" s="10" t="str">
        <f>IFERROR(__xludf.DUMMYFUNCTION("""COMPUTED_VALUE"""),"https://www.stanleyconsultants.com/solutions/planning-consulting/geospatial-surveying-services#:~:text=As%20a%20full%2Dservice%20GIS%20consulting%20firm%2C%20Stanley,and%20manage%20spatial%20information%20in%20real%20time.")</f>
        <v>https://www.stanleyconsultants.com/solutions/planning-consulting/geospatial-surveying-services#:~:text=As%20a%20full%2Dservice%20GIS%20consulting%20firm%2C%20Stanley,and%20manage%20spatial%20information%20in%20real%20time.</v>
      </c>
      <c r="B121" s="11"/>
      <c r="C121" s="10" t="str">
        <f>IFERROR(__xludf.DUMMYFUNCTION("""COMPUTED_VALUE"""),"stanleyconsultants.com")</f>
        <v>stanleyconsultants.com</v>
      </c>
      <c r="D121" s="11" t="str">
        <f>IFERROR(__xludf.DUMMYFUNCTION("""COMPUTED_VALUE"""),"OTHER")</f>
        <v>OTHER</v>
      </c>
      <c r="E121" s="11" t="str">
        <f>IFERROR(__xludf.DUMMYFUNCTION("""COMPUTED_VALUE"""),"CORPORATE")</f>
        <v>CORPORATE</v>
      </c>
      <c r="F121" s="11" t="str">
        <f>IFERROR(__xludf.DUMMYFUNCTION("""COMPUTED_VALUE"""),"Other")</f>
        <v>Other</v>
      </c>
      <c r="G121" s="11" t="b">
        <f>IFERROR(__xludf.DUMMYFUNCTION("""COMPUTED_VALUE"""),FALSE)</f>
        <v>0</v>
      </c>
      <c r="H121" s="11"/>
      <c r="I121" s="11">
        <f>IFERROR(__xludf.DUMMYFUNCTION("""COMPUTED_VALUE"""),1.0)</f>
        <v>1</v>
      </c>
      <c r="J121" s="11">
        <f>IFERROR(__xludf.DUMMYFUNCTION("""COMPUTED_VALUE"""),0.0)</f>
        <v>0</v>
      </c>
      <c r="K121" s="11">
        <f>IFERROR(__xludf.DUMMYFUNCTION("""COMPUTED_VALUE"""),1.0)</f>
        <v>1</v>
      </c>
    </row>
    <row r="122" ht="15.75" customHeight="1">
      <c r="A122" s="10" t="str">
        <f>IFERROR(__xludf.DUMMYFUNCTION("""COMPUTED_VALUE"""),"https://starusa.org/services/ctpat-certification/#:~:text=Our%20experts%20streamline%20your%20supply%20chain%20processes,operations%2C%20enhancing%20efficiency%20and%20reducing%20potential%20disruptions.")</f>
        <v>https://starusa.org/services/ctpat-certification/#:~:text=Our%20experts%20streamline%20your%20supply%20chain%20processes,operations%2C%20enhancing%20efficiency%20and%20reducing%20potential%20disruptions.</v>
      </c>
      <c r="B122" s="11" t="str">
        <f>IFERROR(__xludf.DUMMYFUNCTION("""COMPUTED_VALUE"""),"CTPAT Certification - Star USA, Inc.")</f>
        <v>CTPAT Certification - Star USA, Inc.</v>
      </c>
      <c r="C122" s="10" t="str">
        <f>IFERROR(__xludf.DUMMYFUNCTION("""COMPUTED_VALUE"""),"starusa.org")</f>
        <v>starusa.org</v>
      </c>
      <c r="D122" s="11" t="str">
        <f>IFERROR(__xludf.DUMMYFUNCTION("""COMPUTED_VALUE"""),"OTHER")</f>
        <v>OTHER</v>
      </c>
      <c r="E122" s="11" t="str">
        <f>IFERROR(__xludf.DUMMYFUNCTION("""COMPUTED_VALUE"""),"CORPORATE")</f>
        <v>CORPORATE</v>
      </c>
      <c r="F122" s="11" t="str">
        <f>IFERROR(__xludf.DUMMYFUNCTION("""COMPUTED_VALUE"""),"Other")</f>
        <v>Other</v>
      </c>
      <c r="G122" s="11" t="b">
        <f>IFERROR(__xludf.DUMMYFUNCTION("""COMPUTED_VALUE"""),FALSE)</f>
        <v>0</v>
      </c>
      <c r="H122" s="11"/>
      <c r="I122" s="11">
        <f>IFERROR(__xludf.DUMMYFUNCTION("""COMPUTED_VALUE"""),1.0)</f>
        <v>1</v>
      </c>
      <c r="J122" s="11">
        <f>IFERROR(__xludf.DUMMYFUNCTION("""COMPUTED_VALUE"""),0.0)</f>
        <v>0</v>
      </c>
      <c r="K122" s="11">
        <f>IFERROR(__xludf.DUMMYFUNCTION("""COMPUTED_VALUE"""),1.0)</f>
        <v>1</v>
      </c>
    </row>
    <row r="123" ht="15.75" customHeight="1">
      <c r="A123" s="10" t="str">
        <f>IFERROR(__xludf.DUMMYFUNCTION("""COMPUTED_VALUE"""),"https://support.google.com/tagmanager/answer/7237700?hl=en-AU")</f>
        <v>https://support.google.com/tagmanager/answer/7237700?hl=en-AU</v>
      </c>
      <c r="B123" s="11" t="str">
        <f>IFERROR(__xludf.DUMMYFUNCTION("""COMPUTED_VALUE"""),"Google Marketing Platform Partners - Tag Manager Help")</f>
        <v>Google Marketing Platform Partners - Tag Manager Help</v>
      </c>
      <c r="C123" s="10" t="str">
        <f>IFERROR(__xludf.DUMMYFUNCTION("""COMPUTED_VALUE"""),"google.com")</f>
        <v>google.com</v>
      </c>
      <c r="D123" s="11" t="str">
        <f>IFERROR(__xludf.DUMMYFUNCTION("""COMPUTED_VALUE"""),"OTHER")</f>
        <v>OTHER</v>
      </c>
      <c r="E123" s="11" t="str">
        <f>IFERROR(__xludf.DUMMYFUNCTION("""COMPUTED_VALUE"""),"OTHER")</f>
        <v>OTHER</v>
      </c>
      <c r="F123" s="11" t="str">
        <f>IFERROR(__xludf.DUMMYFUNCTION("""COMPUTED_VALUE"""),"Other")</f>
        <v>Other</v>
      </c>
      <c r="G123" s="11" t="b">
        <f>IFERROR(__xludf.DUMMYFUNCTION("""COMPUTED_VALUE"""),FALSE)</f>
        <v>0</v>
      </c>
      <c r="H123" s="11"/>
      <c r="I123" s="11">
        <f>IFERROR(__xludf.DUMMYFUNCTION("""COMPUTED_VALUE"""),1.0)</f>
        <v>1</v>
      </c>
      <c r="J123" s="11">
        <f>IFERROR(__xludf.DUMMYFUNCTION("""COMPUTED_VALUE"""),0.0)</f>
        <v>0</v>
      </c>
      <c r="K123" s="11">
        <f>IFERROR(__xludf.DUMMYFUNCTION("""COMPUTED_VALUE"""),0.0)</f>
        <v>0</v>
      </c>
    </row>
    <row r="124" ht="15.75" customHeight="1">
      <c r="A124" s="10" t="str">
        <f>IFERROR(__xludf.DUMMYFUNCTION("""COMPUTED_VALUE"""),"https://www.thehackettgroup.com/gen-ai-consulting/#:~:text=We%20assess%20your%20data%2C%20systems%2C%20governance%20and,ensuring%20your%20foundation%20is%20secure%20and%20scalable.")</f>
        <v>https://www.thehackettgroup.com/gen-ai-consulting/#:~:text=We%20assess%20your%20data%2C%20systems%2C%20governance%20and,ensuring%20your%20foundation%20is%20secure%20and%20scalable.</v>
      </c>
      <c r="B124" s="11" t="str">
        <f>IFERROR(__xludf.DUMMYFUNCTION("""COMPUTED_VALUE"""),"Generative AI Consulting Services | The Hackett Group®")</f>
        <v>Generative AI Consulting Services | The Hackett Group®</v>
      </c>
      <c r="C124" s="10" t="str">
        <f>IFERROR(__xludf.DUMMYFUNCTION("""COMPUTED_VALUE"""),"thehackettgroup.com")</f>
        <v>thehackettgroup.com</v>
      </c>
      <c r="D124" s="11" t="str">
        <f>IFERROR(__xludf.DUMMYFUNCTION("""COMPUTED_VALUE"""),"OTHER")</f>
        <v>OTHER</v>
      </c>
      <c r="E124" s="11" t="str">
        <f>IFERROR(__xludf.DUMMYFUNCTION("""COMPUTED_VALUE"""),"CORPORATE")</f>
        <v>CORPORATE</v>
      </c>
      <c r="F124" s="11" t="str">
        <f>IFERROR(__xludf.DUMMYFUNCTION("""COMPUTED_VALUE"""),"Other")</f>
        <v>Other</v>
      </c>
      <c r="G124" s="11" t="b">
        <f>IFERROR(__xludf.DUMMYFUNCTION("""COMPUTED_VALUE"""),FALSE)</f>
        <v>0</v>
      </c>
      <c r="H124" s="11" t="str">
        <f>IFERROR(__xludf.DUMMYFUNCTION("""COMPUTED_VALUE"""),"IBM, Anomaly")</f>
        <v>IBM, Anomaly</v>
      </c>
      <c r="I124" s="11">
        <f>IFERROR(__xludf.DUMMYFUNCTION("""COMPUTED_VALUE"""),1.0)</f>
        <v>1</v>
      </c>
      <c r="J124" s="11">
        <f>IFERROR(__xludf.DUMMYFUNCTION("""COMPUTED_VALUE"""),0.0)</f>
        <v>0</v>
      </c>
      <c r="K124" s="11">
        <f>IFERROR(__xludf.DUMMYFUNCTION("""COMPUTED_VALUE"""),1.0)</f>
        <v>1</v>
      </c>
    </row>
    <row r="125" ht="15.75" customHeight="1">
      <c r="A125" s="10" t="str">
        <f>IFERROR(__xludf.DUMMYFUNCTION("""COMPUTED_VALUE"""),"https://themanifest.com/us/social-media/agencies?page=1")</f>
        <v>https://themanifest.com/us/social-media/agencies?page=1</v>
      </c>
      <c r="B125" s="11" t="str">
        <f>IFERROR(__xludf.DUMMYFUNCTION("""COMPUTED_VALUE"""),"The Best Social Media Marketing Companies in United States - Jul 2026 | The Manifest")</f>
        <v>The Best Social Media Marketing Companies in United States - Jul 2026 | The Manifest</v>
      </c>
      <c r="C125" s="10" t="str">
        <f>IFERROR(__xludf.DUMMYFUNCTION("""COMPUTED_VALUE"""),"themanifest.com")</f>
        <v>themanifest.com</v>
      </c>
      <c r="D125" s="11" t="str">
        <f>IFERROR(__xludf.DUMMYFUNCTION("""COMPUTED_VALUE"""),"OTHER")</f>
        <v>OTHER</v>
      </c>
      <c r="E125" s="11" t="str">
        <f>IFERROR(__xludf.DUMMYFUNCTION("""COMPUTED_VALUE"""),"REFERENCE")</f>
        <v>REFERENCE</v>
      </c>
      <c r="F125" s="11" t="str">
        <f>IFERROR(__xludf.DUMMYFUNCTION("""COMPUTED_VALUE"""),"Other")</f>
        <v>Other</v>
      </c>
      <c r="G125" s="11" t="b">
        <f>IFERROR(__xludf.DUMMYFUNCTION("""COMPUTED_VALUE"""),FALSE)</f>
        <v>0</v>
      </c>
      <c r="H125" s="11" t="str">
        <f>IFERROR(__xludf.DUMMYFUNCTION("""COMPUTED_VALUE"""),"Clutch, Ignite Visibility, Elit-Web, KlientBoost, Disruptive Advertising, AdVenture Media, HawkSEM, Acadia, SmartSites, NinjaPromo, LYFE Marketing, Sociallyin")</f>
        <v>Clutch, Ignite Visibility, Elit-Web, KlientBoost, Disruptive Advertising, AdVenture Media, HawkSEM, Acadia, SmartSites, NinjaPromo, LYFE Marketing, Sociallyin</v>
      </c>
      <c r="I125" s="11">
        <f>IFERROR(__xludf.DUMMYFUNCTION("""COMPUTED_VALUE"""),1.0)</f>
        <v>1</v>
      </c>
      <c r="J125" s="11">
        <f>IFERROR(__xludf.DUMMYFUNCTION("""COMPUTED_VALUE"""),0.0)</f>
        <v>0</v>
      </c>
      <c r="K125" s="11">
        <f>IFERROR(__xludf.DUMMYFUNCTION("""COMPUTED_VALUE"""),0.0)</f>
        <v>0</v>
      </c>
    </row>
    <row r="126" ht="15.75" customHeight="1">
      <c r="A126" s="10" t="str">
        <f>IFERROR(__xludf.DUMMYFUNCTION("""COMPUTED_VALUE"""),"https://www.trackingplan.com/blog/incrementality-testing-a-2026-guide-for-marketers-en#:~:text=Incrementality%20testing%20is%20a%20controlled%20marketing%20experiment,for%20conversions%20that%20would%20have%20happened%20anyway.")</f>
        <v>https://www.trackingplan.com/blog/incrementality-testing-a-2026-guide-for-marketers-en#:~:text=Incrementality%20testing%20is%20a%20controlled%20marketing%20experiment,for%20conversions%20that%20would%20have%20happened%20anyway.</v>
      </c>
      <c r="B126" s="11" t="str">
        <f>IFERROR(__xludf.DUMMYFUNCTION("""COMPUTED_VALUE"""),"Incrementality Testing: A 2026 Guide for Marketers | Trackingplan")</f>
        <v>Incrementality Testing: A 2026 Guide for Marketers | Trackingplan</v>
      </c>
      <c r="C126" s="10" t="str">
        <f>IFERROR(__xludf.DUMMYFUNCTION("""COMPUTED_VALUE"""),"trackingplan.com")</f>
        <v>trackingplan.com</v>
      </c>
      <c r="D126" s="11" t="str">
        <f>IFERROR(__xludf.DUMMYFUNCTION("""COMPUTED_VALUE"""),"OTHER")</f>
        <v>OTHER</v>
      </c>
      <c r="E126" s="11" t="str">
        <f>IFERROR(__xludf.DUMMYFUNCTION("""COMPUTED_VALUE"""),"CORPORATE")</f>
        <v>CORPORATE</v>
      </c>
      <c r="F126" s="11" t="str">
        <f>IFERROR(__xludf.DUMMYFUNCTION("""COMPUTED_VALUE"""),"Other")</f>
        <v>Other</v>
      </c>
      <c r="G126" s="11" t="b">
        <f>IFERROR(__xludf.DUMMYFUNCTION("""COMPUTED_VALUE"""),FALSE)</f>
        <v>0</v>
      </c>
      <c r="H126" s="11" t="str">
        <f>IFERROR(__xludf.DUMMYFUNCTION("""COMPUTED_VALUE"""),"Measured, Cometly, Nielsen, Anomaly")</f>
        <v>Measured, Cometly, Nielsen, Anomaly</v>
      </c>
      <c r="I126" s="11">
        <f>IFERROR(__xludf.DUMMYFUNCTION("""COMPUTED_VALUE"""),1.0)</f>
        <v>1</v>
      </c>
      <c r="J126" s="11">
        <f>IFERROR(__xludf.DUMMYFUNCTION("""COMPUTED_VALUE"""),0.0)</f>
        <v>0</v>
      </c>
      <c r="K126" s="11">
        <f>IFERROR(__xludf.DUMMYFUNCTION("""COMPUTED_VALUE"""),1.0)</f>
        <v>1</v>
      </c>
    </row>
    <row r="127" ht="15.75" customHeight="1">
      <c r="A127" s="10" t="str">
        <f>IFERROR(__xludf.DUMMYFUNCTION("""COMPUTED_VALUE"""),"https://www.trusted-trade.net/services/compliant-processes/#:~:text=The%20Trusted%20Trade%20Alliance%20team%20is%20comprised,the%20trusted%20trader%20and%20AEO%20programs%20of")</f>
        <v>https://www.trusted-trade.net/services/compliant-processes/#:~:text=The%20Trusted%20Trade%20Alliance%20team%20is%20comprised,the%20trusted%20trader%20and%20AEO%20programs%20of</v>
      </c>
      <c r="B127" s="11" t="str">
        <f>IFERROR(__xludf.DUMMYFUNCTION("""COMPUTED_VALUE"""),"Business Consulting Services - Trusted Trade Alliance LLC.")</f>
        <v>Business Consulting Services - Trusted Trade Alliance LLC.</v>
      </c>
      <c r="C127" s="10" t="str">
        <f>IFERROR(__xludf.DUMMYFUNCTION("""COMPUTED_VALUE"""),"trusted-trade.net")</f>
        <v>trusted-trade.net</v>
      </c>
      <c r="D127" s="11" t="str">
        <f>IFERROR(__xludf.DUMMYFUNCTION("""COMPUTED_VALUE"""),"OTHER")</f>
        <v>OTHER</v>
      </c>
      <c r="E127" s="11" t="str">
        <f>IFERROR(__xludf.DUMMYFUNCTION("""COMPUTED_VALUE"""),"CORPORATE")</f>
        <v>CORPORATE</v>
      </c>
      <c r="F127" s="11" t="str">
        <f>IFERROR(__xludf.DUMMYFUNCTION("""COMPUTED_VALUE"""),"Other")</f>
        <v>Other</v>
      </c>
      <c r="G127" s="11" t="b">
        <f>IFERROR(__xludf.DUMMYFUNCTION("""COMPUTED_VALUE"""),FALSE)</f>
        <v>0</v>
      </c>
      <c r="H127" s="11"/>
      <c r="I127" s="11">
        <f>IFERROR(__xludf.DUMMYFUNCTION("""COMPUTED_VALUE"""),1.0)</f>
        <v>1</v>
      </c>
      <c r="J127" s="11">
        <f>IFERROR(__xludf.DUMMYFUNCTION("""COMPUTED_VALUE"""),0.0)</f>
        <v>0</v>
      </c>
      <c r="K127" s="11">
        <f>IFERROR(__xludf.DUMMYFUNCTION("""COMPUTED_VALUE"""),1.0)</f>
        <v>1</v>
      </c>
    </row>
    <row r="128" ht="15.75" customHeight="1">
      <c r="A128" s="10" t="str">
        <f>IFERROR(__xludf.DUMMYFUNCTION("""COMPUTED_VALUE"""),"https://www.venturemedia.io/post/top-social-media-marketing-agencies-in-the-united-states#:~:text=Sociallyin%20is%20a%20creative%2Dled%20social%20media%20marketing,strong%20blend%20of%20creativity%20with%20data%2Ddriven%20strategy.")</f>
        <v>https://www.venturemedia.io/post/top-social-media-marketing-agencies-in-the-united-states#:~:text=Sociallyin%20is%20a%20creative%2Dled%20social%20media%20marketing,strong%20blend%20of%20creativity%20with%20data%2Ddriven%20strategy.</v>
      </c>
      <c r="B128" s="11" t="str">
        <f>IFERROR(__xludf.DUMMYFUNCTION("""COMPUTED_VALUE"""),"Top Social Media Marketing Agencies in the US (2026)")</f>
        <v>Top Social Media Marketing Agencies in the US (2026)</v>
      </c>
      <c r="C128" s="10" t="str">
        <f>IFERROR(__xludf.DUMMYFUNCTION("""COMPUTED_VALUE"""),"venturemedia.io")</f>
        <v>venturemedia.io</v>
      </c>
      <c r="D128" s="11" t="str">
        <f>IFERROR(__xludf.DUMMYFUNCTION("""COMPUTED_VALUE"""),"OTHER")</f>
        <v>OTHER</v>
      </c>
      <c r="E128" s="11" t="str">
        <f>IFERROR(__xludf.DUMMYFUNCTION("""COMPUTED_VALUE"""),"CORPORATE")</f>
        <v>CORPORATE</v>
      </c>
      <c r="F128" s="11" t="str">
        <f>IFERROR(__xludf.DUMMYFUNCTION("""COMPUTED_VALUE"""),"Other")</f>
        <v>Other</v>
      </c>
      <c r="G128" s="11" t="b">
        <f>IFERROR(__xludf.DUMMYFUNCTION("""COMPUTED_VALUE"""),FALSE)</f>
        <v>0</v>
      </c>
      <c r="H128" s="11" t="str">
        <f>IFERROR(__xludf.DUMMYFUNCTION("""COMPUTED_VALUE"""),"Clutch, SmartSites, LYFE Marketing, Sociallyin, Disruptive Advertising, Ignite Visibility, Power Digital, VaynerMedia")</f>
        <v>Clutch, SmartSites, LYFE Marketing, Sociallyin, Disruptive Advertising, Ignite Visibility, Power Digital, VaynerMedia</v>
      </c>
      <c r="I128" s="11">
        <f>IFERROR(__xludf.DUMMYFUNCTION("""COMPUTED_VALUE"""),1.0)</f>
        <v>1</v>
      </c>
      <c r="J128" s="11">
        <f>IFERROR(__xludf.DUMMYFUNCTION("""COMPUTED_VALUE"""),0.0)</f>
        <v>0</v>
      </c>
      <c r="K128" s="11">
        <f>IFERROR(__xludf.DUMMYFUNCTION("""COMPUTED_VALUE"""),2.0)</f>
        <v>2</v>
      </c>
    </row>
    <row r="129" ht="15.75" customHeight="1">
      <c r="A129" s="10" t="str">
        <f>IFERROR(__xludf.DUMMYFUNCTION("""COMPUTED_VALUE"""),"https://www.youtube.com/watch?v=DKfcaxbRHcQ&amp;t=331")</f>
        <v>https://www.youtube.com/watch?v=DKfcaxbRHcQ&amp;t=331</v>
      </c>
      <c r="B129" s="11" t="str">
        <f>IFERROR(__xludf.DUMMYFUNCTION("""COMPUTED_VALUE"""),"Cometly Review: The Best Marketing Attribution Platform for B2B")</f>
        <v>Cometly Review: The Best Marketing Attribution Platform for B2B</v>
      </c>
      <c r="C129" s="10" t="str">
        <f>IFERROR(__xludf.DUMMYFUNCTION("""COMPUTED_VALUE"""),"youtube.com")</f>
        <v>youtube.com</v>
      </c>
      <c r="D129" s="11" t="str">
        <f>IFERROR(__xludf.DUMMYFUNCTION("""COMPUTED_VALUE"""),"OTHER")</f>
        <v>OTHER</v>
      </c>
      <c r="E129" s="11" t="str">
        <f>IFERROR(__xludf.DUMMYFUNCTION("""COMPUTED_VALUE"""),"UGC")</f>
        <v>UGC</v>
      </c>
      <c r="F129" s="11" t="str">
        <f>IFERROR(__xludf.DUMMYFUNCTION("""COMPUTED_VALUE"""),"Other")</f>
        <v>Other</v>
      </c>
      <c r="G129" s="11" t="b">
        <f>IFERROR(__xludf.DUMMYFUNCTION("""COMPUTED_VALUE"""),FALSE)</f>
        <v>0</v>
      </c>
      <c r="H129" s="11" t="str">
        <f>IFERROR(__xludf.DUMMYFUNCTION("""COMPUTED_VALUE"""),"Cometly")</f>
        <v>Cometly</v>
      </c>
      <c r="I129" s="11">
        <f>IFERROR(__xludf.DUMMYFUNCTION("""COMPUTED_VALUE"""),1.0)</f>
        <v>1</v>
      </c>
      <c r="J129" s="11">
        <f>IFERROR(__xludf.DUMMYFUNCTION("""COMPUTED_VALUE"""),0.0)</f>
        <v>0</v>
      </c>
      <c r="K129" s="11">
        <f>IFERROR(__xludf.DUMMYFUNCTION("""COMPUTED_VALUE"""),1.0)</f>
        <v>1</v>
      </c>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Growth%2Dstage%20startups.%20%24%24.%20TikTok.%20Multi%2Dchannel.%20ScalixAI.%20B2B,%2B%20SEO.%20%24%24%24.%20IKEA.%20Paid%20search%2C%20analytics." ref="A4"/>
    <hyperlink r:id="rId5" ref="C4"/>
    <hyperlink r:id="rId6" ref="A5"/>
    <hyperlink r:id="rId7" ref="C5"/>
    <hyperlink r:id="rId8" location=":~:text=List%20of%20the%20Top%20United%20States%20Programmatic,108%20reviews.%20%2D%20Onya.%205.0%2030%20reviews." ref="A6"/>
    <hyperlink r:id="rId9" ref="C6"/>
    <hyperlink r:id="rId10" ref="A7"/>
    <hyperlink r:id="rId11" ref="C7"/>
    <hyperlink r:id="rId12" ref="A8"/>
    <hyperlink r:id="rId13" ref="C8"/>
    <hyperlink r:id="rId14" ref="A9"/>
    <hyperlink r:id="rId15" ref="C9"/>
    <hyperlink r:id="rId16" ref="A10"/>
    <hyperlink r:id="rId17" ref="C10"/>
    <hyperlink r:id="rId18" ref="C11"/>
    <hyperlink r:id="rId19" location=":~:text=10.%20Flying%20Cat%20Marketing%20%2D%20Strong%20B2B,fit%20for%20software%20companies%20and%20international%20growth." ref="A12"/>
    <hyperlink r:id="rId20" ref="C12"/>
    <hyperlink r:id="rId21" ref="A13"/>
    <hyperlink r:id="rId22" ref="C13"/>
    <hyperlink r:id="rId23" location=":~:text=Why%20Selecting%20the%20Right%20Creative%20Agency%20is,MasterRV%20Designers%3F%20Final%20Thoughts%3B%20FAQs.%20Contact%20Us"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location=":~:text=Core%20services%3A%20%2D%20Brand%20strategy%20%26%20positioning.,Ogilvy%2C%20with%20today's%20smartest%20data%20and%20technology." ref="A20"/>
    <hyperlink r:id="rId36" ref="C20"/>
    <hyperlink r:id="rId37" ref="A21"/>
    <hyperlink r:id="rId38" ref="C21"/>
    <hyperlink r:id="rId39" ref="A22"/>
    <hyperlink r:id="rId40" ref="C22"/>
    <hyperlink r:id="rId41" ref="A23"/>
    <hyperlink r:id="rId42" ref="C23"/>
    <hyperlink r:id="rId43" ref="A24"/>
    <hyperlink r:id="rId44" ref="C24"/>
    <hyperlink r:id="rId45" location=":~:text=Digital%20Dot.%20Connecting%20the%20Dots%20to%20Your,driving%20organic%20traffic%20and%20generating%20quality%20leads." ref="A25"/>
    <hyperlink r:id="rId46" ref="C25"/>
    <hyperlink r:id="rId47" ref="A26"/>
    <hyperlink r:id="rId48" location=":~:text=For%20any%20company%20optimizing%20toward%20LTV%3ACAC%20%E2%80%94,%3D%20Total%20media%20spend%20%C3%B7%20Incremental%20conversions." ref="A27"/>
    <hyperlink r:id="rId49" ref="C27"/>
    <hyperlink r:id="rId50" location=":~:text=Demandbase%20is%20a%20B2B%20advertising%20platform%20with,purchase%20interest%20rather%20than%20broad%20demographic%20segments." ref="A28"/>
    <hyperlink r:id="rId51" ref="C28"/>
    <hyperlink r:id="rId52" ref="A29"/>
    <hyperlink r:id="rId53" ref="C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location=":~:text=Performance%20Media%2C%20Ad%20Tech%20Consulting.%20B2B%2C%20Healthcare%2C,ROI%2Dfocused%20Programmatic%20Engineering%20%26%20Automation.%20%2D%20Merkle." ref="A37"/>
    <hyperlink r:id="rId69" location=":~:text=The%20agency%20focuses%20on%20maximizing%20ROI%20through,marketing.%20Paid%20advertising.%20SEO%20services.%20Content%20strategy." ref="A38"/>
    <hyperlink r:id="rId70" ref="C38"/>
    <hyperlink r:id="rId71" location=":~:text=HQ%3A%20Cary%2C%20NC%20with%20global%20operations%3B%207%2C983,regulatory%20reporting%2C%20and%20proven%20analytics%20software.%207." ref="A39"/>
    <hyperlink r:id="rId72" ref="C39"/>
    <hyperlink r:id="rId73" ref="A40"/>
    <hyperlink r:id="rId74" ref="A41"/>
    <hyperlink r:id="rId75" ref="C41"/>
    <hyperlink r:id="rId76" ref="A42"/>
    <hyperlink r:id="rId77" ref="C42"/>
    <hyperlink r:id="rId78" ref="A43"/>
    <hyperlink r:id="rId79" ref="C43"/>
    <hyperlink r:id="rId80" ref="A44"/>
    <hyperlink r:id="rId81" ref="C44"/>
    <hyperlink r:id="rId82" ref="A45"/>
    <hyperlink r:id="rId83" ref="C45"/>
    <hyperlink r:id="rId84" ref="A46"/>
    <hyperlink r:id="rId85" ref="C46"/>
    <hyperlink r:id="rId86" location=":~:text=Follow%20us%20on%20Google%20News.%20SimpleTiger%2C%20a,reviews%2C%20market%20presence%2C%20and%20proven%20industry%20expertise." ref="A47"/>
    <hyperlink r:id="rId87" ref="C47"/>
    <hyperlink r:id="rId88" ref="A48"/>
    <hyperlink r:id="rId89" ref="C48"/>
    <hyperlink r:id="rId90" ref="A49"/>
    <hyperlink r:id="rId91" ref="C49"/>
    <hyperlink r:id="rId92" ref="A50"/>
    <hyperlink r:id="rId93" ref="C50"/>
    <hyperlink r:id="rId94" ref="A51"/>
    <hyperlink r:id="rId95" ref="C51"/>
    <hyperlink r:id="rId96" ref="A52"/>
    <hyperlink r:id="rId97" ref="C52"/>
    <hyperlink r:id="rId98" ref="A53"/>
    <hyperlink r:id="rId99" ref="C53"/>
    <hyperlink r:id="rId100" ref="A54"/>
    <hyperlink r:id="rId101" ref="A55"/>
    <hyperlink r:id="rId102" ref="C55"/>
    <hyperlink r:id="rId103" location=":~:text=%2410%2C000%2B%20250%20%2D%20999.%20San%20Diego%2C%20CA.,execution%2C%20strong%20communication%2C%20and%20impressive%20project%20management." ref="A56"/>
    <hyperlink r:id="rId104" ref="C56"/>
    <hyperlink r:id="rId105" ref="A57"/>
    <hyperlink r:id="rId106" ref="C57"/>
    <hyperlink r:id="rId107" ref="A58"/>
    <hyperlink r:id="rId108" ref="C58"/>
    <hyperlink r:id="rId109" location=":~:text=An%20AI%20SEO%20agency%20gets%20a%20brand,website%20and%20wider%20online%20footprint%20to%20match." ref="A59"/>
    <hyperlink r:id="rId110" ref="C59"/>
    <hyperlink r:id="rId111" location=":~:text=New%2DYork%2Dbased%20NoGood%20launched%20a%20stand%2Dalone%20Answer%20Engine,AI%2Dsearch%20wins%20for%20fintech%20and%20health%2Dcare%20clients." ref="A60"/>
    <hyperlink r:id="rId112" ref="C60"/>
    <hyperlink r:id="rId113" ref="A61"/>
    <hyperlink r:id="rId114" ref="C61"/>
    <hyperlink r:id="rId115" location=":~:text=Absolutely.%20AEO%20certification%20solidifies%20your%20status%20as,certification%20is%20a%20relevant%20option%20for%20you." ref="A62"/>
    <hyperlink r:id="rId116" ref="C62"/>
    <hyperlink r:id="rId117" ref="A63"/>
    <hyperlink r:id="rId118" ref="C63"/>
    <hyperlink r:id="rId119" location=":~:text=Whether%20you're%20mapping%20a,what%20really%20sets%20us%20apart%3F" ref="A64"/>
    <hyperlink r:id="rId120" ref="C64"/>
    <hyperlink r:id="rId121" ref="A65"/>
    <hyperlink r:id="rId122" ref="C65"/>
    <hyperlink r:id="rId123" ref="A66"/>
    <hyperlink r:id="rId124" ref="C66"/>
    <hyperlink r:id="rId125" ref="A67"/>
    <hyperlink r:id="rId126" ref="C67"/>
    <hyperlink r:id="rId127" ref="A68"/>
    <hyperlink r:id="rId128" ref="C68"/>
    <hyperlink r:id="rId129" location=":~:text=Esri%20is%20a%20leading%20provider,insights%20from%20location%2Dbased%20data." ref="A69"/>
    <hyperlink r:id="rId130" ref="C69"/>
    <hyperlink r:id="rId131" ref="A70"/>
    <hyperlink r:id="rId132" ref="A71"/>
    <hyperlink r:id="rId133" ref="C71"/>
    <hyperlink r:id="rId134" ref="A72"/>
    <hyperlink r:id="rId135" ref="C72"/>
    <hyperlink r:id="rId136" ref="A73"/>
    <hyperlink r:id="rId137" ref="C73"/>
    <hyperlink r:id="rId138" location=":~:text=First%20Page%20Sage%20is%20consistently%20ranked%20the,specifically%20for%20the%20complexity%20of%20B2B%20sales." ref="A74"/>
    <hyperlink r:id="rId139" ref="C74"/>
    <hyperlink r:id="rId140" location=":~:text=1.%20%2D%20Flying%20V%20Group.%20Flying%20V,numerous%20successful%20client%20campaigns%20and%20glowing%20testimonials." ref="A75"/>
    <hyperlink r:id="rId141" ref="C75"/>
    <hyperlink r:id="rId142" ref="A76"/>
    <hyperlink r:id="rId143" ref="C76"/>
    <hyperlink r:id="rId144" ref="A77"/>
    <hyperlink r:id="rId145" ref="C77"/>
    <hyperlink r:id="rId146" ref="A78"/>
    <hyperlink r:id="rId147" ref="C78"/>
    <hyperlink r:id="rId148" ref="A79"/>
    <hyperlink r:id="rId149" ref="C79"/>
    <hyperlink r:id="rId150" ref="A80"/>
    <hyperlink r:id="rId151" ref="C80"/>
    <hyperlink r:id="rId152" ref="A81"/>
    <hyperlink r:id="rId153" ref="C81"/>
    <hyperlink r:id="rId154" ref="A82"/>
    <hyperlink r:id="rId155" ref="C82"/>
    <hyperlink r:id="rId156" ref="A83"/>
    <hyperlink r:id="rId157" ref="C83"/>
    <hyperlink r:id="rId158" ref="A84"/>
    <hyperlink r:id="rId159" ref="C84"/>
    <hyperlink r:id="rId160" ref="A85"/>
    <hyperlink r:id="rId161" ref="C85"/>
    <hyperlink r:id="rId162" ref="A86"/>
    <hyperlink r:id="rId163" ref="C86"/>
    <hyperlink r:id="rId164" ref="A87"/>
    <hyperlink r:id="rId165" ref="C87"/>
    <hyperlink r:id="rId166" ref="A88"/>
    <hyperlink r:id="rId167" ref="C88"/>
    <hyperlink r:id="rId168" ref="A89"/>
    <hyperlink r:id="rId169" ref="C89"/>
    <hyperlink r:id="rId170" ref="A90"/>
    <hyperlink r:id="rId171" ref="C90"/>
    <hyperlink r:id="rId172" ref="A91"/>
    <hyperlink r:id="rId173" ref="C91"/>
    <hyperlink r:id="rId174" ref="A92"/>
    <hyperlink r:id="rId175" ref="C92"/>
    <hyperlink r:id="rId176" ref="A93"/>
    <hyperlink r:id="rId177" ref="C93"/>
    <hyperlink r:id="rId178" ref="A94"/>
    <hyperlink r:id="rId179" ref="C94"/>
    <hyperlink r:id="rId180" ref="A95"/>
    <hyperlink r:id="rId181" ref="C95"/>
    <hyperlink r:id="rId182" location=":~:text=United%20States%20of%20America%20%2D%20U.S.%20Customs,Health%20Inspection%20Service%20(APHIS)%20%2D%20Federal%20Register." ref="A96"/>
    <hyperlink r:id="rId183" ref="C96"/>
    <hyperlink r:id="rId184" ref="A97"/>
    <hyperlink r:id="rId185" ref="C97"/>
    <hyperlink r:id="rId186" ref="A98"/>
    <hyperlink r:id="rId187" ref="C98"/>
    <hyperlink r:id="rId188" ref="A99"/>
    <hyperlink r:id="rId189" ref="C99"/>
    <hyperlink r:id="rId190" location=":~:text=What%20an%20AEO%20Agency%20Does.%20An%20AEO,The%20core%20services%20usually%20include%3A%20Content%20restructuring." ref="A100"/>
    <hyperlink r:id="rId191" ref="C100"/>
    <hyperlink r:id="rId192" ref="A101"/>
    <hyperlink r:id="rId193" ref="C101"/>
    <hyperlink r:id="rId194" ref="A102"/>
    <hyperlink r:id="rId195" ref="C102"/>
    <hyperlink r:id="rId196" ref="A103"/>
    <hyperlink r:id="rId197" ref="C103"/>
    <hyperlink r:id="rId198" ref="A104"/>
    <hyperlink r:id="rId199" ref="C104"/>
    <hyperlink r:id="rId200" location=":~:text=Now%20Over%20to%20You.%20HUMAN%20CRAFTED.%20This,Now%2C%20let's%20discuss%20each%20agency%20in%20detail." ref="A105"/>
    <hyperlink r:id="rId201" ref="C105"/>
    <hyperlink r:id="rId202" ref="A106"/>
    <hyperlink r:id="rId203" ref="C106"/>
    <hyperlink r:id="rId204" ref="A107"/>
    <hyperlink r:id="rId205" ref="C107"/>
    <hyperlink r:id="rId206" ref="A108"/>
    <hyperlink r:id="rId207" ref="C108"/>
    <hyperlink r:id="rId208" ref="A109"/>
    <hyperlink r:id="rId209" ref="C109"/>
    <hyperlink r:id="rId210" ref="A110"/>
    <hyperlink r:id="rId211" ref="C110"/>
    <hyperlink r:id="rId212" ref="A111"/>
    <hyperlink r:id="rId213" ref="A112"/>
    <hyperlink r:id="rId214" ref="C112"/>
    <hyperlink r:id="rId215" ref="A113"/>
    <hyperlink r:id="rId216" ref="C113"/>
    <hyperlink r:id="rId217" ref="A114"/>
    <hyperlink r:id="rId218" ref="C114"/>
    <hyperlink r:id="rId219" ref="A115"/>
    <hyperlink r:id="rId220" ref="C115"/>
    <hyperlink r:id="rId221" ref="A116"/>
    <hyperlink r:id="rId222" ref="C116"/>
    <hyperlink r:id="rId223" ref="A117"/>
    <hyperlink r:id="rId224" ref="C117"/>
    <hyperlink r:id="rId225" location=":~:text=AI%20visibility%20monitoring.-,Generative%20Engine%20Optimization%20(GEO),Answer%20Engine%20Optimization%20(AEO)" ref="A118"/>
    <hyperlink r:id="rId226" ref="C118"/>
    <hyperlink r:id="rId227" ref="A119"/>
    <hyperlink r:id="rId228" ref="C119"/>
    <hyperlink r:id="rId229" ref="A120"/>
    <hyperlink r:id="rId230" ref="C120"/>
    <hyperlink r:id="rId231" location=":~:text=As%20a%20full%2Dservice%20GIS%20consulting%20firm%2C%20Stanley,and%20manage%20spatial%20information%20in%20real%20time." ref="A121"/>
    <hyperlink r:id="rId232" ref="C121"/>
    <hyperlink r:id="rId233" location=":~:text=Our%20experts%20streamline%20your%20supply%20chain%20processes,operations%2C%20enhancing%20efficiency%20and%20reducing%20potential%20disruptions." ref="A122"/>
    <hyperlink r:id="rId234" ref="C122"/>
    <hyperlink r:id="rId235" ref="A123"/>
    <hyperlink r:id="rId236" ref="C123"/>
    <hyperlink r:id="rId237" location=":~:text=We%20assess%20your%20data%2C%20systems%2C%20governance%20and,ensuring%20your%20foundation%20is%20secure%20and%20scalable." ref="A124"/>
    <hyperlink r:id="rId238" ref="C124"/>
    <hyperlink r:id="rId239" ref="A125"/>
    <hyperlink r:id="rId240" ref="C125"/>
    <hyperlink r:id="rId241" location=":~:text=Incrementality%20testing%20is%20a%20controlled%20marketing%20experiment,for%20conversions%20that%20would%20have%20happened%20anyway." ref="A126"/>
    <hyperlink r:id="rId242" ref="C126"/>
    <hyperlink r:id="rId243" location=":~:text=The%20Trusted%20Trade%20Alliance%20team%20is%20comprised,the%20trusted%20trader%20and%20AEO%20programs%20of" ref="A127"/>
    <hyperlink r:id="rId244" ref="C127"/>
    <hyperlink r:id="rId245" location=":~:text=Sociallyin%20is%20a%20creative%2Dled%20social%20media%20marketing,strong%20blend%20of%20creativity%20with%20data%2Ddriven%20strategy." ref="A128"/>
    <hyperlink r:id="rId246" ref="C128"/>
    <hyperlink r:id="rId247" ref="A129"/>
    <hyperlink r:id="rId248" ref="C129"/>
  </hyperlinks>
  <drawing r:id="rId24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All'!D2:D1000)))=""product_page""
  ),
  """"
)"),"https://www.decisionfoundry.com/marketing-measurement-analytics-services/")</f>
        <v>https://www.decisionfoundry.com/marketing-measurement-analytics-services/</v>
      </c>
      <c r="B2" s="11" t="str">
        <f>IFERROR(__xludf.DUMMYFUNCTION("""COMPUTED_VALUE"""),"Marketing Measurement Analytics Services")</f>
        <v>Marketing Measurement Analytics Services</v>
      </c>
      <c r="C2" s="10" t="str">
        <f>IFERROR(__xludf.DUMMYFUNCTION("""COMPUTED_VALUE"""),"decisionfoundry.com")</f>
        <v>decisionfoundry.com</v>
      </c>
      <c r="D2" s="11" t="str">
        <f>IFERROR(__xludf.DUMMYFUNCTION("""COMPUTED_VALUE"""),"PRODUCT_PAGE")</f>
        <v>PRODUCT_PAGE</v>
      </c>
      <c r="E2" s="11" t="str">
        <f>IFERROR(__xludf.DUMMYFUNCTION("""COMPUTED_VALUE"""),"CORPORATE")</f>
        <v>CORPORATE</v>
      </c>
      <c r="F2" s="11" t="str">
        <f>IFERROR(__xludf.DUMMYFUNCTION("""COMPUTED_VALUE"""),"Product Page")</f>
        <v>Product Page</v>
      </c>
      <c r="G2" s="11" t="b">
        <f>IFERROR(__xludf.DUMMYFUNCTION("""COMPUTED_VALUE"""),FALSE)</f>
        <v>0</v>
      </c>
      <c r="H2" s="11"/>
      <c r="I2" s="11">
        <f>IFERROR(__xludf.DUMMYFUNCTION("""COMPUTED_VALUE"""),16.0)</f>
        <v>16</v>
      </c>
      <c r="J2" s="11">
        <f>IFERROR(__xludf.DUMMYFUNCTION("""COMPUTED_VALUE"""),0.02)</f>
        <v>0.02</v>
      </c>
      <c r="K2" s="11">
        <f>IFERROR(__xludf.DUMMYFUNCTION("""COMPUTED_VALUE"""),1.06)</f>
        <v>1.06</v>
      </c>
    </row>
    <row r="3" ht="15.75" customHeight="1">
      <c r="A3" s="10" t="str">
        <f>IFERROR(__xludf.DUMMYFUNCTION("""COMPUTED_VALUE"""),"https://www.artefact.com/offers/marketing-data-driven/marketing-analytics/#:~:text=Amazon%20Marketing%20Cloud%20(AMC)%20is%20a%20secure%2C,media%20strategy%E2%80%94all%20within%20a%20dedicated%2C%20pseudonymized%20environment.")</f>
        <v>https://www.artefact.com/offers/marketing-data-driven/marketing-analytics/#:~:text=Amazon%20Marketing%20Cloud%20(AMC)%20is%20a%20secure%2C,media%20strategy%E2%80%94all%20within%20a%20dedicated%2C%20pseudonymized%20environment.</v>
      </c>
      <c r="B3" s="11" t="str">
        <f>IFERROR(__xludf.DUMMYFUNCTION("""COMPUTED_VALUE"""),"Our Marketing Analytics Services - Artefact")</f>
        <v>Our Marketing Analytics Services - Artefact</v>
      </c>
      <c r="C3" s="10" t="str">
        <f>IFERROR(__xludf.DUMMYFUNCTION("""COMPUTED_VALUE"""),"artefact.com")</f>
        <v>artefact.com</v>
      </c>
      <c r="D3" s="11" t="str">
        <f>IFERROR(__xludf.DUMMYFUNCTION("""COMPUTED_VALUE"""),"PRODUCT_PAGE")</f>
        <v>PRODUCT_PAGE</v>
      </c>
      <c r="E3" s="11" t="str">
        <f>IFERROR(__xludf.DUMMYFUNCTION("""COMPUTED_VALUE"""),"COMPETITOR")</f>
        <v>COMPETITOR</v>
      </c>
      <c r="F3" s="11" t="str">
        <f>IFERROR(__xludf.DUMMYFUNCTION("""COMPUTED_VALUE"""),"Product Page")</f>
        <v>Product Page</v>
      </c>
      <c r="G3" s="11" t="b">
        <f>IFERROR(__xludf.DUMMYFUNCTION("""COMPUTED_VALUE"""),FALSE)</f>
        <v>0</v>
      </c>
      <c r="H3" s="11" t="str">
        <f>IFERROR(__xludf.DUMMYFUNCTION("""COMPUTED_VALUE"""),"Artefact")</f>
        <v>Artefact</v>
      </c>
      <c r="I3" s="11">
        <f>IFERROR(__xludf.DUMMYFUNCTION("""COMPUTED_VALUE"""),15.0)</f>
        <v>15</v>
      </c>
      <c r="J3" s="11">
        <f>IFERROR(__xludf.DUMMYFUNCTION("""COMPUTED_VALUE"""),0.01)</f>
        <v>0.01</v>
      </c>
      <c r="K3" s="11">
        <f>IFERROR(__xludf.DUMMYFUNCTION("""COMPUTED_VALUE"""),1.07)</f>
        <v>1.07</v>
      </c>
    </row>
    <row r="4" ht="15.75" customHeight="1">
      <c r="A4" s="10" t="str">
        <f>IFERROR(__xludf.DUMMYFUNCTION("""COMPUTED_VALUE"""),"https://www.haus.io/use-cases/incrementality")</f>
        <v>https://www.haus.io/use-cases/incrementality</v>
      </c>
      <c r="B4" s="11" t="str">
        <f>IFERROR(__xludf.DUMMYFUNCTION("""COMPUTED_VALUE"""),"Haus Incrementality Testing")</f>
        <v>Haus Incrementality Testing</v>
      </c>
      <c r="C4" s="10" t="str">
        <f>IFERROR(__xludf.DUMMYFUNCTION("""COMPUTED_VALUE"""),"haus.io")</f>
        <v>haus.io</v>
      </c>
      <c r="D4" s="11" t="str">
        <f>IFERROR(__xludf.DUMMYFUNCTION("""COMPUTED_VALUE"""),"PRODUCT_PAGE")</f>
        <v>PRODUCT_PAGE</v>
      </c>
      <c r="E4" s="11" t="str">
        <f>IFERROR(__xludf.DUMMYFUNCTION("""COMPUTED_VALUE"""),"COMPETITOR")</f>
        <v>COMPETITOR</v>
      </c>
      <c r="F4" s="11" t="str">
        <f>IFERROR(__xludf.DUMMYFUNCTION("""COMPUTED_VALUE"""),"Product Page")</f>
        <v>Product Page</v>
      </c>
      <c r="G4" s="11" t="b">
        <f>IFERROR(__xludf.DUMMYFUNCTION("""COMPUTED_VALUE"""),FALSE)</f>
        <v>0</v>
      </c>
      <c r="H4" s="11" t="str">
        <f>IFERROR(__xludf.DUMMYFUNCTION("""COMPUTED_VALUE"""),"Haus, Momentum")</f>
        <v>Haus, Momentum</v>
      </c>
      <c r="I4" s="11">
        <f>IFERROR(__xludf.DUMMYFUNCTION("""COMPUTED_VALUE"""),14.0)</f>
        <v>14</v>
      </c>
      <c r="J4" s="11">
        <f>IFERROR(__xludf.DUMMYFUNCTION("""COMPUTED_VALUE"""),0.01)</f>
        <v>0.01</v>
      </c>
      <c r="K4" s="11">
        <f>IFERROR(__xludf.DUMMYFUNCTION("""COMPUTED_VALUE"""),0.07)</f>
        <v>0.07</v>
      </c>
    </row>
    <row r="5" ht="15.75" customHeight="1">
      <c r="A5" s="10" t="str">
        <f>IFERROR(__xludf.DUMMYFUNCTION("""COMPUTED_VALUE"""),"https://www.nuundigital.com/services/data-analytics/marketing-analytics-attribution")</f>
        <v>https://www.nuundigital.com/services/data-analytics/marketing-analytics-attribution</v>
      </c>
      <c r="B5" s="11" t="str">
        <f>IFERROR(__xludf.DUMMYFUNCTION("""COMPUTED_VALUE"""),"NUUN Digital | Revenue-accountable partner")</f>
        <v>NUUN Digital | Revenue-accountable partner</v>
      </c>
      <c r="C5" s="10" t="str">
        <f>IFERROR(__xludf.DUMMYFUNCTION("""COMPUTED_VALUE"""),"nuundigital.com")</f>
        <v>nuundigital.com</v>
      </c>
      <c r="D5" s="11" t="str">
        <f>IFERROR(__xludf.DUMMYFUNCTION("""COMPUTED_VALUE"""),"PRODUCT_PAGE")</f>
        <v>PRODUCT_PAGE</v>
      </c>
      <c r="E5" s="11" t="str">
        <f>IFERROR(__xludf.DUMMYFUNCTION("""COMPUTED_VALUE"""),"CORPORATE")</f>
        <v>CORPORATE</v>
      </c>
      <c r="F5" s="11" t="str">
        <f>IFERROR(__xludf.DUMMYFUNCTION("""COMPUTED_VALUE"""),"Product Page")</f>
        <v>Product Page</v>
      </c>
      <c r="G5" s="11" t="b">
        <f>IFERROR(__xludf.DUMMYFUNCTION("""COMPUTED_VALUE"""),FALSE)</f>
        <v>0</v>
      </c>
      <c r="H5" s="11"/>
      <c r="I5" s="11">
        <f>IFERROR(__xludf.DUMMYFUNCTION("""COMPUTED_VALUE"""),14.0)</f>
        <v>14</v>
      </c>
      <c r="J5" s="11">
        <f>IFERROR(__xludf.DUMMYFUNCTION("""COMPUTED_VALUE"""),0.01)</f>
        <v>0.01</v>
      </c>
      <c r="K5" s="11">
        <f>IFERROR(__xludf.DUMMYFUNCTION("""COMPUTED_VALUE"""),0.43)</f>
        <v>0.43</v>
      </c>
    </row>
    <row r="6" ht="15.75" customHeight="1">
      <c r="A6" s="10" t="str">
        <f>IFERROR(__xludf.DUMMYFUNCTION("""COMPUTED_VALUE"""),"https://centricconsulting.com/technology-solutions/artificial-intelligence-consulting/")</f>
        <v>https://centricconsulting.com/technology-solutions/artificial-intelligence-consulting/</v>
      </c>
      <c r="B6" s="11" t="str">
        <f>IFERROR(__xludf.DUMMYFUNCTION("""COMPUTED_VALUE"""),"Artificial Intelligence Consulting - Centric Consulting")</f>
        <v>Artificial Intelligence Consulting - Centric Consulting</v>
      </c>
      <c r="C6" s="10" t="str">
        <f>IFERROR(__xludf.DUMMYFUNCTION("""COMPUTED_VALUE"""),"centricconsulting.com")</f>
        <v>centricconsulting.com</v>
      </c>
      <c r="D6" s="11" t="str">
        <f>IFERROR(__xludf.DUMMYFUNCTION("""COMPUTED_VALUE"""),"PRODUCT_PAGE")</f>
        <v>PRODUCT_PAGE</v>
      </c>
      <c r="E6" s="11" t="str">
        <f>IFERROR(__xludf.DUMMYFUNCTION("""COMPUTED_VALUE"""),"CORPORATE")</f>
        <v>CORPORATE</v>
      </c>
      <c r="F6" s="11" t="str">
        <f>IFERROR(__xludf.DUMMYFUNCTION("""COMPUTED_VALUE"""),"Product Page")</f>
        <v>Product Page</v>
      </c>
      <c r="G6" s="11" t="b">
        <f>IFERROR(__xludf.DUMMYFUNCTION("""COMPUTED_VALUE"""),FALSE)</f>
        <v>0</v>
      </c>
      <c r="H6" s="11" t="str">
        <f>IFERROR(__xludf.DUMMYFUNCTION("""COMPUTED_VALUE"""),"Momentum")</f>
        <v>Momentum</v>
      </c>
      <c r="I6" s="11">
        <f>IFERROR(__xludf.DUMMYFUNCTION("""COMPUTED_VALUE"""),12.0)</f>
        <v>12</v>
      </c>
      <c r="J6" s="11">
        <f>IFERROR(__xludf.DUMMYFUNCTION("""COMPUTED_VALUE"""),0.01)</f>
        <v>0.01</v>
      </c>
      <c r="K6" s="11">
        <f>IFERROR(__xludf.DUMMYFUNCTION("""COMPUTED_VALUE"""),0.0)</f>
        <v>0</v>
      </c>
    </row>
    <row r="7" ht="15.75" customHeight="1">
      <c r="A7" s="10" t="str">
        <f>IFERROR(__xludf.DUMMYFUNCTION("""COMPUTED_VALUE"""),"https://marketri.com/ai-marketing-consulting/")</f>
        <v>https://marketri.com/ai-marketing-consulting/</v>
      </c>
      <c r="B7" s="11" t="str">
        <f>IFERROR(__xludf.DUMMYFUNCTION("""COMPUTED_VALUE"""),"AI Consulting for Sales &amp; Marketing Teams \| Marketri")</f>
        <v>AI Consulting for Sales &amp; Marketing Teams \| Marketri</v>
      </c>
      <c r="C7" s="10" t="str">
        <f>IFERROR(__xludf.DUMMYFUNCTION("""COMPUTED_VALUE"""),"marketri.com")</f>
        <v>marketri.com</v>
      </c>
      <c r="D7" s="11" t="str">
        <f>IFERROR(__xludf.DUMMYFUNCTION("""COMPUTED_VALUE"""),"PRODUCT_PAGE")</f>
        <v>PRODUCT_PAGE</v>
      </c>
      <c r="E7" s="11" t="str">
        <f>IFERROR(__xludf.DUMMYFUNCTION("""COMPUTED_VALUE"""),"CORPORATE")</f>
        <v>CORPORATE</v>
      </c>
      <c r="F7" s="11" t="str">
        <f>IFERROR(__xludf.DUMMYFUNCTION("""COMPUTED_VALUE"""),"Product Page")</f>
        <v>Product Page</v>
      </c>
      <c r="G7" s="11" t="b">
        <f>IFERROR(__xludf.DUMMYFUNCTION("""COMPUTED_VALUE"""),FALSE)</f>
        <v>0</v>
      </c>
      <c r="H7" s="11" t="str">
        <f>IFERROR(__xludf.DUMMYFUNCTION("""COMPUTED_VALUE"""),"Huge")</f>
        <v>Huge</v>
      </c>
      <c r="I7" s="11">
        <f>IFERROR(__xludf.DUMMYFUNCTION("""COMPUTED_VALUE"""),11.0)</f>
        <v>11</v>
      </c>
      <c r="J7" s="11">
        <f>IFERROR(__xludf.DUMMYFUNCTION("""COMPUTED_VALUE"""),0.01)</f>
        <v>0.01</v>
      </c>
      <c r="K7" s="11">
        <f>IFERROR(__xludf.DUMMYFUNCTION("""COMPUTED_VALUE"""),0.73)</f>
        <v>0.73</v>
      </c>
    </row>
    <row r="8" ht="15.75" customHeight="1">
      <c r="A8" s="10" t="str">
        <f>IFERROR(__xludf.DUMMYFUNCTION("""COMPUTED_VALUE"""),"https://www.pedowitzgroup.com/solutions/ai")</f>
        <v>https://www.pedowitzgroup.com/solutions/ai</v>
      </c>
      <c r="B8" s="11" t="str">
        <f>IFERROR(__xludf.DUMMYFUNCTION("""COMPUTED_VALUE"""),"Marketing AI Roadmap Accelerator - The Pedowitz Group")</f>
        <v>Marketing AI Roadmap Accelerator - The Pedowitz Group</v>
      </c>
      <c r="C8" s="10" t="str">
        <f>IFERROR(__xludf.DUMMYFUNCTION("""COMPUTED_VALUE"""),"pedowitzgroup.com")</f>
        <v>pedowitzgroup.com</v>
      </c>
      <c r="D8" s="11" t="str">
        <f>IFERROR(__xludf.DUMMYFUNCTION("""COMPUTED_VALUE"""),"PRODUCT_PAGE")</f>
        <v>PRODUCT_PAGE</v>
      </c>
      <c r="E8" s="11" t="str">
        <f>IFERROR(__xludf.DUMMYFUNCTION("""COMPUTED_VALUE"""),"CORPORATE")</f>
        <v>CORPORATE</v>
      </c>
      <c r="F8" s="11" t="str">
        <f>IFERROR(__xludf.DUMMYFUNCTION("""COMPUTED_VALUE"""),"Product Page")</f>
        <v>Product Page</v>
      </c>
      <c r="G8" s="11" t="b">
        <f>IFERROR(__xludf.DUMMYFUNCTION("""COMPUTED_VALUE"""),FALSE)</f>
        <v>0</v>
      </c>
      <c r="H8" s="11" t="str">
        <f>IFERROR(__xludf.DUMMYFUNCTION("""COMPUTED_VALUE"""),"Measured")</f>
        <v>Measured</v>
      </c>
      <c r="I8" s="11">
        <f>IFERROR(__xludf.DUMMYFUNCTION("""COMPUTED_VALUE"""),11.0)</f>
        <v>11</v>
      </c>
      <c r="J8" s="11">
        <f>IFERROR(__xludf.DUMMYFUNCTION("""COMPUTED_VALUE"""),0.01)</f>
        <v>0.01</v>
      </c>
      <c r="K8" s="11">
        <f>IFERROR(__xludf.DUMMYFUNCTION("""COMPUTED_VALUE"""),1.64)</f>
        <v>1.64</v>
      </c>
    </row>
    <row r="9" ht="15.75" customHeight="1">
      <c r="A9" s="10" t="str">
        <f>IFERROR(__xludf.DUMMYFUNCTION("""COMPUTED_VALUE"""),"https://www.techaheadcorp.com/services/ai-consulting-company/")</f>
        <v>https://www.techaheadcorp.com/services/ai-consulting-company/</v>
      </c>
      <c r="B9" s="11" t="str">
        <f>IFERROR(__xludf.DUMMYFUNCTION("""COMPUTED_VALUE"""),"Top AI Consulting Company in the United States - TechAhead")</f>
        <v>Top AI Consulting Company in the United States - TechAhead</v>
      </c>
      <c r="C9" s="10" t="str">
        <f>IFERROR(__xludf.DUMMYFUNCTION("""COMPUTED_VALUE"""),"techaheadcorp.com")</f>
        <v>techaheadcorp.com</v>
      </c>
      <c r="D9" s="11" t="str">
        <f>IFERROR(__xludf.DUMMYFUNCTION("""COMPUTED_VALUE"""),"PRODUCT_PAGE")</f>
        <v>PRODUCT_PAGE</v>
      </c>
      <c r="E9" s="11" t="str">
        <f>IFERROR(__xludf.DUMMYFUNCTION("""COMPUTED_VALUE"""),"CORPORATE")</f>
        <v>CORPORATE</v>
      </c>
      <c r="F9" s="11" t="str">
        <f>IFERROR(__xludf.DUMMYFUNCTION("""COMPUTED_VALUE"""),"Product Page")</f>
        <v>Product Page</v>
      </c>
      <c r="G9" s="11" t="b">
        <f>IFERROR(__xludf.DUMMYFUNCTION("""COMPUTED_VALUE"""),FALSE)</f>
        <v>0</v>
      </c>
      <c r="H9" s="11" t="str">
        <f>IFERROR(__xludf.DUMMYFUNCTION("""COMPUTED_VALUE"""),"Anomaly, Measured")</f>
        <v>Anomaly, Measured</v>
      </c>
      <c r="I9" s="11">
        <f>IFERROR(__xludf.DUMMYFUNCTION("""COMPUTED_VALUE"""),11.0)</f>
        <v>11</v>
      </c>
      <c r="J9" s="11">
        <f>IFERROR(__xludf.DUMMYFUNCTION("""COMPUTED_VALUE"""),0.01)</f>
        <v>0.01</v>
      </c>
      <c r="K9" s="11">
        <f>IFERROR(__xludf.DUMMYFUNCTION("""COMPUTED_VALUE"""),0.18)</f>
        <v>0.18</v>
      </c>
    </row>
    <row r="10" ht="15.75" customHeight="1">
      <c r="A10" s="10" t="str">
        <f>IFERROR(__xludf.DUMMYFUNCTION("""COMPUTED_VALUE"""),"https://mma.com/solutions/unified-marketing-measurement/")</f>
        <v>https://mma.com/solutions/unified-marketing-measurement/</v>
      </c>
      <c r="B10" s="11" t="str">
        <f>IFERROR(__xludf.DUMMYFUNCTION("""COMPUTED_VALUE"""),"Unified Marketing Measurement Solutions | Ipsos MMA")</f>
        <v>Unified Marketing Measurement Solutions | Ipsos MMA</v>
      </c>
      <c r="C10" s="10" t="str">
        <f>IFERROR(__xludf.DUMMYFUNCTION("""COMPUTED_VALUE"""),"mma.com")</f>
        <v>mma.com</v>
      </c>
      <c r="D10" s="11" t="str">
        <f>IFERROR(__xludf.DUMMYFUNCTION("""COMPUTED_VALUE"""),"PRODUCT_PAGE")</f>
        <v>PRODUCT_PAGE</v>
      </c>
      <c r="E10" s="11" t="str">
        <f>IFERROR(__xludf.DUMMYFUNCTION("""COMPUTED_VALUE"""),"CORPORATE")</f>
        <v>CORPORATE</v>
      </c>
      <c r="F10" s="11" t="str">
        <f>IFERROR(__xludf.DUMMYFUNCTION("""COMPUTED_VALUE"""),"Product Page")</f>
        <v>Product Page</v>
      </c>
      <c r="G10" s="11" t="b">
        <f>IFERROR(__xludf.DUMMYFUNCTION("""COMPUTED_VALUE"""),FALSE)</f>
        <v>0</v>
      </c>
      <c r="H10" s="11" t="str">
        <f>IFERROR(__xludf.DUMMYFUNCTION("""COMPUTED_VALUE"""),"Measured")</f>
        <v>Measured</v>
      </c>
      <c r="I10" s="11">
        <f>IFERROR(__xludf.DUMMYFUNCTION("""COMPUTED_VALUE"""),9.0)</f>
        <v>9</v>
      </c>
      <c r="J10" s="11">
        <f>IFERROR(__xludf.DUMMYFUNCTION("""COMPUTED_VALUE"""),0.01)</f>
        <v>0.01</v>
      </c>
      <c r="K10" s="11">
        <f>IFERROR(__xludf.DUMMYFUNCTION("""COMPUTED_VALUE"""),1.33)</f>
        <v>1.33</v>
      </c>
    </row>
    <row r="11" ht="15.75" customHeight="1">
      <c r="A11" s="10" t="str">
        <f>IFERROR(__xludf.DUMMYFUNCTION("""COMPUTED_VALUE"""),"https://getrecast.com/experimentation/")</f>
        <v>https://getrecast.com/experimentation/</v>
      </c>
      <c r="B11" s="11" t="str">
        <f>IFERROR(__xludf.DUMMYFUNCTION("""COMPUTED_VALUE"""),"Experimentation - Recast")</f>
        <v>Experimentation - Recast</v>
      </c>
      <c r="C11" s="10" t="str">
        <f>IFERROR(__xludf.DUMMYFUNCTION("""COMPUTED_VALUE"""),"getrecast.com")</f>
        <v>getrecast.com</v>
      </c>
      <c r="D11" s="11" t="str">
        <f>IFERROR(__xludf.DUMMYFUNCTION("""COMPUTED_VALUE"""),"PRODUCT_PAGE")</f>
        <v>PRODUCT_PAGE</v>
      </c>
      <c r="E11" s="11" t="str">
        <f>IFERROR(__xludf.DUMMYFUNCTION("""COMPUTED_VALUE"""),"COMPETITOR")</f>
        <v>COMPETITOR</v>
      </c>
      <c r="F11" s="11" t="str">
        <f>IFERROR(__xludf.DUMMYFUNCTION("""COMPUTED_VALUE"""),"Product Page")</f>
        <v>Product Page</v>
      </c>
      <c r="G11" s="11" t="b">
        <f>IFERROR(__xludf.DUMMYFUNCTION("""COMPUTED_VALUE"""),FALSE)</f>
        <v>0</v>
      </c>
      <c r="H11" s="11" t="str">
        <f>IFERROR(__xludf.DUMMYFUNCTION("""COMPUTED_VALUE"""),"Recast")</f>
        <v>Recast</v>
      </c>
      <c r="I11" s="11">
        <f>IFERROR(__xludf.DUMMYFUNCTION("""COMPUTED_VALUE"""),7.0)</f>
        <v>7</v>
      </c>
      <c r="J11" s="11">
        <f>IFERROR(__xludf.DUMMYFUNCTION("""COMPUTED_VALUE"""),0.01)</f>
        <v>0.01</v>
      </c>
      <c r="K11" s="11">
        <f>IFERROR(__xludf.DUMMYFUNCTION("""COMPUTED_VALUE"""),1.43)</f>
        <v>1.43</v>
      </c>
    </row>
    <row r="12" ht="15.75" customHeight="1">
      <c r="A12" s="10" t="str">
        <f>IFERROR(__xludf.DUMMYFUNCTION("""COMPUTED_VALUE"""),"https://liftlab.com/platform/incrementality-testing-engine/")</f>
        <v>https://liftlab.com/platform/incrementality-testing-engine/</v>
      </c>
      <c r="B12" s="11" t="str">
        <f>IFERROR(__xludf.DUMMYFUNCTION("""COMPUTED_VALUE"""),"Incrementality Testing &amp;amp; GEO Experimentation Platform | LiftLab")</f>
        <v>Incrementality Testing &amp;amp; GEO Experimentation Platform | LiftLab</v>
      </c>
      <c r="C12" s="10" t="str">
        <f>IFERROR(__xludf.DUMMYFUNCTION("""COMPUTED_VALUE"""),"liftlab.com")</f>
        <v>liftlab.com</v>
      </c>
      <c r="D12" s="11" t="str">
        <f>IFERROR(__xludf.DUMMYFUNCTION("""COMPUTED_VALUE"""),"PRODUCT_PAGE")</f>
        <v>PRODUCT_PAGE</v>
      </c>
      <c r="E12" s="11" t="str">
        <f>IFERROR(__xludf.DUMMYFUNCTION("""COMPUTED_VALUE"""),"COMPETITOR")</f>
        <v>COMPETITOR</v>
      </c>
      <c r="F12" s="11" t="str">
        <f>IFERROR(__xludf.DUMMYFUNCTION("""COMPUTED_VALUE"""),"Product Page")</f>
        <v>Product Page</v>
      </c>
      <c r="G12" s="11" t="b">
        <f>IFERROR(__xludf.DUMMYFUNCTION("""COMPUTED_VALUE"""),FALSE)</f>
        <v>0</v>
      </c>
      <c r="H12" s="11" t="str">
        <f>IFERROR(__xludf.DUMMYFUNCTION("""COMPUTED_VALUE"""),"LiftLab")</f>
        <v>LiftLab</v>
      </c>
      <c r="I12" s="11">
        <f>IFERROR(__xludf.DUMMYFUNCTION("""COMPUTED_VALUE"""),7.0)</f>
        <v>7</v>
      </c>
      <c r="J12" s="11">
        <f>IFERROR(__xludf.DUMMYFUNCTION("""COMPUTED_VALUE"""),0.01)</f>
        <v>0.01</v>
      </c>
      <c r="K12" s="11">
        <f>IFERROR(__xludf.DUMMYFUNCTION("""COMPUTED_VALUE"""),1.14)</f>
        <v>1.14</v>
      </c>
    </row>
    <row r="13" ht="15.75" customHeight="1">
      <c r="A13" s="10" t="str">
        <f>IFERROR(__xludf.DUMMYFUNCTION("""COMPUTED_VALUE"""),"https://liftlab.com/solutions/incrementality-testing/")</f>
        <v>https://liftlab.com/solutions/incrementality-testing/</v>
      </c>
      <c r="B13" s="11" t="str">
        <f>IFERROR(__xludf.DUMMYFUNCTION("""COMPUTED_VALUE"""),"Incrementality Testing &amp;amp; MMM Calibration | LiftLab")</f>
        <v>Incrementality Testing &amp;amp; MMM Calibration | LiftLab</v>
      </c>
      <c r="C13" s="10" t="str">
        <f>IFERROR(__xludf.DUMMYFUNCTION("""COMPUTED_VALUE"""),"liftlab.com")</f>
        <v>liftlab.com</v>
      </c>
      <c r="D13" s="11" t="str">
        <f>IFERROR(__xludf.DUMMYFUNCTION("""COMPUTED_VALUE"""),"PRODUCT_PAGE")</f>
        <v>PRODUCT_PAGE</v>
      </c>
      <c r="E13" s="11" t="str">
        <f>IFERROR(__xludf.DUMMYFUNCTION("""COMPUTED_VALUE"""),"COMPETITOR")</f>
        <v>COMPETITOR</v>
      </c>
      <c r="F13" s="11" t="str">
        <f>IFERROR(__xludf.DUMMYFUNCTION("""COMPUTED_VALUE"""),"Product Page")</f>
        <v>Product Page</v>
      </c>
      <c r="G13" s="11" t="b">
        <f>IFERROR(__xludf.DUMMYFUNCTION("""COMPUTED_VALUE"""),FALSE)</f>
        <v>0</v>
      </c>
      <c r="H13" s="11" t="str">
        <f>IFERROR(__xludf.DUMMYFUNCTION("""COMPUTED_VALUE"""),"LiftLab")</f>
        <v>LiftLab</v>
      </c>
      <c r="I13" s="11">
        <f>IFERROR(__xludf.DUMMYFUNCTION("""COMPUTED_VALUE"""),7.0)</f>
        <v>7</v>
      </c>
      <c r="J13" s="11">
        <f>IFERROR(__xludf.DUMMYFUNCTION("""COMPUTED_VALUE"""),0.01)</f>
        <v>0.01</v>
      </c>
      <c r="K13" s="11">
        <f>IFERROR(__xludf.DUMMYFUNCTION("""COMPUTED_VALUE"""),1.29)</f>
        <v>1.29</v>
      </c>
    </row>
    <row r="14" ht="15.75" customHeight="1">
      <c r="A14" s="10" t="str">
        <f>IFERROR(__xludf.DUMMYFUNCTION("""COMPUTED_VALUE"""),"https://www.wsiworld.com/our-services/ai-consulting")</f>
        <v>https://www.wsiworld.com/our-services/ai-consulting</v>
      </c>
      <c r="B14" s="11" t="str">
        <f>IFERROR(__xludf.DUMMYFUNCTION("""COMPUTED_VALUE"""),"AI Consulting Services for Business Growth and Automation")</f>
        <v>AI Consulting Services for Business Growth and Automation</v>
      </c>
      <c r="C14" s="10" t="str">
        <f>IFERROR(__xludf.DUMMYFUNCTION("""COMPUTED_VALUE"""),"wsiworld.com")</f>
        <v>wsiworld.com</v>
      </c>
      <c r="D14" s="11" t="str">
        <f>IFERROR(__xludf.DUMMYFUNCTION("""COMPUTED_VALUE"""),"PRODUCT_PAGE")</f>
        <v>PRODUCT_PAGE</v>
      </c>
      <c r="E14" s="11" t="str">
        <f>IFERROR(__xludf.DUMMYFUNCTION("""COMPUTED_VALUE"""),"CORPORATE")</f>
        <v>CORPORATE</v>
      </c>
      <c r="F14" s="11" t="str">
        <f>IFERROR(__xludf.DUMMYFUNCTION("""COMPUTED_VALUE"""),"Product Page")</f>
        <v>Product Page</v>
      </c>
      <c r="G14" s="11" t="b">
        <f>IFERROR(__xludf.DUMMYFUNCTION("""COMPUTED_VALUE"""),FALSE)</f>
        <v>0</v>
      </c>
      <c r="H14" s="11"/>
      <c r="I14" s="11">
        <f>IFERROR(__xludf.DUMMYFUNCTION("""COMPUTED_VALUE"""),7.0)</f>
        <v>7</v>
      </c>
      <c r="J14" s="11">
        <f>IFERROR(__xludf.DUMMYFUNCTION("""COMPUTED_VALUE"""),0.01)</f>
        <v>0.01</v>
      </c>
      <c r="K14" s="11">
        <f>IFERROR(__xludf.DUMMYFUNCTION("""COMPUTED_VALUE"""),0.86)</f>
        <v>0.86</v>
      </c>
    </row>
    <row r="15" ht="15.75" customHeight="1">
      <c r="A15" s="10" t="str">
        <f>IFERROR(__xludf.DUMMYFUNCTION("""COMPUTED_VALUE"""),"https://www.deloitte.com/us/en/services/consulting/services/generative-ai-readiness-and-adoption.html")</f>
        <v>https://www.deloitte.com/us/en/services/consulting/services/generative-ai-readiness-and-adoption.html</v>
      </c>
      <c r="B15" s="11" t="str">
        <f>IFERROR(__xludf.DUMMYFUNCTION("""COMPUTED_VALUE"""),"GenAI Readiness and Adoption | Deloitte US")</f>
        <v>GenAI Readiness and Adoption | Deloitte US</v>
      </c>
      <c r="C15" s="10" t="str">
        <f>IFERROR(__xludf.DUMMYFUNCTION("""COMPUTED_VALUE"""),"deloitte.com")</f>
        <v>deloitte.com</v>
      </c>
      <c r="D15" s="11" t="str">
        <f>IFERROR(__xludf.DUMMYFUNCTION("""COMPUTED_VALUE"""),"PRODUCT_PAGE")</f>
        <v>PRODUCT_PAGE</v>
      </c>
      <c r="E15" s="11" t="str">
        <f>IFERROR(__xludf.DUMMYFUNCTION("""COMPUTED_VALUE"""),"CORPORATE")</f>
        <v>CORPORATE</v>
      </c>
      <c r="F15" s="11" t="str">
        <f>IFERROR(__xludf.DUMMYFUNCTION("""COMPUTED_VALUE"""),"Product Page")</f>
        <v>Product Page</v>
      </c>
      <c r="G15" s="11" t="b">
        <f>IFERROR(__xludf.DUMMYFUNCTION("""COMPUTED_VALUE"""),FALSE)</f>
        <v>0</v>
      </c>
      <c r="H15" s="11" t="str">
        <f>IFERROR(__xludf.DUMMYFUNCTION("""COMPUTED_VALUE"""),"Deloitte Digital")</f>
        <v>Deloitte Digital</v>
      </c>
      <c r="I15" s="11">
        <f>IFERROR(__xludf.DUMMYFUNCTION("""COMPUTED_VALUE"""),6.0)</f>
        <v>6</v>
      </c>
      <c r="J15" s="11">
        <f>IFERROR(__xludf.DUMMYFUNCTION("""COMPUTED_VALUE"""),0.01)</f>
        <v>0.01</v>
      </c>
      <c r="K15" s="11">
        <f>IFERROR(__xludf.DUMMYFUNCTION("""COMPUTED_VALUE"""),1.83)</f>
        <v>1.83</v>
      </c>
    </row>
    <row r="16" ht="15.75" customHeight="1">
      <c r="A16" s="10" t="str">
        <f>IFERROR(__xludf.DUMMYFUNCTION("""COMPUTED_VALUE"""),"https://info.measured.com/media-mix-modeling-demo")</f>
        <v>https://info.measured.com/media-mix-modeling-demo</v>
      </c>
      <c r="B16" s="11" t="str">
        <f>IFERROR(__xludf.DUMMYFUNCTION("""COMPUTED_VALUE"""),"Incrementality-Powered Media Mix Modeling | Measured")</f>
        <v>Incrementality-Powered Media Mix Modeling | Measured</v>
      </c>
      <c r="C16" s="10" t="str">
        <f>IFERROR(__xludf.DUMMYFUNCTION("""COMPUTED_VALUE"""),"measured.com")</f>
        <v>measured.com</v>
      </c>
      <c r="D16" s="11" t="str">
        <f>IFERROR(__xludf.DUMMYFUNCTION("""COMPUTED_VALUE"""),"PRODUCT_PAGE")</f>
        <v>PRODUCT_PAGE</v>
      </c>
      <c r="E16" s="11" t="str">
        <f>IFERROR(__xludf.DUMMYFUNCTION("""COMPUTED_VALUE"""),"COMPETITOR")</f>
        <v>COMPETITOR</v>
      </c>
      <c r="F16" s="11" t="str">
        <f>IFERROR(__xludf.DUMMYFUNCTION("""COMPUTED_VALUE"""),"Product Page")</f>
        <v>Product Page</v>
      </c>
      <c r="G16" s="11" t="b">
        <f>IFERROR(__xludf.DUMMYFUNCTION("""COMPUTED_VALUE"""),FALSE)</f>
        <v>0</v>
      </c>
      <c r="H16" s="11" t="str">
        <f>IFERROR(__xludf.DUMMYFUNCTION("""COMPUTED_VALUE"""),"Measured")</f>
        <v>Measured</v>
      </c>
      <c r="I16" s="11">
        <f>IFERROR(__xludf.DUMMYFUNCTION("""COMPUTED_VALUE"""),6.0)</f>
        <v>6</v>
      </c>
      <c r="J16" s="11">
        <f>IFERROR(__xludf.DUMMYFUNCTION("""COMPUTED_VALUE"""),0.01)</f>
        <v>0.01</v>
      </c>
      <c r="K16" s="11">
        <f>IFERROR(__xludf.DUMMYFUNCTION("""COMPUTED_VALUE"""),0.0)</f>
        <v>0</v>
      </c>
    </row>
    <row r="17" ht="15.75" customHeight="1">
      <c r="A17" s="10" t="str">
        <f>IFERROR(__xludf.DUMMYFUNCTION("""COMPUTED_VALUE"""),"https://www.webfx.com/digital-marketing/agency/usa/")</f>
        <v>https://www.webfx.com/digital-marketing/agency/usa/</v>
      </c>
      <c r="B17" s="11" t="str">
        <f>IFERROR(__xludf.DUMMYFUNCTION("""COMPUTED_VALUE"""),"Digital Marketing Company in USA | SEO, PPC, &amp;amp; More | WebFX")</f>
        <v>Digital Marketing Company in USA | SEO, PPC, &amp;amp; More | WebFX</v>
      </c>
      <c r="C17" s="10" t="str">
        <f>IFERROR(__xludf.DUMMYFUNCTION("""COMPUTED_VALUE"""),"webfx.com")</f>
        <v>webfx.com</v>
      </c>
      <c r="D17" s="11" t="str">
        <f>IFERROR(__xludf.DUMMYFUNCTION("""COMPUTED_VALUE"""),"PRODUCT_PAGE")</f>
        <v>PRODUCT_PAGE</v>
      </c>
      <c r="E17" s="11" t="str">
        <f>IFERROR(__xludf.DUMMYFUNCTION("""COMPUTED_VALUE"""),"COMPETITOR")</f>
        <v>COMPETITOR</v>
      </c>
      <c r="F17" s="11" t="str">
        <f>IFERROR(__xludf.DUMMYFUNCTION("""COMPUTED_VALUE"""),"Product Page")</f>
        <v>Product Page</v>
      </c>
      <c r="G17" s="11" t="b">
        <f>IFERROR(__xludf.DUMMYFUNCTION("""COMPUTED_VALUE"""),FALSE)</f>
        <v>0</v>
      </c>
      <c r="H17" s="11" t="str">
        <f>IFERROR(__xludf.DUMMYFUNCTION("""COMPUTED_VALUE"""),"WebFX, Huge")</f>
        <v>WebFX, Huge</v>
      </c>
      <c r="I17" s="11">
        <f>IFERROR(__xludf.DUMMYFUNCTION("""COMPUTED_VALUE"""),6.0)</f>
        <v>6</v>
      </c>
      <c r="J17" s="11">
        <f>IFERROR(__xludf.DUMMYFUNCTION("""COMPUTED_VALUE"""),0.01)</f>
        <v>0.01</v>
      </c>
      <c r="K17" s="11">
        <f>IFERROR(__xludf.DUMMYFUNCTION("""COMPUTED_VALUE"""),0.83)</f>
        <v>0.83</v>
      </c>
    </row>
    <row r="18" ht="15.75" customHeight="1">
      <c r="A18" s="10" t="str">
        <f>IFERROR(__xludf.DUMMYFUNCTION("""COMPUTED_VALUE"""),"https://www.circana.com/liquid-testing")</f>
        <v>https://www.circana.com/liquid-testing</v>
      </c>
      <c r="B18" s="11" t="str">
        <f>IFERROR(__xludf.DUMMYFUNCTION("""COMPUTED_VALUE"""),"Liquid Testing: Self-Serve Incrementality Testing | Circana")</f>
        <v>Liquid Testing: Self-Serve Incrementality Testing | Circana</v>
      </c>
      <c r="C18" s="10" t="str">
        <f>IFERROR(__xludf.DUMMYFUNCTION("""COMPUTED_VALUE"""),"circana.com")</f>
        <v>circana.com</v>
      </c>
      <c r="D18" s="11" t="str">
        <f>IFERROR(__xludf.DUMMYFUNCTION("""COMPUTED_VALUE"""),"PRODUCT_PAGE")</f>
        <v>PRODUCT_PAGE</v>
      </c>
      <c r="E18" s="11" t="str">
        <f>IFERROR(__xludf.DUMMYFUNCTION("""COMPUTED_VALUE"""),"COMPETITOR")</f>
        <v>COMPETITOR</v>
      </c>
      <c r="F18" s="11" t="str">
        <f>IFERROR(__xludf.DUMMYFUNCTION("""COMPUTED_VALUE"""),"Product Page")</f>
        <v>Product Page</v>
      </c>
      <c r="G18" s="11" t="b">
        <f>IFERROR(__xludf.DUMMYFUNCTION("""COMPUTED_VALUE"""),FALSE)</f>
        <v>0</v>
      </c>
      <c r="H18" s="11" t="str">
        <f>IFERROR(__xludf.DUMMYFUNCTION("""COMPUTED_VALUE"""),"Circana")</f>
        <v>Circana</v>
      </c>
      <c r="I18" s="11">
        <f>IFERROR(__xludf.DUMMYFUNCTION("""COMPUTED_VALUE"""),5.0)</f>
        <v>5</v>
      </c>
      <c r="J18" s="11">
        <f>IFERROR(__xludf.DUMMYFUNCTION("""COMPUTED_VALUE"""),0.0)</f>
        <v>0</v>
      </c>
      <c r="K18" s="11">
        <f>IFERROR(__xludf.DUMMYFUNCTION("""COMPUTED_VALUE"""),1.2)</f>
        <v>1.2</v>
      </c>
    </row>
    <row r="19" ht="15.75" customHeight="1">
      <c r="A19" s="10" t="str">
        <f>IFERROR(__xludf.DUMMYFUNCTION("""COMPUTED_VALUE"""),"https://infotrust.com/google-marketing-platform-consulting/")</f>
        <v>https://infotrust.com/google-marketing-platform-consulting/</v>
      </c>
      <c r="B19" s="11" t="str">
        <f>IFERROR(__xludf.DUMMYFUNCTION("""COMPUTED_VALUE"""),"Google Marketing Platform Sales Partner and Reseller | GA360, CM360, DV360")</f>
        <v>Google Marketing Platform Sales Partner and Reseller | GA360, CM360, DV360</v>
      </c>
      <c r="C19" s="10" t="str">
        <f>IFERROR(__xludf.DUMMYFUNCTION("""COMPUTED_VALUE"""),"infotrust.com")</f>
        <v>infotrust.com</v>
      </c>
      <c r="D19" s="11" t="str">
        <f>IFERROR(__xludf.DUMMYFUNCTION("""COMPUTED_VALUE"""),"PRODUCT_PAGE")</f>
        <v>PRODUCT_PAGE</v>
      </c>
      <c r="E19" s="11" t="str">
        <f>IFERROR(__xludf.DUMMYFUNCTION("""COMPUTED_VALUE"""),"COMPETITOR")</f>
        <v>COMPETITOR</v>
      </c>
      <c r="F19" s="11" t="str">
        <f>IFERROR(__xludf.DUMMYFUNCTION("""COMPUTED_VALUE"""),"Product Page")</f>
        <v>Product Page</v>
      </c>
      <c r="G19" s="11" t="b">
        <f>IFERROR(__xludf.DUMMYFUNCTION("""COMPUTED_VALUE"""),FALSE)</f>
        <v>0</v>
      </c>
      <c r="H19" s="11" t="str">
        <f>IFERROR(__xludf.DUMMYFUNCTION("""COMPUTED_VALUE"""),"InfoTrust")</f>
        <v>InfoTrust</v>
      </c>
      <c r="I19" s="11">
        <f>IFERROR(__xludf.DUMMYFUNCTION("""COMPUTED_VALUE"""),5.0)</f>
        <v>5</v>
      </c>
      <c r="J19" s="11">
        <f>IFERROR(__xludf.DUMMYFUNCTION("""COMPUTED_VALUE"""),0.0)</f>
        <v>0</v>
      </c>
      <c r="K19" s="11">
        <f>IFERROR(__xludf.DUMMYFUNCTION("""COMPUTED_VALUE"""),1.4)</f>
        <v>1.4</v>
      </c>
    </row>
    <row r="20" ht="15.75" customHeight="1">
      <c r="A20" s="10" t="str">
        <f>IFERROR(__xludf.DUMMYFUNCTION("""COMPUTED_VALUE"""),"https://percepture.com/services/geo-services/#:~:text=Generative%20Engine%20Optimization%20(GEO)%20is%20the%20process,structured%20data%2C%20entity%20optimization%2C%20and%20digital%20PR.")</f>
        <v>https://percepture.com/services/geo-services/#:~:text=Generative%20Engine%20Optimization%20(GEO)%20is%20the%20process,structured%20data%2C%20entity%20optimization%2C%20and%20digital%20PR.</v>
      </c>
      <c r="B20" s="11" t="str">
        <f>IFERROR(__xludf.DUMMYFUNCTION("""COMPUTED_VALUE"""),"Generative Engine Optimization Services | GEO Agency")</f>
        <v>Generative Engine Optimization Services | GEO Agency</v>
      </c>
      <c r="C20" s="10" t="str">
        <f>IFERROR(__xludf.DUMMYFUNCTION("""COMPUTED_VALUE"""),"percepture.com")</f>
        <v>percepture.com</v>
      </c>
      <c r="D20" s="11" t="str">
        <f>IFERROR(__xludf.DUMMYFUNCTION("""COMPUTED_VALUE"""),"PRODUCT_PAGE")</f>
        <v>PRODUCT_PAGE</v>
      </c>
      <c r="E20" s="11" t="str">
        <f>IFERROR(__xludf.DUMMYFUNCTION("""COMPUTED_VALUE"""),"COMPETITOR")</f>
        <v>COMPETITOR</v>
      </c>
      <c r="F20" s="11" t="str">
        <f>IFERROR(__xludf.DUMMYFUNCTION("""COMPUTED_VALUE"""),"Product Page")</f>
        <v>Product Page</v>
      </c>
      <c r="G20" s="11" t="b">
        <f>IFERROR(__xludf.DUMMYFUNCTION("""COMPUTED_VALUE"""),FALSE)</f>
        <v>0</v>
      </c>
      <c r="H20" s="11" t="str">
        <f>IFERROR(__xludf.DUMMYFUNCTION("""COMPUTED_VALUE"""),"Percepture, Huge")</f>
        <v>Percepture, Huge</v>
      </c>
      <c r="I20" s="11">
        <f>IFERROR(__xludf.DUMMYFUNCTION("""COMPUTED_VALUE"""),5.0)</f>
        <v>5</v>
      </c>
      <c r="J20" s="11">
        <f>IFERROR(__xludf.DUMMYFUNCTION("""COMPUTED_VALUE"""),0.0)</f>
        <v>0</v>
      </c>
      <c r="K20" s="11">
        <f>IFERROR(__xludf.DUMMYFUNCTION("""COMPUTED_VALUE"""),1.8)</f>
        <v>1.8</v>
      </c>
    </row>
    <row r="21" ht="15.75" customHeight="1">
      <c r="A21" s="10" t="str">
        <f>IFERROR(__xludf.DUMMYFUNCTION("""COMPUTED_VALUE"""),"https://quandarypeak.com/ai-strategy-consulting/")</f>
        <v>https://quandarypeak.com/ai-strategy-consulting/</v>
      </c>
      <c r="B21" s="11" t="str">
        <f>IFERROR(__xludf.DUMMYFUNCTION("""COMPUTED_VALUE"""),"AI Strategy Consulting | Quandary Peak Research")</f>
        <v>AI Strategy Consulting | Quandary Peak Research</v>
      </c>
      <c r="C21" s="10" t="str">
        <f>IFERROR(__xludf.DUMMYFUNCTION("""COMPUTED_VALUE"""),"quandarypeak.com")</f>
        <v>quandarypeak.com</v>
      </c>
      <c r="D21" s="11" t="str">
        <f>IFERROR(__xludf.DUMMYFUNCTION("""COMPUTED_VALUE"""),"PRODUCT_PAGE")</f>
        <v>PRODUCT_PAGE</v>
      </c>
      <c r="E21" s="11" t="str">
        <f>IFERROR(__xludf.DUMMYFUNCTION("""COMPUTED_VALUE"""),"OTHER")</f>
        <v>OTHER</v>
      </c>
      <c r="F21" s="11" t="str">
        <f>IFERROR(__xludf.DUMMYFUNCTION("""COMPUTED_VALUE"""),"Product Page")</f>
        <v>Product Page</v>
      </c>
      <c r="G21" s="11" t="b">
        <f>IFERROR(__xludf.DUMMYFUNCTION("""COMPUTED_VALUE"""),FALSE)</f>
        <v>0</v>
      </c>
      <c r="H21" s="11"/>
      <c r="I21" s="11">
        <f>IFERROR(__xludf.DUMMYFUNCTION("""COMPUTED_VALUE"""),5.0)</f>
        <v>5</v>
      </c>
      <c r="J21" s="11">
        <f>IFERROR(__xludf.DUMMYFUNCTION("""COMPUTED_VALUE"""),0.0)</f>
        <v>0</v>
      </c>
      <c r="K21" s="11">
        <f>IFERROR(__xludf.DUMMYFUNCTION("""COMPUTED_VALUE"""),0.8)</f>
        <v>0.8</v>
      </c>
    </row>
    <row r="22" ht="15.75" customHeight="1">
      <c r="A22" s="10" t="str">
        <f>IFERROR(__xludf.DUMMYFUNCTION("""COMPUTED_VALUE"""),"https://aventigroup.com/services/ai-enablement/")</f>
        <v>https://aventigroup.com/services/ai-enablement/</v>
      </c>
      <c r="B22" s="11" t="str">
        <f>IFERROR(__xludf.DUMMYFUNCTION("""COMPUTED_VALUE"""),"AI Enablement Services | Aventi Group")</f>
        <v>AI Enablement Services | Aventi Group</v>
      </c>
      <c r="C22" s="10" t="str">
        <f>IFERROR(__xludf.DUMMYFUNCTION("""COMPUTED_VALUE"""),"aventigroup.com")</f>
        <v>aventigroup.com</v>
      </c>
      <c r="D22" s="11" t="str">
        <f>IFERROR(__xludf.DUMMYFUNCTION("""COMPUTED_VALUE"""),"PRODUCT_PAGE")</f>
        <v>PRODUCT_PAGE</v>
      </c>
      <c r="E22" s="11" t="str">
        <f>IFERROR(__xludf.DUMMYFUNCTION("""COMPUTED_VALUE"""),"CORPORATE")</f>
        <v>CORPORATE</v>
      </c>
      <c r="F22" s="11" t="str">
        <f>IFERROR(__xludf.DUMMYFUNCTION("""COMPUTED_VALUE"""),"Product Page")</f>
        <v>Product Page</v>
      </c>
      <c r="G22" s="11" t="b">
        <f>IFERROR(__xludf.DUMMYFUNCTION("""COMPUTED_VALUE"""),FALSE)</f>
        <v>0</v>
      </c>
      <c r="H22" s="11"/>
      <c r="I22" s="11">
        <f>IFERROR(__xludf.DUMMYFUNCTION("""COMPUTED_VALUE"""),4.0)</f>
        <v>4</v>
      </c>
      <c r="J22" s="11">
        <f>IFERROR(__xludf.DUMMYFUNCTION("""COMPUTED_VALUE"""),0.0)</f>
        <v>0</v>
      </c>
      <c r="K22" s="11">
        <f>IFERROR(__xludf.DUMMYFUNCTION("""COMPUTED_VALUE"""),1.5)</f>
        <v>1.5</v>
      </c>
    </row>
    <row r="23" ht="15.75" customHeight="1">
      <c r="A23" s="10" t="str">
        <f>IFERROR(__xludf.DUMMYFUNCTION("""COMPUTED_VALUE"""),"https://www.bcg.com/capabilities/artificial-intelligence#:~:text=Deep%20Customer%20Engagement%20AI%20by%20BCG%20X.,%2D%20Supply%20Chain%20AI%20by%20BCG%20X.")</f>
        <v>https://www.bcg.com/capabilities/artificial-intelligence#:~:text=Deep%20Customer%20Engagement%20AI%20by%20BCG%20X.,%2D%20Supply%20Chain%20AI%20by%20BCG%20X.</v>
      </c>
      <c r="B23" s="11" t="str">
        <f>IFERROR(__xludf.DUMMYFUNCTION("""COMPUTED_VALUE"""),"AI @ Scale | AI Consulting and Strategy | BCG")</f>
        <v>AI @ Scale | AI Consulting and Strategy | BCG</v>
      </c>
      <c r="C23" s="10" t="str">
        <f>IFERROR(__xludf.DUMMYFUNCTION("""COMPUTED_VALUE"""),"bcg.com")</f>
        <v>bcg.com</v>
      </c>
      <c r="D23" s="11" t="str">
        <f>IFERROR(__xludf.DUMMYFUNCTION("""COMPUTED_VALUE"""),"PRODUCT_PAGE")</f>
        <v>PRODUCT_PAGE</v>
      </c>
      <c r="E23" s="11" t="str">
        <f>IFERROR(__xludf.DUMMYFUNCTION("""COMPUTED_VALUE"""),"COMPETITOR")</f>
        <v>COMPETITOR</v>
      </c>
      <c r="F23" s="11" t="str">
        <f>IFERROR(__xludf.DUMMYFUNCTION("""COMPUTED_VALUE"""),"Product Page")</f>
        <v>Product Page</v>
      </c>
      <c r="G23" s="11" t="b">
        <f>IFERROR(__xludf.DUMMYFUNCTION("""COMPUTED_VALUE"""),FALSE)</f>
        <v>0</v>
      </c>
      <c r="H23" s="11" t="str">
        <f>IFERROR(__xludf.DUMMYFUNCTION("""COMPUTED_VALUE"""),"BCG, IBM")</f>
        <v>BCG, IBM</v>
      </c>
      <c r="I23" s="11">
        <f>IFERROR(__xludf.DUMMYFUNCTION("""COMPUTED_VALUE"""),4.0)</f>
        <v>4</v>
      </c>
      <c r="J23" s="11">
        <f>IFERROR(__xludf.DUMMYFUNCTION("""COMPUTED_VALUE"""),0.0)</f>
        <v>0</v>
      </c>
      <c r="K23" s="11">
        <f>IFERROR(__xludf.DUMMYFUNCTION("""COMPUTED_VALUE"""),1.25)</f>
        <v>1.25</v>
      </c>
    </row>
    <row r="24" ht="15.75" customHeight="1">
      <c r="A24" s="10" t="str">
        <f>IFERROR(__xludf.DUMMYFUNCTION("""COMPUTED_VALUE"""),"https://directiveconsulting.com/blog/20-best-paid-social-agencies-turning-scrolls-into-sales/#:~:text=Merkle%20B2B%20Merkle%20B2B%20specializes%20in%20enterprise%2Dgrade,complex%20buying%20committees%20across%20LinkedIn%20and%20Meta.")</f>
        <v>https://directiveconsulting.com/blog/20-best-paid-social-agencies-turning-scrolls-into-sales/#:~:text=Merkle%20B2B%20Merkle%20B2B%20specializes%20in%20enterprise%2Dgrade,complex%20buying%20committees%20across%20LinkedIn%20and%20Meta.</v>
      </c>
      <c r="B24" s="11" t="str">
        <f>IFERROR(__xludf.DUMMYFUNCTION("""COMPUTED_VALUE"""),"20 Best Paid Social Agencies For B2B - Directive")</f>
        <v>20 Best Paid Social Agencies For B2B - Directive</v>
      </c>
      <c r="C24" s="10" t="str">
        <f>IFERROR(__xludf.DUMMYFUNCTION("""COMPUTED_VALUE"""),"directiveconsulting.com")</f>
        <v>directiveconsulting.com</v>
      </c>
      <c r="D24" s="11" t="str">
        <f>IFERROR(__xludf.DUMMYFUNCTION("""COMPUTED_VALUE"""),"PRODUCT_PAGE")</f>
        <v>PRODUCT_PAGE</v>
      </c>
      <c r="E24" s="11" t="str">
        <f>IFERROR(__xludf.DUMMYFUNCTION("""COMPUTED_VALUE"""),"COMPETITOR")</f>
        <v>COMPETITOR</v>
      </c>
      <c r="F24" s="11" t="str">
        <f>IFERROR(__xludf.DUMMYFUNCTION("""COMPUTED_VALUE"""),"Product Page")</f>
        <v>Product Page</v>
      </c>
      <c r="G24" s="11" t="b">
        <f>IFERROR(__xludf.DUMMYFUNCTION("""COMPUTED_VALUE"""),FALSE)</f>
        <v>0</v>
      </c>
      <c r="H24" s="11" t="str">
        <f>IFERROR(__xludf.DUMMYFUNCTION("""COMPUTED_VALUE"""),"Directive, Wpromote, Ignite Visibility, Seer Interactive, Merkle, Disruptive Advertising, PMG, Hawke Media, Sociallyin, Jellyfish, KlientBoost, Viral Nation, Brainlabs, LYFE Marketing, Dentsu, TransUnion, IBM, Momentum, Clutch")</f>
        <v>Directive, Wpromote, Ignite Visibility, Seer Interactive, Merkle, Disruptive Advertising, PMG, Hawke Media, Sociallyin, Jellyfish, KlientBoost, Viral Nation, Brainlabs, LYFE Marketing, Dentsu, TransUnion, IBM, Momentum, Clutch</v>
      </c>
      <c r="I24" s="11">
        <f>IFERROR(__xludf.DUMMYFUNCTION("""COMPUTED_VALUE"""),4.0)</f>
        <v>4</v>
      </c>
      <c r="J24" s="11">
        <f>IFERROR(__xludf.DUMMYFUNCTION("""COMPUTED_VALUE"""),0.0)</f>
        <v>0</v>
      </c>
      <c r="K24" s="11">
        <f>IFERROR(__xludf.DUMMYFUNCTION("""COMPUTED_VALUE"""),1.25)</f>
        <v>1.25</v>
      </c>
    </row>
    <row r="25" ht="15.75" customHeight="1">
      <c r="A25" s="10" t="str">
        <f>IFERROR(__xludf.DUMMYFUNCTION("""COMPUTED_VALUE"""),"https://www.motum-us.com/ai-readiness")</f>
        <v>https://www.motum-us.com/ai-readiness</v>
      </c>
      <c r="B25" s="11" t="str">
        <f>IFERROR(__xludf.DUMMYFUNCTION("""COMPUTED_VALUE"""),"AI Readiness | www.motum-us.comAI Readiness Services | Practical AI Adoption for Revenue Teams | Motum")</f>
        <v>AI Readiness | www.motum-us.comAI Readiness Services | Practical AI Adoption for Revenue Teams | Motum</v>
      </c>
      <c r="C25" s="10" t="str">
        <f>IFERROR(__xludf.DUMMYFUNCTION("""COMPUTED_VALUE"""),"motum-us.com")</f>
        <v>motum-us.com</v>
      </c>
      <c r="D25" s="11" t="str">
        <f>IFERROR(__xludf.DUMMYFUNCTION("""COMPUTED_VALUE"""),"PRODUCT_PAGE")</f>
        <v>PRODUCT_PAGE</v>
      </c>
      <c r="E25" s="11" t="str">
        <f>IFERROR(__xludf.DUMMYFUNCTION("""COMPUTED_VALUE"""),"CORPORATE")</f>
        <v>CORPORATE</v>
      </c>
      <c r="F25" s="11" t="str">
        <f>IFERROR(__xludf.DUMMYFUNCTION("""COMPUTED_VALUE"""),"Product Page")</f>
        <v>Product Page</v>
      </c>
      <c r="G25" s="11" t="b">
        <f>IFERROR(__xludf.DUMMYFUNCTION("""COMPUTED_VALUE"""),FALSE)</f>
        <v>0</v>
      </c>
      <c r="H25" s="11"/>
      <c r="I25" s="11">
        <f>IFERROR(__xludf.DUMMYFUNCTION("""COMPUTED_VALUE"""),4.0)</f>
        <v>4</v>
      </c>
      <c r="J25" s="11">
        <f>IFERROR(__xludf.DUMMYFUNCTION("""COMPUTED_VALUE"""),0.0)</f>
        <v>0</v>
      </c>
      <c r="K25" s="11">
        <f>IFERROR(__xludf.DUMMYFUNCTION("""COMPUTED_VALUE"""),0.5)</f>
        <v>0.5</v>
      </c>
    </row>
    <row r="26" ht="15.75" customHeight="1">
      <c r="A26" s="10" t="str">
        <f>IFERROR(__xludf.DUMMYFUNCTION("""COMPUTED_VALUE"""),"https://www.pedowitzgroup.com/ai-assessment")</f>
        <v>https://www.pedowitzgroup.com/ai-assessment</v>
      </c>
      <c r="B26" s="11" t="str">
        <f>IFERROR(__xludf.DUMMYFUNCTION("""COMPUTED_VALUE"""),"AI Readiness Assessment for Marketing | The Pedowitz Group")</f>
        <v>AI Readiness Assessment for Marketing | The Pedowitz Group</v>
      </c>
      <c r="C26" s="10" t="str">
        <f>IFERROR(__xludf.DUMMYFUNCTION("""COMPUTED_VALUE"""),"pedowitzgroup.com")</f>
        <v>pedowitzgroup.com</v>
      </c>
      <c r="D26" s="11" t="str">
        <f>IFERROR(__xludf.DUMMYFUNCTION("""COMPUTED_VALUE"""),"PRODUCT_PAGE")</f>
        <v>PRODUCT_PAGE</v>
      </c>
      <c r="E26" s="11" t="str">
        <f>IFERROR(__xludf.DUMMYFUNCTION("""COMPUTED_VALUE"""),"CORPORATE")</f>
        <v>CORPORATE</v>
      </c>
      <c r="F26" s="11" t="str">
        <f>IFERROR(__xludf.DUMMYFUNCTION("""COMPUTED_VALUE"""),"Product Page")</f>
        <v>Product Page</v>
      </c>
      <c r="G26" s="11" t="b">
        <f>IFERROR(__xludf.DUMMYFUNCTION("""COMPUTED_VALUE"""),FALSE)</f>
        <v>0</v>
      </c>
      <c r="H26" s="11" t="str">
        <f>IFERROR(__xludf.DUMMYFUNCTION("""COMPUTED_VALUE"""),"McKinsey")</f>
        <v>McKinsey</v>
      </c>
      <c r="I26" s="11">
        <f>IFERROR(__xludf.DUMMYFUNCTION("""COMPUTED_VALUE"""),4.0)</f>
        <v>4</v>
      </c>
      <c r="J26" s="11">
        <f>IFERROR(__xludf.DUMMYFUNCTION("""COMPUTED_VALUE"""),0.0)</f>
        <v>0</v>
      </c>
      <c r="K26" s="11">
        <f>IFERROR(__xludf.DUMMYFUNCTION("""COMPUTED_VALUE"""),2.25)</f>
        <v>2.25</v>
      </c>
    </row>
    <row r="27" ht="15.75" customHeight="1">
      <c r="A27" s="10" t="str">
        <f>IFERROR(__xludf.DUMMYFUNCTION("""COMPUTED_VALUE"""),"https://s360digital.com/capabilities/tech/google-marketing-platform/")</f>
        <v>https://s360digital.com/capabilities/tech/google-marketing-platform/</v>
      </c>
      <c r="B27" s="11" t="str">
        <f>IFERROR(__xludf.DUMMYFUNCTION("""COMPUTED_VALUE"""),"Your certified partner for Google Marketing Platform | s360")</f>
        <v>Your certified partner for Google Marketing Platform | s360</v>
      </c>
      <c r="C27" s="10" t="str">
        <f>IFERROR(__xludf.DUMMYFUNCTION("""COMPUTED_VALUE"""),"s360digital.com")</f>
        <v>s360digital.com</v>
      </c>
      <c r="D27" s="11" t="str">
        <f>IFERROR(__xludf.DUMMYFUNCTION("""COMPUTED_VALUE"""),"PRODUCT_PAGE")</f>
        <v>PRODUCT_PAGE</v>
      </c>
      <c r="E27" s="11" t="str">
        <f>IFERROR(__xludf.DUMMYFUNCTION("""COMPUTED_VALUE"""),"CORPORATE")</f>
        <v>CORPORATE</v>
      </c>
      <c r="F27" s="11" t="str">
        <f>IFERROR(__xludf.DUMMYFUNCTION("""COMPUTED_VALUE"""),"Product Page")</f>
        <v>Product Page</v>
      </c>
      <c r="G27" s="11" t="b">
        <f>IFERROR(__xludf.DUMMYFUNCTION("""COMPUTED_VALUE"""),FALSE)</f>
        <v>0</v>
      </c>
      <c r="H27" s="11"/>
      <c r="I27" s="11">
        <f>IFERROR(__xludf.DUMMYFUNCTION("""COMPUTED_VALUE"""),4.0)</f>
        <v>4</v>
      </c>
      <c r="J27" s="11">
        <f>IFERROR(__xludf.DUMMYFUNCTION("""COMPUTED_VALUE"""),0.0)</f>
        <v>0</v>
      </c>
      <c r="K27" s="11">
        <f>IFERROR(__xludf.DUMMYFUNCTION("""COMPUTED_VALUE"""),1.0)</f>
        <v>1</v>
      </c>
    </row>
    <row r="28" ht="15.75" customHeight="1">
      <c r="A28" s="10" t="str">
        <f>IFERROR(__xludf.DUMMYFUNCTION("""COMPUTED_VALUE"""),"https://business.google.com/us/support/become-a-partner/")</f>
        <v>https://business.google.com/us/support/become-a-partner/</v>
      </c>
      <c r="B28" s="11" t="str">
        <f>IFERROR(__xludf.DUMMYFUNCTION("""COMPUTED_VALUE"""),"Google Partners Program: Get Training and Support - Google Ads")</f>
        <v>Google Partners Program: Get Training and Support - Google Ads</v>
      </c>
      <c r="C28" s="10" t="str">
        <f>IFERROR(__xludf.DUMMYFUNCTION("""COMPUTED_VALUE"""),"google.com")</f>
        <v>google.com</v>
      </c>
      <c r="D28" s="11" t="str">
        <f>IFERROR(__xludf.DUMMYFUNCTION("""COMPUTED_VALUE"""),"PRODUCT_PAGE")</f>
        <v>PRODUCT_PAGE</v>
      </c>
      <c r="E28" s="11" t="str">
        <f>IFERROR(__xludf.DUMMYFUNCTION("""COMPUTED_VALUE"""),"OTHER")</f>
        <v>OTHER</v>
      </c>
      <c r="F28" s="11" t="str">
        <f>IFERROR(__xludf.DUMMYFUNCTION("""COMPUTED_VALUE"""),"Product Page")</f>
        <v>Product Page</v>
      </c>
      <c r="G28" s="11" t="b">
        <f>IFERROR(__xludf.DUMMYFUNCTION("""COMPUTED_VALUE"""),FALSE)</f>
        <v>0</v>
      </c>
      <c r="H28" s="11" t="str">
        <f>IFERROR(__xludf.DUMMYFUNCTION("""COMPUTED_VALUE"""),"New Engen, Merkle")</f>
        <v>New Engen, Merkle</v>
      </c>
      <c r="I28" s="11">
        <f>IFERROR(__xludf.DUMMYFUNCTION("""COMPUTED_VALUE"""),3.0)</f>
        <v>3</v>
      </c>
      <c r="J28" s="11">
        <f>IFERROR(__xludf.DUMMYFUNCTION("""COMPUTED_VALUE"""),0.0)</f>
        <v>0</v>
      </c>
      <c r="K28" s="11">
        <f>IFERROR(__xludf.DUMMYFUNCTION("""COMPUTED_VALUE"""),0.0)</f>
        <v>0</v>
      </c>
    </row>
    <row r="29" ht="15.75" customHeight="1">
      <c r="A29" s="10" t="str">
        <f>IFERROR(__xludf.DUMMYFUNCTION("""COMPUTED_VALUE"""),"https://fusepointinsights.com/service/incrementality-experiments/")</f>
        <v>https://fusepointinsights.com/service/incrementality-experiments/</v>
      </c>
      <c r="B29" s="11" t="str">
        <f>IFERROR(__xludf.DUMMYFUNCTION("""COMPUTED_VALUE"""),"Incrementality Experiments for Marketing Measurement | fusepoint")</f>
        <v>Incrementality Experiments for Marketing Measurement | fusepoint</v>
      </c>
      <c r="C29" s="10" t="str">
        <f>IFERROR(__xludf.DUMMYFUNCTION("""COMPUTED_VALUE"""),"fusepointinsights.com")</f>
        <v>fusepointinsights.com</v>
      </c>
      <c r="D29" s="11" t="str">
        <f>IFERROR(__xludf.DUMMYFUNCTION("""COMPUTED_VALUE"""),"PRODUCT_PAGE")</f>
        <v>PRODUCT_PAGE</v>
      </c>
      <c r="E29" s="11" t="str">
        <f>IFERROR(__xludf.DUMMYFUNCTION("""COMPUTED_VALUE"""),"CORPORATE")</f>
        <v>CORPORATE</v>
      </c>
      <c r="F29" s="11" t="str">
        <f>IFERROR(__xludf.DUMMYFUNCTION("""COMPUTED_VALUE"""),"Product Page")</f>
        <v>Product Page</v>
      </c>
      <c r="G29" s="11" t="b">
        <f>IFERROR(__xludf.DUMMYFUNCTION("""COMPUTED_VALUE"""),FALSE)</f>
        <v>0</v>
      </c>
      <c r="H29" s="11" t="str">
        <f>IFERROR(__xludf.DUMMYFUNCTION("""COMPUTED_VALUE"""),"Power Digital")</f>
        <v>Power Digital</v>
      </c>
      <c r="I29" s="11">
        <f>IFERROR(__xludf.DUMMYFUNCTION("""COMPUTED_VALUE"""),3.0)</f>
        <v>3</v>
      </c>
      <c r="J29" s="11">
        <f>IFERROR(__xludf.DUMMYFUNCTION("""COMPUTED_VALUE"""),0.0)</f>
        <v>0</v>
      </c>
      <c r="K29" s="11">
        <f>IFERROR(__xludf.DUMMYFUNCTION("""COMPUTED_VALUE"""),1.0)</f>
        <v>1</v>
      </c>
    </row>
    <row r="30" ht="15.75" customHeight="1">
      <c r="A30" s="10" t="str">
        <f>IFERROR(__xludf.DUMMYFUNCTION("""COMPUTED_VALUE"""),"https://www.incrmntal.com/solutions/agencies")</f>
        <v>https://www.incrmntal.com/solutions/agencies</v>
      </c>
      <c r="B30" s="11" t="str">
        <f>IFERROR(__xludf.DUMMYFUNCTION("""COMPUTED_VALUE"""),"Marketing measurement solution for Agencies")</f>
        <v>Marketing measurement solution for Agencies</v>
      </c>
      <c r="C30" s="10" t="str">
        <f>IFERROR(__xludf.DUMMYFUNCTION("""COMPUTED_VALUE"""),"incrmntal.com")</f>
        <v>incrmntal.com</v>
      </c>
      <c r="D30" s="11" t="str">
        <f>IFERROR(__xludf.DUMMYFUNCTION("""COMPUTED_VALUE"""),"PRODUCT_PAGE")</f>
        <v>PRODUCT_PAGE</v>
      </c>
      <c r="E30" s="11" t="str">
        <f>IFERROR(__xludf.DUMMYFUNCTION("""COMPUTED_VALUE"""),"COMPETITOR")</f>
        <v>COMPETITOR</v>
      </c>
      <c r="F30" s="11" t="str">
        <f>IFERROR(__xludf.DUMMYFUNCTION("""COMPUTED_VALUE"""),"Product Page")</f>
        <v>Product Page</v>
      </c>
      <c r="G30" s="11" t="b">
        <f>IFERROR(__xludf.DUMMYFUNCTION("""COMPUTED_VALUE"""),FALSE)</f>
        <v>0</v>
      </c>
      <c r="H30" s="11" t="str">
        <f>IFERROR(__xludf.DUMMYFUNCTION("""COMPUTED_VALUE"""),"INCRMNTAL")</f>
        <v>INCRMNTAL</v>
      </c>
      <c r="I30" s="11">
        <f>IFERROR(__xludf.DUMMYFUNCTION("""COMPUTED_VALUE"""),3.0)</f>
        <v>3</v>
      </c>
      <c r="J30" s="11">
        <f>IFERROR(__xludf.DUMMYFUNCTION("""COMPUTED_VALUE"""),0.0)</f>
        <v>0</v>
      </c>
      <c r="K30" s="11">
        <f>IFERROR(__xludf.DUMMYFUNCTION("""COMPUTED_VALUE"""),1.0)</f>
        <v>1</v>
      </c>
    </row>
    <row r="31" ht="15.75" customHeight="1">
      <c r="A31" s="10" t="str">
        <f>IFERROR(__xludf.DUMMYFUNCTION("""COMPUTED_VALUE"""),"https://isuccessconsulting.com/aireadiness/")</f>
        <v>https://isuccessconsulting.com/aireadiness/</v>
      </c>
      <c r="B31" s="11" t="str">
        <f>IFERROR(__xludf.DUMMYFUNCTION("""COMPUTED_VALUE"""),"AI Readiness &amp;amp; Organizational Assessment – iSuccess Consulting Inc.")</f>
        <v>AI Readiness &amp;amp; Organizational Assessment – iSuccess Consulting Inc.</v>
      </c>
      <c r="C31" s="10" t="str">
        <f>IFERROR(__xludf.DUMMYFUNCTION("""COMPUTED_VALUE"""),"isuccessconsulting.com")</f>
        <v>isuccessconsulting.com</v>
      </c>
      <c r="D31" s="11" t="str">
        <f>IFERROR(__xludf.DUMMYFUNCTION("""COMPUTED_VALUE"""),"PRODUCT_PAGE")</f>
        <v>PRODUCT_PAGE</v>
      </c>
      <c r="E31" s="11" t="str">
        <f>IFERROR(__xludf.DUMMYFUNCTION("""COMPUTED_VALUE"""),"CORPORATE")</f>
        <v>CORPORATE</v>
      </c>
      <c r="F31" s="11" t="str">
        <f>IFERROR(__xludf.DUMMYFUNCTION("""COMPUTED_VALUE"""),"Product Page")</f>
        <v>Product Page</v>
      </c>
      <c r="G31" s="11" t="b">
        <f>IFERROR(__xludf.DUMMYFUNCTION("""COMPUTED_VALUE"""),FALSE)</f>
        <v>0</v>
      </c>
      <c r="H31" s="11"/>
      <c r="I31" s="11">
        <f>IFERROR(__xludf.DUMMYFUNCTION("""COMPUTED_VALUE"""),3.0)</f>
        <v>3</v>
      </c>
      <c r="J31" s="11">
        <f>IFERROR(__xludf.DUMMYFUNCTION("""COMPUTED_VALUE"""),0.0)</f>
        <v>0</v>
      </c>
      <c r="K31" s="11">
        <f>IFERROR(__xludf.DUMMYFUNCTION("""COMPUTED_VALUE"""),0.0)</f>
        <v>0</v>
      </c>
    </row>
    <row r="32" ht="15.75" customHeight="1">
      <c r="A32" s="10" t="str">
        <f>IFERROR(__xludf.DUMMYFUNCTION("""COMPUTED_VALUE"""),"https://liftlab.com/platform/unified-marketing-measurement/")</f>
        <v>https://liftlab.com/platform/unified-marketing-measurement/</v>
      </c>
      <c r="B32" s="11" t="str">
        <f>IFERROR(__xludf.DUMMYFUNCTION("""COMPUTED_VALUE"""),"Unified Marketing Measurement Platform (MMM + Incrementality) | LiftLab")</f>
        <v>Unified Marketing Measurement Platform (MMM + Incrementality) | LiftLab</v>
      </c>
      <c r="C32" s="10" t="str">
        <f>IFERROR(__xludf.DUMMYFUNCTION("""COMPUTED_VALUE"""),"liftlab.com")</f>
        <v>liftlab.com</v>
      </c>
      <c r="D32" s="11" t="str">
        <f>IFERROR(__xludf.DUMMYFUNCTION("""COMPUTED_VALUE"""),"PRODUCT_PAGE")</f>
        <v>PRODUCT_PAGE</v>
      </c>
      <c r="E32" s="11" t="str">
        <f>IFERROR(__xludf.DUMMYFUNCTION("""COMPUTED_VALUE"""),"COMPETITOR")</f>
        <v>COMPETITOR</v>
      </c>
      <c r="F32" s="11" t="str">
        <f>IFERROR(__xludf.DUMMYFUNCTION("""COMPUTED_VALUE"""),"Product Page")</f>
        <v>Product Page</v>
      </c>
      <c r="G32" s="11" t="b">
        <f>IFERROR(__xludf.DUMMYFUNCTION("""COMPUTED_VALUE"""),FALSE)</f>
        <v>0</v>
      </c>
      <c r="H32" s="11" t="str">
        <f>IFERROR(__xludf.DUMMYFUNCTION("""COMPUTED_VALUE"""),"LiftLab")</f>
        <v>LiftLab</v>
      </c>
      <c r="I32" s="11">
        <f>IFERROR(__xludf.DUMMYFUNCTION("""COMPUTED_VALUE"""),3.0)</f>
        <v>3</v>
      </c>
      <c r="J32" s="11">
        <f>IFERROR(__xludf.DUMMYFUNCTION("""COMPUTED_VALUE"""),0.0)</f>
        <v>0</v>
      </c>
      <c r="K32" s="11">
        <f>IFERROR(__xludf.DUMMYFUNCTION("""COMPUTED_VALUE"""),0.0)</f>
        <v>0</v>
      </c>
    </row>
    <row r="33" ht="15.75" customHeight="1">
      <c r="A33" s="10" t="str">
        <f>IFERROR(__xludf.DUMMYFUNCTION("""COMPUTED_VALUE"""),"https://maxconnect.com/services/digital/display-advertising")</f>
        <v>https://maxconnect.com/services/digital/display-advertising</v>
      </c>
      <c r="B33" s="11" t="str">
        <f>IFERROR(__xludf.DUMMYFUNCTION("""COMPUTED_VALUE"""),"Display Advertising Services - Max Connect Digital")</f>
        <v>Display Advertising Services - Max Connect Digital</v>
      </c>
      <c r="C33" s="10" t="str">
        <f>IFERROR(__xludf.DUMMYFUNCTION("""COMPUTED_VALUE"""),"maxconnect.com")</f>
        <v>maxconnect.com</v>
      </c>
      <c r="D33" s="11" t="str">
        <f>IFERROR(__xludf.DUMMYFUNCTION("""COMPUTED_VALUE"""),"PRODUCT_PAGE")</f>
        <v>PRODUCT_PAGE</v>
      </c>
      <c r="E33" s="11" t="str">
        <f>IFERROR(__xludf.DUMMYFUNCTION("""COMPUTED_VALUE"""),"CORPORATE")</f>
        <v>CORPORATE</v>
      </c>
      <c r="F33" s="11" t="str">
        <f>IFERROR(__xludf.DUMMYFUNCTION("""COMPUTED_VALUE"""),"Product Page")</f>
        <v>Product Page</v>
      </c>
      <c r="G33" s="11" t="b">
        <f>IFERROR(__xludf.DUMMYFUNCTION("""COMPUTED_VALUE"""),FALSE)</f>
        <v>0</v>
      </c>
      <c r="H33" s="11"/>
      <c r="I33" s="11">
        <f>IFERROR(__xludf.DUMMYFUNCTION("""COMPUTED_VALUE"""),3.0)</f>
        <v>3</v>
      </c>
      <c r="J33" s="11">
        <f>IFERROR(__xludf.DUMMYFUNCTION("""COMPUTED_VALUE"""),0.0)</f>
        <v>0</v>
      </c>
      <c r="K33" s="11">
        <f>IFERROR(__xludf.DUMMYFUNCTION("""COMPUTED_VALUE"""),1.0)</f>
        <v>1</v>
      </c>
    </row>
    <row r="34" ht="15.75" customHeight="1">
      <c r="A34" s="10" t="str">
        <f>IFERROR(__xludf.DUMMYFUNCTION("""COMPUTED_VALUE"""),"https://www.measured.com/incremental-lift-tests/")</f>
        <v>https://www.measured.com/incremental-lift-tests/</v>
      </c>
      <c r="B34" s="11" t="str">
        <f>IFERROR(__xludf.DUMMYFUNCTION("""COMPUTED_VALUE"""),"Measured: Incrementality Testing")</f>
        <v>Measured: Incrementality Testing</v>
      </c>
      <c r="C34" s="10" t="str">
        <f>IFERROR(__xludf.DUMMYFUNCTION("""COMPUTED_VALUE"""),"measured.com")</f>
        <v>measured.com</v>
      </c>
      <c r="D34" s="11" t="str">
        <f>IFERROR(__xludf.DUMMYFUNCTION("""COMPUTED_VALUE"""),"PRODUCT_PAGE")</f>
        <v>PRODUCT_PAGE</v>
      </c>
      <c r="E34" s="11" t="str">
        <f>IFERROR(__xludf.DUMMYFUNCTION("""COMPUTED_VALUE"""),"COMPETITOR")</f>
        <v>COMPETITOR</v>
      </c>
      <c r="F34" s="11" t="str">
        <f>IFERROR(__xludf.DUMMYFUNCTION("""COMPUTED_VALUE"""),"Product Page")</f>
        <v>Product Page</v>
      </c>
      <c r="G34" s="11" t="b">
        <f>IFERROR(__xludf.DUMMYFUNCTION("""COMPUTED_VALUE"""),FALSE)</f>
        <v>0</v>
      </c>
      <c r="H34" s="11" t="str">
        <f>IFERROR(__xludf.DUMMYFUNCTION("""COMPUTED_VALUE"""),"Measured")</f>
        <v>Measured</v>
      </c>
      <c r="I34" s="11">
        <f>IFERROR(__xludf.DUMMYFUNCTION("""COMPUTED_VALUE"""),3.0)</f>
        <v>3</v>
      </c>
      <c r="J34" s="11">
        <f>IFERROR(__xludf.DUMMYFUNCTION("""COMPUTED_VALUE"""),0.0)</f>
        <v>0</v>
      </c>
      <c r="K34" s="11">
        <f>IFERROR(__xludf.DUMMYFUNCTION("""COMPUTED_VALUE"""),0.67)</f>
        <v>0.67</v>
      </c>
    </row>
    <row r="35" ht="15.75" customHeight="1">
      <c r="A35" s="10" t="str">
        <f>IFERROR(__xludf.DUMMYFUNCTION("""COMPUTED_VALUE"""),"https://mma.com/solutions/lp-transform-your-marketing-measurement/")</f>
        <v>https://mma.com/solutions/lp-transform-your-marketing-measurement/</v>
      </c>
      <c r="B35" s="11" t="str">
        <f>IFERROR(__xludf.DUMMYFUNCTION("""COMPUTED_VALUE"""),"Enterprise Level Marketing Analytics Solutions | Ipsos MMA")</f>
        <v>Enterprise Level Marketing Analytics Solutions | Ipsos MMA</v>
      </c>
      <c r="C35" s="10" t="str">
        <f>IFERROR(__xludf.DUMMYFUNCTION("""COMPUTED_VALUE"""),"mma.com")</f>
        <v>mma.com</v>
      </c>
      <c r="D35" s="11" t="str">
        <f>IFERROR(__xludf.DUMMYFUNCTION("""COMPUTED_VALUE"""),"PRODUCT_PAGE")</f>
        <v>PRODUCT_PAGE</v>
      </c>
      <c r="E35" s="11" t="str">
        <f>IFERROR(__xludf.DUMMYFUNCTION("""COMPUTED_VALUE"""),"CORPORATE")</f>
        <v>CORPORATE</v>
      </c>
      <c r="F35" s="11" t="str">
        <f>IFERROR(__xludf.DUMMYFUNCTION("""COMPUTED_VALUE"""),"Product Page")</f>
        <v>Product Page</v>
      </c>
      <c r="G35" s="11" t="b">
        <f>IFERROR(__xludf.DUMMYFUNCTION("""COMPUTED_VALUE"""),FALSE)</f>
        <v>0</v>
      </c>
      <c r="H35" s="11" t="str">
        <f>IFERROR(__xludf.DUMMYFUNCTION("""COMPUTED_VALUE"""),"Measured")</f>
        <v>Measured</v>
      </c>
      <c r="I35" s="11">
        <f>IFERROR(__xludf.DUMMYFUNCTION("""COMPUTED_VALUE"""),3.0)</f>
        <v>3</v>
      </c>
      <c r="J35" s="11">
        <f>IFERROR(__xludf.DUMMYFUNCTION("""COMPUTED_VALUE"""),0.0)</f>
        <v>0</v>
      </c>
      <c r="K35" s="11">
        <f>IFERROR(__xludf.DUMMYFUNCTION("""COMPUTED_VALUE"""),1.67)</f>
        <v>1.67</v>
      </c>
    </row>
    <row r="36" ht="15.75" customHeight="1">
      <c r="A36" s="10" t="str">
        <f>IFERROR(__xludf.DUMMYFUNCTION("""COMPUTED_VALUE"""),"https://www.seerinteractive.com/ai-consulting")</f>
        <v>https://www.seerinteractive.com/ai-consulting</v>
      </c>
      <c r="B36" s="11" t="str">
        <f>IFERROR(__xludf.DUMMYFUNCTION("""COMPUTED_VALUE"""),"SeerAdvance AI Consulting Services")</f>
        <v>SeerAdvance AI Consulting Services</v>
      </c>
      <c r="C36" s="10" t="str">
        <f>IFERROR(__xludf.DUMMYFUNCTION("""COMPUTED_VALUE"""),"seerinteractive.com")</f>
        <v>seerinteractive.com</v>
      </c>
      <c r="D36" s="11" t="str">
        <f>IFERROR(__xludf.DUMMYFUNCTION("""COMPUTED_VALUE"""),"PRODUCT_PAGE")</f>
        <v>PRODUCT_PAGE</v>
      </c>
      <c r="E36" s="11" t="str">
        <f>IFERROR(__xludf.DUMMYFUNCTION("""COMPUTED_VALUE"""),"COMPETITOR")</f>
        <v>COMPETITOR</v>
      </c>
      <c r="F36" s="11" t="str">
        <f>IFERROR(__xludf.DUMMYFUNCTION("""COMPUTED_VALUE"""),"Product Page")</f>
        <v>Product Page</v>
      </c>
      <c r="G36" s="11" t="b">
        <f>IFERROR(__xludf.DUMMYFUNCTION("""COMPUTED_VALUE"""),FALSE)</f>
        <v>0</v>
      </c>
      <c r="H36" s="11" t="str">
        <f>IFERROR(__xludf.DUMMYFUNCTION("""COMPUTED_VALUE"""),"Seer Interactive")</f>
        <v>Seer Interactive</v>
      </c>
      <c r="I36" s="11">
        <f>IFERROR(__xludf.DUMMYFUNCTION("""COMPUTED_VALUE"""),3.0)</f>
        <v>3</v>
      </c>
      <c r="J36" s="11">
        <f>IFERROR(__xludf.DUMMYFUNCTION("""COMPUTED_VALUE"""),0.0)</f>
        <v>0</v>
      </c>
      <c r="K36" s="11">
        <f>IFERROR(__xludf.DUMMYFUNCTION("""COMPUTED_VALUE"""),0.67)</f>
        <v>0.67</v>
      </c>
    </row>
    <row r="37" ht="15.75" customHeight="1">
      <c r="A37" s="10" t="str">
        <f>IFERROR(__xludf.DUMMYFUNCTION("""COMPUTED_VALUE"""),"https://www.velocitybyca.com/enterprise-ai-consulting")</f>
        <v>https://www.velocitybyca.com/enterprise-ai-consulting</v>
      </c>
      <c r="B37" s="11" t="str">
        <f>IFERROR(__xludf.DUMMYFUNCTION("""COMPUTED_VALUE"""),"Enterprise AI Consulting for Fortune 500 | Velocity AI by CourtAvenue")</f>
        <v>Enterprise AI Consulting for Fortune 500 | Velocity AI by CourtAvenue</v>
      </c>
      <c r="C37" s="10" t="str">
        <f>IFERROR(__xludf.DUMMYFUNCTION("""COMPUTED_VALUE"""),"velocitybyca.com")</f>
        <v>velocitybyca.com</v>
      </c>
      <c r="D37" s="11" t="str">
        <f>IFERROR(__xludf.DUMMYFUNCTION("""COMPUTED_VALUE"""),"PRODUCT_PAGE")</f>
        <v>PRODUCT_PAGE</v>
      </c>
      <c r="E37" s="11" t="str">
        <f>IFERROR(__xludf.DUMMYFUNCTION("""COMPUTED_VALUE"""),"CORPORATE")</f>
        <v>CORPORATE</v>
      </c>
      <c r="F37" s="11" t="str">
        <f>IFERROR(__xludf.DUMMYFUNCTION("""COMPUTED_VALUE"""),"Product Page")</f>
        <v>Product Page</v>
      </c>
      <c r="G37" s="11" t="b">
        <f>IFERROR(__xludf.DUMMYFUNCTION("""COMPUTED_VALUE"""),FALSE)</f>
        <v>0</v>
      </c>
      <c r="H37" s="11" t="str">
        <f>IFERROR(__xludf.DUMMYFUNCTION("""COMPUTED_VALUE"""),"McKinsey, QuantumBlack, IBM")</f>
        <v>McKinsey, QuantumBlack, IBM</v>
      </c>
      <c r="I37" s="11">
        <f>IFERROR(__xludf.DUMMYFUNCTION("""COMPUTED_VALUE"""),3.0)</f>
        <v>3</v>
      </c>
      <c r="J37" s="11">
        <f>IFERROR(__xludf.DUMMYFUNCTION("""COMPUTED_VALUE"""),0.0)</f>
        <v>0</v>
      </c>
      <c r="K37" s="11">
        <f>IFERROR(__xludf.DUMMYFUNCTION("""COMPUTED_VALUE"""),1.33)</f>
        <v>1.33</v>
      </c>
    </row>
    <row r="38" ht="15.75" customHeight="1">
      <c r="A38" s="10" t="str">
        <f>IFERROR(__xludf.DUMMYFUNCTION("""COMPUTED_VALUE"""),"https://adswerve.com/partners/google")</f>
        <v>https://adswerve.com/partners/google</v>
      </c>
      <c r="B38" s="11" t="str">
        <f>IFERROR(__xludf.DUMMYFUNCTION("""COMPUTED_VALUE"""),"Google Marketing and Cloud Platforms - Adswerve")</f>
        <v>Google Marketing and Cloud Platforms - Adswerve</v>
      </c>
      <c r="C38" s="10" t="str">
        <f>IFERROR(__xludf.DUMMYFUNCTION("""COMPUTED_VALUE"""),"adswerve.com")</f>
        <v>adswerve.com</v>
      </c>
      <c r="D38" s="11" t="str">
        <f>IFERROR(__xludf.DUMMYFUNCTION("""COMPUTED_VALUE"""),"PRODUCT_PAGE")</f>
        <v>PRODUCT_PAGE</v>
      </c>
      <c r="E38" s="11" t="str">
        <f>IFERROR(__xludf.DUMMYFUNCTION("""COMPUTED_VALUE"""),"COMPETITOR")</f>
        <v>COMPETITOR</v>
      </c>
      <c r="F38" s="11" t="str">
        <f>IFERROR(__xludf.DUMMYFUNCTION("""COMPUTED_VALUE"""),"Product Page")</f>
        <v>Product Page</v>
      </c>
      <c r="G38" s="11" t="b">
        <f>IFERROR(__xludf.DUMMYFUNCTION("""COMPUTED_VALUE"""),FALSE)</f>
        <v>0</v>
      </c>
      <c r="H38" s="11" t="str">
        <f>IFERROR(__xludf.DUMMYFUNCTION("""COMPUTED_VALUE"""),"Adswerve")</f>
        <v>Adswerve</v>
      </c>
      <c r="I38" s="11">
        <f>IFERROR(__xludf.DUMMYFUNCTION("""COMPUTED_VALUE"""),2.0)</f>
        <v>2</v>
      </c>
      <c r="J38" s="11">
        <f>IFERROR(__xludf.DUMMYFUNCTION("""COMPUTED_VALUE"""),0.0)</f>
        <v>0</v>
      </c>
      <c r="K38" s="11">
        <f>IFERROR(__xludf.DUMMYFUNCTION("""COMPUTED_VALUE"""),1.5)</f>
        <v>1.5</v>
      </c>
    </row>
    <row r="39" ht="15.75" customHeight="1">
      <c r="A39" s="10" t="str">
        <f>IFERROR(__xludf.DUMMYFUNCTION("""COMPUTED_VALUE"""),"https://www.arcintermedia.com/services/consulting-technical/marketing-ai-consulting/")</f>
        <v>https://www.arcintermedia.com/services/consulting-technical/marketing-ai-consulting/</v>
      </c>
      <c r="B39" s="11" t="str">
        <f>IFERROR(__xludf.DUMMYFUNCTION("""COMPUTED_VALUE"""),"Marketing &amp;amp; AI Consulting Services | Arc Intermedia")</f>
        <v>Marketing &amp;amp; AI Consulting Services | Arc Intermedia</v>
      </c>
      <c r="C39" s="10" t="str">
        <f>IFERROR(__xludf.DUMMYFUNCTION("""COMPUTED_VALUE"""),"arcintermedia.com")</f>
        <v>arcintermedia.com</v>
      </c>
      <c r="D39" s="11" t="str">
        <f>IFERROR(__xludf.DUMMYFUNCTION("""COMPUTED_VALUE"""),"PRODUCT_PAGE")</f>
        <v>PRODUCT_PAGE</v>
      </c>
      <c r="E39" s="11" t="str">
        <f>IFERROR(__xludf.DUMMYFUNCTION("""COMPUTED_VALUE"""),"CORPORATE")</f>
        <v>CORPORATE</v>
      </c>
      <c r="F39" s="11" t="str">
        <f>IFERROR(__xludf.DUMMYFUNCTION("""COMPUTED_VALUE"""),"Product Page")</f>
        <v>Product Page</v>
      </c>
      <c r="G39" s="11" t="b">
        <f>IFERROR(__xludf.DUMMYFUNCTION("""COMPUTED_VALUE"""),FALSE)</f>
        <v>0</v>
      </c>
      <c r="H39" s="11"/>
      <c r="I39" s="11">
        <f>IFERROR(__xludf.DUMMYFUNCTION("""COMPUTED_VALUE"""),2.0)</f>
        <v>2</v>
      </c>
      <c r="J39" s="11">
        <f>IFERROR(__xludf.DUMMYFUNCTION("""COMPUTED_VALUE"""),0.0)</f>
        <v>0</v>
      </c>
      <c r="K39" s="11">
        <f>IFERROR(__xludf.DUMMYFUNCTION("""COMPUTED_VALUE"""),0.0)</f>
        <v>0</v>
      </c>
    </row>
    <row r="40" ht="15.75" customHeight="1">
      <c r="A40" s="10" t="str">
        <f>IFERROR(__xludf.DUMMYFUNCTION("""COMPUTED_VALUE"""),"https://www.bounteous.com/partners/google/")</f>
        <v>https://www.bounteous.com/partners/google/</v>
      </c>
      <c r="B40" s="11" t="str">
        <f>IFERROR(__xludf.DUMMYFUNCTION("""COMPUTED_VALUE"""),"Google Partner | Bounteous")</f>
        <v>Google Partner | Bounteous</v>
      </c>
      <c r="C40" s="10" t="str">
        <f>IFERROR(__xludf.DUMMYFUNCTION("""COMPUTED_VALUE"""),"bounteous.com")</f>
        <v>bounteous.com</v>
      </c>
      <c r="D40" s="11" t="str">
        <f>IFERROR(__xludf.DUMMYFUNCTION("""COMPUTED_VALUE"""),"PRODUCT_PAGE")</f>
        <v>PRODUCT_PAGE</v>
      </c>
      <c r="E40" s="11" t="str">
        <f>IFERROR(__xludf.DUMMYFUNCTION("""COMPUTED_VALUE"""),"COMPETITOR")</f>
        <v>COMPETITOR</v>
      </c>
      <c r="F40" s="11" t="str">
        <f>IFERROR(__xludf.DUMMYFUNCTION("""COMPUTED_VALUE"""),"Product Page")</f>
        <v>Product Page</v>
      </c>
      <c r="G40" s="11" t="b">
        <f>IFERROR(__xludf.DUMMYFUNCTION("""COMPUTED_VALUE"""),FALSE)</f>
        <v>0</v>
      </c>
      <c r="H40" s="11" t="str">
        <f>IFERROR(__xludf.DUMMYFUNCTION("""COMPUTED_VALUE"""),"Bounteous")</f>
        <v>Bounteous</v>
      </c>
      <c r="I40" s="11">
        <f>IFERROR(__xludf.DUMMYFUNCTION("""COMPUTED_VALUE"""),2.0)</f>
        <v>2</v>
      </c>
      <c r="J40" s="11">
        <f>IFERROR(__xludf.DUMMYFUNCTION("""COMPUTED_VALUE"""),0.0)</f>
        <v>0</v>
      </c>
      <c r="K40" s="11">
        <f>IFERROR(__xludf.DUMMYFUNCTION("""COMPUTED_VALUE"""),1.0)</f>
        <v>1</v>
      </c>
    </row>
    <row r="41" ht="15.75" customHeight="1">
      <c r="A41" s="10" t="str">
        <f>IFERROR(__xludf.DUMMYFUNCTION("""COMPUTED_VALUE"""),"https://www.bounteous.com/partners/google/google-marketing-platform/")</f>
        <v>https://www.bounteous.com/partners/google/google-marketing-platform/</v>
      </c>
      <c r="B41" s="11" t="str">
        <f>IFERROR(__xludf.DUMMYFUNCTION("""COMPUTED_VALUE"""),"Google Marketing Platform Sales Partner | Bounteous")</f>
        <v>Google Marketing Platform Sales Partner | Bounteous</v>
      </c>
      <c r="C41" s="10" t="str">
        <f>IFERROR(__xludf.DUMMYFUNCTION("""COMPUTED_VALUE"""),"bounteous.com")</f>
        <v>bounteous.com</v>
      </c>
      <c r="D41" s="11" t="str">
        <f>IFERROR(__xludf.DUMMYFUNCTION("""COMPUTED_VALUE"""),"PRODUCT_PAGE")</f>
        <v>PRODUCT_PAGE</v>
      </c>
      <c r="E41" s="11" t="str">
        <f>IFERROR(__xludf.DUMMYFUNCTION("""COMPUTED_VALUE"""),"COMPETITOR")</f>
        <v>COMPETITOR</v>
      </c>
      <c r="F41" s="11" t="str">
        <f>IFERROR(__xludf.DUMMYFUNCTION("""COMPUTED_VALUE"""),"Product Page")</f>
        <v>Product Page</v>
      </c>
      <c r="G41" s="11" t="b">
        <f>IFERROR(__xludf.DUMMYFUNCTION("""COMPUTED_VALUE"""),FALSE)</f>
        <v>0</v>
      </c>
      <c r="H41" s="11" t="str">
        <f>IFERROR(__xludf.DUMMYFUNCTION("""COMPUTED_VALUE"""),"Bounteous")</f>
        <v>Bounteous</v>
      </c>
      <c r="I41" s="11">
        <f>IFERROR(__xludf.DUMMYFUNCTION("""COMPUTED_VALUE"""),2.0)</f>
        <v>2</v>
      </c>
      <c r="J41" s="11">
        <f>IFERROR(__xludf.DUMMYFUNCTION("""COMPUTED_VALUE"""),0.0)</f>
        <v>0</v>
      </c>
      <c r="K41" s="11">
        <f>IFERROR(__xludf.DUMMYFUNCTION("""COMPUTED_VALUE"""),1.0)</f>
        <v>1</v>
      </c>
    </row>
    <row r="42" ht="15.75" customHeight="1">
      <c r="A42" s="10" t="str">
        <f>IFERROR(__xludf.DUMMYFUNCTION("""COMPUTED_VALUE"""),"https://clutch.co/us/agencies/ppc/display%3Fpage%3D5")</f>
        <v>https://clutch.co/us/agencies/ppc/display%3Fpage%3D5</v>
      </c>
      <c r="B42" s="11" t="str">
        <f>IFERROR(__xludf.DUMMYFUNCTION("""COMPUTED_VALUE"""),"Top Display Advertising Agencies in the United States - Jul 2026 Rankings \| Clutch.co")</f>
        <v>Top Display Advertising Agencies in the United States - Jul 2026 Rankings \| Clutch.co</v>
      </c>
      <c r="C42" s="10" t="str">
        <f>IFERROR(__xludf.DUMMYFUNCTION("""COMPUTED_VALUE"""),"clutch.co")</f>
        <v>clutch.co</v>
      </c>
      <c r="D42" s="11" t="str">
        <f>IFERROR(__xludf.DUMMYFUNCTION("""COMPUTED_VALUE"""),"PRODUCT_PAGE")</f>
        <v>PRODUCT_PAGE</v>
      </c>
      <c r="E42" s="11" t="str">
        <f>IFERROR(__xludf.DUMMYFUNCTION("""COMPUTED_VALUE"""),"COMPETITOR")</f>
        <v>COMPETITOR</v>
      </c>
      <c r="F42" s="11" t="str">
        <f>IFERROR(__xludf.DUMMYFUNCTION("""COMPUTED_VALUE"""),"Product Page")</f>
        <v>Product Page</v>
      </c>
      <c r="G42" s="11" t="b">
        <f>IFERROR(__xludf.DUMMYFUNCTION("""COMPUTED_VALUE"""),FALSE)</f>
        <v>0</v>
      </c>
      <c r="H42" s="11" t="str">
        <f>IFERROR(__xludf.DUMMYFUNCTION("""COMPUTED_VALUE"""),"Clutch, Elit-Web, AdVenture Media, Storm Brain")</f>
        <v>Clutch, Elit-Web, AdVenture Media, Storm Brain</v>
      </c>
      <c r="I42" s="11">
        <f>IFERROR(__xludf.DUMMYFUNCTION("""COMPUTED_VALUE"""),2.0)</f>
        <v>2</v>
      </c>
      <c r="J42" s="11">
        <f>IFERROR(__xludf.DUMMYFUNCTION("""COMPUTED_VALUE"""),0.0)</f>
        <v>0</v>
      </c>
      <c r="K42" s="11">
        <f>IFERROR(__xludf.DUMMYFUNCTION("""COMPUTED_VALUE"""),0.0)</f>
        <v>0</v>
      </c>
    </row>
    <row r="43" ht="15.75" customHeight="1">
      <c r="A43" s="10" t="str">
        <f>IFERROR(__xludf.DUMMYFUNCTION("""COMPUTED_VALUE"""),"https://commonthreadco.com/pages/incrementality")</f>
        <v>https://commonthreadco.com/pages/incrementality</v>
      </c>
      <c r="B43" s="11" t="str">
        <f>IFERROR(__xludf.DUMMYFUNCTION("""COMPUTED_VALUE"""),"Geo Holdout Incrementality Testing for Ecommerce Brands")</f>
        <v>Geo Holdout Incrementality Testing for Ecommerce Brands</v>
      </c>
      <c r="C43" s="10" t="str">
        <f>IFERROR(__xludf.DUMMYFUNCTION("""COMPUTED_VALUE"""),"commonthreadco.com")</f>
        <v>commonthreadco.com</v>
      </c>
      <c r="D43" s="11" t="str">
        <f>IFERROR(__xludf.DUMMYFUNCTION("""COMPUTED_VALUE"""),"PRODUCT_PAGE")</f>
        <v>PRODUCT_PAGE</v>
      </c>
      <c r="E43" s="11" t="str">
        <f>IFERROR(__xludf.DUMMYFUNCTION("""COMPUTED_VALUE"""),"COMPETITOR")</f>
        <v>COMPETITOR</v>
      </c>
      <c r="F43" s="11" t="str">
        <f>IFERROR(__xludf.DUMMYFUNCTION("""COMPUTED_VALUE"""),"Product Page")</f>
        <v>Product Page</v>
      </c>
      <c r="G43" s="11" t="b">
        <f>IFERROR(__xludf.DUMMYFUNCTION("""COMPUTED_VALUE"""),FALSE)</f>
        <v>0</v>
      </c>
      <c r="H43" s="11" t="str">
        <f>IFERROR(__xludf.DUMMYFUNCTION("""COMPUTED_VALUE"""),"Common Thread Collective")</f>
        <v>Common Thread Collective</v>
      </c>
      <c r="I43" s="11">
        <f>IFERROR(__xludf.DUMMYFUNCTION("""COMPUTED_VALUE"""),2.0)</f>
        <v>2</v>
      </c>
      <c r="J43" s="11">
        <f>IFERROR(__xludf.DUMMYFUNCTION("""COMPUTED_VALUE"""),0.0)</f>
        <v>0</v>
      </c>
      <c r="K43" s="11">
        <f>IFERROR(__xludf.DUMMYFUNCTION("""COMPUTED_VALUE"""),1.0)</f>
        <v>1</v>
      </c>
    </row>
    <row r="44" ht="15.75" customHeight="1">
      <c r="A44" s="10" t="str">
        <f>IFERROR(__xludf.DUMMYFUNCTION("""COMPUTED_VALUE"""),"https://www.ishir.com/ai-ready-go-to-market.htm")</f>
        <v>https://www.ishir.com/ai-ready-go-to-market.htm</v>
      </c>
      <c r="B44" s="11" t="str">
        <f>IFERROR(__xludf.DUMMYFUNCTION("""COMPUTED_VALUE"""),"AI-Powered Go-To-Market Strategy Consulting | SaaS GTM Agency | ISHIR | AI-First Talent | Dallas Fort Worth Texas Austin Houston San Antonio India LATAM &amp;amp; Eastern Europe")</f>
        <v>AI-Powered Go-To-Market Strategy Consulting | SaaS GTM Agency | ISHIR | AI-First Talent | Dallas Fort Worth Texas Austin Houston San Antonio India LATAM &amp;amp; Eastern Europe</v>
      </c>
      <c r="C44" s="10" t="str">
        <f>IFERROR(__xludf.DUMMYFUNCTION("""COMPUTED_VALUE"""),"ishir.com")</f>
        <v>ishir.com</v>
      </c>
      <c r="D44" s="11" t="str">
        <f>IFERROR(__xludf.DUMMYFUNCTION("""COMPUTED_VALUE"""),"PRODUCT_PAGE")</f>
        <v>PRODUCT_PAGE</v>
      </c>
      <c r="E44" s="11" t="str">
        <f>IFERROR(__xludf.DUMMYFUNCTION("""COMPUTED_VALUE"""),"CORPORATE")</f>
        <v>CORPORATE</v>
      </c>
      <c r="F44" s="11" t="str">
        <f>IFERROR(__xludf.DUMMYFUNCTION("""COMPUTED_VALUE"""),"Product Page")</f>
        <v>Product Page</v>
      </c>
      <c r="G44" s="11" t="b">
        <f>IFERROR(__xludf.DUMMYFUNCTION("""COMPUTED_VALUE"""),FALSE)</f>
        <v>0</v>
      </c>
      <c r="H44" s="11" t="str">
        <f>IFERROR(__xludf.DUMMYFUNCTION("""COMPUTED_VALUE"""),"Momentum, Clutch")</f>
        <v>Momentum, Clutch</v>
      </c>
      <c r="I44" s="11">
        <f>IFERROR(__xludf.DUMMYFUNCTION("""COMPUTED_VALUE"""),2.0)</f>
        <v>2</v>
      </c>
      <c r="J44" s="11">
        <f>IFERROR(__xludf.DUMMYFUNCTION("""COMPUTED_VALUE"""),0.0)</f>
        <v>0</v>
      </c>
      <c r="K44" s="11">
        <f>IFERROR(__xludf.DUMMYFUNCTION("""COMPUTED_VALUE"""),0.0)</f>
        <v>0</v>
      </c>
    </row>
    <row r="45" ht="15.75" customHeight="1">
      <c r="A45" s="10" t="str">
        <f>IFERROR(__xludf.DUMMYFUNCTION("""COMPUTED_VALUE"""),"https://www.measured.com/enterprise/")</f>
        <v>https://www.measured.com/enterprise/</v>
      </c>
      <c r="B45" s="11" t="str">
        <f>IFERROR(__xludf.DUMMYFUNCTION("""COMPUTED_VALUE"""),"Measured | Platform: Enterprise-Grade")</f>
        <v>Measured | Platform: Enterprise-Grade</v>
      </c>
      <c r="C45" s="10" t="str">
        <f>IFERROR(__xludf.DUMMYFUNCTION("""COMPUTED_VALUE"""),"measured.com")</f>
        <v>measured.com</v>
      </c>
      <c r="D45" s="11" t="str">
        <f>IFERROR(__xludf.DUMMYFUNCTION("""COMPUTED_VALUE"""),"PRODUCT_PAGE")</f>
        <v>PRODUCT_PAGE</v>
      </c>
      <c r="E45" s="11" t="str">
        <f>IFERROR(__xludf.DUMMYFUNCTION("""COMPUTED_VALUE"""),"COMPETITOR")</f>
        <v>COMPETITOR</v>
      </c>
      <c r="F45" s="11" t="str">
        <f>IFERROR(__xludf.DUMMYFUNCTION("""COMPUTED_VALUE"""),"Product Page")</f>
        <v>Product Page</v>
      </c>
      <c r="G45" s="11" t="b">
        <f>IFERROR(__xludf.DUMMYFUNCTION("""COMPUTED_VALUE"""),FALSE)</f>
        <v>0</v>
      </c>
      <c r="H45" s="11" t="str">
        <f>IFERROR(__xludf.DUMMYFUNCTION("""COMPUTED_VALUE"""),"Measured")</f>
        <v>Measured</v>
      </c>
      <c r="I45" s="11">
        <f>IFERROR(__xludf.DUMMYFUNCTION("""COMPUTED_VALUE"""),2.0)</f>
        <v>2</v>
      </c>
      <c r="J45" s="11">
        <f>IFERROR(__xludf.DUMMYFUNCTION("""COMPUTED_VALUE"""),0.0)</f>
        <v>0</v>
      </c>
      <c r="K45" s="11">
        <f>IFERROR(__xludf.DUMMYFUNCTION("""COMPUTED_VALUE"""),0.0)</f>
        <v>0</v>
      </c>
    </row>
    <row r="46" ht="15.75" customHeight="1">
      <c r="A46" s="10" t="str">
        <f>IFERROR(__xludf.DUMMYFUNCTION("""COMPUTED_VALUE"""),"https://www.measured.com/incrementality-testing/")</f>
        <v>https://www.measured.com/incrementality-testing/</v>
      </c>
      <c r="B46" s="11" t="str">
        <f>IFERROR(__xludf.DUMMYFUNCTION("""COMPUTED_VALUE"""),"Measured: Incrementality Testing")</f>
        <v>Measured: Incrementality Testing</v>
      </c>
      <c r="C46" s="10" t="str">
        <f>IFERROR(__xludf.DUMMYFUNCTION("""COMPUTED_VALUE"""),"measured.com")</f>
        <v>measured.com</v>
      </c>
      <c r="D46" s="11" t="str">
        <f>IFERROR(__xludf.DUMMYFUNCTION("""COMPUTED_VALUE"""),"PRODUCT_PAGE")</f>
        <v>PRODUCT_PAGE</v>
      </c>
      <c r="E46" s="11" t="str">
        <f>IFERROR(__xludf.DUMMYFUNCTION("""COMPUTED_VALUE"""),"COMPETITOR")</f>
        <v>COMPETITOR</v>
      </c>
      <c r="F46" s="11" t="str">
        <f>IFERROR(__xludf.DUMMYFUNCTION("""COMPUTED_VALUE"""),"Product Page")</f>
        <v>Product Page</v>
      </c>
      <c r="G46" s="11" t="b">
        <f>IFERROR(__xludf.DUMMYFUNCTION("""COMPUTED_VALUE"""),FALSE)</f>
        <v>0</v>
      </c>
      <c r="H46" s="11" t="str">
        <f>IFERROR(__xludf.DUMMYFUNCTION("""COMPUTED_VALUE"""),"Measured")</f>
        <v>Measured</v>
      </c>
      <c r="I46" s="11">
        <f>IFERROR(__xludf.DUMMYFUNCTION("""COMPUTED_VALUE"""),2.0)</f>
        <v>2</v>
      </c>
      <c r="J46" s="11">
        <f>IFERROR(__xludf.DUMMYFUNCTION("""COMPUTED_VALUE"""),0.0)</f>
        <v>0</v>
      </c>
      <c r="K46" s="11">
        <f>IFERROR(__xludf.DUMMYFUNCTION("""COMPUTED_VALUE"""),0.0)</f>
        <v>0</v>
      </c>
    </row>
    <row r="47" ht="15.75" customHeight="1">
      <c r="A47" s="10" t="str">
        <f>IFERROR(__xludf.DUMMYFUNCTION("""COMPUTED_VALUE"""),"https://www.rockerbox.com/testing")</f>
        <v>https://www.rockerbox.com/testing</v>
      </c>
      <c r="B47" s="11" t="str">
        <f>IFERROR(__xludf.DUMMYFUNCTION("""COMPUTED_VALUE"""),"Unlock Incrementality with Rockerbox Testing for Data-Backed Decisions | Rockerbox")</f>
        <v>Unlock Incrementality with Rockerbox Testing for Data-Backed Decisions | Rockerbox</v>
      </c>
      <c r="C47" s="10" t="str">
        <f>IFERROR(__xludf.DUMMYFUNCTION("""COMPUTED_VALUE"""),"rockerbox.com")</f>
        <v>rockerbox.com</v>
      </c>
      <c r="D47" s="11" t="str">
        <f>IFERROR(__xludf.DUMMYFUNCTION("""COMPUTED_VALUE"""),"PRODUCT_PAGE")</f>
        <v>PRODUCT_PAGE</v>
      </c>
      <c r="E47" s="11" t="str">
        <f>IFERROR(__xludf.DUMMYFUNCTION("""COMPUTED_VALUE"""),"COMPETITOR")</f>
        <v>COMPETITOR</v>
      </c>
      <c r="F47" s="11" t="str">
        <f>IFERROR(__xludf.DUMMYFUNCTION("""COMPUTED_VALUE"""),"Product Page")</f>
        <v>Product Page</v>
      </c>
      <c r="G47" s="11" t="b">
        <f>IFERROR(__xludf.DUMMYFUNCTION("""COMPUTED_VALUE"""),FALSE)</f>
        <v>0</v>
      </c>
      <c r="H47" s="11" t="str">
        <f>IFERROR(__xludf.DUMMYFUNCTION("""COMPUTED_VALUE"""),"Rockerbox")</f>
        <v>Rockerbox</v>
      </c>
      <c r="I47" s="11">
        <f>IFERROR(__xludf.DUMMYFUNCTION("""COMPUTED_VALUE"""),2.0)</f>
        <v>2</v>
      </c>
      <c r="J47" s="11">
        <f>IFERROR(__xludf.DUMMYFUNCTION("""COMPUTED_VALUE"""),0.0)</f>
        <v>0</v>
      </c>
      <c r="K47" s="11">
        <f>IFERROR(__xludf.DUMMYFUNCTION("""COMPUTED_VALUE"""),4.5)</f>
        <v>4.5</v>
      </c>
    </row>
    <row r="48" ht="15.75" customHeight="1">
      <c r="A48" s="10" t="str">
        <f>IFERROR(__xludf.DUMMYFUNCTION("""COMPUTED_VALUE"""),"https://www.sealglobalholdings.com/ai-search-optimization-agency")</f>
        <v>https://www.sealglobalholdings.com/ai-search-optimization-agency</v>
      </c>
      <c r="B48" s="11" t="str">
        <f>IFERROR(__xludf.DUMMYFUNCTION("""COMPUTED_VALUE"""),"Best AI Search Optimization Agencies 2026 | Top GEO &amp; AEO Agency | Seal Global")</f>
        <v>Best AI Search Optimization Agencies 2026 | Top GEO &amp; AEO Agency | Seal Global</v>
      </c>
      <c r="C48" s="10" t="str">
        <f>IFERROR(__xludf.DUMMYFUNCTION("""COMPUTED_VALUE"""),"sealglobalholdings.com")</f>
        <v>sealglobalholdings.com</v>
      </c>
      <c r="D48" s="11" t="str">
        <f>IFERROR(__xludf.DUMMYFUNCTION("""COMPUTED_VALUE"""),"PRODUCT_PAGE")</f>
        <v>PRODUCT_PAGE</v>
      </c>
      <c r="E48" s="11" t="str">
        <f>IFERROR(__xludf.DUMMYFUNCTION("""COMPUTED_VALUE"""),"CORPORATE")</f>
        <v>CORPORATE</v>
      </c>
      <c r="F48" s="11" t="str">
        <f>IFERROR(__xludf.DUMMYFUNCTION("""COMPUTED_VALUE"""),"Product Page")</f>
        <v>Product Page</v>
      </c>
      <c r="G48" s="11" t="b">
        <f>IFERROR(__xludf.DUMMYFUNCTION("""COMPUTED_VALUE"""),FALSE)</f>
        <v>0</v>
      </c>
      <c r="H48" s="11" t="str">
        <f>IFERROR(__xludf.DUMMYFUNCTION("""COMPUTED_VALUE"""),"Clutch")</f>
        <v>Clutch</v>
      </c>
      <c r="I48" s="11">
        <f>IFERROR(__xludf.DUMMYFUNCTION("""COMPUTED_VALUE"""),2.0)</f>
        <v>2</v>
      </c>
      <c r="J48" s="11">
        <f>IFERROR(__xludf.DUMMYFUNCTION("""COMPUTED_VALUE"""),0.0)</f>
        <v>0</v>
      </c>
      <c r="K48" s="11">
        <f>IFERROR(__xludf.DUMMYFUNCTION("""COMPUTED_VALUE"""),0.5)</f>
        <v>0.5</v>
      </c>
    </row>
    <row r="49" ht="15.75" customHeight="1">
      <c r="A49" s="10" t="str">
        <f>IFERROR(__xludf.DUMMYFUNCTION("""COMPUTED_VALUE"""),"https://search.agency/ai-search")</f>
        <v>https://search.agency/ai-search</v>
      </c>
      <c r="B49" s="11" t="str">
        <f>IFERROR(__xludf.DUMMYFUNCTION("""COMPUTED_VALUE"""),"AI Search, GEO &amp;amp; AEO Agency | Search Agency")</f>
        <v>AI Search, GEO &amp;amp; AEO Agency | Search Agency</v>
      </c>
      <c r="C49" s="11" t="str">
        <f>IFERROR(__xludf.DUMMYFUNCTION("""COMPUTED_VALUE"""),"search.agency")</f>
        <v>search.agency</v>
      </c>
      <c r="D49" s="11" t="str">
        <f>IFERROR(__xludf.DUMMYFUNCTION("""COMPUTED_VALUE"""),"PRODUCT_PAGE")</f>
        <v>PRODUCT_PAGE</v>
      </c>
      <c r="E49" s="11" t="str">
        <f>IFERROR(__xludf.DUMMYFUNCTION("""COMPUTED_VALUE"""),"CORPORATE")</f>
        <v>CORPORATE</v>
      </c>
      <c r="F49" s="11" t="str">
        <f>IFERROR(__xludf.DUMMYFUNCTION("""COMPUTED_VALUE"""),"Product Page")</f>
        <v>Product Page</v>
      </c>
      <c r="G49" s="11" t="b">
        <f>IFERROR(__xludf.DUMMYFUNCTION("""COMPUTED_VALUE"""),FALSE)</f>
        <v>0</v>
      </c>
      <c r="H49" s="11" t="str">
        <f>IFERROR(__xludf.DUMMYFUNCTION("""COMPUTED_VALUE"""),"Bain &amp; Company, Measured")</f>
        <v>Bain &amp; Company, Measured</v>
      </c>
      <c r="I49" s="11">
        <f>IFERROR(__xludf.DUMMYFUNCTION("""COMPUTED_VALUE"""),2.0)</f>
        <v>2</v>
      </c>
      <c r="J49" s="11">
        <f>IFERROR(__xludf.DUMMYFUNCTION("""COMPUTED_VALUE"""),0.0)</f>
        <v>0</v>
      </c>
      <c r="K49" s="11">
        <f>IFERROR(__xludf.DUMMYFUNCTION("""COMPUTED_VALUE"""),0.0)</f>
        <v>0</v>
      </c>
    </row>
    <row r="50" ht="15.75" customHeight="1">
      <c r="A50" s="10" t="str">
        <f>IFERROR(__xludf.DUMMYFUNCTION("""COMPUTED_VALUE"""),"https://www.stonehillinnovation.com/ai-readiness-assessment-consulting")</f>
        <v>https://www.stonehillinnovation.com/ai-readiness-assessment-consulting</v>
      </c>
      <c r="B50" s="11" t="str">
        <f>IFERROR(__xludf.DUMMYFUNCTION("""COMPUTED_VALUE"""),"AI Readiness Assessment Consulting")</f>
        <v>AI Readiness Assessment Consulting</v>
      </c>
      <c r="C50" s="10" t="str">
        <f>IFERROR(__xludf.DUMMYFUNCTION("""COMPUTED_VALUE"""),"stonehillinnovation.com")</f>
        <v>stonehillinnovation.com</v>
      </c>
      <c r="D50" s="11" t="str">
        <f>IFERROR(__xludf.DUMMYFUNCTION("""COMPUTED_VALUE"""),"PRODUCT_PAGE")</f>
        <v>PRODUCT_PAGE</v>
      </c>
      <c r="E50" s="11" t="str">
        <f>IFERROR(__xludf.DUMMYFUNCTION("""COMPUTED_VALUE"""),"CORPORATE")</f>
        <v>CORPORATE</v>
      </c>
      <c r="F50" s="11" t="str">
        <f>IFERROR(__xludf.DUMMYFUNCTION("""COMPUTED_VALUE"""),"Product Page")</f>
        <v>Product Page</v>
      </c>
      <c r="G50" s="11" t="b">
        <f>IFERROR(__xludf.DUMMYFUNCTION("""COMPUTED_VALUE"""),FALSE)</f>
        <v>0</v>
      </c>
      <c r="H50" s="11"/>
      <c r="I50" s="11">
        <f>IFERROR(__xludf.DUMMYFUNCTION("""COMPUTED_VALUE"""),2.0)</f>
        <v>2</v>
      </c>
      <c r="J50" s="11">
        <f>IFERROR(__xludf.DUMMYFUNCTION("""COMPUTED_VALUE"""),0.0)</f>
        <v>0</v>
      </c>
      <c r="K50" s="11">
        <f>IFERROR(__xludf.DUMMYFUNCTION("""COMPUTED_VALUE"""),0.0)</f>
        <v>0</v>
      </c>
    </row>
    <row r="51" ht="15.75" customHeight="1">
      <c r="A51" s="10" t="str">
        <f>IFERROR(__xludf.DUMMYFUNCTION("""COMPUTED_VALUE"""),"https://www.adaptiveco.io/services/ai-agent-consulting")</f>
        <v>https://www.adaptiveco.io/services/ai-agent-consulting</v>
      </c>
      <c r="B51" s="11" t="str">
        <f>IFERROR(__xludf.DUMMYFUNCTION("""COMPUTED_VALUE"""),"Artificial Intelligence AI Consulting &amp;amp; Development | Marketing Automation Experts - USA, UK, Ireland")</f>
        <v>Artificial Intelligence AI Consulting &amp;amp; Development | Marketing Automation Experts - USA, UK, Ireland</v>
      </c>
      <c r="C51" s="10" t="str">
        <f>IFERROR(__xludf.DUMMYFUNCTION("""COMPUTED_VALUE"""),"adaptiveco.io")</f>
        <v>adaptiveco.io</v>
      </c>
      <c r="D51" s="11" t="str">
        <f>IFERROR(__xludf.DUMMYFUNCTION("""COMPUTED_VALUE"""),"PRODUCT_PAGE")</f>
        <v>PRODUCT_PAGE</v>
      </c>
      <c r="E51" s="11" t="str">
        <f>IFERROR(__xludf.DUMMYFUNCTION("""COMPUTED_VALUE"""),"CORPORATE")</f>
        <v>CORPORATE</v>
      </c>
      <c r="F51" s="11" t="str">
        <f>IFERROR(__xludf.DUMMYFUNCTION("""COMPUTED_VALUE"""),"Product Page")</f>
        <v>Product Page</v>
      </c>
      <c r="G51" s="11" t="b">
        <f>IFERROR(__xludf.DUMMYFUNCTION("""COMPUTED_VALUE"""),FALSE)</f>
        <v>0</v>
      </c>
      <c r="H51" s="11"/>
      <c r="I51" s="11">
        <f>IFERROR(__xludf.DUMMYFUNCTION("""COMPUTED_VALUE"""),1.0)</f>
        <v>1</v>
      </c>
      <c r="J51" s="11">
        <f>IFERROR(__xludf.DUMMYFUNCTION("""COMPUTED_VALUE"""),0.0)</f>
        <v>0</v>
      </c>
      <c r="K51" s="11">
        <f>IFERROR(__xludf.DUMMYFUNCTION("""COMPUTED_VALUE"""),1.0)</f>
        <v>1</v>
      </c>
    </row>
    <row r="52" ht="15.75" customHeight="1">
      <c r="A52" s="10" t="str">
        <f>IFERROR(__xludf.DUMMYFUNCTION("""COMPUTED_VALUE"""),"https://adswerve.com/our-services/consulting-and-licensing")</f>
        <v>https://adswerve.com/our-services/consulting-and-licensing</v>
      </c>
      <c r="B52" s="11" t="str">
        <f>IFERROR(__xludf.DUMMYFUNCTION("""COMPUTED_VALUE"""),"Our Services - Consulting and Licensing - Adswerve")</f>
        <v>Our Services - Consulting and Licensing - Adswerve</v>
      </c>
      <c r="C52" s="10" t="str">
        <f>IFERROR(__xludf.DUMMYFUNCTION("""COMPUTED_VALUE"""),"adswerve.com")</f>
        <v>adswerve.com</v>
      </c>
      <c r="D52" s="11" t="str">
        <f>IFERROR(__xludf.DUMMYFUNCTION("""COMPUTED_VALUE"""),"PRODUCT_PAGE")</f>
        <v>PRODUCT_PAGE</v>
      </c>
      <c r="E52" s="11" t="str">
        <f>IFERROR(__xludf.DUMMYFUNCTION("""COMPUTED_VALUE"""),"COMPETITOR")</f>
        <v>COMPETITOR</v>
      </c>
      <c r="F52" s="11" t="str">
        <f>IFERROR(__xludf.DUMMYFUNCTION("""COMPUTED_VALUE"""),"Product Page")</f>
        <v>Product Page</v>
      </c>
      <c r="G52" s="11" t="b">
        <f>IFERROR(__xludf.DUMMYFUNCTION("""COMPUTED_VALUE"""),FALSE)</f>
        <v>0</v>
      </c>
      <c r="H52" s="11" t="str">
        <f>IFERROR(__xludf.DUMMYFUNCTION("""COMPUTED_VALUE"""),"Adswerve")</f>
        <v>Adswerve</v>
      </c>
      <c r="I52" s="11">
        <f>IFERROR(__xludf.DUMMYFUNCTION("""COMPUTED_VALUE"""),1.0)</f>
        <v>1</v>
      </c>
      <c r="J52" s="11">
        <f>IFERROR(__xludf.DUMMYFUNCTION("""COMPUTED_VALUE"""),0.0)</f>
        <v>0</v>
      </c>
      <c r="K52" s="11">
        <f>IFERROR(__xludf.DUMMYFUNCTION("""COMPUTED_VALUE"""),1.0)</f>
        <v>1</v>
      </c>
    </row>
    <row r="53" ht="15.75" customHeight="1">
      <c r="A53" s="10" t="str">
        <f>IFERROR(__xludf.DUMMYFUNCTION("""COMPUTED_VALUE"""),"https://adswerve.com/partners")</f>
        <v>https://adswerve.com/partners</v>
      </c>
      <c r="B53" s="11" t="str">
        <f>IFERROR(__xludf.DUMMYFUNCTION("""COMPUTED_VALUE"""),"Partners - Adswerve")</f>
        <v>Partners - Adswerve</v>
      </c>
      <c r="C53" s="10" t="str">
        <f>IFERROR(__xludf.DUMMYFUNCTION("""COMPUTED_VALUE"""),"adswerve.com")</f>
        <v>adswerve.com</v>
      </c>
      <c r="D53" s="11" t="str">
        <f>IFERROR(__xludf.DUMMYFUNCTION("""COMPUTED_VALUE"""),"PRODUCT_PAGE")</f>
        <v>PRODUCT_PAGE</v>
      </c>
      <c r="E53" s="11" t="str">
        <f>IFERROR(__xludf.DUMMYFUNCTION("""COMPUTED_VALUE"""),"COMPETITOR")</f>
        <v>COMPETITOR</v>
      </c>
      <c r="F53" s="11" t="str">
        <f>IFERROR(__xludf.DUMMYFUNCTION("""COMPUTED_VALUE"""),"Product Page")</f>
        <v>Product Page</v>
      </c>
      <c r="G53" s="11" t="b">
        <f>IFERROR(__xludf.DUMMYFUNCTION("""COMPUTED_VALUE"""),FALSE)</f>
        <v>0</v>
      </c>
      <c r="H53" s="11" t="str">
        <f>IFERROR(__xludf.DUMMYFUNCTION("""COMPUTED_VALUE"""),"Adswerve")</f>
        <v>Adswerve</v>
      </c>
      <c r="I53" s="11">
        <f>IFERROR(__xludf.DUMMYFUNCTION("""COMPUTED_VALUE"""),1.0)</f>
        <v>1</v>
      </c>
      <c r="J53" s="11">
        <f>IFERROR(__xludf.DUMMYFUNCTION("""COMPUTED_VALUE"""),0.0)</f>
        <v>0</v>
      </c>
      <c r="K53" s="11">
        <f>IFERROR(__xludf.DUMMYFUNCTION("""COMPUTED_VALUE"""),0.0)</f>
        <v>0</v>
      </c>
    </row>
    <row r="54" ht="15.75" customHeight="1">
      <c r="A54" s="10" t="str">
        <f>IFERROR(__xludf.DUMMYFUNCTION("""COMPUTED_VALUE"""),"https://aeoagency.org/aeo-approach/")</f>
        <v>https://aeoagency.org/aeo-approach/</v>
      </c>
      <c r="B54" s="11" t="str">
        <f>IFERROR(__xludf.DUMMYFUNCTION("""COMPUTED_VALUE"""),"Our AEO Approach - AEO Agency® – The Global Leader in Answer Engine Optimization")</f>
        <v>Our AEO Approach - AEO Agency® – The Global Leader in Answer Engine Optimization</v>
      </c>
      <c r="C54" s="10" t="str">
        <f>IFERROR(__xludf.DUMMYFUNCTION("""COMPUTED_VALUE"""),"aeoagency.org")</f>
        <v>aeoagency.org</v>
      </c>
      <c r="D54" s="11" t="str">
        <f>IFERROR(__xludf.DUMMYFUNCTION("""COMPUTED_VALUE"""),"PRODUCT_PAGE")</f>
        <v>PRODUCT_PAGE</v>
      </c>
      <c r="E54" s="11" t="str">
        <f>IFERROR(__xludf.DUMMYFUNCTION("""COMPUTED_VALUE"""),"CORPORATE")</f>
        <v>CORPORATE</v>
      </c>
      <c r="F54" s="11" t="str">
        <f>IFERROR(__xludf.DUMMYFUNCTION("""COMPUTED_VALUE"""),"Product Page")</f>
        <v>Product Page</v>
      </c>
      <c r="G54" s="11" t="b">
        <f>IFERROR(__xludf.DUMMYFUNCTION("""COMPUTED_VALUE"""),FALSE)</f>
        <v>0</v>
      </c>
      <c r="H54" s="11"/>
      <c r="I54" s="11">
        <f>IFERROR(__xludf.DUMMYFUNCTION("""COMPUTED_VALUE"""),1.0)</f>
        <v>1</v>
      </c>
      <c r="J54" s="11">
        <f>IFERROR(__xludf.DUMMYFUNCTION("""COMPUTED_VALUE"""),0.0)</f>
        <v>0</v>
      </c>
      <c r="K54" s="11">
        <f>IFERROR(__xludf.DUMMYFUNCTION("""COMPUTED_VALUE"""),1.0)</f>
        <v>1</v>
      </c>
    </row>
    <row r="55" ht="15.75" customHeight="1">
      <c r="A55" s="10" t="str">
        <f>IFERROR(__xludf.DUMMYFUNCTION("""COMPUTED_VALUE"""),"https://www.aiag.org/expertise-areas/supply-chain-management/north-american-customs---trade/ctpat-aeo---supply-chain-security-management#:~:text=The%20CTPAT%2FAEO%20%E2%80%93%20Supply%20Chain,system%20to%20ensure%20ongoing%20compliance.")</f>
        <v>https://www.aiag.org/expertise-areas/supply-chain-management/north-american-customs---trade/ctpat-aeo---supply-chain-security-management#:~:text=The%20CTPAT%2FAEO%20%E2%80%93%20Supply%20Chain,system%20to%20ensure%20ongoing%20compliance.</v>
      </c>
      <c r="B55" s="11" t="str">
        <f>IFERROR(__xludf.DUMMYFUNCTION("""COMPUTED_VALUE"""),"CTPAT/AEO - Supply Chain Security Management")</f>
        <v>CTPAT/AEO - Supply Chain Security Management</v>
      </c>
      <c r="C55" s="10" t="str">
        <f>IFERROR(__xludf.DUMMYFUNCTION("""COMPUTED_VALUE"""),"aiag.org")</f>
        <v>aiag.org</v>
      </c>
      <c r="D55" s="11" t="str">
        <f>IFERROR(__xludf.DUMMYFUNCTION("""COMPUTED_VALUE"""),"PRODUCT_PAGE")</f>
        <v>PRODUCT_PAGE</v>
      </c>
      <c r="E55" s="11" t="str">
        <f>IFERROR(__xludf.DUMMYFUNCTION("""COMPUTED_VALUE"""),"INSTITUTIONAL")</f>
        <v>INSTITUTIONAL</v>
      </c>
      <c r="F55" s="11" t="str">
        <f>IFERROR(__xludf.DUMMYFUNCTION("""COMPUTED_VALUE"""),"Product Page")</f>
        <v>Product Page</v>
      </c>
      <c r="G55" s="11" t="b">
        <f>IFERROR(__xludf.DUMMYFUNCTION("""COMPUTED_VALUE"""),FALSE)</f>
        <v>0</v>
      </c>
      <c r="H55" s="11"/>
      <c r="I55" s="11">
        <f>IFERROR(__xludf.DUMMYFUNCTION("""COMPUTED_VALUE"""),1.0)</f>
        <v>1</v>
      </c>
      <c r="J55" s="11">
        <f>IFERROR(__xludf.DUMMYFUNCTION("""COMPUTED_VALUE"""),0.0)</f>
        <v>0</v>
      </c>
      <c r="K55" s="11">
        <f>IFERROR(__xludf.DUMMYFUNCTION("""COMPUTED_VALUE"""),2.0)</f>
        <v>2</v>
      </c>
    </row>
    <row r="56" ht="15.75" customHeight="1">
      <c r="A56" s="10" t="str">
        <f>IFERROR(__xludf.DUMMYFUNCTION("""COMPUTED_VALUE"""),"https://www.anderinger.com/services/customs-brokerage-consulting/us-customs-brokerage/#:~:text=Deringer%20is%20the%20largest%20privately,over%20a%20million%20entries%20annually.")</f>
        <v>https://www.anderinger.com/services/customs-brokerage-consulting/us-customs-brokerage/#:~:text=Deringer%20is%20the%20largest%20privately,over%20a%20million%20entries%20annually.</v>
      </c>
      <c r="B56" s="11" t="str">
        <f>IFERROR(__xludf.DUMMYFUNCTION("""COMPUTED_VALUE"""),"US Customs Brokerage - Customs Broker, Freight Forwarding &amp;amp; Trade Compliance Services")</f>
        <v>US Customs Brokerage - Customs Broker, Freight Forwarding &amp;amp; Trade Compliance Services</v>
      </c>
      <c r="C56" s="10" t="str">
        <f>IFERROR(__xludf.DUMMYFUNCTION("""COMPUTED_VALUE"""),"anderinger.com")</f>
        <v>anderinger.com</v>
      </c>
      <c r="D56" s="11" t="str">
        <f>IFERROR(__xludf.DUMMYFUNCTION("""COMPUTED_VALUE"""),"PRODUCT_PAGE")</f>
        <v>PRODUCT_PAGE</v>
      </c>
      <c r="E56" s="11" t="str">
        <f>IFERROR(__xludf.DUMMYFUNCTION("""COMPUTED_VALUE"""),"CORPORATE")</f>
        <v>CORPORATE</v>
      </c>
      <c r="F56" s="11" t="str">
        <f>IFERROR(__xludf.DUMMYFUNCTION("""COMPUTED_VALUE"""),"Product Page")</f>
        <v>Product Page</v>
      </c>
      <c r="G56" s="11" t="b">
        <f>IFERROR(__xludf.DUMMYFUNCTION("""COMPUTED_VALUE"""),FALSE)</f>
        <v>0</v>
      </c>
      <c r="H56" s="11"/>
      <c r="I56" s="11">
        <f>IFERROR(__xludf.DUMMYFUNCTION("""COMPUTED_VALUE"""),1.0)</f>
        <v>1</v>
      </c>
      <c r="J56" s="11">
        <f>IFERROR(__xludf.DUMMYFUNCTION("""COMPUTED_VALUE"""),0.0)</f>
        <v>0</v>
      </c>
      <c r="K56" s="11">
        <f>IFERROR(__xludf.DUMMYFUNCTION("""COMPUTED_VALUE"""),1.0)</f>
        <v>1</v>
      </c>
    </row>
    <row r="57" ht="15.75" customHeight="1">
      <c r="A57" s="10" t="str">
        <f>IFERROR(__xludf.DUMMYFUNCTION("""COMPUTED_VALUE"""),"https://www.argonandco.com/us/services/data-and-ai/ai-adoption/")</f>
        <v>https://www.argonandco.com/us/services/data-and-ai/ai-adoption/</v>
      </c>
      <c r="B57" s="11" t="str">
        <f>IFERROR(__xludf.DUMMYFUNCTION("""COMPUTED_VALUE"""),"Einführung von KI - Argon &amp;amp; Co")</f>
        <v>Einführung von KI - Argon &amp;amp; Co</v>
      </c>
      <c r="C57" s="10" t="str">
        <f>IFERROR(__xludf.DUMMYFUNCTION("""COMPUTED_VALUE"""),"argonandco.com")</f>
        <v>argonandco.com</v>
      </c>
      <c r="D57" s="11" t="str">
        <f>IFERROR(__xludf.DUMMYFUNCTION("""COMPUTED_VALUE"""),"PRODUCT_PAGE")</f>
        <v>PRODUCT_PAGE</v>
      </c>
      <c r="E57" s="11" t="str">
        <f>IFERROR(__xludf.DUMMYFUNCTION("""COMPUTED_VALUE"""),"CORPORATE")</f>
        <v>CORPORATE</v>
      </c>
      <c r="F57" s="11" t="str">
        <f>IFERROR(__xludf.DUMMYFUNCTION("""COMPUTED_VALUE"""),"Product Page")</f>
        <v>Product Page</v>
      </c>
      <c r="G57" s="11" t="b">
        <f>IFERROR(__xludf.DUMMYFUNCTION("""COMPUTED_VALUE"""),FALSE)</f>
        <v>0</v>
      </c>
      <c r="H57" s="11"/>
      <c r="I57" s="11">
        <f>IFERROR(__xludf.DUMMYFUNCTION("""COMPUTED_VALUE"""),1.0)</f>
        <v>1</v>
      </c>
      <c r="J57" s="11">
        <f>IFERROR(__xludf.DUMMYFUNCTION("""COMPUTED_VALUE"""),0.0)</f>
        <v>0</v>
      </c>
      <c r="K57" s="11">
        <f>IFERROR(__xludf.DUMMYFUNCTION("""COMPUTED_VALUE"""),0.0)</f>
        <v>0</v>
      </c>
    </row>
    <row r="58" ht="15.75" customHeight="1">
      <c r="A58" s="10" t="str">
        <f>IFERROR(__xludf.DUMMYFUNCTION("""COMPUTED_VALUE"""),"https://www.attributionapp.com/plans/agency-partners/")</f>
        <v>https://www.attributionapp.com/plans/agency-partners/</v>
      </c>
      <c r="B58" s="11" t="str">
        <f>IFERROR(__xludf.DUMMYFUNCTION("""COMPUTED_VALUE"""),"Agency Partners | Attribution")</f>
        <v>Agency Partners | Attribution</v>
      </c>
      <c r="C58" s="10" t="str">
        <f>IFERROR(__xludf.DUMMYFUNCTION("""COMPUTED_VALUE"""),"attributionapp.com")</f>
        <v>attributionapp.com</v>
      </c>
      <c r="D58" s="11" t="str">
        <f>IFERROR(__xludf.DUMMYFUNCTION("""COMPUTED_VALUE"""),"PRODUCT_PAGE")</f>
        <v>PRODUCT_PAGE</v>
      </c>
      <c r="E58" s="11" t="str">
        <f>IFERROR(__xludf.DUMMYFUNCTION("""COMPUTED_VALUE"""),"CORPORATE")</f>
        <v>CORPORATE</v>
      </c>
      <c r="F58" s="11" t="str">
        <f>IFERROR(__xludf.DUMMYFUNCTION("""COMPUTED_VALUE"""),"Product Page")</f>
        <v>Product Page</v>
      </c>
      <c r="G58" s="11" t="b">
        <f>IFERROR(__xludf.DUMMYFUNCTION("""COMPUTED_VALUE"""),FALSE)</f>
        <v>0</v>
      </c>
      <c r="H58" s="11" t="str">
        <f>IFERROR(__xludf.DUMMYFUNCTION("""COMPUTED_VALUE"""),"Intero Digital, Rockerbox, Triple Whale, Northbeam, HockeyStack, Measured")</f>
        <v>Intero Digital, Rockerbox, Triple Whale, Northbeam, HockeyStack, Measured</v>
      </c>
      <c r="I58" s="11">
        <f>IFERROR(__xludf.DUMMYFUNCTION("""COMPUTED_VALUE"""),1.0)</f>
        <v>1</v>
      </c>
      <c r="J58" s="11">
        <f>IFERROR(__xludf.DUMMYFUNCTION("""COMPUTED_VALUE"""),0.0)</f>
        <v>0</v>
      </c>
      <c r="K58" s="11">
        <f>IFERROR(__xludf.DUMMYFUNCTION("""COMPUTED_VALUE"""),0.0)</f>
        <v>0</v>
      </c>
    </row>
    <row r="59" ht="15.75" customHeight="1">
      <c r="A59" s="10" t="str">
        <f>IFERROR(__xludf.DUMMYFUNCTION("""COMPUTED_VALUE"""),"https://www.best-masters.com/master-marketing-ranking.html")</f>
        <v>https://www.best-masters.com/master-marketing-ranking.html</v>
      </c>
      <c r="B59" s="11" t="str">
        <f>IFERROR(__xludf.DUMMYFUNCTION("""COMPUTED_VALUE"""),"Best Master in Marketing 2026 - Worldwide Ranking")</f>
        <v>Best Master in Marketing 2026 - Worldwide Ranking</v>
      </c>
      <c r="C59" s="10" t="str">
        <f>IFERROR(__xludf.DUMMYFUNCTION("""COMPUTED_VALUE"""),"best-masters.com")</f>
        <v>best-masters.com</v>
      </c>
      <c r="D59" s="11" t="str">
        <f>IFERROR(__xludf.DUMMYFUNCTION("""COMPUTED_VALUE"""),"PRODUCT_PAGE")</f>
        <v>PRODUCT_PAGE</v>
      </c>
      <c r="E59" s="11" t="str">
        <f>IFERROR(__xludf.DUMMYFUNCTION("""COMPUTED_VALUE"""),"REFERENCE")</f>
        <v>REFERENCE</v>
      </c>
      <c r="F59" s="11" t="str">
        <f>IFERROR(__xludf.DUMMYFUNCTION("""COMPUTED_VALUE"""),"Product Page")</f>
        <v>Product Page</v>
      </c>
      <c r="G59" s="11" t="b">
        <f>IFERROR(__xludf.DUMMYFUNCTION("""COMPUTED_VALUE"""),FALSE)</f>
        <v>0</v>
      </c>
      <c r="H59" s="11" t="str">
        <f>IFERROR(__xludf.DUMMYFUNCTION("""COMPUTED_VALUE"""),"Measured, McKinsey")</f>
        <v>Measured, McKinsey</v>
      </c>
      <c r="I59" s="11">
        <f>IFERROR(__xludf.DUMMYFUNCTION("""COMPUTED_VALUE"""),1.0)</f>
        <v>1</v>
      </c>
      <c r="J59" s="11">
        <f>IFERROR(__xludf.DUMMYFUNCTION("""COMPUTED_VALUE"""),0.0)</f>
        <v>0</v>
      </c>
      <c r="K59" s="11">
        <f>IFERROR(__xludf.DUMMYFUNCTION("""COMPUTED_VALUE"""),1.0)</f>
        <v>1</v>
      </c>
    </row>
    <row r="60" ht="15.75" customHeight="1">
      <c r="A60" s="10" t="str">
        <f>IFERROR(__xludf.DUMMYFUNCTION("""COMPUTED_VALUE"""),"https://www.bounteous.com/partners/google/google-search-ads-360/")</f>
        <v>https://www.bounteous.com/partners/google/google-search-ads-360/</v>
      </c>
      <c r="B60" s="11" t="str">
        <f>IFERROR(__xludf.DUMMYFUNCTION("""COMPUTED_VALUE"""),"Google Search Ads 360 Reseller &amp;amp; Sales Partner for SA360")</f>
        <v>Google Search Ads 360 Reseller &amp;amp; Sales Partner for SA360</v>
      </c>
      <c r="C60" s="10" t="str">
        <f>IFERROR(__xludf.DUMMYFUNCTION("""COMPUTED_VALUE"""),"bounteous.com")</f>
        <v>bounteous.com</v>
      </c>
      <c r="D60" s="11" t="str">
        <f>IFERROR(__xludf.DUMMYFUNCTION("""COMPUTED_VALUE"""),"PRODUCT_PAGE")</f>
        <v>PRODUCT_PAGE</v>
      </c>
      <c r="E60" s="11" t="str">
        <f>IFERROR(__xludf.DUMMYFUNCTION("""COMPUTED_VALUE"""),"COMPETITOR")</f>
        <v>COMPETITOR</v>
      </c>
      <c r="F60" s="11" t="str">
        <f>IFERROR(__xludf.DUMMYFUNCTION("""COMPUTED_VALUE"""),"Product Page")</f>
        <v>Product Page</v>
      </c>
      <c r="G60" s="11" t="b">
        <f>IFERROR(__xludf.DUMMYFUNCTION("""COMPUTED_VALUE"""),FALSE)</f>
        <v>0</v>
      </c>
      <c r="H60" s="11" t="str">
        <f>IFERROR(__xludf.DUMMYFUNCTION("""COMPUTED_VALUE"""),"Bounteous")</f>
        <v>Bounteous</v>
      </c>
      <c r="I60" s="11">
        <f>IFERROR(__xludf.DUMMYFUNCTION("""COMPUTED_VALUE"""),1.0)</f>
        <v>1</v>
      </c>
      <c r="J60" s="11">
        <f>IFERROR(__xludf.DUMMYFUNCTION("""COMPUTED_VALUE"""),0.0)</f>
        <v>0</v>
      </c>
      <c r="K60" s="11">
        <f>IFERROR(__xludf.DUMMYFUNCTION("""COMPUTED_VALUE"""),1.0)</f>
        <v>1</v>
      </c>
    </row>
    <row r="61" ht="15.75" customHeight="1">
      <c r="A61" s="10" t="str">
        <f>IFERROR(__xludf.DUMMYFUNCTION("""COMPUTED_VALUE"""),"https://www.bounteous.com/partners/google/media-accelerate/")</f>
        <v>https://www.bounteous.com/partners/google/media-accelerate/</v>
      </c>
      <c r="B61" s="11" t="str">
        <f>IFERROR(__xludf.DUMMYFUNCTION("""COMPUTED_VALUE"""),"Bounteous + Google l Media Accelerate | Bounteous")</f>
        <v>Bounteous + Google l Media Accelerate | Bounteous</v>
      </c>
      <c r="C61" s="10" t="str">
        <f>IFERROR(__xludf.DUMMYFUNCTION("""COMPUTED_VALUE"""),"bounteous.com")</f>
        <v>bounteous.com</v>
      </c>
      <c r="D61" s="11" t="str">
        <f>IFERROR(__xludf.DUMMYFUNCTION("""COMPUTED_VALUE"""),"PRODUCT_PAGE")</f>
        <v>PRODUCT_PAGE</v>
      </c>
      <c r="E61" s="11" t="str">
        <f>IFERROR(__xludf.DUMMYFUNCTION("""COMPUTED_VALUE"""),"COMPETITOR")</f>
        <v>COMPETITOR</v>
      </c>
      <c r="F61" s="11" t="str">
        <f>IFERROR(__xludf.DUMMYFUNCTION("""COMPUTED_VALUE"""),"Product Page")</f>
        <v>Product Page</v>
      </c>
      <c r="G61" s="11" t="b">
        <f>IFERROR(__xludf.DUMMYFUNCTION("""COMPUTED_VALUE"""),FALSE)</f>
        <v>0</v>
      </c>
      <c r="H61" s="11" t="str">
        <f>IFERROR(__xludf.DUMMYFUNCTION("""COMPUTED_VALUE"""),"BCG, Bounteous")</f>
        <v>BCG, Bounteous</v>
      </c>
      <c r="I61" s="11">
        <f>IFERROR(__xludf.DUMMYFUNCTION("""COMPUTED_VALUE"""),1.0)</f>
        <v>1</v>
      </c>
      <c r="J61" s="11">
        <f>IFERROR(__xludf.DUMMYFUNCTION("""COMPUTED_VALUE"""),0.0)</f>
        <v>0</v>
      </c>
      <c r="K61" s="11">
        <f>IFERROR(__xludf.DUMMYFUNCTION("""COMPUTED_VALUE"""),1.0)</f>
        <v>1</v>
      </c>
    </row>
    <row r="62" ht="15.75" customHeight="1">
      <c r="A62" s="10" t="str">
        <f>IFERROR(__xludf.DUMMYFUNCTION("""COMPUTED_VALUE"""),"https://brightlinkconsulting.com/ai-adoption")</f>
        <v>https://brightlinkconsulting.com/ai-adoption</v>
      </c>
      <c r="B62" s="11" t="str">
        <f>IFERROR(__xludf.DUMMYFUNCTION("""COMPUTED_VALUE"""),"Brightlink Consulting")</f>
        <v>Brightlink Consulting</v>
      </c>
      <c r="C62" s="10" t="str">
        <f>IFERROR(__xludf.DUMMYFUNCTION("""COMPUTED_VALUE"""),"brightlinkconsulting.com")</f>
        <v>brightlinkconsulting.com</v>
      </c>
      <c r="D62" s="11" t="str">
        <f>IFERROR(__xludf.DUMMYFUNCTION("""COMPUTED_VALUE"""),"PRODUCT_PAGE")</f>
        <v>PRODUCT_PAGE</v>
      </c>
      <c r="E62" s="11" t="str">
        <f>IFERROR(__xludf.DUMMYFUNCTION("""COMPUTED_VALUE"""),"CORPORATE")</f>
        <v>CORPORATE</v>
      </c>
      <c r="F62" s="11" t="str">
        <f>IFERROR(__xludf.DUMMYFUNCTION("""COMPUTED_VALUE"""),"Product Page")</f>
        <v>Product Page</v>
      </c>
      <c r="G62" s="11" t="b">
        <f>IFERROR(__xludf.DUMMYFUNCTION("""COMPUTED_VALUE"""),FALSE)</f>
        <v>0</v>
      </c>
      <c r="H62" s="11"/>
      <c r="I62" s="11">
        <f>IFERROR(__xludf.DUMMYFUNCTION("""COMPUTED_VALUE"""),1.0)</f>
        <v>1</v>
      </c>
      <c r="J62" s="11">
        <f>IFERROR(__xludf.DUMMYFUNCTION("""COMPUTED_VALUE"""),0.0)</f>
        <v>0</v>
      </c>
      <c r="K62" s="11">
        <f>IFERROR(__xludf.DUMMYFUNCTION("""COMPUTED_VALUE"""),0.0)</f>
        <v>0</v>
      </c>
    </row>
    <row r="63" ht="15.75" customHeight="1">
      <c r="A63" s="10" t="str">
        <f>IFERROR(__xludf.DUMMYFUNCTION("""COMPUTED_VALUE"""),"https://brillmedia.co/services/media-buying-agency/")</f>
        <v>https://brillmedia.co/services/media-buying-agency/</v>
      </c>
      <c r="B63" s="11" t="str">
        <f>IFERROR(__xludf.DUMMYFUNCTION("""COMPUTED_VALUE"""),"Media Buying Agency | Digital Advertising | Brill Media")</f>
        <v>Media Buying Agency | Digital Advertising | Brill Media</v>
      </c>
      <c r="C63" s="10" t="str">
        <f>IFERROR(__xludf.DUMMYFUNCTION("""COMPUTED_VALUE"""),"brillmedia.co")</f>
        <v>brillmedia.co</v>
      </c>
      <c r="D63" s="11" t="str">
        <f>IFERROR(__xludf.DUMMYFUNCTION("""COMPUTED_VALUE"""),"PRODUCT_PAGE")</f>
        <v>PRODUCT_PAGE</v>
      </c>
      <c r="E63" s="11" t="str">
        <f>IFERROR(__xludf.DUMMYFUNCTION("""COMPUTED_VALUE"""),"CORPORATE")</f>
        <v>CORPORATE</v>
      </c>
      <c r="F63" s="11" t="str">
        <f>IFERROR(__xludf.DUMMYFUNCTION("""COMPUTED_VALUE"""),"Product Page")</f>
        <v>Product Page</v>
      </c>
      <c r="G63" s="11" t="b">
        <f>IFERROR(__xludf.DUMMYFUNCTION("""COMPUTED_VALUE"""),FALSE)</f>
        <v>0</v>
      </c>
      <c r="H63" s="11"/>
      <c r="I63" s="11">
        <f>IFERROR(__xludf.DUMMYFUNCTION("""COMPUTED_VALUE"""),1.0)</f>
        <v>1</v>
      </c>
      <c r="J63" s="11">
        <f>IFERROR(__xludf.DUMMYFUNCTION("""COMPUTED_VALUE"""),0.0)</f>
        <v>0</v>
      </c>
      <c r="K63" s="11">
        <f>IFERROR(__xludf.DUMMYFUNCTION("""COMPUTED_VALUE"""),1.0)</f>
        <v>1</v>
      </c>
    </row>
    <row r="64" ht="15.75" customHeight="1">
      <c r="A64" s="10" t="str">
        <f>IFERROR(__xludf.DUMMYFUNCTION("""COMPUTED_VALUE"""),"https://business.google.com/en-all/support/become-a-partner/")</f>
        <v>https://business.google.com/en-all/support/become-a-partner/</v>
      </c>
      <c r="B64" s="11" t="str">
        <f>IFERROR(__xludf.DUMMYFUNCTION("""COMPUTED_VALUE"""),"Google Partners Programme: Become a Partner – Google Ads")</f>
        <v>Google Partners Programme: Become a Partner – Google Ads</v>
      </c>
      <c r="C64" s="10" t="str">
        <f>IFERROR(__xludf.DUMMYFUNCTION("""COMPUTED_VALUE"""),"google.com")</f>
        <v>google.com</v>
      </c>
      <c r="D64" s="11" t="str">
        <f>IFERROR(__xludf.DUMMYFUNCTION("""COMPUTED_VALUE"""),"PRODUCT_PAGE")</f>
        <v>PRODUCT_PAGE</v>
      </c>
      <c r="E64" s="11" t="str">
        <f>IFERROR(__xludf.DUMMYFUNCTION("""COMPUTED_VALUE"""),"OTHER")</f>
        <v>OTHER</v>
      </c>
      <c r="F64" s="11" t="str">
        <f>IFERROR(__xludf.DUMMYFUNCTION("""COMPUTED_VALUE"""),"Product Page")</f>
        <v>Product Page</v>
      </c>
      <c r="G64" s="11" t="b">
        <f>IFERROR(__xludf.DUMMYFUNCTION("""COMPUTED_VALUE"""),FALSE)</f>
        <v>0</v>
      </c>
      <c r="H64" s="11" t="str">
        <f>IFERROR(__xludf.DUMMYFUNCTION("""COMPUTED_VALUE"""),"New Engen, Merkle")</f>
        <v>New Engen, Merkle</v>
      </c>
      <c r="I64" s="11">
        <f>IFERROR(__xludf.DUMMYFUNCTION("""COMPUTED_VALUE"""),1.0)</f>
        <v>1</v>
      </c>
      <c r="J64" s="11">
        <f>IFERROR(__xludf.DUMMYFUNCTION("""COMPUTED_VALUE"""),0.0)</f>
        <v>0</v>
      </c>
      <c r="K64" s="11">
        <f>IFERROR(__xludf.DUMMYFUNCTION("""COMPUTED_VALUE"""),0.0)</f>
        <v>0</v>
      </c>
    </row>
    <row r="65" ht="15.75" customHeight="1">
      <c r="A65" s="10" t="str">
        <f>IFERROR(__xludf.DUMMYFUNCTION("""COMPUTED_VALUE"""),"https://business.google.com/en-all/support/work-with-a-partner/")</f>
        <v>https://business.google.com/en-all/support/work-with-a-partner/</v>
      </c>
      <c r="B65" s="11" t="str">
        <f>IFERROR(__xludf.DUMMYFUNCTION("""COMPUTED_VALUE"""),"Work with a Google Partner for a Successful Campaign – Google Ads")</f>
        <v>Work with a Google Partner for a Successful Campaign – Google Ads</v>
      </c>
      <c r="C65" s="10" t="str">
        <f>IFERROR(__xludf.DUMMYFUNCTION("""COMPUTED_VALUE"""),"google.com")</f>
        <v>google.com</v>
      </c>
      <c r="D65" s="11" t="str">
        <f>IFERROR(__xludf.DUMMYFUNCTION("""COMPUTED_VALUE"""),"PRODUCT_PAGE")</f>
        <v>PRODUCT_PAGE</v>
      </c>
      <c r="E65" s="11" t="str">
        <f>IFERROR(__xludf.DUMMYFUNCTION("""COMPUTED_VALUE"""),"OTHER")</f>
        <v>OTHER</v>
      </c>
      <c r="F65" s="11" t="str">
        <f>IFERROR(__xludf.DUMMYFUNCTION("""COMPUTED_VALUE"""),"Product Page")</f>
        <v>Product Page</v>
      </c>
      <c r="G65" s="11" t="b">
        <f>IFERROR(__xludf.DUMMYFUNCTION("""COMPUTED_VALUE"""),FALSE)</f>
        <v>0</v>
      </c>
      <c r="H65" s="11" t="str">
        <f>IFERROR(__xludf.DUMMYFUNCTION("""COMPUTED_VALUE"""),"New Engen, Wpromote")</f>
        <v>New Engen, Wpromote</v>
      </c>
      <c r="I65" s="11">
        <f>IFERROR(__xludf.DUMMYFUNCTION("""COMPUTED_VALUE"""),1.0)</f>
        <v>1</v>
      </c>
      <c r="J65" s="11">
        <f>IFERROR(__xludf.DUMMYFUNCTION("""COMPUTED_VALUE"""),0.0)</f>
        <v>0</v>
      </c>
      <c r="K65" s="11">
        <f>IFERROR(__xludf.DUMMYFUNCTION("""COMPUTED_VALUE"""),0.0)</f>
        <v>0</v>
      </c>
    </row>
    <row r="66" ht="15.75" customHeight="1">
      <c r="A66" s="10" t="str">
        <f>IFERROR(__xludf.DUMMYFUNCTION("""COMPUTED_VALUE"""),"https://www.chatterbuzzmedia.com/social-media-advertising/")</f>
        <v>https://www.chatterbuzzmedia.com/social-media-advertising/</v>
      </c>
      <c r="B66" s="11" t="str">
        <f>IFERROR(__xludf.DUMMYFUNCTION("""COMPUTED_VALUE"""),"Paid Social Media Advertising Agency | ROI-Driven Social Ads")</f>
        <v>Paid Social Media Advertising Agency | ROI-Driven Social Ads</v>
      </c>
      <c r="C66" s="10" t="str">
        <f>IFERROR(__xludf.DUMMYFUNCTION("""COMPUTED_VALUE"""),"chatterbuzzmedia.com")</f>
        <v>chatterbuzzmedia.com</v>
      </c>
      <c r="D66" s="11" t="str">
        <f>IFERROR(__xludf.DUMMYFUNCTION("""COMPUTED_VALUE"""),"PRODUCT_PAGE")</f>
        <v>PRODUCT_PAGE</v>
      </c>
      <c r="E66" s="11" t="str">
        <f>IFERROR(__xludf.DUMMYFUNCTION("""COMPUTED_VALUE"""),"CORPORATE")</f>
        <v>CORPORATE</v>
      </c>
      <c r="F66" s="11" t="str">
        <f>IFERROR(__xludf.DUMMYFUNCTION("""COMPUTED_VALUE"""),"Product Page")</f>
        <v>Product Page</v>
      </c>
      <c r="G66" s="11" t="b">
        <f>IFERROR(__xludf.DUMMYFUNCTION("""COMPUTED_VALUE"""),FALSE)</f>
        <v>0</v>
      </c>
      <c r="H66" s="11"/>
      <c r="I66" s="11">
        <f>IFERROR(__xludf.DUMMYFUNCTION("""COMPUTED_VALUE"""),1.0)</f>
        <v>1</v>
      </c>
      <c r="J66" s="11">
        <f>IFERROR(__xludf.DUMMYFUNCTION("""COMPUTED_VALUE"""),0.0)</f>
        <v>0</v>
      </c>
      <c r="K66" s="11">
        <f>IFERROR(__xludf.DUMMYFUNCTION("""COMPUTED_VALUE"""),0.0)</f>
        <v>0</v>
      </c>
    </row>
    <row r="67" ht="15.75" customHeight="1">
      <c r="A67" s="10" t="str">
        <f>IFERROR(__xludf.DUMMYFUNCTION("""COMPUTED_VALUE"""),"https://cieden.com/ai-strategy-consulting")</f>
        <v>https://cieden.com/ai-strategy-consulting</v>
      </c>
      <c r="B67" s="11" t="str">
        <f>IFERROR(__xludf.DUMMYFUNCTION("""COMPUTED_VALUE"""),"AI strategy consulting | Cieden")</f>
        <v>AI strategy consulting | Cieden</v>
      </c>
      <c r="C67" s="10" t="str">
        <f>IFERROR(__xludf.DUMMYFUNCTION("""COMPUTED_VALUE"""),"cieden.com")</f>
        <v>cieden.com</v>
      </c>
      <c r="D67" s="11" t="str">
        <f>IFERROR(__xludf.DUMMYFUNCTION("""COMPUTED_VALUE"""),"PRODUCT_PAGE")</f>
        <v>PRODUCT_PAGE</v>
      </c>
      <c r="E67" s="11" t="str">
        <f>IFERROR(__xludf.DUMMYFUNCTION("""COMPUTED_VALUE"""),"CORPORATE")</f>
        <v>CORPORATE</v>
      </c>
      <c r="F67" s="11" t="str">
        <f>IFERROR(__xludf.DUMMYFUNCTION("""COMPUTED_VALUE"""),"Product Page")</f>
        <v>Product Page</v>
      </c>
      <c r="G67" s="11" t="b">
        <f>IFERROR(__xludf.DUMMYFUNCTION("""COMPUTED_VALUE"""),FALSE)</f>
        <v>0</v>
      </c>
      <c r="H67" s="11" t="str">
        <f>IFERROR(__xludf.DUMMYFUNCTION("""COMPUTED_VALUE"""),"BCG, IBM, Clutch, McKinsey")</f>
        <v>BCG, IBM, Clutch, McKinsey</v>
      </c>
      <c r="I67" s="11">
        <f>IFERROR(__xludf.DUMMYFUNCTION("""COMPUTED_VALUE"""),1.0)</f>
        <v>1</v>
      </c>
      <c r="J67" s="11">
        <f>IFERROR(__xludf.DUMMYFUNCTION("""COMPUTED_VALUE"""),0.0)</f>
        <v>0</v>
      </c>
      <c r="K67" s="11">
        <f>IFERROR(__xludf.DUMMYFUNCTION("""COMPUTED_VALUE"""),1.0)</f>
        <v>1</v>
      </c>
    </row>
    <row r="68" ht="15.75" customHeight="1">
      <c r="A68" s="10" t="str">
        <f>IFERROR(__xludf.DUMMYFUNCTION("""COMPUTED_VALUE"""),"https://www.cigen.io/services/ai-adoption-strategy-consulting")</f>
        <v>https://www.cigen.io/services/ai-adoption-strategy-consulting</v>
      </c>
      <c r="B68" s="11" t="str">
        <f>IFERROR(__xludf.DUMMYFUNCTION("""COMPUTED_VALUE"""),"AI Strategy Consulting &amp;amp; Adoption Roadmap Services")</f>
        <v>AI Strategy Consulting &amp;amp; Adoption Roadmap Services</v>
      </c>
      <c r="C68" s="10" t="str">
        <f>IFERROR(__xludf.DUMMYFUNCTION("""COMPUTED_VALUE"""),"cigen.io")</f>
        <v>cigen.io</v>
      </c>
      <c r="D68" s="11" t="str">
        <f>IFERROR(__xludf.DUMMYFUNCTION("""COMPUTED_VALUE"""),"PRODUCT_PAGE")</f>
        <v>PRODUCT_PAGE</v>
      </c>
      <c r="E68" s="11" t="str">
        <f>IFERROR(__xludf.DUMMYFUNCTION("""COMPUTED_VALUE"""),"CORPORATE")</f>
        <v>CORPORATE</v>
      </c>
      <c r="F68" s="11" t="str">
        <f>IFERROR(__xludf.DUMMYFUNCTION("""COMPUTED_VALUE"""),"Product Page")</f>
        <v>Product Page</v>
      </c>
      <c r="G68" s="11" t="b">
        <f>IFERROR(__xludf.DUMMYFUNCTION("""COMPUTED_VALUE"""),FALSE)</f>
        <v>0</v>
      </c>
      <c r="H68" s="11" t="str">
        <f>IFERROR(__xludf.DUMMYFUNCTION("""COMPUTED_VALUE"""),"Clutch")</f>
        <v>Clutch</v>
      </c>
      <c r="I68" s="11">
        <f>IFERROR(__xludf.DUMMYFUNCTION("""COMPUTED_VALUE"""),1.0)</f>
        <v>1</v>
      </c>
      <c r="J68" s="11">
        <f>IFERROR(__xludf.DUMMYFUNCTION("""COMPUTED_VALUE"""),0.0)</f>
        <v>0</v>
      </c>
      <c r="K68" s="11">
        <f>IFERROR(__xludf.DUMMYFUNCTION("""COMPUTED_VALUE"""),0.0)</f>
        <v>0</v>
      </c>
    </row>
    <row r="69" ht="15.75" customHeight="1">
      <c r="A69" s="10" t="str">
        <f>IFERROR(__xludf.DUMMYFUNCTION("""COMPUTED_VALUE"""),"https://www.circana.com/solutions/marketing-mix")</f>
        <v>https://www.circana.com/solutions/marketing-mix</v>
      </c>
      <c r="B69" s="11" t="str">
        <f>IFERROR(__xludf.DUMMYFUNCTION("""COMPUTED_VALUE"""),"Optimize Marketing Efforts &amp;amp; Drive ROI with Marketing Mix Modeling | Circana")</f>
        <v>Optimize Marketing Efforts &amp;amp; Drive ROI with Marketing Mix Modeling | Circana</v>
      </c>
      <c r="C69" s="10" t="str">
        <f>IFERROR(__xludf.DUMMYFUNCTION("""COMPUTED_VALUE"""),"circana.com")</f>
        <v>circana.com</v>
      </c>
      <c r="D69" s="11" t="str">
        <f>IFERROR(__xludf.DUMMYFUNCTION("""COMPUTED_VALUE"""),"PRODUCT_PAGE")</f>
        <v>PRODUCT_PAGE</v>
      </c>
      <c r="E69" s="11" t="str">
        <f>IFERROR(__xludf.DUMMYFUNCTION("""COMPUTED_VALUE"""),"COMPETITOR")</f>
        <v>COMPETITOR</v>
      </c>
      <c r="F69" s="11" t="str">
        <f>IFERROR(__xludf.DUMMYFUNCTION("""COMPUTED_VALUE"""),"Product Page")</f>
        <v>Product Page</v>
      </c>
      <c r="G69" s="11" t="b">
        <f>IFERROR(__xludf.DUMMYFUNCTION("""COMPUTED_VALUE"""),FALSE)</f>
        <v>0</v>
      </c>
      <c r="H69" s="11" t="str">
        <f>IFERROR(__xludf.DUMMYFUNCTION("""COMPUTED_VALUE"""),"Circana")</f>
        <v>Circana</v>
      </c>
      <c r="I69" s="11">
        <f>IFERROR(__xludf.DUMMYFUNCTION("""COMPUTED_VALUE"""),1.0)</f>
        <v>1</v>
      </c>
      <c r="J69" s="11">
        <f>IFERROR(__xludf.DUMMYFUNCTION("""COMPUTED_VALUE"""),0.0)</f>
        <v>0</v>
      </c>
      <c r="K69" s="11">
        <f>IFERROR(__xludf.DUMMYFUNCTION("""COMPUTED_VALUE"""),0.0)</f>
        <v>0</v>
      </c>
    </row>
    <row r="70" ht="15.75" customHeight="1">
      <c r="A70" s="10" t="str">
        <f>IFERROR(__xludf.DUMMYFUNCTION("""COMPUTED_VALUE"""),"https://clutch.co/us/agencies/ppc/display%3Fpage%3D6")</f>
        <v>https://clutch.co/us/agencies/ppc/display%3Fpage%3D6</v>
      </c>
      <c r="B70" s="11" t="str">
        <f>IFERROR(__xludf.DUMMYFUNCTION("""COMPUTED_VALUE"""),"Top Display Advertising Agencies in the United States - Jul 2026 Rankings | Clutch.co")</f>
        <v>Top Display Advertising Agencies in the United States - Jul 2026 Rankings | Clutch.co</v>
      </c>
      <c r="C70" s="10" t="str">
        <f>IFERROR(__xludf.DUMMYFUNCTION("""COMPUTED_VALUE"""),"clutch.co")</f>
        <v>clutch.co</v>
      </c>
      <c r="D70" s="11" t="str">
        <f>IFERROR(__xludf.DUMMYFUNCTION("""COMPUTED_VALUE"""),"PRODUCT_PAGE")</f>
        <v>PRODUCT_PAGE</v>
      </c>
      <c r="E70" s="11" t="str">
        <f>IFERROR(__xludf.DUMMYFUNCTION("""COMPUTED_VALUE"""),"COMPETITOR")</f>
        <v>COMPETITOR</v>
      </c>
      <c r="F70" s="11" t="str">
        <f>IFERROR(__xludf.DUMMYFUNCTION("""COMPUTED_VALUE"""),"Product Page")</f>
        <v>Product Page</v>
      </c>
      <c r="G70" s="11" t="b">
        <f>IFERROR(__xludf.DUMMYFUNCTION("""COMPUTED_VALUE"""),FALSE)</f>
        <v>0</v>
      </c>
      <c r="H70" s="11" t="str">
        <f>IFERROR(__xludf.DUMMYFUNCTION("""COMPUTED_VALUE"""),"Clutch, Elit-Web, AdVenture Media, Storm Brain")</f>
        <v>Clutch, Elit-Web, AdVenture Media, Storm Brain</v>
      </c>
      <c r="I70" s="11">
        <f>IFERROR(__xludf.DUMMYFUNCTION("""COMPUTED_VALUE"""),1.0)</f>
        <v>1</v>
      </c>
      <c r="J70" s="11">
        <f>IFERROR(__xludf.DUMMYFUNCTION("""COMPUTED_VALUE"""),0.0)</f>
        <v>0</v>
      </c>
      <c r="K70" s="11">
        <f>IFERROR(__xludf.DUMMYFUNCTION("""COMPUTED_VALUE"""),0.0)</f>
        <v>0</v>
      </c>
    </row>
    <row r="71" ht="15.75" customHeight="1">
      <c r="A71" s="10" t="str">
        <f>IFERROR(__xludf.DUMMYFUNCTION("""COMPUTED_VALUE"""),"https://coderoad.com/velocity-as-a-service/ai")</f>
        <v>https://coderoad.com/velocity-as-a-service/ai</v>
      </c>
      <c r="B71" s="11" t="str">
        <f>IFERROR(__xludf.DUMMYFUNCTION("""COMPUTED_VALUE"""),"AI Implementation &amp;amp; Agentic AI Services | Nearshore AI… | CodeRoad")</f>
        <v>AI Implementation &amp;amp; Agentic AI Services | Nearshore AI… | CodeRoad</v>
      </c>
      <c r="C71" s="10" t="str">
        <f>IFERROR(__xludf.DUMMYFUNCTION("""COMPUTED_VALUE"""),"coderoad.com")</f>
        <v>coderoad.com</v>
      </c>
      <c r="D71" s="11" t="str">
        <f>IFERROR(__xludf.DUMMYFUNCTION("""COMPUTED_VALUE"""),"PRODUCT_PAGE")</f>
        <v>PRODUCT_PAGE</v>
      </c>
      <c r="E71" s="11" t="str">
        <f>IFERROR(__xludf.DUMMYFUNCTION("""COMPUTED_VALUE"""),"CORPORATE")</f>
        <v>CORPORATE</v>
      </c>
      <c r="F71" s="11" t="str">
        <f>IFERROR(__xludf.DUMMYFUNCTION("""COMPUTED_VALUE"""),"Product Page")</f>
        <v>Product Page</v>
      </c>
      <c r="G71" s="11" t="b">
        <f>IFERROR(__xludf.DUMMYFUNCTION("""COMPUTED_VALUE"""),FALSE)</f>
        <v>0</v>
      </c>
      <c r="H71" s="11" t="str">
        <f>IFERROR(__xludf.DUMMYFUNCTION("""COMPUTED_VALUE"""),"Momentum, Measured")</f>
        <v>Momentum, Measured</v>
      </c>
      <c r="I71" s="11">
        <f>IFERROR(__xludf.DUMMYFUNCTION("""COMPUTED_VALUE"""),1.0)</f>
        <v>1</v>
      </c>
      <c r="J71" s="11">
        <f>IFERROR(__xludf.DUMMYFUNCTION("""COMPUTED_VALUE"""),0.0)</f>
        <v>0</v>
      </c>
      <c r="K71" s="11">
        <f>IFERROR(__xludf.DUMMYFUNCTION("""COMPUTED_VALUE"""),1.0)</f>
        <v>1</v>
      </c>
    </row>
    <row r="72" ht="15.75" customHeight="1">
      <c r="A72" s="10" t="str">
        <f>IFERROR(__xludf.DUMMYFUNCTION("""COMPUTED_VALUE"""),"https://demandspring.com/services/training-enablement-for-ai-first-mindset-teams/")</f>
        <v>https://demandspring.com/services/training-enablement-for-ai-first-mindset-teams/</v>
      </c>
      <c r="B72" s="11" t="str">
        <f>IFERROR(__xludf.DUMMYFUNCTION("""COMPUTED_VALUE"""),"AI Advisory Services | AI Marketing Strategy Consultant | Demand Spring")</f>
        <v>AI Advisory Services | AI Marketing Strategy Consultant | Demand Spring</v>
      </c>
      <c r="C72" s="10" t="str">
        <f>IFERROR(__xludf.DUMMYFUNCTION("""COMPUTED_VALUE"""),"demandspring.com")</f>
        <v>demandspring.com</v>
      </c>
      <c r="D72" s="11" t="str">
        <f>IFERROR(__xludf.DUMMYFUNCTION("""COMPUTED_VALUE"""),"PRODUCT_PAGE")</f>
        <v>PRODUCT_PAGE</v>
      </c>
      <c r="E72" s="11" t="str">
        <f>IFERROR(__xludf.DUMMYFUNCTION("""COMPUTED_VALUE"""),"CORPORATE")</f>
        <v>CORPORATE</v>
      </c>
      <c r="F72" s="11" t="str">
        <f>IFERROR(__xludf.DUMMYFUNCTION("""COMPUTED_VALUE"""),"Product Page")</f>
        <v>Product Page</v>
      </c>
      <c r="G72" s="11" t="b">
        <f>IFERROR(__xludf.DUMMYFUNCTION("""COMPUTED_VALUE"""),FALSE)</f>
        <v>0</v>
      </c>
      <c r="H72" s="11"/>
      <c r="I72" s="11">
        <f>IFERROR(__xludf.DUMMYFUNCTION("""COMPUTED_VALUE"""),1.0)</f>
        <v>1</v>
      </c>
      <c r="J72" s="11">
        <f>IFERROR(__xludf.DUMMYFUNCTION("""COMPUTED_VALUE"""),0.0)</f>
        <v>0</v>
      </c>
      <c r="K72" s="11">
        <f>IFERROR(__xludf.DUMMYFUNCTION("""COMPUTED_VALUE"""),1.0)</f>
        <v>1</v>
      </c>
    </row>
    <row r="73" ht="15.75" customHeight="1">
      <c r="A73" s="10" t="str">
        <f>IFERROR(__xludf.DUMMYFUNCTION("""COMPUTED_VALUE"""),"https://www.dentsu.com/us/en/who-we-are/our-agencies/merkle")</f>
        <v>https://www.dentsu.com/us/en/who-we-are/our-agencies/merkle</v>
      </c>
      <c r="B73" s="11" t="str">
        <f>IFERROR(__xludf.DUMMYFUNCTION("""COMPUTED_VALUE"""),"Merkle | Our Agencies | dentsu USA")</f>
        <v>Merkle | Our Agencies | dentsu USA</v>
      </c>
      <c r="C73" s="10" t="str">
        <f>IFERROR(__xludf.DUMMYFUNCTION("""COMPUTED_VALUE"""),"dentsu.com")</f>
        <v>dentsu.com</v>
      </c>
      <c r="D73" s="11" t="str">
        <f>IFERROR(__xludf.DUMMYFUNCTION("""COMPUTED_VALUE"""),"PRODUCT_PAGE")</f>
        <v>PRODUCT_PAGE</v>
      </c>
      <c r="E73" s="11" t="str">
        <f>IFERROR(__xludf.DUMMYFUNCTION("""COMPUTED_VALUE"""),"COMPETITOR")</f>
        <v>COMPETITOR</v>
      </c>
      <c r="F73" s="11" t="str">
        <f>IFERROR(__xludf.DUMMYFUNCTION("""COMPUTED_VALUE"""),"Product Page")</f>
        <v>Product Page</v>
      </c>
      <c r="G73" s="11" t="b">
        <f>IFERROR(__xludf.DUMMYFUNCTION("""COMPUTED_VALUE"""),FALSE)</f>
        <v>0</v>
      </c>
      <c r="H73" s="11" t="str">
        <f>IFERROR(__xludf.DUMMYFUNCTION("""COMPUTED_VALUE"""),"Dentsu, Merkle")</f>
        <v>Dentsu, Merkle</v>
      </c>
      <c r="I73" s="11">
        <f>IFERROR(__xludf.DUMMYFUNCTION("""COMPUTED_VALUE"""),1.0)</f>
        <v>1</v>
      </c>
      <c r="J73" s="11">
        <f>IFERROR(__xludf.DUMMYFUNCTION("""COMPUTED_VALUE"""),0.0)</f>
        <v>0</v>
      </c>
      <c r="K73" s="11">
        <f>IFERROR(__xludf.DUMMYFUNCTION("""COMPUTED_VALUE"""),1.0)</f>
        <v>1</v>
      </c>
    </row>
    <row r="74" ht="15.75" customHeight="1">
      <c r="A74" s="10" t="str">
        <f>IFERROR(__xludf.DUMMYFUNCTION("""COMPUTED_VALUE"""),"https://www.digidir.com/digital-marketing-service-in-usa/")</f>
        <v>https://www.digidir.com/digital-marketing-service-in-usa/</v>
      </c>
      <c r="B74" s="11" t="str">
        <f>IFERROR(__xludf.DUMMYFUNCTION("""COMPUTED_VALUE"""),"Digital Marketing Agency in USA | Best Advertising and Social Media Service Provider Company USA")</f>
        <v>Digital Marketing Agency in USA | Best Advertising and Social Media Service Provider Company USA</v>
      </c>
      <c r="C74" s="10" t="str">
        <f>IFERROR(__xludf.DUMMYFUNCTION("""COMPUTED_VALUE"""),"digidir.com")</f>
        <v>digidir.com</v>
      </c>
      <c r="D74" s="11" t="str">
        <f>IFERROR(__xludf.DUMMYFUNCTION("""COMPUTED_VALUE"""),"PRODUCT_PAGE")</f>
        <v>PRODUCT_PAGE</v>
      </c>
      <c r="E74" s="11" t="str">
        <f>IFERROR(__xludf.DUMMYFUNCTION("""COMPUTED_VALUE"""),"CORPORATE")</f>
        <v>CORPORATE</v>
      </c>
      <c r="F74" s="11" t="str">
        <f>IFERROR(__xludf.DUMMYFUNCTION("""COMPUTED_VALUE"""),"Product Page")</f>
        <v>Product Page</v>
      </c>
      <c r="G74" s="11" t="b">
        <f>IFERROR(__xludf.DUMMYFUNCTION("""COMPUTED_VALUE"""),FALSE)</f>
        <v>0</v>
      </c>
      <c r="H74" s="11"/>
      <c r="I74" s="11">
        <f>IFERROR(__xludf.DUMMYFUNCTION("""COMPUTED_VALUE"""),1.0)</f>
        <v>1</v>
      </c>
      <c r="J74" s="11">
        <f>IFERROR(__xludf.DUMMYFUNCTION("""COMPUTED_VALUE"""),0.0)</f>
        <v>0</v>
      </c>
      <c r="K74" s="11">
        <f>IFERROR(__xludf.DUMMYFUNCTION("""COMPUTED_VALUE"""),1.0)</f>
        <v>1</v>
      </c>
    </row>
    <row r="75" ht="15.75" customHeight="1">
      <c r="A75" s="10" t="str">
        <f>IFERROR(__xludf.DUMMYFUNCTION("""COMPUTED_VALUE"""),"https://www.directom.com/services/generative-engine-optimization-services/")</f>
        <v>https://www.directom.com/services/generative-engine-optimization-services/</v>
      </c>
      <c r="B75" s="11" t="str">
        <f>IFERROR(__xludf.DUMMYFUNCTION("""COMPUTED_VALUE"""),"Generative Engine Optimization Company - We Do SEO For ChatGPT")</f>
        <v>Generative Engine Optimization Company - We Do SEO For ChatGPT</v>
      </c>
      <c r="C75" s="10" t="str">
        <f>IFERROR(__xludf.DUMMYFUNCTION("""COMPUTED_VALUE"""),"directom.com")</f>
        <v>directom.com</v>
      </c>
      <c r="D75" s="11" t="str">
        <f>IFERROR(__xludf.DUMMYFUNCTION("""COMPUTED_VALUE"""),"PRODUCT_PAGE")</f>
        <v>PRODUCT_PAGE</v>
      </c>
      <c r="E75" s="11" t="str">
        <f>IFERROR(__xludf.DUMMYFUNCTION("""COMPUTED_VALUE"""),"CORPORATE")</f>
        <v>CORPORATE</v>
      </c>
      <c r="F75" s="11" t="str">
        <f>IFERROR(__xludf.DUMMYFUNCTION("""COMPUTED_VALUE"""),"Product Page")</f>
        <v>Product Page</v>
      </c>
      <c r="G75" s="11" t="b">
        <f>IFERROR(__xludf.DUMMYFUNCTION("""COMPUTED_VALUE"""),FALSE)</f>
        <v>0</v>
      </c>
      <c r="H75" s="11" t="str">
        <f>IFERROR(__xludf.DUMMYFUNCTION("""COMPUTED_VALUE"""),"Clutch")</f>
        <v>Clutch</v>
      </c>
      <c r="I75" s="11">
        <f>IFERROR(__xludf.DUMMYFUNCTION("""COMPUTED_VALUE"""),1.0)</f>
        <v>1</v>
      </c>
      <c r="J75" s="11">
        <f>IFERROR(__xludf.DUMMYFUNCTION("""COMPUTED_VALUE"""),0.0)</f>
        <v>0</v>
      </c>
      <c r="K75" s="11">
        <f>IFERROR(__xludf.DUMMYFUNCTION("""COMPUTED_VALUE"""),1.0)</f>
        <v>1</v>
      </c>
    </row>
    <row r="76" ht="15.75" customHeight="1">
      <c r="A76" s="10" t="str">
        <f>IFERROR(__xludf.DUMMYFUNCTION("""COMPUTED_VALUE"""),"https://disruptiveadvertising.com/advertising-services/")</f>
        <v>https://disruptiveadvertising.com/advertising-services/</v>
      </c>
      <c r="B76" s="11" t="str">
        <f>IFERROR(__xludf.DUMMYFUNCTION("""COMPUTED_VALUE"""),"Digital Advertising Services | #1 Most 5-Star Reviewed Agency")</f>
        <v>Digital Advertising Services | #1 Most 5-Star Reviewed Agency</v>
      </c>
      <c r="C76" s="10" t="str">
        <f>IFERROR(__xludf.DUMMYFUNCTION("""COMPUTED_VALUE"""),"disruptiveadvertising.com")</f>
        <v>disruptiveadvertising.com</v>
      </c>
      <c r="D76" s="11" t="str">
        <f>IFERROR(__xludf.DUMMYFUNCTION("""COMPUTED_VALUE"""),"PRODUCT_PAGE")</f>
        <v>PRODUCT_PAGE</v>
      </c>
      <c r="E76" s="11" t="str">
        <f>IFERROR(__xludf.DUMMYFUNCTION("""COMPUTED_VALUE"""),"COMPETITOR")</f>
        <v>COMPETITOR</v>
      </c>
      <c r="F76" s="11" t="str">
        <f>IFERROR(__xludf.DUMMYFUNCTION("""COMPUTED_VALUE"""),"Product Page")</f>
        <v>Product Page</v>
      </c>
      <c r="G76" s="11" t="b">
        <f>IFERROR(__xludf.DUMMYFUNCTION("""COMPUTED_VALUE"""),FALSE)</f>
        <v>0</v>
      </c>
      <c r="H76" s="11" t="str">
        <f>IFERROR(__xludf.DUMMYFUNCTION("""COMPUTED_VALUE"""),"Clutch, Disruptive Advertising")</f>
        <v>Clutch, Disruptive Advertising</v>
      </c>
      <c r="I76" s="11">
        <f>IFERROR(__xludf.DUMMYFUNCTION("""COMPUTED_VALUE"""),1.0)</f>
        <v>1</v>
      </c>
      <c r="J76" s="11">
        <f>IFERROR(__xludf.DUMMYFUNCTION("""COMPUTED_VALUE"""),0.0)</f>
        <v>0</v>
      </c>
      <c r="K76" s="11">
        <f>IFERROR(__xludf.DUMMYFUNCTION("""COMPUTED_VALUE"""),1.0)</f>
        <v>1</v>
      </c>
    </row>
    <row r="77" ht="15.75" customHeight="1">
      <c r="A77" s="10" t="str">
        <f>IFERROR(__xludf.DUMMYFUNCTION("""COMPUTED_VALUE"""),"https://disruptiveadvertising.com/social-media-advertising/")</f>
        <v>https://disruptiveadvertising.com/social-media-advertising/</v>
      </c>
      <c r="B77" s="11" t="str">
        <f>IFERROR(__xludf.DUMMYFUNCTION("""COMPUTED_VALUE"""),"Social Media Marketing Agency | Get a Free Audit | Disruptive Advertising")</f>
        <v>Social Media Marketing Agency | Get a Free Audit | Disruptive Advertising</v>
      </c>
      <c r="C77" s="10" t="str">
        <f>IFERROR(__xludf.DUMMYFUNCTION("""COMPUTED_VALUE"""),"disruptiveadvertising.com")</f>
        <v>disruptiveadvertising.com</v>
      </c>
      <c r="D77" s="11" t="str">
        <f>IFERROR(__xludf.DUMMYFUNCTION("""COMPUTED_VALUE"""),"PRODUCT_PAGE")</f>
        <v>PRODUCT_PAGE</v>
      </c>
      <c r="E77" s="11" t="str">
        <f>IFERROR(__xludf.DUMMYFUNCTION("""COMPUTED_VALUE"""),"COMPETITOR")</f>
        <v>COMPETITOR</v>
      </c>
      <c r="F77" s="11" t="str">
        <f>IFERROR(__xludf.DUMMYFUNCTION("""COMPUTED_VALUE"""),"Product Page")</f>
        <v>Product Page</v>
      </c>
      <c r="G77" s="11" t="b">
        <f>IFERROR(__xludf.DUMMYFUNCTION("""COMPUTED_VALUE"""),FALSE)</f>
        <v>0</v>
      </c>
      <c r="H77" s="11" t="str">
        <f>IFERROR(__xludf.DUMMYFUNCTION("""COMPUTED_VALUE"""),"Disruptive Advertising")</f>
        <v>Disruptive Advertising</v>
      </c>
      <c r="I77" s="11">
        <f>IFERROR(__xludf.DUMMYFUNCTION("""COMPUTED_VALUE"""),1.0)</f>
        <v>1</v>
      </c>
      <c r="J77" s="11">
        <f>IFERROR(__xludf.DUMMYFUNCTION("""COMPUTED_VALUE"""),0.0)</f>
        <v>0</v>
      </c>
      <c r="K77" s="11">
        <f>IFERROR(__xludf.DUMMYFUNCTION("""COMPUTED_VALUE"""),1.0)</f>
        <v>1</v>
      </c>
    </row>
    <row r="78" ht="15.75" customHeight="1">
      <c r="A78" s="10" t="str">
        <f>IFERROR(__xludf.DUMMYFUNCTION("""COMPUTED_VALUE"""),"https://events.bounteous.com/googletrainingprogram")</f>
        <v>https://events.bounteous.com/googletrainingprogram</v>
      </c>
      <c r="B78" s="11" t="str">
        <f>IFERROR(__xludf.DUMMYFUNCTION("""COMPUTED_VALUE"""),"Google Marketing Platform Training Program")</f>
        <v>Google Marketing Platform Training Program</v>
      </c>
      <c r="C78" s="10" t="str">
        <f>IFERROR(__xludf.DUMMYFUNCTION("""COMPUTED_VALUE"""),"bounteous.com")</f>
        <v>bounteous.com</v>
      </c>
      <c r="D78" s="11" t="str">
        <f>IFERROR(__xludf.DUMMYFUNCTION("""COMPUTED_VALUE"""),"PRODUCT_PAGE")</f>
        <v>PRODUCT_PAGE</v>
      </c>
      <c r="E78" s="11" t="str">
        <f>IFERROR(__xludf.DUMMYFUNCTION("""COMPUTED_VALUE"""),"COMPETITOR")</f>
        <v>COMPETITOR</v>
      </c>
      <c r="F78" s="11" t="str">
        <f>IFERROR(__xludf.DUMMYFUNCTION("""COMPUTED_VALUE"""),"Product Page")</f>
        <v>Product Page</v>
      </c>
      <c r="G78" s="11" t="b">
        <f>IFERROR(__xludf.DUMMYFUNCTION("""COMPUTED_VALUE"""),FALSE)</f>
        <v>0</v>
      </c>
      <c r="H78" s="11" t="str">
        <f>IFERROR(__xludf.DUMMYFUNCTION("""COMPUTED_VALUE"""),"Bounteous")</f>
        <v>Bounteous</v>
      </c>
      <c r="I78" s="11">
        <f>IFERROR(__xludf.DUMMYFUNCTION("""COMPUTED_VALUE"""),1.0)</f>
        <v>1</v>
      </c>
      <c r="J78" s="11">
        <f>IFERROR(__xludf.DUMMYFUNCTION("""COMPUTED_VALUE"""),0.0)</f>
        <v>0</v>
      </c>
      <c r="K78" s="11">
        <f>IFERROR(__xludf.DUMMYFUNCTION("""COMPUTED_VALUE"""),1.0)</f>
        <v>1</v>
      </c>
    </row>
    <row r="79" ht="15.75" customHeight="1">
      <c r="A79" s="10" t="str">
        <f>IFERROR(__xludf.DUMMYFUNCTION("""COMPUTED_VALUE"""),"https://www.experian.com/marketing/consumer-view/activation")</f>
        <v>https://www.experian.com/marketing/consumer-view/activation</v>
      </c>
      <c r="B79" s="11" t="str">
        <f>IFERROR(__xludf.DUMMYFUNCTION("""COMPUTED_VALUE"""),"Activation")</f>
        <v>Activation</v>
      </c>
      <c r="C79" s="10" t="str">
        <f>IFERROR(__xludf.DUMMYFUNCTION("""COMPUTED_VALUE"""),"experian.com")</f>
        <v>experian.com</v>
      </c>
      <c r="D79" s="11" t="str">
        <f>IFERROR(__xludf.DUMMYFUNCTION("""COMPUTED_VALUE"""),"PRODUCT_PAGE")</f>
        <v>PRODUCT_PAGE</v>
      </c>
      <c r="E79" s="11" t="str">
        <f>IFERROR(__xludf.DUMMYFUNCTION("""COMPUTED_VALUE"""),"CORPORATE")</f>
        <v>CORPORATE</v>
      </c>
      <c r="F79" s="11" t="str">
        <f>IFERROR(__xludf.DUMMYFUNCTION("""COMPUTED_VALUE"""),"Product Page")</f>
        <v>Product Page</v>
      </c>
      <c r="G79" s="11" t="b">
        <f>IFERROR(__xludf.DUMMYFUNCTION("""COMPUTED_VALUE"""),FALSE)</f>
        <v>0</v>
      </c>
      <c r="H79" s="11"/>
      <c r="I79" s="11">
        <f>IFERROR(__xludf.DUMMYFUNCTION("""COMPUTED_VALUE"""),1.0)</f>
        <v>1</v>
      </c>
      <c r="J79" s="11">
        <f>IFERROR(__xludf.DUMMYFUNCTION("""COMPUTED_VALUE"""),0.0)</f>
        <v>0</v>
      </c>
      <c r="K79" s="11">
        <f>IFERROR(__xludf.DUMMYFUNCTION("""COMPUTED_VALUE"""),0.0)</f>
        <v>0</v>
      </c>
    </row>
    <row r="80" ht="15.75" customHeight="1">
      <c r="A80" s="10" t="str">
        <f>IFERROR(__xludf.DUMMYFUNCTION("""COMPUTED_VALUE"""),"https://exposureninja.com/services/analytics-data-reporting/")</f>
        <v>https://exposureninja.com/services/analytics-data-reporting/</v>
      </c>
      <c r="B80" s="11" t="str">
        <f>IFERROR(__xludf.DUMMYFUNCTION("""COMPUTED_VALUE"""),"Marketing Analytics Agency | Custom Reporting &amp;amp; Insights")</f>
        <v>Marketing Analytics Agency | Custom Reporting &amp;amp; Insights</v>
      </c>
      <c r="C80" s="10" t="str">
        <f>IFERROR(__xludf.DUMMYFUNCTION("""COMPUTED_VALUE"""),"exposureninja.com")</f>
        <v>exposureninja.com</v>
      </c>
      <c r="D80" s="11" t="str">
        <f>IFERROR(__xludf.DUMMYFUNCTION("""COMPUTED_VALUE"""),"PRODUCT_PAGE")</f>
        <v>PRODUCT_PAGE</v>
      </c>
      <c r="E80" s="11" t="str">
        <f>IFERROR(__xludf.DUMMYFUNCTION("""COMPUTED_VALUE"""),"CORPORATE")</f>
        <v>CORPORATE</v>
      </c>
      <c r="F80" s="11" t="str">
        <f>IFERROR(__xludf.DUMMYFUNCTION("""COMPUTED_VALUE"""),"Product Page")</f>
        <v>Product Page</v>
      </c>
      <c r="G80" s="11" t="b">
        <f>IFERROR(__xludf.DUMMYFUNCTION("""COMPUTED_VALUE"""),FALSE)</f>
        <v>0</v>
      </c>
      <c r="H80" s="11"/>
      <c r="I80" s="11">
        <f>IFERROR(__xludf.DUMMYFUNCTION("""COMPUTED_VALUE"""),1.0)</f>
        <v>1</v>
      </c>
      <c r="J80" s="11">
        <f>IFERROR(__xludf.DUMMYFUNCTION("""COMPUTED_VALUE"""),0.0)</f>
        <v>0</v>
      </c>
      <c r="K80" s="11">
        <f>IFERROR(__xludf.DUMMYFUNCTION("""COMPUTED_VALUE"""),0.0)</f>
        <v>0</v>
      </c>
    </row>
    <row r="81" ht="15.75" customHeight="1">
      <c r="A81" s="10" t="str">
        <f>IFERROR(__xludf.DUMMYFUNCTION("""COMPUTED_VALUE"""),"https://www.found.co.uk/services/seo/ai-seo/aeo/")</f>
        <v>https://www.found.co.uk/services/seo/ai-seo/aeo/</v>
      </c>
      <c r="B81" s="11" t="str">
        <f>IFERROR(__xludf.DUMMYFUNCTION("""COMPUTED_VALUE"""),"AEO Agency \| Answer Engine Optimisation (AEO) SEO Agency \| Found")</f>
        <v>AEO Agency \| Answer Engine Optimisation (AEO) SEO Agency \| Found</v>
      </c>
      <c r="C81" s="10" t="str">
        <f>IFERROR(__xludf.DUMMYFUNCTION("""COMPUTED_VALUE"""),"found.co.uk")</f>
        <v>found.co.uk</v>
      </c>
      <c r="D81" s="11" t="str">
        <f>IFERROR(__xludf.DUMMYFUNCTION("""COMPUTED_VALUE"""),"PRODUCT_PAGE")</f>
        <v>PRODUCT_PAGE</v>
      </c>
      <c r="E81" s="11" t="str">
        <f>IFERROR(__xludf.DUMMYFUNCTION("""COMPUTED_VALUE"""),"CORPORATE")</f>
        <v>CORPORATE</v>
      </c>
      <c r="F81" s="11" t="str">
        <f>IFERROR(__xludf.DUMMYFUNCTION("""COMPUTED_VALUE"""),"Product Page")</f>
        <v>Product Page</v>
      </c>
      <c r="G81" s="11" t="b">
        <f>IFERROR(__xludf.DUMMYFUNCTION("""COMPUTED_VALUE"""),FALSE)</f>
        <v>0</v>
      </c>
      <c r="H81" s="11"/>
      <c r="I81" s="11">
        <f>IFERROR(__xludf.DUMMYFUNCTION("""COMPUTED_VALUE"""),1.0)</f>
        <v>1</v>
      </c>
      <c r="J81" s="11">
        <f>IFERROR(__xludf.DUMMYFUNCTION("""COMPUTED_VALUE"""),0.0)</f>
        <v>0</v>
      </c>
      <c r="K81" s="11">
        <f>IFERROR(__xludf.DUMMYFUNCTION("""COMPUTED_VALUE"""),1.0)</f>
        <v>1</v>
      </c>
    </row>
    <row r="82" ht="15.75" customHeight="1">
      <c r="A82" s="10" t="str">
        <f>IFERROR(__xludf.DUMMYFUNCTION("""COMPUTED_VALUE"""),"https://foundersworkshop.com/feeds/service/ai-adoption-readiness-consulting-enterprises")</f>
        <v>https://foundersworkshop.com/feeds/service/ai-adoption-readiness-consulting-enterprises</v>
      </c>
      <c r="B82" s="11" t="str">
        <f>IFERROR(__xludf.DUMMYFUNCTION("""COMPUTED_VALUE"""),"AI Adoption &amp;amp; Readiness Consulting for Enterprises – Since 2008")</f>
        <v>AI Adoption &amp;amp; Readiness Consulting for Enterprises – Since 2008</v>
      </c>
      <c r="C82" s="10" t="str">
        <f>IFERROR(__xludf.DUMMYFUNCTION("""COMPUTED_VALUE"""),"foundersworkshop.com")</f>
        <v>foundersworkshop.com</v>
      </c>
      <c r="D82" s="11" t="str">
        <f>IFERROR(__xludf.DUMMYFUNCTION("""COMPUTED_VALUE"""),"PRODUCT_PAGE")</f>
        <v>PRODUCT_PAGE</v>
      </c>
      <c r="E82" s="11" t="str">
        <f>IFERROR(__xludf.DUMMYFUNCTION("""COMPUTED_VALUE"""),"CORPORATE")</f>
        <v>CORPORATE</v>
      </c>
      <c r="F82" s="11" t="str">
        <f>IFERROR(__xludf.DUMMYFUNCTION("""COMPUTED_VALUE"""),"Product Page")</f>
        <v>Product Page</v>
      </c>
      <c r="G82" s="11" t="b">
        <f>IFERROR(__xludf.DUMMYFUNCTION("""COMPUTED_VALUE"""),FALSE)</f>
        <v>0</v>
      </c>
      <c r="H82" s="11"/>
      <c r="I82" s="11">
        <f>IFERROR(__xludf.DUMMYFUNCTION("""COMPUTED_VALUE"""),1.0)</f>
        <v>1</v>
      </c>
      <c r="J82" s="11">
        <f>IFERROR(__xludf.DUMMYFUNCTION("""COMPUTED_VALUE"""),0.0)</f>
        <v>0</v>
      </c>
      <c r="K82" s="11">
        <f>IFERROR(__xludf.DUMMYFUNCTION("""COMPUTED_VALUE"""),0.0)</f>
        <v>0</v>
      </c>
    </row>
    <row r="83" ht="15.75" customHeight="1">
      <c r="A83" s="10" t="str">
        <f>IFERROR(__xludf.DUMMYFUNCTION("""COMPUTED_VALUE"""),"https://www.freshcoast.ai/services.html")</f>
        <v>https://www.freshcoast.ai/services.html</v>
      </c>
      <c r="B83" s="11" t="str">
        <f>IFERROR(__xludf.DUMMYFUNCTION("""COMPUTED_VALUE"""),"AI Readiness &amp;amp; Adoption Services | Fresh Coast AI")</f>
        <v>AI Readiness &amp;amp; Adoption Services | Fresh Coast AI</v>
      </c>
      <c r="C83" s="10" t="str">
        <f>IFERROR(__xludf.DUMMYFUNCTION("""COMPUTED_VALUE"""),"freshcoast.ai")</f>
        <v>freshcoast.ai</v>
      </c>
      <c r="D83" s="11" t="str">
        <f>IFERROR(__xludf.DUMMYFUNCTION("""COMPUTED_VALUE"""),"PRODUCT_PAGE")</f>
        <v>PRODUCT_PAGE</v>
      </c>
      <c r="E83" s="11" t="str">
        <f>IFERROR(__xludf.DUMMYFUNCTION("""COMPUTED_VALUE"""),"CORPORATE")</f>
        <v>CORPORATE</v>
      </c>
      <c r="F83" s="11" t="str">
        <f>IFERROR(__xludf.DUMMYFUNCTION("""COMPUTED_VALUE"""),"Product Page")</f>
        <v>Product Page</v>
      </c>
      <c r="G83" s="11" t="b">
        <f>IFERROR(__xludf.DUMMYFUNCTION("""COMPUTED_VALUE"""),FALSE)</f>
        <v>0</v>
      </c>
      <c r="H83" s="11" t="str">
        <f>IFERROR(__xludf.DUMMYFUNCTION("""COMPUTED_VALUE"""),"Momentum")</f>
        <v>Momentum</v>
      </c>
      <c r="I83" s="11">
        <f>IFERROR(__xludf.DUMMYFUNCTION("""COMPUTED_VALUE"""),1.0)</f>
        <v>1</v>
      </c>
      <c r="J83" s="11">
        <f>IFERROR(__xludf.DUMMYFUNCTION("""COMPUTED_VALUE"""),0.0)</f>
        <v>0</v>
      </c>
      <c r="K83" s="11">
        <f>IFERROR(__xludf.DUMMYFUNCTION("""COMPUTED_VALUE"""),0.0)</f>
        <v>0</v>
      </c>
    </row>
    <row r="84" ht="15.75" customHeight="1">
      <c r="A84" s="10" t="str">
        <f>IFERROR(__xludf.DUMMYFUNCTION("""COMPUTED_VALUE"""),"https://www.gallup.com/workplace/650153/ai-adoption.aspx")</f>
        <v>https://www.gallup.com/workplace/650153/ai-adoption.aspx</v>
      </c>
      <c r="B84" s="11" t="str">
        <f>IFERROR(__xludf.DUMMYFUNCTION("""COMPUTED_VALUE"""),"A People-First Approach to AI Adoption - Gallup")</f>
        <v>A People-First Approach to AI Adoption - Gallup</v>
      </c>
      <c r="C84" s="10" t="str">
        <f>IFERROR(__xludf.DUMMYFUNCTION("""COMPUTED_VALUE"""),"gallup.com")</f>
        <v>gallup.com</v>
      </c>
      <c r="D84" s="11" t="str">
        <f>IFERROR(__xludf.DUMMYFUNCTION("""COMPUTED_VALUE"""),"PRODUCT_PAGE")</f>
        <v>PRODUCT_PAGE</v>
      </c>
      <c r="E84" s="11" t="str">
        <f>IFERROR(__xludf.DUMMYFUNCTION("""COMPUTED_VALUE"""),"CORPORATE")</f>
        <v>CORPORATE</v>
      </c>
      <c r="F84" s="11" t="str">
        <f>IFERROR(__xludf.DUMMYFUNCTION("""COMPUTED_VALUE"""),"Product Page")</f>
        <v>Product Page</v>
      </c>
      <c r="G84" s="11" t="b">
        <f>IFERROR(__xludf.DUMMYFUNCTION("""COMPUTED_VALUE"""),FALSE)</f>
        <v>0</v>
      </c>
      <c r="H84" s="11" t="str">
        <f>IFERROR(__xludf.DUMMYFUNCTION("""COMPUTED_VALUE"""),"Momentum")</f>
        <v>Momentum</v>
      </c>
      <c r="I84" s="11">
        <f>IFERROR(__xludf.DUMMYFUNCTION("""COMPUTED_VALUE"""),1.0)</f>
        <v>1</v>
      </c>
      <c r="J84" s="11">
        <f>IFERROR(__xludf.DUMMYFUNCTION("""COMPUTED_VALUE"""),0.0)</f>
        <v>0</v>
      </c>
      <c r="K84" s="11">
        <f>IFERROR(__xludf.DUMMYFUNCTION("""COMPUTED_VALUE"""),0.0)</f>
        <v>0</v>
      </c>
    </row>
    <row r="85" ht="15.75" customHeight="1">
      <c r="A85" s="10" t="str">
        <f>IFERROR(__xludf.DUMMYFUNCTION("""COMPUTED_VALUE"""),"https://getfishslapped.com/programmatic-display/")</f>
        <v>https://getfishslapped.com/programmatic-display/</v>
      </c>
      <c r="B85" s="11" t="str">
        <f>IFERROR(__xludf.DUMMYFUNCTION("""COMPUTED_VALUE"""),"Programmatic Display • Get Fish Slapped Marketing Agency")</f>
        <v>Programmatic Display • Get Fish Slapped Marketing Agency</v>
      </c>
      <c r="C85" s="10" t="str">
        <f>IFERROR(__xludf.DUMMYFUNCTION("""COMPUTED_VALUE"""),"getfishslapped.com")</f>
        <v>getfishslapped.com</v>
      </c>
      <c r="D85" s="11" t="str">
        <f>IFERROR(__xludf.DUMMYFUNCTION("""COMPUTED_VALUE"""),"PRODUCT_PAGE")</f>
        <v>PRODUCT_PAGE</v>
      </c>
      <c r="E85" s="11" t="str">
        <f>IFERROR(__xludf.DUMMYFUNCTION("""COMPUTED_VALUE"""),"OTHER")</f>
        <v>OTHER</v>
      </c>
      <c r="F85" s="11" t="str">
        <f>IFERROR(__xludf.DUMMYFUNCTION("""COMPUTED_VALUE"""),"Product Page")</f>
        <v>Product Page</v>
      </c>
      <c r="G85" s="11" t="b">
        <f>IFERROR(__xludf.DUMMYFUNCTION("""COMPUTED_VALUE"""),FALSE)</f>
        <v>0</v>
      </c>
      <c r="H85" s="11"/>
      <c r="I85" s="11">
        <f>IFERROR(__xludf.DUMMYFUNCTION("""COMPUTED_VALUE"""),1.0)</f>
        <v>1</v>
      </c>
      <c r="J85" s="11">
        <f>IFERROR(__xludf.DUMMYFUNCTION("""COMPUTED_VALUE"""),0.0)</f>
        <v>0</v>
      </c>
      <c r="K85" s="11">
        <f>IFERROR(__xludf.DUMMYFUNCTION("""COMPUTED_VALUE"""),1.0)</f>
        <v>1</v>
      </c>
    </row>
    <row r="86" ht="15.75" customHeight="1">
      <c r="A86" s="10" t="str">
        <f>IFERROR(__xludf.DUMMYFUNCTION("""COMPUTED_VALUE"""),"https://getrecast.com/geolift-by-recast/")</f>
        <v>https://getrecast.com/geolift-by-recast/</v>
      </c>
      <c r="B86" s="11" t="str">
        <f>IFERROR(__xludf.DUMMYFUNCTION("""COMPUTED_VALUE"""),"GeoLift by Recast - Recast")</f>
        <v>GeoLift by Recast - Recast</v>
      </c>
      <c r="C86" s="10" t="str">
        <f>IFERROR(__xludf.DUMMYFUNCTION("""COMPUTED_VALUE"""),"getrecast.com")</f>
        <v>getrecast.com</v>
      </c>
      <c r="D86" s="11" t="str">
        <f>IFERROR(__xludf.DUMMYFUNCTION("""COMPUTED_VALUE"""),"PRODUCT_PAGE")</f>
        <v>PRODUCT_PAGE</v>
      </c>
      <c r="E86" s="11" t="str">
        <f>IFERROR(__xludf.DUMMYFUNCTION("""COMPUTED_VALUE"""),"COMPETITOR")</f>
        <v>COMPETITOR</v>
      </c>
      <c r="F86" s="11" t="str">
        <f>IFERROR(__xludf.DUMMYFUNCTION("""COMPUTED_VALUE"""),"Product Page")</f>
        <v>Product Page</v>
      </c>
      <c r="G86" s="11" t="b">
        <f>IFERROR(__xludf.DUMMYFUNCTION("""COMPUTED_VALUE"""),FALSE)</f>
        <v>0</v>
      </c>
      <c r="H86" s="11" t="str">
        <f>IFERROR(__xludf.DUMMYFUNCTION("""COMPUTED_VALUE"""),"Recast, Acadia")</f>
        <v>Recast, Acadia</v>
      </c>
      <c r="I86" s="11">
        <f>IFERROR(__xludf.DUMMYFUNCTION("""COMPUTED_VALUE"""),1.0)</f>
        <v>1</v>
      </c>
      <c r="J86" s="11">
        <f>IFERROR(__xludf.DUMMYFUNCTION("""COMPUTED_VALUE"""),0.0)</f>
        <v>0</v>
      </c>
      <c r="K86" s="11">
        <f>IFERROR(__xludf.DUMMYFUNCTION("""COMPUTED_VALUE"""),1.0)</f>
        <v>1</v>
      </c>
    </row>
    <row r="87" ht="15.75" customHeight="1">
      <c r="A87" s="10" t="str">
        <f>IFERROR(__xludf.DUMMYFUNCTION("""COMPUTED_VALUE"""),"https://www.grazitti.com/services/digital-marketing/services/programatic-ads-agency/")</f>
        <v>https://www.grazitti.com/services/digital-marketing/services/programatic-ads-agency/</v>
      </c>
      <c r="B87" s="11" t="str">
        <f>IFERROR(__xludf.DUMMYFUNCTION("""COMPUTED_VALUE"""),"Programmatic Advertising Services | Grazitti Interactive")</f>
        <v>Programmatic Advertising Services | Grazitti Interactive</v>
      </c>
      <c r="C87" s="10" t="str">
        <f>IFERROR(__xludf.DUMMYFUNCTION("""COMPUTED_VALUE"""),"grazitti.com")</f>
        <v>grazitti.com</v>
      </c>
      <c r="D87" s="11" t="str">
        <f>IFERROR(__xludf.DUMMYFUNCTION("""COMPUTED_VALUE"""),"PRODUCT_PAGE")</f>
        <v>PRODUCT_PAGE</v>
      </c>
      <c r="E87" s="11" t="str">
        <f>IFERROR(__xludf.DUMMYFUNCTION("""COMPUTED_VALUE"""),"CORPORATE")</f>
        <v>CORPORATE</v>
      </c>
      <c r="F87" s="11" t="str">
        <f>IFERROR(__xludf.DUMMYFUNCTION("""COMPUTED_VALUE"""),"Product Page")</f>
        <v>Product Page</v>
      </c>
      <c r="G87" s="11" t="b">
        <f>IFERROR(__xludf.DUMMYFUNCTION("""COMPUTED_VALUE"""),FALSE)</f>
        <v>0</v>
      </c>
      <c r="H87" s="11"/>
      <c r="I87" s="11">
        <f>IFERROR(__xludf.DUMMYFUNCTION("""COMPUTED_VALUE"""),1.0)</f>
        <v>1</v>
      </c>
      <c r="J87" s="11">
        <f>IFERROR(__xludf.DUMMYFUNCTION("""COMPUTED_VALUE"""),0.0)</f>
        <v>0</v>
      </c>
      <c r="K87" s="11">
        <f>IFERROR(__xludf.DUMMYFUNCTION("""COMPUTED_VALUE"""),1.0)</f>
        <v>1</v>
      </c>
    </row>
    <row r="88" ht="15.75" customHeight="1">
      <c r="A88" s="10" t="str">
        <f>IFERROR(__xludf.DUMMYFUNCTION("""COMPUTED_VALUE"""),"https://growthmarketingconsultancy.com/services/paid-social")</f>
        <v>https://growthmarketingconsultancy.com/services/paid-social</v>
      </c>
      <c r="B88" s="11" t="str">
        <f>IFERROR(__xludf.DUMMYFUNCTION("""COMPUTED_VALUE"""),"Paid Social Advertising Services | Meta, LinkedIn, TikTok for B2B Growth")</f>
        <v>Paid Social Advertising Services | Meta, LinkedIn, TikTok for B2B Growth</v>
      </c>
      <c r="C88" s="10" t="str">
        <f>IFERROR(__xludf.DUMMYFUNCTION("""COMPUTED_VALUE"""),"growthmarketingconsultancy.com")</f>
        <v>growthmarketingconsultancy.com</v>
      </c>
      <c r="D88" s="11" t="str">
        <f>IFERROR(__xludf.DUMMYFUNCTION("""COMPUTED_VALUE"""),"PRODUCT_PAGE")</f>
        <v>PRODUCT_PAGE</v>
      </c>
      <c r="E88" s="11" t="str">
        <f>IFERROR(__xludf.DUMMYFUNCTION("""COMPUTED_VALUE"""),"CORPORATE")</f>
        <v>CORPORATE</v>
      </c>
      <c r="F88" s="11" t="str">
        <f>IFERROR(__xludf.DUMMYFUNCTION("""COMPUTED_VALUE"""),"Product Page")</f>
        <v>Product Page</v>
      </c>
      <c r="G88" s="11" t="b">
        <f>IFERROR(__xludf.DUMMYFUNCTION("""COMPUTED_VALUE"""),FALSE)</f>
        <v>0</v>
      </c>
      <c r="H88" s="11"/>
      <c r="I88" s="11">
        <f>IFERROR(__xludf.DUMMYFUNCTION("""COMPUTED_VALUE"""),1.0)</f>
        <v>1</v>
      </c>
      <c r="J88" s="11">
        <f>IFERROR(__xludf.DUMMYFUNCTION("""COMPUTED_VALUE"""),0.0)</f>
        <v>0</v>
      </c>
      <c r="K88" s="11">
        <f>IFERROR(__xludf.DUMMYFUNCTION("""COMPUTED_VALUE"""),1.0)</f>
        <v>1</v>
      </c>
    </row>
    <row r="89" ht="15.75" customHeight="1">
      <c r="A89" s="10" t="str">
        <f>IFERROR(__xludf.DUMMYFUNCTION("""COMPUTED_VALUE"""),"https://www.growthmarketingpro.com/generative-engine-optimization-agency/")</f>
        <v>https://www.growthmarketingpro.com/generative-engine-optimization-agency/</v>
      </c>
      <c r="B89" s="11" t="str">
        <f>IFERROR(__xludf.DUMMYFUNCTION("""COMPUTED_VALUE"""),"World's #1 SEO Agency: We Practically Invented Growth Marketing")</f>
        <v>World's #1 SEO Agency: We Practically Invented Growth Marketing</v>
      </c>
      <c r="C89" s="10" t="str">
        <f>IFERROR(__xludf.DUMMYFUNCTION("""COMPUTED_VALUE"""),"growthmarketingpro.com")</f>
        <v>growthmarketingpro.com</v>
      </c>
      <c r="D89" s="11" t="str">
        <f>IFERROR(__xludf.DUMMYFUNCTION("""COMPUTED_VALUE"""),"PRODUCT_PAGE")</f>
        <v>PRODUCT_PAGE</v>
      </c>
      <c r="E89" s="11" t="str">
        <f>IFERROR(__xludf.DUMMYFUNCTION("""COMPUTED_VALUE"""),"EDITORIAL")</f>
        <v>EDITORIAL</v>
      </c>
      <c r="F89" s="11" t="str">
        <f>IFERROR(__xludf.DUMMYFUNCTION("""COMPUTED_VALUE"""),"Product Page")</f>
        <v>Product Page</v>
      </c>
      <c r="G89" s="11" t="b">
        <f>IFERROR(__xludf.DUMMYFUNCTION("""COMPUTED_VALUE"""),FALSE)</f>
        <v>0</v>
      </c>
      <c r="H89" s="11"/>
      <c r="I89" s="11">
        <f>IFERROR(__xludf.DUMMYFUNCTION("""COMPUTED_VALUE"""),1.0)</f>
        <v>1</v>
      </c>
      <c r="J89" s="11">
        <f>IFERROR(__xludf.DUMMYFUNCTION("""COMPUTED_VALUE"""),0.0)</f>
        <v>0</v>
      </c>
      <c r="K89" s="11">
        <f>IFERROR(__xludf.DUMMYFUNCTION("""COMPUTED_VALUE"""),1.0)</f>
        <v>1</v>
      </c>
    </row>
    <row r="90" ht="15.75" customHeight="1">
      <c r="A90" s="10" t="str">
        <f>IFERROR(__xludf.DUMMYFUNCTION("""COMPUTED_VALUE"""),"https://growthmethod.com/growth-marketing-agency/")</f>
        <v>https://growthmethod.com/growth-marketing-agency/</v>
      </c>
      <c r="B90" s="11" t="str">
        <f>IFERROR(__xludf.DUMMYFUNCTION("""COMPUTED_VALUE"""),"Need a growth marketing agency (UK, Europe or US)? Here are 43. | Growth Method")</f>
        <v>Need a growth marketing agency (UK, Europe or US)? Here are 43. | Growth Method</v>
      </c>
      <c r="C90" s="10" t="str">
        <f>IFERROR(__xludf.DUMMYFUNCTION("""COMPUTED_VALUE"""),"growthmethod.com")</f>
        <v>growthmethod.com</v>
      </c>
      <c r="D90" s="11" t="str">
        <f>IFERROR(__xludf.DUMMYFUNCTION("""COMPUTED_VALUE"""),"PRODUCT_PAGE")</f>
        <v>PRODUCT_PAGE</v>
      </c>
      <c r="E90" s="11" t="str">
        <f>IFERROR(__xludf.DUMMYFUNCTION("""COMPUTED_VALUE"""),"CORPORATE")</f>
        <v>CORPORATE</v>
      </c>
      <c r="F90" s="11" t="str">
        <f>IFERROR(__xludf.DUMMYFUNCTION("""COMPUTED_VALUE"""),"Product Page")</f>
        <v>Product Page</v>
      </c>
      <c r="G90" s="11" t="b">
        <f>IFERROR(__xludf.DUMMYFUNCTION("""COMPUTED_VALUE"""),FALSE)</f>
        <v>0</v>
      </c>
      <c r="H90" s="11" t="str">
        <f>IFERROR(__xludf.DUMMYFUNCTION("""COMPUTED_VALUE"""),"Momentum, NoGood, KlientBoost")</f>
        <v>Momentum, NoGood, KlientBoost</v>
      </c>
      <c r="I90" s="11">
        <f>IFERROR(__xludf.DUMMYFUNCTION("""COMPUTED_VALUE"""),1.0)</f>
        <v>1</v>
      </c>
      <c r="J90" s="11">
        <f>IFERROR(__xludf.DUMMYFUNCTION("""COMPUTED_VALUE"""),0.0)</f>
        <v>0</v>
      </c>
      <c r="K90" s="11">
        <f>IFERROR(__xludf.DUMMYFUNCTION("""COMPUTED_VALUE"""),1.0)</f>
        <v>1</v>
      </c>
    </row>
    <row r="91" ht="15.75" customHeight="1">
      <c r="A91" s="10" t="str">
        <f>IFERROR(__xludf.DUMMYFUNCTION("""COMPUTED_VALUE"""),"https://www.havstrategy.com/best-performance-marketing-agency-in-us/")</f>
        <v>https://www.havstrategy.com/best-performance-marketing-agency-in-us/</v>
      </c>
      <c r="B91" s="11" t="str">
        <f>IFERROR(__xludf.DUMMYFUNCTION("""COMPUTED_VALUE"""),"Best Performance Marketing Agency in US | D2C Growth | HavStrategy")</f>
        <v>Best Performance Marketing Agency in US | D2C Growth | HavStrategy</v>
      </c>
      <c r="C91" s="10" t="str">
        <f>IFERROR(__xludf.DUMMYFUNCTION("""COMPUTED_VALUE"""),"havstrategy.com")</f>
        <v>havstrategy.com</v>
      </c>
      <c r="D91" s="11" t="str">
        <f>IFERROR(__xludf.DUMMYFUNCTION("""COMPUTED_VALUE"""),"PRODUCT_PAGE")</f>
        <v>PRODUCT_PAGE</v>
      </c>
      <c r="E91" s="11" t="str">
        <f>IFERROR(__xludf.DUMMYFUNCTION("""COMPUTED_VALUE"""),"CORPORATE")</f>
        <v>CORPORATE</v>
      </c>
      <c r="F91" s="11" t="str">
        <f>IFERROR(__xludf.DUMMYFUNCTION("""COMPUTED_VALUE"""),"Product Page")</f>
        <v>Product Page</v>
      </c>
      <c r="G91" s="11" t="b">
        <f>IFERROR(__xludf.DUMMYFUNCTION("""COMPUTED_VALUE"""),FALSE)</f>
        <v>0</v>
      </c>
      <c r="H91" s="11" t="str">
        <f>IFERROR(__xludf.DUMMYFUNCTION("""COMPUTED_VALUE"""),"Clutch")</f>
        <v>Clutch</v>
      </c>
      <c r="I91" s="11">
        <f>IFERROR(__xludf.DUMMYFUNCTION("""COMPUTED_VALUE"""),1.0)</f>
        <v>1</v>
      </c>
      <c r="J91" s="11">
        <f>IFERROR(__xludf.DUMMYFUNCTION("""COMPUTED_VALUE"""),0.0)</f>
        <v>0</v>
      </c>
      <c r="K91" s="11">
        <f>IFERROR(__xludf.DUMMYFUNCTION("""COMPUTED_VALUE"""),0.0)</f>
        <v>0</v>
      </c>
    </row>
    <row r="92" ht="15.75" customHeight="1">
      <c r="A92" s="10" t="str">
        <f>IFERROR(__xludf.DUMMYFUNCTION("""COMPUTED_VALUE"""),"https://www.hotsourcecreative.com/ai-consultants-bristol/")</f>
        <v>https://www.hotsourcecreative.com/ai-consultants-bristol/</v>
      </c>
      <c r="B92" s="11" t="str">
        <f>IFERROR(__xludf.DUMMYFUNCTION("""COMPUTED_VALUE"""),"AI Consultants Bristol - Hot Source Creative")</f>
        <v>AI Consultants Bristol - Hot Source Creative</v>
      </c>
      <c r="C92" s="10" t="str">
        <f>IFERROR(__xludf.DUMMYFUNCTION("""COMPUTED_VALUE"""),"hotsourcecreative.com")</f>
        <v>hotsourcecreative.com</v>
      </c>
      <c r="D92" s="11" t="str">
        <f>IFERROR(__xludf.DUMMYFUNCTION("""COMPUTED_VALUE"""),"PRODUCT_PAGE")</f>
        <v>PRODUCT_PAGE</v>
      </c>
      <c r="E92" s="11" t="str">
        <f>IFERROR(__xludf.DUMMYFUNCTION("""COMPUTED_VALUE"""),"CORPORATE")</f>
        <v>CORPORATE</v>
      </c>
      <c r="F92" s="11" t="str">
        <f>IFERROR(__xludf.DUMMYFUNCTION("""COMPUTED_VALUE"""),"Product Page")</f>
        <v>Product Page</v>
      </c>
      <c r="G92" s="11" t="b">
        <f>IFERROR(__xludf.DUMMYFUNCTION("""COMPUTED_VALUE"""),FALSE)</f>
        <v>0</v>
      </c>
      <c r="H92" s="11" t="str">
        <f>IFERROR(__xludf.DUMMYFUNCTION("""COMPUTED_VALUE"""),"Anomaly")</f>
        <v>Anomaly</v>
      </c>
      <c r="I92" s="11">
        <f>IFERROR(__xludf.DUMMYFUNCTION("""COMPUTED_VALUE"""),1.0)</f>
        <v>1</v>
      </c>
      <c r="J92" s="11">
        <f>IFERROR(__xludf.DUMMYFUNCTION("""COMPUTED_VALUE"""),0.0)</f>
        <v>0</v>
      </c>
      <c r="K92" s="11">
        <f>IFERROR(__xludf.DUMMYFUNCTION("""COMPUTED_VALUE"""),1.0)</f>
        <v>1</v>
      </c>
    </row>
    <row r="93" ht="15.75" customHeight="1">
      <c r="A93" s="10" t="str">
        <f>IFERROR(__xludf.DUMMYFUNCTION("""COMPUTED_VALUE"""),"https://www.ibm.com/consulting/marketing")</f>
        <v>https://www.ibm.com/consulting/marketing</v>
      </c>
      <c r="B93" s="11" t="str">
        <f>IFERROR(__xludf.DUMMYFUNCTION("""COMPUTED_VALUE"""),"Marketing Consulting Services | IBM")</f>
        <v>Marketing Consulting Services | IBM</v>
      </c>
      <c r="C93" s="10" t="str">
        <f>IFERROR(__xludf.DUMMYFUNCTION("""COMPUTED_VALUE"""),"ibm.com")</f>
        <v>ibm.com</v>
      </c>
      <c r="D93" s="11" t="str">
        <f>IFERROR(__xludf.DUMMYFUNCTION("""COMPUTED_VALUE"""),"PRODUCT_PAGE")</f>
        <v>PRODUCT_PAGE</v>
      </c>
      <c r="E93" s="11" t="str">
        <f>IFERROR(__xludf.DUMMYFUNCTION("""COMPUTED_VALUE"""),"COMPETITOR")</f>
        <v>COMPETITOR</v>
      </c>
      <c r="F93" s="11" t="str">
        <f>IFERROR(__xludf.DUMMYFUNCTION("""COMPUTED_VALUE"""),"Product Page")</f>
        <v>Product Page</v>
      </c>
      <c r="G93" s="11" t="b">
        <f>IFERROR(__xludf.DUMMYFUNCTION("""COMPUTED_VALUE"""),FALSE)</f>
        <v>0</v>
      </c>
      <c r="H93" s="11" t="str">
        <f>IFERROR(__xludf.DUMMYFUNCTION("""COMPUTED_VALUE"""),"IBM")</f>
        <v>IBM</v>
      </c>
      <c r="I93" s="11">
        <f>IFERROR(__xludf.DUMMYFUNCTION("""COMPUTED_VALUE"""),1.0)</f>
        <v>1</v>
      </c>
      <c r="J93" s="11">
        <f>IFERROR(__xludf.DUMMYFUNCTION("""COMPUTED_VALUE"""),0.0)</f>
        <v>0</v>
      </c>
      <c r="K93" s="11">
        <f>IFERROR(__xludf.DUMMYFUNCTION("""COMPUTED_VALUE"""),2.0)</f>
        <v>2</v>
      </c>
    </row>
    <row r="94" ht="15.75" customHeight="1">
      <c r="A94" s="10" t="str">
        <f>IFERROR(__xludf.DUMMYFUNCTION("""COMPUTED_VALUE"""),"https://www.iconagility.com/services/ai")</f>
        <v>https://www.iconagility.com/services/ai</v>
      </c>
      <c r="B94" s="11" t="str">
        <f>IFERROR(__xludf.DUMMYFUNCTION("""COMPUTED_VALUE"""),"AI Adoption &amp;amp; Integration Consulting for Enterprise Organizations | ICON Agility Services")</f>
        <v>AI Adoption &amp;amp; Integration Consulting for Enterprise Organizations | ICON Agility Services</v>
      </c>
      <c r="C94" s="10" t="str">
        <f>IFERROR(__xludf.DUMMYFUNCTION("""COMPUTED_VALUE"""),"iconagility.com")</f>
        <v>iconagility.com</v>
      </c>
      <c r="D94" s="11" t="str">
        <f>IFERROR(__xludf.DUMMYFUNCTION("""COMPUTED_VALUE"""),"PRODUCT_PAGE")</f>
        <v>PRODUCT_PAGE</v>
      </c>
      <c r="E94" s="11" t="str">
        <f>IFERROR(__xludf.DUMMYFUNCTION("""COMPUTED_VALUE"""),"CORPORATE")</f>
        <v>CORPORATE</v>
      </c>
      <c r="F94" s="11" t="str">
        <f>IFERROR(__xludf.DUMMYFUNCTION("""COMPUTED_VALUE"""),"Product Page")</f>
        <v>Product Page</v>
      </c>
      <c r="G94" s="11" t="b">
        <f>IFERROR(__xludf.DUMMYFUNCTION("""COMPUTED_VALUE"""),FALSE)</f>
        <v>0</v>
      </c>
      <c r="H94" s="11" t="str">
        <f>IFERROR(__xludf.DUMMYFUNCTION("""COMPUTED_VALUE"""),"Measured")</f>
        <v>Measured</v>
      </c>
      <c r="I94" s="11">
        <f>IFERROR(__xludf.DUMMYFUNCTION("""COMPUTED_VALUE"""),1.0)</f>
        <v>1</v>
      </c>
      <c r="J94" s="11">
        <f>IFERROR(__xludf.DUMMYFUNCTION("""COMPUTED_VALUE"""),0.0)</f>
        <v>0</v>
      </c>
      <c r="K94" s="11">
        <f>IFERROR(__xludf.DUMMYFUNCTION("""COMPUTED_VALUE"""),0.0)</f>
        <v>0</v>
      </c>
    </row>
    <row r="95" ht="15.75" customHeight="1">
      <c r="A95" s="10" t="str">
        <f>IFERROR(__xludf.DUMMYFUNCTION("""COMPUTED_VALUE"""),"https://www.incremental.com/how-it-works")</f>
        <v>https://www.incremental.com/how-it-works</v>
      </c>
      <c r="B95" s="11" t="str">
        <f>IFERROR(__xludf.DUMMYFUNCTION("""COMPUTED_VALUE"""),"How Incremental Works | Causal Intelligence for Commerce Media — Incremental")</f>
        <v>How Incremental Works | Causal Intelligence for Commerce Media — Incremental</v>
      </c>
      <c r="C95" s="10" t="str">
        <f>IFERROR(__xludf.DUMMYFUNCTION("""COMPUTED_VALUE"""),"incremental.com")</f>
        <v>incremental.com</v>
      </c>
      <c r="D95" s="11" t="str">
        <f>IFERROR(__xludf.DUMMYFUNCTION("""COMPUTED_VALUE"""),"PRODUCT_PAGE")</f>
        <v>PRODUCT_PAGE</v>
      </c>
      <c r="E95" s="11" t="str">
        <f>IFERROR(__xludf.DUMMYFUNCTION("""COMPUTED_VALUE"""),"CORPORATE")</f>
        <v>CORPORATE</v>
      </c>
      <c r="F95" s="11" t="str">
        <f>IFERROR(__xludf.DUMMYFUNCTION("""COMPUTED_VALUE"""),"Product Page")</f>
        <v>Product Page</v>
      </c>
      <c r="G95" s="11" t="b">
        <f>IFERROR(__xludf.DUMMYFUNCTION("""COMPUTED_VALUE"""),FALSE)</f>
        <v>0</v>
      </c>
      <c r="H95" s="11"/>
      <c r="I95" s="11">
        <f>IFERROR(__xludf.DUMMYFUNCTION("""COMPUTED_VALUE"""),1.0)</f>
        <v>1</v>
      </c>
      <c r="J95" s="11">
        <f>IFERROR(__xludf.DUMMYFUNCTION("""COMPUTED_VALUE"""),0.0)</f>
        <v>0</v>
      </c>
      <c r="K95" s="11">
        <f>IFERROR(__xludf.DUMMYFUNCTION("""COMPUTED_VALUE"""),0.0)</f>
        <v>0</v>
      </c>
    </row>
    <row r="96" ht="15.75" customHeight="1">
      <c r="A96" s="10" t="str">
        <f>IFERROR(__xludf.DUMMYFUNCTION("""COMPUTED_VALUE"""),"https://www.incrmntal.com/autonomous")</f>
        <v>https://www.incrmntal.com/autonomous</v>
      </c>
      <c r="B96" s="11" t="str">
        <f>IFERROR(__xludf.DUMMYFUNCTION("""COMPUTED_VALUE"""),"Autonomous Marketing Measurement | Incrmntal")</f>
        <v>Autonomous Marketing Measurement | Incrmntal</v>
      </c>
      <c r="C96" s="10" t="str">
        <f>IFERROR(__xludf.DUMMYFUNCTION("""COMPUTED_VALUE"""),"incrmntal.com")</f>
        <v>incrmntal.com</v>
      </c>
      <c r="D96" s="11" t="str">
        <f>IFERROR(__xludf.DUMMYFUNCTION("""COMPUTED_VALUE"""),"PRODUCT_PAGE")</f>
        <v>PRODUCT_PAGE</v>
      </c>
      <c r="E96" s="11" t="str">
        <f>IFERROR(__xludf.DUMMYFUNCTION("""COMPUTED_VALUE"""),"COMPETITOR")</f>
        <v>COMPETITOR</v>
      </c>
      <c r="F96" s="11" t="str">
        <f>IFERROR(__xludf.DUMMYFUNCTION("""COMPUTED_VALUE"""),"Product Page")</f>
        <v>Product Page</v>
      </c>
      <c r="G96" s="11" t="b">
        <f>IFERROR(__xludf.DUMMYFUNCTION("""COMPUTED_VALUE"""),FALSE)</f>
        <v>0</v>
      </c>
      <c r="H96" s="11" t="str">
        <f>IFERROR(__xludf.DUMMYFUNCTION("""COMPUTED_VALUE"""),"INCRMNTAL")</f>
        <v>INCRMNTAL</v>
      </c>
      <c r="I96" s="11">
        <f>IFERROR(__xludf.DUMMYFUNCTION("""COMPUTED_VALUE"""),1.0)</f>
        <v>1</v>
      </c>
      <c r="J96" s="11">
        <f>IFERROR(__xludf.DUMMYFUNCTION("""COMPUTED_VALUE"""),0.0)</f>
        <v>0</v>
      </c>
      <c r="K96" s="11">
        <f>IFERROR(__xludf.DUMMYFUNCTION("""COMPUTED_VALUE"""),1.0)</f>
        <v>1</v>
      </c>
    </row>
    <row r="97" ht="15.75" customHeight="1">
      <c r="A97" s="10" t="str">
        <f>IFERROR(__xludf.DUMMYFUNCTION("""COMPUTED_VALUE"""),"https://www.incrmntal.com/marketing-measurement")</f>
        <v>https://www.incrmntal.com/marketing-measurement</v>
      </c>
      <c r="B97" s="11" t="str">
        <f>IFERROR(__xludf.DUMMYFUNCTION("""COMPUTED_VALUE"""),"Marketing Measurement")</f>
        <v>Marketing Measurement</v>
      </c>
      <c r="C97" s="10" t="str">
        <f>IFERROR(__xludf.DUMMYFUNCTION("""COMPUTED_VALUE"""),"incrmntal.com")</f>
        <v>incrmntal.com</v>
      </c>
      <c r="D97" s="11" t="str">
        <f>IFERROR(__xludf.DUMMYFUNCTION("""COMPUTED_VALUE"""),"PRODUCT_PAGE")</f>
        <v>PRODUCT_PAGE</v>
      </c>
      <c r="E97" s="11" t="str">
        <f>IFERROR(__xludf.DUMMYFUNCTION("""COMPUTED_VALUE"""),"COMPETITOR")</f>
        <v>COMPETITOR</v>
      </c>
      <c r="F97" s="11" t="str">
        <f>IFERROR(__xludf.DUMMYFUNCTION("""COMPUTED_VALUE"""),"Product Page")</f>
        <v>Product Page</v>
      </c>
      <c r="G97" s="11" t="b">
        <f>IFERROR(__xludf.DUMMYFUNCTION("""COMPUTED_VALUE"""),FALSE)</f>
        <v>0</v>
      </c>
      <c r="H97" s="11" t="str">
        <f>IFERROR(__xludf.DUMMYFUNCTION("""COMPUTED_VALUE"""),"INCRMNTAL, Measured")</f>
        <v>INCRMNTAL, Measured</v>
      </c>
      <c r="I97" s="11">
        <f>IFERROR(__xludf.DUMMYFUNCTION("""COMPUTED_VALUE"""),1.0)</f>
        <v>1</v>
      </c>
      <c r="J97" s="11">
        <f>IFERROR(__xludf.DUMMYFUNCTION("""COMPUTED_VALUE"""),0.0)</f>
        <v>0</v>
      </c>
      <c r="K97" s="11">
        <f>IFERROR(__xludf.DUMMYFUNCTION("""COMPUTED_VALUE"""),1.0)</f>
        <v>1</v>
      </c>
    </row>
    <row r="98" ht="15.75" customHeight="1">
      <c r="A98" s="10" t="str">
        <f>IFERROR(__xludf.DUMMYFUNCTION("""COMPUTED_VALUE"""),"https://www.incrmntal.com/platform")</f>
        <v>https://www.incrmntal.com/platform</v>
      </c>
      <c r="B98" s="11" t="str">
        <f>IFERROR(__xludf.DUMMYFUNCTION("""COMPUTED_VALUE"""),"Marketing Measurement Platform | INCRMNTAL")</f>
        <v>Marketing Measurement Platform | INCRMNTAL</v>
      </c>
      <c r="C98" s="10" t="str">
        <f>IFERROR(__xludf.DUMMYFUNCTION("""COMPUTED_VALUE"""),"incrmntal.com")</f>
        <v>incrmntal.com</v>
      </c>
      <c r="D98" s="11" t="str">
        <f>IFERROR(__xludf.DUMMYFUNCTION("""COMPUTED_VALUE"""),"PRODUCT_PAGE")</f>
        <v>PRODUCT_PAGE</v>
      </c>
      <c r="E98" s="11" t="str">
        <f>IFERROR(__xludf.DUMMYFUNCTION("""COMPUTED_VALUE"""),"COMPETITOR")</f>
        <v>COMPETITOR</v>
      </c>
      <c r="F98" s="11" t="str">
        <f>IFERROR(__xludf.DUMMYFUNCTION("""COMPUTED_VALUE"""),"Product Page")</f>
        <v>Product Page</v>
      </c>
      <c r="G98" s="11" t="b">
        <f>IFERROR(__xludf.DUMMYFUNCTION("""COMPUTED_VALUE"""),FALSE)</f>
        <v>0</v>
      </c>
      <c r="H98" s="11" t="str">
        <f>IFERROR(__xludf.DUMMYFUNCTION("""COMPUTED_VALUE"""),"INCRMNTAL")</f>
        <v>INCRMNTAL</v>
      </c>
      <c r="I98" s="11">
        <f>IFERROR(__xludf.DUMMYFUNCTION("""COMPUTED_VALUE"""),1.0)</f>
        <v>1</v>
      </c>
      <c r="J98" s="11">
        <f>IFERROR(__xludf.DUMMYFUNCTION("""COMPUTED_VALUE"""),0.0)</f>
        <v>0</v>
      </c>
      <c r="K98" s="11">
        <f>IFERROR(__xludf.DUMMYFUNCTION("""COMPUTED_VALUE"""),1.0)</f>
        <v>1</v>
      </c>
    </row>
    <row r="99" ht="15.75" customHeight="1">
      <c r="A99" s="10" t="str">
        <f>IFERROR(__xludf.DUMMYFUNCTION("""COMPUTED_VALUE"""),"https://www.incrmntal.com/solutions/marketing-analysts")</f>
        <v>https://www.incrmntal.com/solutions/marketing-analysts</v>
      </c>
      <c r="B99" s="11" t="str">
        <f>IFERROR(__xludf.DUMMYFUNCTION("""COMPUTED_VALUE"""),"Marketing Measurement for Analysts")</f>
        <v>Marketing Measurement for Analysts</v>
      </c>
      <c r="C99" s="10" t="str">
        <f>IFERROR(__xludf.DUMMYFUNCTION("""COMPUTED_VALUE"""),"incrmntal.com")</f>
        <v>incrmntal.com</v>
      </c>
      <c r="D99" s="11" t="str">
        <f>IFERROR(__xludf.DUMMYFUNCTION("""COMPUTED_VALUE"""),"PRODUCT_PAGE")</f>
        <v>PRODUCT_PAGE</v>
      </c>
      <c r="E99" s="11" t="str">
        <f>IFERROR(__xludf.DUMMYFUNCTION("""COMPUTED_VALUE"""),"COMPETITOR")</f>
        <v>COMPETITOR</v>
      </c>
      <c r="F99" s="11" t="str">
        <f>IFERROR(__xludf.DUMMYFUNCTION("""COMPUTED_VALUE"""),"Product Page")</f>
        <v>Product Page</v>
      </c>
      <c r="G99" s="11" t="b">
        <f>IFERROR(__xludf.DUMMYFUNCTION("""COMPUTED_VALUE"""),FALSE)</f>
        <v>0</v>
      </c>
      <c r="H99" s="11" t="str">
        <f>IFERROR(__xludf.DUMMYFUNCTION("""COMPUTED_VALUE"""),"INCRMNTAL")</f>
        <v>INCRMNTAL</v>
      </c>
      <c r="I99" s="11">
        <f>IFERROR(__xludf.DUMMYFUNCTION("""COMPUTED_VALUE"""),1.0)</f>
        <v>1</v>
      </c>
      <c r="J99" s="11">
        <f>IFERROR(__xludf.DUMMYFUNCTION("""COMPUTED_VALUE"""),0.0)</f>
        <v>0</v>
      </c>
      <c r="K99" s="11">
        <f>IFERROR(__xludf.DUMMYFUNCTION("""COMPUTED_VALUE"""),1.0)</f>
        <v>1</v>
      </c>
    </row>
    <row r="100" ht="15.75" customHeight="1">
      <c r="A100" s="10" t="str">
        <f>IFERROR(__xludf.DUMMYFUNCTION("""COMPUTED_VALUE"""),"https://www.kailos.ai/ai-marketing-consulting-and-integration")</f>
        <v>https://www.kailos.ai/ai-marketing-consulting-and-integration</v>
      </c>
      <c r="B100" s="11" t="str">
        <f>IFERROR(__xludf.DUMMYFUNCTION("""COMPUTED_VALUE"""),"AI Marketing Consulting for B2B Firms — Kailos Marketing Lab")</f>
        <v>AI Marketing Consulting for B2B Firms — Kailos Marketing Lab</v>
      </c>
      <c r="C100" s="10" t="str">
        <f>IFERROR(__xludf.DUMMYFUNCTION("""COMPUTED_VALUE"""),"kailos.ai")</f>
        <v>kailos.ai</v>
      </c>
      <c r="D100" s="11" t="str">
        <f>IFERROR(__xludf.DUMMYFUNCTION("""COMPUTED_VALUE"""),"PRODUCT_PAGE")</f>
        <v>PRODUCT_PAGE</v>
      </c>
      <c r="E100" s="11" t="str">
        <f>IFERROR(__xludf.DUMMYFUNCTION("""COMPUTED_VALUE"""),"CORPORATE")</f>
        <v>CORPORATE</v>
      </c>
      <c r="F100" s="11" t="str">
        <f>IFERROR(__xludf.DUMMYFUNCTION("""COMPUTED_VALUE"""),"Product Page")</f>
        <v>Product Page</v>
      </c>
      <c r="G100" s="11" t="b">
        <f>IFERROR(__xludf.DUMMYFUNCTION("""COMPUTED_VALUE"""),FALSE)</f>
        <v>0</v>
      </c>
      <c r="H100" s="11"/>
      <c r="I100" s="11">
        <f>IFERROR(__xludf.DUMMYFUNCTION("""COMPUTED_VALUE"""),1.0)</f>
        <v>1</v>
      </c>
      <c r="J100" s="11">
        <f>IFERROR(__xludf.DUMMYFUNCTION("""COMPUTED_VALUE"""),0.0)</f>
        <v>0</v>
      </c>
      <c r="K100" s="11">
        <f>IFERROR(__xludf.DUMMYFUNCTION("""COMPUTED_VALUE"""),0.0)</f>
        <v>0</v>
      </c>
    </row>
    <row r="101" ht="15.75" customHeight="1">
      <c r="A101" s="10" t="str">
        <f>IFERROR(__xludf.DUMMYFUNCTION("""COMPUTED_VALUE"""),"https://www.kiwop.com/en/marketing-attribution")</f>
        <v>https://www.kiwop.com/en/marketing-attribution</v>
      </c>
      <c r="B101" s="11" t="str">
        <f>IFERROR(__xludf.DUMMYFUNCTION("""COMPUTED_VALUE"""),"Marketing Attribution &amp;amp; MMM | Measure True ROI | Kiwop")</f>
        <v>Marketing Attribution &amp;amp; MMM | Measure True ROI | Kiwop</v>
      </c>
      <c r="C101" s="10" t="str">
        <f>IFERROR(__xludf.DUMMYFUNCTION("""COMPUTED_VALUE"""),"kiwop.com")</f>
        <v>kiwop.com</v>
      </c>
      <c r="D101" s="11" t="str">
        <f>IFERROR(__xludf.DUMMYFUNCTION("""COMPUTED_VALUE"""),"PRODUCT_PAGE")</f>
        <v>PRODUCT_PAGE</v>
      </c>
      <c r="E101" s="11" t="str">
        <f>IFERROR(__xludf.DUMMYFUNCTION("""COMPUTED_VALUE"""),"CORPORATE")</f>
        <v>CORPORATE</v>
      </c>
      <c r="F101" s="11" t="str">
        <f>IFERROR(__xludf.DUMMYFUNCTION("""COMPUTED_VALUE"""),"Product Page")</f>
        <v>Product Page</v>
      </c>
      <c r="G101" s="11" t="b">
        <f>IFERROR(__xludf.DUMMYFUNCTION("""COMPUTED_VALUE"""),FALSE)</f>
        <v>0</v>
      </c>
      <c r="H101" s="11" t="str">
        <f>IFERROR(__xludf.DUMMYFUNCTION("""COMPUTED_VALUE"""),"Rockerbox, Northbeam, LifeSight, Measured")</f>
        <v>Rockerbox, Northbeam, LifeSight, Measured</v>
      </c>
      <c r="I101" s="11">
        <f>IFERROR(__xludf.DUMMYFUNCTION("""COMPUTED_VALUE"""),1.0)</f>
        <v>1</v>
      </c>
      <c r="J101" s="11">
        <f>IFERROR(__xludf.DUMMYFUNCTION("""COMPUTED_VALUE"""),0.0)</f>
        <v>0</v>
      </c>
      <c r="K101" s="11">
        <f>IFERROR(__xludf.DUMMYFUNCTION("""COMPUTED_VALUE"""),0.0)</f>
        <v>0</v>
      </c>
    </row>
    <row r="102" ht="15.75" customHeight="1">
      <c r="A102" s="10" t="str">
        <f>IFERROR(__xludf.DUMMYFUNCTION("""COMPUTED_VALUE"""),"https://www.klientboost.com/services/")</f>
        <v>https://www.klientboost.com/services/</v>
      </c>
      <c r="B102" s="11" t="str">
        <f>IFERROR(__xludf.DUMMYFUNCTION("""COMPUTED_VALUE"""),"KlientBoost Services - Online Marketing Services for 2026")</f>
        <v>KlientBoost Services - Online Marketing Services for 2026</v>
      </c>
      <c r="C102" s="10" t="str">
        <f>IFERROR(__xludf.DUMMYFUNCTION("""COMPUTED_VALUE"""),"klientboost.com")</f>
        <v>klientboost.com</v>
      </c>
      <c r="D102" s="11" t="str">
        <f>IFERROR(__xludf.DUMMYFUNCTION("""COMPUTED_VALUE"""),"PRODUCT_PAGE")</f>
        <v>PRODUCT_PAGE</v>
      </c>
      <c r="E102" s="11" t="str">
        <f>IFERROR(__xludf.DUMMYFUNCTION("""COMPUTED_VALUE"""),"COMPETITOR")</f>
        <v>COMPETITOR</v>
      </c>
      <c r="F102" s="11" t="str">
        <f>IFERROR(__xludf.DUMMYFUNCTION("""COMPUTED_VALUE"""),"Product Page")</f>
        <v>Product Page</v>
      </c>
      <c r="G102" s="11" t="b">
        <f>IFERROR(__xludf.DUMMYFUNCTION("""COMPUTED_VALUE"""),FALSE)</f>
        <v>0</v>
      </c>
      <c r="H102" s="11" t="str">
        <f>IFERROR(__xludf.DUMMYFUNCTION("""COMPUTED_VALUE"""),"KlientBoost")</f>
        <v>KlientBoost</v>
      </c>
      <c r="I102" s="11">
        <f>IFERROR(__xludf.DUMMYFUNCTION("""COMPUTED_VALUE"""),1.0)</f>
        <v>1</v>
      </c>
      <c r="J102" s="11">
        <f>IFERROR(__xludf.DUMMYFUNCTION("""COMPUTED_VALUE"""),0.0)</f>
        <v>0</v>
      </c>
      <c r="K102" s="11">
        <f>IFERROR(__xludf.DUMMYFUNCTION("""COMPUTED_VALUE"""),2.0)</f>
        <v>2</v>
      </c>
    </row>
    <row r="103" ht="15.75" customHeight="1">
      <c r="A103" s="10" t="str">
        <f>IFERROR(__xludf.DUMMYFUNCTION("""COMPUTED_VALUE"""),"https://www.klientboost.com/services/google-ads-agency/")</f>
        <v>https://www.klientboost.com/services/google-ads-agency/</v>
      </c>
      <c r="B103" s="11" t="str">
        <f>IFERROR(__xludf.DUMMYFUNCTION("""COMPUTED_VALUE"""),"Google Ads Agency | Expert PPC Management for B2B &amp;amp; SaaS | KlientBoost")</f>
        <v>Google Ads Agency | Expert PPC Management for B2B &amp;amp; SaaS | KlientBoost</v>
      </c>
      <c r="C103" s="10" t="str">
        <f>IFERROR(__xludf.DUMMYFUNCTION("""COMPUTED_VALUE"""),"klientboost.com")</f>
        <v>klientboost.com</v>
      </c>
      <c r="D103" s="11" t="str">
        <f>IFERROR(__xludf.DUMMYFUNCTION("""COMPUTED_VALUE"""),"PRODUCT_PAGE")</f>
        <v>PRODUCT_PAGE</v>
      </c>
      <c r="E103" s="11" t="str">
        <f>IFERROR(__xludf.DUMMYFUNCTION("""COMPUTED_VALUE"""),"COMPETITOR")</f>
        <v>COMPETITOR</v>
      </c>
      <c r="F103" s="11" t="str">
        <f>IFERROR(__xludf.DUMMYFUNCTION("""COMPUTED_VALUE"""),"Product Page")</f>
        <v>Product Page</v>
      </c>
      <c r="G103" s="11" t="b">
        <f>IFERROR(__xludf.DUMMYFUNCTION("""COMPUTED_VALUE"""),FALSE)</f>
        <v>0</v>
      </c>
      <c r="H103" s="11" t="str">
        <f>IFERROR(__xludf.DUMMYFUNCTION("""COMPUTED_VALUE"""),"KlientBoost, Clutch, Measured")</f>
        <v>KlientBoost, Clutch, Measured</v>
      </c>
      <c r="I103" s="11">
        <f>IFERROR(__xludf.DUMMYFUNCTION("""COMPUTED_VALUE"""),1.0)</f>
        <v>1</v>
      </c>
      <c r="J103" s="11">
        <f>IFERROR(__xludf.DUMMYFUNCTION("""COMPUTED_VALUE"""),0.0)</f>
        <v>0</v>
      </c>
      <c r="K103" s="11">
        <f>IFERROR(__xludf.DUMMYFUNCTION("""COMPUTED_VALUE"""),1.0)</f>
        <v>1</v>
      </c>
    </row>
    <row r="104" ht="15.75" customHeight="1">
      <c r="A104" s="10" t="str">
        <f>IFERROR(__xludf.DUMMYFUNCTION("""COMPUTED_VALUE"""),"https://www.kuehne-nagel.com/us/services/customs-clearance")</f>
        <v>https://www.kuehne-nagel.com/us/services/customs-clearance</v>
      </c>
      <c r="B104" s="11" t="str">
        <f>IFERROR(__xludf.DUMMYFUNCTION("""COMPUTED_VALUE"""),"Customs Clearance &amp;amp; AEO Brokerage Services | Kuehne+Nagel United States")</f>
        <v>Customs Clearance &amp;amp; AEO Brokerage Services | Kuehne+Nagel United States</v>
      </c>
      <c r="C104" s="10" t="str">
        <f>IFERROR(__xludf.DUMMYFUNCTION("""COMPUTED_VALUE"""),"kuehne-nagel.com")</f>
        <v>kuehne-nagel.com</v>
      </c>
      <c r="D104" s="11" t="str">
        <f>IFERROR(__xludf.DUMMYFUNCTION("""COMPUTED_VALUE"""),"PRODUCT_PAGE")</f>
        <v>PRODUCT_PAGE</v>
      </c>
      <c r="E104" s="11" t="str">
        <f>IFERROR(__xludf.DUMMYFUNCTION("""COMPUTED_VALUE"""),"CORPORATE")</f>
        <v>CORPORATE</v>
      </c>
      <c r="F104" s="11" t="str">
        <f>IFERROR(__xludf.DUMMYFUNCTION("""COMPUTED_VALUE"""),"Product Page")</f>
        <v>Product Page</v>
      </c>
      <c r="G104" s="11" t="b">
        <f>IFERROR(__xludf.DUMMYFUNCTION("""COMPUTED_VALUE"""),FALSE)</f>
        <v>0</v>
      </c>
      <c r="H104" s="11"/>
      <c r="I104" s="11">
        <f>IFERROR(__xludf.DUMMYFUNCTION("""COMPUTED_VALUE"""),1.0)</f>
        <v>1</v>
      </c>
      <c r="J104" s="11">
        <f>IFERROR(__xludf.DUMMYFUNCTION("""COMPUTED_VALUE"""),0.0)</f>
        <v>0</v>
      </c>
      <c r="K104" s="11">
        <f>IFERROR(__xludf.DUMMYFUNCTION("""COMPUTED_VALUE"""),1.0)</f>
        <v>1</v>
      </c>
    </row>
    <row r="105" ht="15.75" customHeight="1">
      <c r="A105" s="10" t="str">
        <f>IFERROR(__xludf.DUMMYFUNCTION("""COMPUTED_VALUE"""),"https://www.lazarev.agency/services/ui-ux-consulting")</f>
        <v>https://www.lazarev.agency/services/ui-ux-consulting</v>
      </c>
      <c r="B105" s="11" t="str">
        <f>IFERROR(__xludf.DUMMYFUNCTION("""COMPUTED_VALUE"""),"UI UX consulting for AI-native B2B products | Lazarev.agency")</f>
        <v>UI UX consulting for AI-native B2B products | Lazarev.agency</v>
      </c>
      <c r="C105" s="11" t="str">
        <f>IFERROR(__xludf.DUMMYFUNCTION("""COMPUTED_VALUE"""),"lazarev.agency")</f>
        <v>lazarev.agency</v>
      </c>
      <c r="D105" s="11" t="str">
        <f>IFERROR(__xludf.DUMMYFUNCTION("""COMPUTED_VALUE"""),"PRODUCT_PAGE")</f>
        <v>PRODUCT_PAGE</v>
      </c>
      <c r="E105" s="11" t="str">
        <f>IFERROR(__xludf.DUMMYFUNCTION("""COMPUTED_VALUE"""),"CORPORATE")</f>
        <v>CORPORATE</v>
      </c>
      <c r="F105" s="11" t="str">
        <f>IFERROR(__xludf.DUMMYFUNCTION("""COMPUTED_VALUE"""),"Product Page")</f>
        <v>Product Page</v>
      </c>
      <c r="G105" s="11" t="b">
        <f>IFERROR(__xludf.DUMMYFUNCTION("""COMPUTED_VALUE"""),FALSE)</f>
        <v>0</v>
      </c>
      <c r="H105" s="11" t="str">
        <f>IFERROR(__xludf.DUMMYFUNCTION("""COMPUTED_VALUE"""),"Clutch")</f>
        <v>Clutch</v>
      </c>
      <c r="I105" s="11">
        <f>IFERROR(__xludf.DUMMYFUNCTION("""COMPUTED_VALUE"""),1.0)</f>
        <v>1</v>
      </c>
      <c r="J105" s="11">
        <f>IFERROR(__xludf.DUMMYFUNCTION("""COMPUTED_VALUE"""),0.0)</f>
        <v>0</v>
      </c>
      <c r="K105" s="11">
        <f>IFERROR(__xludf.DUMMYFUNCTION("""COMPUTED_VALUE"""),1.0)</f>
        <v>1</v>
      </c>
    </row>
    <row r="106" ht="15.75" customHeight="1">
      <c r="A106" s="10" t="str">
        <f>IFERROR(__xludf.DUMMYFUNCTION("""COMPUTED_VALUE"""),"https://lifesight.io/?trk=public_post_main-feed-card-text")</f>
        <v>https://lifesight.io/?trk=public_post_main-feed-card-text</v>
      </c>
      <c r="B106" s="11" t="str">
        <f>IFERROR(__xludf.DUMMYFUNCTION("""COMPUTED_VALUE"""),"Lifesight | Agentic Unified Marketing Measurement")</f>
        <v>Lifesight | Agentic Unified Marketing Measurement</v>
      </c>
      <c r="C106" s="10" t="str">
        <f>IFERROR(__xludf.DUMMYFUNCTION("""COMPUTED_VALUE"""),"lifesight.io")</f>
        <v>lifesight.io</v>
      </c>
      <c r="D106" s="11" t="str">
        <f>IFERROR(__xludf.DUMMYFUNCTION("""COMPUTED_VALUE"""),"PRODUCT_PAGE")</f>
        <v>PRODUCT_PAGE</v>
      </c>
      <c r="E106" s="11" t="str">
        <f>IFERROR(__xludf.DUMMYFUNCTION("""COMPUTED_VALUE"""),"COMPETITOR")</f>
        <v>COMPETITOR</v>
      </c>
      <c r="F106" s="11" t="str">
        <f>IFERROR(__xludf.DUMMYFUNCTION("""COMPUTED_VALUE"""),"Product Page")</f>
        <v>Product Page</v>
      </c>
      <c r="G106" s="11" t="b">
        <f>IFERROR(__xludf.DUMMYFUNCTION("""COMPUTED_VALUE"""),FALSE)</f>
        <v>0</v>
      </c>
      <c r="H106" s="11" t="str">
        <f>IFERROR(__xludf.DUMMYFUNCTION("""COMPUTED_VALUE"""),"LifeSight, Measured, Anomaly, Northbeam, Haus, Recast, Triple Whale")</f>
        <v>LifeSight, Measured, Anomaly, Northbeam, Haus, Recast, Triple Whale</v>
      </c>
      <c r="I106" s="11">
        <f>IFERROR(__xludf.DUMMYFUNCTION("""COMPUTED_VALUE"""),1.0)</f>
        <v>1</v>
      </c>
      <c r="J106" s="11">
        <f>IFERROR(__xludf.DUMMYFUNCTION("""COMPUTED_VALUE"""),0.0)</f>
        <v>0</v>
      </c>
      <c r="K106" s="11">
        <f>IFERROR(__xludf.DUMMYFUNCTION("""COMPUTED_VALUE"""),0.0)</f>
        <v>0</v>
      </c>
    </row>
    <row r="107" ht="15.75" customHeight="1">
      <c r="A107" s="10" t="str">
        <f>IFERROR(__xludf.DUMMYFUNCTION("""COMPUTED_VALUE"""),"https://www.lumenlimitless.com/services/ai-consulting")</f>
        <v>https://www.lumenlimitless.com/services/ai-consulting</v>
      </c>
      <c r="B107" s="11" t="str">
        <f>IFERROR(__xludf.DUMMYFUNCTION("""COMPUTED_VALUE"""),"AI Readiness Consulting &amp;amp; Roadmap Development | Lumen Limitless")</f>
        <v>AI Readiness Consulting &amp;amp; Roadmap Development | Lumen Limitless</v>
      </c>
      <c r="C107" s="10" t="str">
        <f>IFERROR(__xludf.DUMMYFUNCTION("""COMPUTED_VALUE"""),"lumenlimitless.com")</f>
        <v>lumenlimitless.com</v>
      </c>
      <c r="D107" s="11" t="str">
        <f>IFERROR(__xludf.DUMMYFUNCTION("""COMPUTED_VALUE"""),"PRODUCT_PAGE")</f>
        <v>PRODUCT_PAGE</v>
      </c>
      <c r="E107" s="11" t="str">
        <f>IFERROR(__xludf.DUMMYFUNCTION("""COMPUTED_VALUE"""),"CORPORATE")</f>
        <v>CORPORATE</v>
      </c>
      <c r="F107" s="11" t="str">
        <f>IFERROR(__xludf.DUMMYFUNCTION("""COMPUTED_VALUE"""),"Product Page")</f>
        <v>Product Page</v>
      </c>
      <c r="G107" s="11" t="b">
        <f>IFERROR(__xludf.DUMMYFUNCTION("""COMPUTED_VALUE"""),FALSE)</f>
        <v>0</v>
      </c>
      <c r="H107" s="11"/>
      <c r="I107" s="11">
        <f>IFERROR(__xludf.DUMMYFUNCTION("""COMPUTED_VALUE"""),1.0)</f>
        <v>1</v>
      </c>
      <c r="J107" s="11">
        <f>IFERROR(__xludf.DUMMYFUNCTION("""COMPUTED_VALUE"""),0.0)</f>
        <v>0</v>
      </c>
      <c r="K107" s="11">
        <f>IFERROR(__xludf.DUMMYFUNCTION("""COMPUTED_VALUE"""),0.0)</f>
        <v>0</v>
      </c>
    </row>
    <row r="108" ht="15.75" customHeight="1">
      <c r="A108" s="10" t="str">
        <f>IFERROR(__xludf.DUMMYFUNCTION("""COMPUTED_VALUE"""),"https://www.manning.com/books/first-party-data-activation")</f>
        <v>https://www.manning.com/books/first-party-data-activation</v>
      </c>
      <c r="B108" s="11" t="str">
        <f>IFERROR(__xludf.DUMMYFUNCTION("""COMPUTED_VALUE"""),"First-Party Data Activation - Alina D. Magauova, Oscar Kennis, and David H. Joosten")</f>
        <v>First-Party Data Activation - Alina D. Magauova, Oscar Kennis, and David H. Joosten</v>
      </c>
      <c r="C108" s="10" t="str">
        <f>IFERROR(__xludf.DUMMYFUNCTION("""COMPUTED_VALUE"""),"manning.com")</f>
        <v>manning.com</v>
      </c>
      <c r="D108" s="11" t="str">
        <f>IFERROR(__xludf.DUMMYFUNCTION("""COMPUTED_VALUE"""),"PRODUCT_PAGE")</f>
        <v>PRODUCT_PAGE</v>
      </c>
      <c r="E108" s="11" t="str">
        <f>IFERROR(__xludf.DUMMYFUNCTION("""COMPUTED_VALUE"""),"EDITORIAL")</f>
        <v>EDITORIAL</v>
      </c>
      <c r="F108" s="11" t="str">
        <f>IFERROR(__xludf.DUMMYFUNCTION("""COMPUTED_VALUE"""),"Product Page")</f>
        <v>Product Page</v>
      </c>
      <c r="G108" s="11" t="b">
        <f>IFERROR(__xludf.DUMMYFUNCTION("""COMPUTED_VALUE"""),FALSE)</f>
        <v>0</v>
      </c>
      <c r="H108" s="11"/>
      <c r="I108" s="11">
        <f>IFERROR(__xludf.DUMMYFUNCTION("""COMPUTED_VALUE"""),1.0)</f>
        <v>1</v>
      </c>
      <c r="J108" s="11">
        <f>IFERROR(__xludf.DUMMYFUNCTION("""COMPUTED_VALUE"""),0.0)</f>
        <v>0</v>
      </c>
      <c r="K108" s="11">
        <f>IFERROR(__xludf.DUMMYFUNCTION("""COMPUTED_VALUE"""),1.0)</f>
        <v>1</v>
      </c>
    </row>
    <row r="109" ht="15.75" customHeight="1">
      <c r="A109" s="10" t="str">
        <f>IFERROR(__xludf.DUMMYFUNCTION("""COMPUTED_VALUE"""),"https://www.marceldigital.com/services/answer-engine-optimization#:~:text=Frequently%20Asked%20Questions%20%2D%20What%20is%20Answer,in%20AI%20Overviews%20and%20other%20answer%20engines%3F")</f>
        <v>https://www.marceldigital.com/services/answer-engine-optimization#:~:text=Frequently%20Asked%20Questions%20%2D%20What%20is%20Answer,in%20AI%20Overviews%20and%20other%20answer%20engines%3F</v>
      </c>
      <c r="B109" s="11" t="str">
        <f>IFERROR(__xludf.DUMMYFUNCTION("""COMPUTED_VALUE"""),"Answer Engine Optimization (AEO) Services | Marcel Digital")</f>
        <v>Answer Engine Optimization (AEO) Services | Marcel Digital</v>
      </c>
      <c r="C109" s="10" t="str">
        <f>IFERROR(__xludf.DUMMYFUNCTION("""COMPUTED_VALUE"""),"marceldigital.com")</f>
        <v>marceldigital.com</v>
      </c>
      <c r="D109" s="11" t="str">
        <f>IFERROR(__xludf.DUMMYFUNCTION("""COMPUTED_VALUE"""),"PRODUCT_PAGE")</f>
        <v>PRODUCT_PAGE</v>
      </c>
      <c r="E109" s="11" t="str">
        <f>IFERROR(__xludf.DUMMYFUNCTION("""COMPUTED_VALUE"""),"COMPETITOR")</f>
        <v>COMPETITOR</v>
      </c>
      <c r="F109" s="11" t="str">
        <f>IFERROR(__xludf.DUMMYFUNCTION("""COMPUTED_VALUE"""),"Product Page")</f>
        <v>Product Page</v>
      </c>
      <c r="G109" s="11" t="b">
        <f>IFERROR(__xludf.DUMMYFUNCTION("""COMPUTED_VALUE"""),FALSE)</f>
        <v>0</v>
      </c>
      <c r="H109" s="11" t="str">
        <f>IFERROR(__xludf.DUMMYFUNCTION("""COMPUTED_VALUE"""),"Marcel Digital")</f>
        <v>Marcel Digital</v>
      </c>
      <c r="I109" s="11">
        <f>IFERROR(__xludf.DUMMYFUNCTION("""COMPUTED_VALUE"""),1.0)</f>
        <v>1</v>
      </c>
      <c r="J109" s="11">
        <f>IFERROR(__xludf.DUMMYFUNCTION("""COMPUTED_VALUE"""),0.0)</f>
        <v>0</v>
      </c>
      <c r="K109" s="11">
        <f>IFERROR(__xludf.DUMMYFUNCTION("""COMPUTED_VALUE"""),1.0)</f>
        <v>1</v>
      </c>
    </row>
    <row r="110" ht="15.75" customHeight="1">
      <c r="A110" s="10" t="str">
        <f>IFERROR(__xludf.DUMMYFUNCTION("""COMPUTED_VALUE"""),"https://marketbridge.com/services/marketing-analytics-data/test-learn/")</f>
        <v>https://marketbridge.com/services/marketing-analytics-data/test-learn/</v>
      </c>
      <c r="B110" s="11" t="str">
        <f>IFERROR(__xludf.DUMMYFUNCTION("""COMPUTED_VALUE"""),"Test &amp;amp; Learn - Marketbridge")</f>
        <v>Test &amp;amp; Learn - Marketbridge</v>
      </c>
      <c r="C110" s="10" t="str">
        <f>IFERROR(__xludf.DUMMYFUNCTION("""COMPUTED_VALUE"""),"marketbridge.com")</f>
        <v>marketbridge.com</v>
      </c>
      <c r="D110" s="11" t="str">
        <f>IFERROR(__xludf.DUMMYFUNCTION("""COMPUTED_VALUE"""),"PRODUCT_PAGE")</f>
        <v>PRODUCT_PAGE</v>
      </c>
      <c r="E110" s="11" t="str">
        <f>IFERROR(__xludf.DUMMYFUNCTION("""COMPUTED_VALUE"""),"CORPORATE")</f>
        <v>CORPORATE</v>
      </c>
      <c r="F110" s="11" t="str">
        <f>IFERROR(__xludf.DUMMYFUNCTION("""COMPUTED_VALUE"""),"Product Page")</f>
        <v>Product Page</v>
      </c>
      <c r="G110" s="11" t="b">
        <f>IFERROR(__xludf.DUMMYFUNCTION("""COMPUTED_VALUE"""),FALSE)</f>
        <v>0</v>
      </c>
      <c r="H110" s="11"/>
      <c r="I110" s="11">
        <f>IFERROR(__xludf.DUMMYFUNCTION("""COMPUTED_VALUE"""),1.0)</f>
        <v>1</v>
      </c>
      <c r="J110" s="11">
        <f>IFERROR(__xludf.DUMMYFUNCTION("""COMPUTED_VALUE"""),0.0)</f>
        <v>0</v>
      </c>
      <c r="K110" s="11">
        <f>IFERROR(__xludf.DUMMYFUNCTION("""COMPUTED_VALUE"""),2.0)</f>
        <v>2</v>
      </c>
    </row>
    <row r="111" ht="15.75" customHeight="1">
      <c r="A111" s="10" t="str">
        <f>IFERROR(__xludf.DUMMYFUNCTION("""COMPUTED_VALUE"""),"https://www.marketingaiinstitute.com/marketing-ai-consulting")</f>
        <v>https://www.marketingaiinstitute.com/marketing-ai-consulting</v>
      </c>
      <c r="B111" s="11" t="str">
        <f>IFERROR(__xludf.DUMMYFUNCTION("""COMPUTED_VALUE"""),"AI Consulting | Marketing AI Institute | SmarterX")</f>
        <v>AI Consulting | Marketing AI Institute | SmarterX</v>
      </c>
      <c r="C111" s="10" t="str">
        <f>IFERROR(__xludf.DUMMYFUNCTION("""COMPUTED_VALUE"""),"marketingaiinstitute.com")</f>
        <v>marketingaiinstitute.com</v>
      </c>
      <c r="D111" s="11" t="str">
        <f>IFERROR(__xludf.DUMMYFUNCTION("""COMPUTED_VALUE"""),"PRODUCT_PAGE")</f>
        <v>PRODUCT_PAGE</v>
      </c>
      <c r="E111" s="11" t="str">
        <f>IFERROR(__xludf.DUMMYFUNCTION("""COMPUTED_VALUE"""),"INSTITUTIONAL")</f>
        <v>INSTITUTIONAL</v>
      </c>
      <c r="F111" s="11" t="str">
        <f>IFERROR(__xludf.DUMMYFUNCTION("""COMPUTED_VALUE"""),"Product Page")</f>
        <v>Product Page</v>
      </c>
      <c r="G111" s="11" t="b">
        <f>IFERROR(__xludf.DUMMYFUNCTION("""COMPUTED_VALUE"""),FALSE)</f>
        <v>0</v>
      </c>
      <c r="H111" s="11"/>
      <c r="I111" s="11">
        <f>IFERROR(__xludf.DUMMYFUNCTION("""COMPUTED_VALUE"""),1.0)</f>
        <v>1</v>
      </c>
      <c r="J111" s="11">
        <f>IFERROR(__xludf.DUMMYFUNCTION("""COMPUTED_VALUE"""),0.0)</f>
        <v>0</v>
      </c>
      <c r="K111" s="11">
        <f>IFERROR(__xludf.DUMMYFUNCTION("""COMPUTED_VALUE"""),1.0)</f>
        <v>1</v>
      </c>
    </row>
    <row r="112" ht="15.75" customHeight="1">
      <c r="A112" s="10" t="str">
        <f>IFERROR(__xludf.DUMMYFUNCTION("""COMPUTED_VALUE"""),"https://www.marketingattribution.com/marketing-mix-models/")</f>
        <v>https://www.marketingattribution.com/marketing-mix-models/</v>
      </c>
      <c r="B112" s="11" t="str">
        <f>IFERROR(__xludf.DUMMYFUNCTION("""COMPUTED_VALUE"""),"Marketing Mix Models | Marketing Attribution")</f>
        <v>Marketing Mix Models | Marketing Attribution</v>
      </c>
      <c r="C112" s="10" t="str">
        <f>IFERROR(__xludf.DUMMYFUNCTION("""COMPUTED_VALUE"""),"marketingattribution.com")</f>
        <v>marketingattribution.com</v>
      </c>
      <c r="D112" s="11" t="str">
        <f>IFERROR(__xludf.DUMMYFUNCTION("""COMPUTED_VALUE"""),"PRODUCT_PAGE")</f>
        <v>PRODUCT_PAGE</v>
      </c>
      <c r="E112" s="11" t="str">
        <f>IFERROR(__xludf.DUMMYFUNCTION("""COMPUTED_VALUE"""),"CORPORATE")</f>
        <v>CORPORATE</v>
      </c>
      <c r="F112" s="11" t="str">
        <f>IFERROR(__xludf.DUMMYFUNCTION("""COMPUTED_VALUE"""),"Product Page")</f>
        <v>Product Page</v>
      </c>
      <c r="G112" s="11" t="b">
        <f>IFERROR(__xludf.DUMMYFUNCTION("""COMPUTED_VALUE"""),FALSE)</f>
        <v>0</v>
      </c>
      <c r="H112" s="11"/>
      <c r="I112" s="11">
        <f>IFERROR(__xludf.DUMMYFUNCTION("""COMPUTED_VALUE"""),1.0)</f>
        <v>1</v>
      </c>
      <c r="J112" s="11">
        <f>IFERROR(__xludf.DUMMYFUNCTION("""COMPUTED_VALUE"""),0.0)</f>
        <v>0</v>
      </c>
      <c r="K112" s="11">
        <f>IFERROR(__xludf.DUMMYFUNCTION("""COMPUTED_VALUE"""),0.0)</f>
        <v>0</v>
      </c>
    </row>
    <row r="113" ht="15.75" customHeight="1">
      <c r="A113" s="10" t="str">
        <f>IFERROR(__xludf.DUMMYFUNCTION("""COMPUTED_VALUE"""),"https://marketingplatform.google.com/about/enterprise/")</f>
        <v>https://marketingplatform.google.com/about/enterprise/</v>
      </c>
      <c r="B113" s="11" t="str">
        <f>IFERROR(__xludf.DUMMYFUNCTION("""COMPUTED_VALUE"""),"Enterprise Advertising &amp; Analytics Solutions - Google Marketing Platform")</f>
        <v>Enterprise Advertising &amp; Analytics Solutions - Google Marketing Platform</v>
      </c>
      <c r="C113" s="10" t="str">
        <f>IFERROR(__xludf.DUMMYFUNCTION("""COMPUTED_VALUE"""),"google.com")</f>
        <v>google.com</v>
      </c>
      <c r="D113" s="11" t="str">
        <f>IFERROR(__xludf.DUMMYFUNCTION("""COMPUTED_VALUE"""),"PRODUCT_PAGE")</f>
        <v>PRODUCT_PAGE</v>
      </c>
      <c r="E113" s="11" t="str">
        <f>IFERROR(__xludf.DUMMYFUNCTION("""COMPUTED_VALUE"""),"OTHER")</f>
        <v>OTHER</v>
      </c>
      <c r="F113" s="11" t="str">
        <f>IFERROR(__xludf.DUMMYFUNCTION("""COMPUTED_VALUE"""),"Product Page")</f>
        <v>Product Page</v>
      </c>
      <c r="G113" s="11" t="b">
        <f>IFERROR(__xludf.DUMMYFUNCTION("""COMPUTED_VALUE"""),FALSE)</f>
        <v>0</v>
      </c>
      <c r="H113" s="11"/>
      <c r="I113" s="11">
        <f>IFERROR(__xludf.DUMMYFUNCTION("""COMPUTED_VALUE"""),1.0)</f>
        <v>1</v>
      </c>
      <c r="J113" s="11">
        <f>IFERROR(__xludf.DUMMYFUNCTION("""COMPUTED_VALUE"""),0.0)</f>
        <v>0</v>
      </c>
      <c r="K113" s="11">
        <f>IFERROR(__xludf.DUMMYFUNCTION("""COMPUTED_VALUE"""),1.0)</f>
        <v>1</v>
      </c>
    </row>
    <row r="114" ht="15.75" customHeight="1">
      <c r="A114" s="10" t="str">
        <f>IFERROR(__xludf.DUMMYFUNCTION("""COMPUTED_VALUE"""),"https://www.mckinsey.com/capabilities/growth-marketing-and-sales/how-we-help-clients/cmac")</f>
        <v>https://www.mckinsey.com/capabilities/growth-marketing-and-sales/how-we-help-clients/cmac</v>
      </c>
      <c r="B114" s="11" t="str">
        <f>IFERROR(__xludf.DUMMYFUNCTION("""COMPUTED_VALUE"""),"Consumer Marketing Analytics Center | Growth, Marketing &amp; Sales | McKinsey &amp; Company")</f>
        <v>Consumer Marketing Analytics Center | Growth, Marketing &amp; Sales | McKinsey &amp; Company</v>
      </c>
      <c r="C114" s="10" t="str">
        <f>IFERROR(__xludf.DUMMYFUNCTION("""COMPUTED_VALUE"""),"mckinsey.com")</f>
        <v>mckinsey.com</v>
      </c>
      <c r="D114" s="11" t="str">
        <f>IFERROR(__xludf.DUMMYFUNCTION("""COMPUTED_VALUE"""),"PRODUCT_PAGE")</f>
        <v>PRODUCT_PAGE</v>
      </c>
      <c r="E114" s="11" t="str">
        <f>IFERROR(__xludf.DUMMYFUNCTION("""COMPUTED_VALUE"""),"COMPETITOR")</f>
        <v>COMPETITOR</v>
      </c>
      <c r="F114" s="11" t="str">
        <f>IFERROR(__xludf.DUMMYFUNCTION("""COMPUTED_VALUE"""),"Product Page")</f>
        <v>Product Page</v>
      </c>
      <c r="G114" s="11" t="b">
        <f>IFERROR(__xludf.DUMMYFUNCTION("""COMPUTED_VALUE"""),FALSE)</f>
        <v>0</v>
      </c>
      <c r="H114" s="11" t="str">
        <f>IFERROR(__xludf.DUMMYFUNCTION("""COMPUTED_VALUE"""),"McKinsey")</f>
        <v>McKinsey</v>
      </c>
      <c r="I114" s="11">
        <f>IFERROR(__xludf.DUMMYFUNCTION("""COMPUTED_VALUE"""),1.0)</f>
        <v>1</v>
      </c>
      <c r="J114" s="11">
        <f>IFERROR(__xludf.DUMMYFUNCTION("""COMPUTED_VALUE"""),0.0)</f>
        <v>0</v>
      </c>
      <c r="K114" s="11">
        <f>IFERROR(__xludf.DUMMYFUNCTION("""COMPUTED_VALUE"""),0.0)</f>
        <v>0</v>
      </c>
    </row>
    <row r="115" ht="15.75" customHeight="1">
      <c r="A115" s="10" t="str">
        <f>IFERROR(__xludf.DUMMYFUNCTION("""COMPUTED_VALUE"""),"https://www.mcsaatchiperformance.com/what-we-do/display/")</f>
        <v>https://www.mcsaatchiperformance.com/what-we-do/display/</v>
      </c>
      <c r="B115" s="11" t="str">
        <f>IFERROR(__xludf.DUMMYFUNCTION("""COMPUTED_VALUE"""),"Display Advertising Agency | M+C Saatchi Performance")</f>
        <v>Display Advertising Agency | M+C Saatchi Performance</v>
      </c>
      <c r="C115" s="10" t="str">
        <f>IFERROR(__xludf.DUMMYFUNCTION("""COMPUTED_VALUE"""),"mcsaatchiperformance.com")</f>
        <v>mcsaatchiperformance.com</v>
      </c>
      <c r="D115" s="11" t="str">
        <f>IFERROR(__xludf.DUMMYFUNCTION("""COMPUTED_VALUE"""),"PRODUCT_PAGE")</f>
        <v>PRODUCT_PAGE</v>
      </c>
      <c r="E115" s="11" t="str">
        <f>IFERROR(__xludf.DUMMYFUNCTION("""COMPUTED_VALUE"""),"CORPORATE")</f>
        <v>CORPORATE</v>
      </c>
      <c r="F115" s="11" t="str">
        <f>IFERROR(__xludf.DUMMYFUNCTION("""COMPUTED_VALUE"""),"Product Page")</f>
        <v>Product Page</v>
      </c>
      <c r="G115" s="11" t="b">
        <f>IFERROR(__xludf.DUMMYFUNCTION("""COMPUTED_VALUE"""),FALSE)</f>
        <v>0</v>
      </c>
      <c r="H115" s="11"/>
      <c r="I115" s="11">
        <f>IFERROR(__xludf.DUMMYFUNCTION("""COMPUTED_VALUE"""),1.0)</f>
        <v>1</v>
      </c>
      <c r="J115" s="11">
        <f>IFERROR(__xludf.DUMMYFUNCTION("""COMPUTED_VALUE"""),0.0)</f>
        <v>0</v>
      </c>
      <c r="K115" s="11">
        <f>IFERROR(__xludf.DUMMYFUNCTION("""COMPUTED_VALUE"""),1.0)</f>
        <v>1</v>
      </c>
    </row>
    <row r="116" ht="15.75" customHeight="1">
      <c r="A116" s="10" t="str">
        <f>IFERROR(__xludf.DUMMYFUNCTION("""COMPUTED_VALUE"""),"https://www.measured.com/blog/%F0%9F%9A%80-unleashing-the-power-of-incrementality-the-all-new-measured-platform/")</f>
        <v>https://www.measured.com/blog/%F0%9F%9A%80-unleashing-the-power-of-incrementality-the-all-new-measured-platform/</v>
      </c>
      <c r="B116" s="11" t="str">
        <f>IFERROR(__xludf.DUMMYFUNCTION("""COMPUTED_VALUE"""),"🚀 Unleashing the Power of Incrementality: The All-New Measured Platform")</f>
        <v>🚀 Unleashing the Power of Incrementality: The All-New Measured Platform</v>
      </c>
      <c r="C116" s="10" t="str">
        <f>IFERROR(__xludf.DUMMYFUNCTION("""COMPUTED_VALUE"""),"measured.com")</f>
        <v>measured.com</v>
      </c>
      <c r="D116" s="11" t="str">
        <f>IFERROR(__xludf.DUMMYFUNCTION("""COMPUTED_VALUE"""),"PRODUCT_PAGE")</f>
        <v>PRODUCT_PAGE</v>
      </c>
      <c r="E116" s="11" t="str">
        <f>IFERROR(__xludf.DUMMYFUNCTION("""COMPUTED_VALUE"""),"COMPETITOR")</f>
        <v>COMPETITOR</v>
      </c>
      <c r="F116" s="11" t="str">
        <f>IFERROR(__xludf.DUMMYFUNCTION("""COMPUTED_VALUE"""),"Product Page")</f>
        <v>Product Page</v>
      </c>
      <c r="G116" s="11" t="b">
        <f>IFERROR(__xludf.DUMMYFUNCTION("""COMPUTED_VALUE"""),FALSE)</f>
        <v>0</v>
      </c>
      <c r="H116" s="11" t="str">
        <f>IFERROR(__xludf.DUMMYFUNCTION("""COMPUTED_VALUE"""),"Measured")</f>
        <v>Measured</v>
      </c>
      <c r="I116" s="11">
        <f>IFERROR(__xludf.DUMMYFUNCTION("""COMPUTED_VALUE"""),1.0)</f>
        <v>1</v>
      </c>
      <c r="J116" s="11">
        <f>IFERROR(__xludf.DUMMYFUNCTION("""COMPUTED_VALUE"""),0.0)</f>
        <v>0</v>
      </c>
      <c r="K116" s="11">
        <f>IFERROR(__xludf.DUMMYFUNCTION("""COMPUTED_VALUE"""),1.0)</f>
        <v>1</v>
      </c>
    </row>
    <row r="117" ht="15.75" customHeight="1">
      <c r="A117" s="10" t="str">
        <f>IFERROR(__xludf.DUMMYFUNCTION("""COMPUTED_VALUE"""),"https://www.measured.com/incrementality-platform-overview/")</f>
        <v>https://www.measured.com/incrementality-platform-overview/</v>
      </c>
      <c r="B117" s="11" t="str">
        <f>IFERROR(__xludf.DUMMYFUNCTION("""COMPUTED_VALUE"""),"Measured Platform for Media Effectiveness: Overview")</f>
        <v>Measured Platform for Media Effectiveness: Overview</v>
      </c>
      <c r="C117" s="10" t="str">
        <f>IFERROR(__xludf.DUMMYFUNCTION("""COMPUTED_VALUE"""),"measured.com")</f>
        <v>measured.com</v>
      </c>
      <c r="D117" s="11" t="str">
        <f>IFERROR(__xludf.DUMMYFUNCTION("""COMPUTED_VALUE"""),"PRODUCT_PAGE")</f>
        <v>PRODUCT_PAGE</v>
      </c>
      <c r="E117" s="11" t="str">
        <f>IFERROR(__xludf.DUMMYFUNCTION("""COMPUTED_VALUE"""),"COMPETITOR")</f>
        <v>COMPETITOR</v>
      </c>
      <c r="F117" s="11" t="str">
        <f>IFERROR(__xludf.DUMMYFUNCTION("""COMPUTED_VALUE"""),"Product Page")</f>
        <v>Product Page</v>
      </c>
      <c r="G117" s="11" t="b">
        <f>IFERROR(__xludf.DUMMYFUNCTION("""COMPUTED_VALUE"""),FALSE)</f>
        <v>0</v>
      </c>
      <c r="H117" s="11" t="str">
        <f>IFERROR(__xludf.DUMMYFUNCTION("""COMPUTED_VALUE"""),"Measured")</f>
        <v>Measured</v>
      </c>
      <c r="I117" s="11">
        <f>IFERROR(__xludf.DUMMYFUNCTION("""COMPUTED_VALUE"""),1.0)</f>
        <v>1</v>
      </c>
      <c r="J117" s="11">
        <f>IFERROR(__xludf.DUMMYFUNCTION("""COMPUTED_VALUE"""),0.0)</f>
        <v>0</v>
      </c>
      <c r="K117" s="11">
        <f>IFERROR(__xludf.DUMMYFUNCTION("""COMPUTED_VALUE"""),0.0)</f>
        <v>0</v>
      </c>
    </row>
    <row r="118" ht="15.75" customHeight="1">
      <c r="A118" s="10" t="str">
        <f>IFERROR(__xludf.DUMMYFUNCTION("""COMPUTED_VALUE"""),"https://www.measured.com/media-mix-modeling/")</f>
        <v>https://www.measured.com/media-mix-modeling/</v>
      </c>
      <c r="B118" s="11" t="str">
        <f>IFERROR(__xludf.DUMMYFUNCTION("""COMPUTED_VALUE"""),"Measured Platform: Media Mix Modeling (MMM)")</f>
        <v>Measured Platform: Media Mix Modeling (MMM)</v>
      </c>
      <c r="C118" s="10" t="str">
        <f>IFERROR(__xludf.DUMMYFUNCTION("""COMPUTED_VALUE"""),"measured.com")</f>
        <v>measured.com</v>
      </c>
      <c r="D118" s="11" t="str">
        <f>IFERROR(__xludf.DUMMYFUNCTION("""COMPUTED_VALUE"""),"PRODUCT_PAGE")</f>
        <v>PRODUCT_PAGE</v>
      </c>
      <c r="E118" s="11" t="str">
        <f>IFERROR(__xludf.DUMMYFUNCTION("""COMPUTED_VALUE"""),"COMPETITOR")</f>
        <v>COMPETITOR</v>
      </c>
      <c r="F118" s="11" t="str">
        <f>IFERROR(__xludf.DUMMYFUNCTION("""COMPUTED_VALUE"""),"Product Page")</f>
        <v>Product Page</v>
      </c>
      <c r="G118" s="11" t="b">
        <f>IFERROR(__xludf.DUMMYFUNCTION("""COMPUTED_VALUE"""),FALSE)</f>
        <v>0</v>
      </c>
      <c r="H118" s="11" t="str">
        <f>IFERROR(__xludf.DUMMYFUNCTION("""COMPUTED_VALUE"""),"Measured")</f>
        <v>Measured</v>
      </c>
      <c r="I118" s="11">
        <f>IFERROR(__xludf.DUMMYFUNCTION("""COMPUTED_VALUE"""),1.0)</f>
        <v>1</v>
      </c>
      <c r="J118" s="11">
        <f>IFERROR(__xludf.DUMMYFUNCTION("""COMPUTED_VALUE"""),0.0)</f>
        <v>0</v>
      </c>
      <c r="K118" s="11">
        <f>IFERROR(__xludf.DUMMYFUNCTION("""COMPUTED_VALUE"""),0.0)</f>
        <v>0</v>
      </c>
    </row>
    <row r="119" ht="15.75" customHeight="1">
      <c r="A119" s="10" t="str">
        <f>IFERROR(__xludf.DUMMYFUNCTION("""COMPUTED_VALUE"""),"https://mma.com/solutions/agile-attribution/")</f>
        <v>https://mma.com/solutions/agile-attribution/</v>
      </c>
      <c r="B119" s="11" t="str">
        <f>IFERROR(__xludf.DUMMYFUNCTION("""COMPUTED_VALUE"""),"Privacy-Safe Agile Attribution Solutions - Ipsos MMA")</f>
        <v>Privacy-Safe Agile Attribution Solutions - Ipsos MMA</v>
      </c>
      <c r="C119" s="10" t="str">
        <f>IFERROR(__xludf.DUMMYFUNCTION("""COMPUTED_VALUE"""),"mma.com")</f>
        <v>mma.com</v>
      </c>
      <c r="D119" s="11" t="str">
        <f>IFERROR(__xludf.DUMMYFUNCTION("""COMPUTED_VALUE"""),"PRODUCT_PAGE")</f>
        <v>PRODUCT_PAGE</v>
      </c>
      <c r="E119" s="11" t="str">
        <f>IFERROR(__xludf.DUMMYFUNCTION("""COMPUTED_VALUE"""),"CORPORATE")</f>
        <v>CORPORATE</v>
      </c>
      <c r="F119" s="11" t="str">
        <f>IFERROR(__xludf.DUMMYFUNCTION("""COMPUTED_VALUE"""),"Product Page")</f>
        <v>Product Page</v>
      </c>
      <c r="G119" s="11" t="b">
        <f>IFERROR(__xludf.DUMMYFUNCTION("""COMPUTED_VALUE"""),FALSE)</f>
        <v>0</v>
      </c>
      <c r="H119" s="11"/>
      <c r="I119" s="11">
        <f>IFERROR(__xludf.DUMMYFUNCTION("""COMPUTED_VALUE"""),1.0)</f>
        <v>1</v>
      </c>
      <c r="J119" s="11">
        <f>IFERROR(__xludf.DUMMYFUNCTION("""COMPUTED_VALUE"""),0.0)</f>
        <v>0</v>
      </c>
      <c r="K119" s="11">
        <f>IFERROR(__xludf.DUMMYFUNCTION("""COMPUTED_VALUE"""),0.0)</f>
        <v>0</v>
      </c>
    </row>
    <row r="120" ht="15.75" customHeight="1">
      <c r="A120" s="10" t="str">
        <f>IFERROR(__xludf.DUMMYFUNCTION("""COMPUTED_VALUE"""),"https://www.monks.com/partners/google-marketing-platform")</f>
        <v>https://www.monks.com/partners/google-marketing-platform</v>
      </c>
      <c r="B120" s="11" t="str">
        <f>IFERROR(__xludf.DUMMYFUNCTION("""COMPUTED_VALUE"""),"Google Marketing Platform | Partnerships | Monks")</f>
        <v>Google Marketing Platform | Partnerships | Monks</v>
      </c>
      <c r="C120" s="10" t="str">
        <f>IFERROR(__xludf.DUMMYFUNCTION("""COMPUTED_VALUE"""),"monks.com")</f>
        <v>monks.com</v>
      </c>
      <c r="D120" s="11" t="str">
        <f>IFERROR(__xludf.DUMMYFUNCTION("""COMPUTED_VALUE"""),"PRODUCT_PAGE")</f>
        <v>PRODUCT_PAGE</v>
      </c>
      <c r="E120" s="11" t="str">
        <f>IFERROR(__xludf.DUMMYFUNCTION("""COMPUTED_VALUE"""),"COMPETITOR")</f>
        <v>COMPETITOR</v>
      </c>
      <c r="F120" s="11" t="str">
        <f>IFERROR(__xludf.DUMMYFUNCTION("""COMPUTED_VALUE"""),"Product Page")</f>
        <v>Product Page</v>
      </c>
      <c r="G120" s="11" t="b">
        <f>IFERROR(__xludf.DUMMYFUNCTION("""COMPUTED_VALUE"""),FALSE)</f>
        <v>0</v>
      </c>
      <c r="H120" s="11" t="str">
        <f>IFERROR(__xludf.DUMMYFUNCTION("""COMPUTED_VALUE"""),"Monks, Momentum")</f>
        <v>Monks, Momentum</v>
      </c>
      <c r="I120" s="11">
        <f>IFERROR(__xludf.DUMMYFUNCTION("""COMPUTED_VALUE"""),1.0)</f>
        <v>1</v>
      </c>
      <c r="J120" s="11">
        <f>IFERROR(__xludf.DUMMYFUNCTION("""COMPUTED_VALUE"""),0.0)</f>
        <v>0</v>
      </c>
      <c r="K120" s="11">
        <f>IFERROR(__xludf.DUMMYFUNCTION("""COMPUTED_VALUE"""),1.0)</f>
        <v>1</v>
      </c>
    </row>
    <row r="121" ht="15.75" customHeight="1">
      <c r="A121" s="10" t="str">
        <f>IFERROR(__xludf.DUMMYFUNCTION("""COMPUTED_VALUE"""),"https://myohomarketing.com.au/generative-engine-optimisation/")</f>
        <v>https://myohomarketing.com.au/generative-engine-optimisation/</v>
      </c>
      <c r="B121" s="11" t="str">
        <f>IFERROR(__xludf.DUMMYFUNCTION("""COMPUTED_VALUE"""),"Generative Engine Optimisation (GEO) Services | Leading GEO Agency in Australia - Myoho Marketing")</f>
        <v>Generative Engine Optimisation (GEO) Services | Leading GEO Agency in Australia - Myoho Marketing</v>
      </c>
      <c r="C121" s="10" t="str">
        <f>IFERROR(__xludf.DUMMYFUNCTION("""COMPUTED_VALUE"""),"myohomarketing.com.au")</f>
        <v>myohomarketing.com.au</v>
      </c>
      <c r="D121" s="11" t="str">
        <f>IFERROR(__xludf.DUMMYFUNCTION("""COMPUTED_VALUE"""),"PRODUCT_PAGE")</f>
        <v>PRODUCT_PAGE</v>
      </c>
      <c r="E121" s="11" t="str">
        <f>IFERROR(__xludf.DUMMYFUNCTION("""COMPUTED_VALUE"""),"CORPORATE")</f>
        <v>CORPORATE</v>
      </c>
      <c r="F121" s="11" t="str">
        <f>IFERROR(__xludf.DUMMYFUNCTION("""COMPUTED_VALUE"""),"Product Page")</f>
        <v>Product Page</v>
      </c>
      <c r="G121" s="11" t="b">
        <f>IFERROR(__xludf.DUMMYFUNCTION("""COMPUTED_VALUE"""),FALSE)</f>
        <v>0</v>
      </c>
      <c r="H121" s="11"/>
      <c r="I121" s="11">
        <f>IFERROR(__xludf.DUMMYFUNCTION("""COMPUTED_VALUE"""),1.0)</f>
        <v>1</v>
      </c>
      <c r="J121" s="11">
        <f>IFERROR(__xludf.DUMMYFUNCTION("""COMPUTED_VALUE"""),0.0)</f>
        <v>0</v>
      </c>
      <c r="K121" s="11">
        <f>IFERROR(__xludf.DUMMYFUNCTION("""COMPUTED_VALUE"""),1.0)</f>
        <v>1</v>
      </c>
    </row>
    <row r="122" ht="15.75" customHeight="1">
      <c r="A122" s="10" t="str">
        <f>IFERROR(__xludf.DUMMYFUNCTION("""COMPUTED_VALUE"""),"https://netpeak.us/services/generative-engine-optimization/")</f>
        <v>https://netpeak.us/services/generative-engine-optimization/</v>
      </c>
      <c r="B122" s="11" t="str">
        <f>IFERROR(__xludf.DUMMYFUNCTION("""COMPUTED_VALUE"""),"▷ Generative Engine Optimization Services (SEO for AI, LLMO, GEO) — Netpeak Agency USA")</f>
        <v>▷ Generative Engine Optimization Services (SEO for AI, LLMO, GEO) — Netpeak Agency USA</v>
      </c>
      <c r="C122" s="10" t="str">
        <f>IFERROR(__xludf.DUMMYFUNCTION("""COMPUTED_VALUE"""),"netpeak.us")</f>
        <v>netpeak.us</v>
      </c>
      <c r="D122" s="11" t="str">
        <f>IFERROR(__xludf.DUMMYFUNCTION("""COMPUTED_VALUE"""),"PRODUCT_PAGE")</f>
        <v>PRODUCT_PAGE</v>
      </c>
      <c r="E122" s="11" t="str">
        <f>IFERROR(__xludf.DUMMYFUNCTION("""COMPUTED_VALUE"""),"CORPORATE")</f>
        <v>CORPORATE</v>
      </c>
      <c r="F122" s="11" t="str">
        <f>IFERROR(__xludf.DUMMYFUNCTION("""COMPUTED_VALUE"""),"Product Page")</f>
        <v>Product Page</v>
      </c>
      <c r="G122" s="11" t="b">
        <f>IFERROR(__xludf.DUMMYFUNCTION("""COMPUTED_VALUE"""),FALSE)</f>
        <v>0</v>
      </c>
      <c r="H122" s="11" t="str">
        <f>IFERROR(__xludf.DUMMYFUNCTION("""COMPUTED_VALUE"""),"Clutch")</f>
        <v>Clutch</v>
      </c>
      <c r="I122" s="11">
        <f>IFERROR(__xludf.DUMMYFUNCTION("""COMPUTED_VALUE"""),1.0)</f>
        <v>1</v>
      </c>
      <c r="J122" s="11">
        <f>IFERROR(__xludf.DUMMYFUNCTION("""COMPUTED_VALUE"""),0.0)</f>
        <v>0</v>
      </c>
      <c r="K122" s="11">
        <f>IFERROR(__xludf.DUMMYFUNCTION("""COMPUTED_VALUE"""),1.0)</f>
        <v>1</v>
      </c>
    </row>
    <row r="123" ht="15.75" customHeight="1">
      <c r="A123" s="10" t="str">
        <f>IFERROR(__xludf.DUMMYFUNCTION("""COMPUTED_VALUE"""),"https://www.niracore.com/top-data-analytics-companies-usa-2026/")</f>
        <v>https://www.niracore.com/top-data-analytics-companies-usa-2026/</v>
      </c>
      <c r="B123" s="11" t="str">
        <f>IFERROR(__xludf.DUMMYFUNCTION("""COMPUTED_VALUE"""),"Top Data Analytics Companies in USA (2026)")</f>
        <v>Top Data Analytics Companies in USA (2026)</v>
      </c>
      <c r="C123" s="10" t="str">
        <f>IFERROR(__xludf.DUMMYFUNCTION("""COMPUTED_VALUE"""),"niracore.com")</f>
        <v>niracore.com</v>
      </c>
      <c r="D123" s="11" t="str">
        <f>IFERROR(__xludf.DUMMYFUNCTION("""COMPUTED_VALUE"""),"PRODUCT_PAGE")</f>
        <v>PRODUCT_PAGE</v>
      </c>
      <c r="E123" s="11" t="str">
        <f>IFERROR(__xludf.DUMMYFUNCTION("""COMPUTED_VALUE"""),"CORPORATE")</f>
        <v>CORPORATE</v>
      </c>
      <c r="F123" s="11" t="str">
        <f>IFERROR(__xludf.DUMMYFUNCTION("""COMPUTED_VALUE"""),"Product Page")</f>
        <v>Product Page</v>
      </c>
      <c r="G123" s="11" t="b">
        <f>IFERROR(__xludf.DUMMYFUNCTION("""COMPUTED_VALUE"""),FALSE)</f>
        <v>0</v>
      </c>
      <c r="H123" s="11" t="str">
        <f>IFERROR(__xludf.DUMMYFUNCTION("""COMPUTED_VALUE"""),"LatentView Analytics, Fractal Analytics")</f>
        <v>LatentView Analytics, Fractal Analytics</v>
      </c>
      <c r="I123" s="11">
        <f>IFERROR(__xludf.DUMMYFUNCTION("""COMPUTED_VALUE"""),1.0)</f>
        <v>1</v>
      </c>
      <c r="J123" s="11">
        <f>IFERROR(__xludf.DUMMYFUNCTION("""COMPUTED_VALUE"""),0.0)</f>
        <v>0</v>
      </c>
      <c r="K123" s="11">
        <f>IFERROR(__xludf.DUMMYFUNCTION("""COMPUTED_VALUE"""),1.0)</f>
        <v>1</v>
      </c>
    </row>
    <row r="124" ht="15.75" customHeight="1">
      <c r="A124" s="10" t="str">
        <f>IFERROR(__xludf.DUMMYFUNCTION("""COMPUTED_VALUE"""),"https://oneclickseo.com/services/generative-engine-optimization/")</f>
        <v>https://oneclickseo.com/services/generative-engine-optimization/</v>
      </c>
      <c r="B124" s="11" t="str">
        <f>IFERROR(__xludf.DUMMYFUNCTION("""COMPUTED_VALUE"""),"Generative Engine Optimization (GEO) — Be the Brand AI Search Engines Cite | One Click SEO")</f>
        <v>Generative Engine Optimization (GEO) — Be the Brand AI Search Engines Cite | One Click SEO</v>
      </c>
      <c r="C124" s="10" t="str">
        <f>IFERROR(__xludf.DUMMYFUNCTION("""COMPUTED_VALUE"""),"oneclickseo.com")</f>
        <v>oneclickseo.com</v>
      </c>
      <c r="D124" s="11" t="str">
        <f>IFERROR(__xludf.DUMMYFUNCTION("""COMPUTED_VALUE"""),"PRODUCT_PAGE")</f>
        <v>PRODUCT_PAGE</v>
      </c>
      <c r="E124" s="11" t="str">
        <f>IFERROR(__xludf.DUMMYFUNCTION("""COMPUTED_VALUE"""),"CORPORATE")</f>
        <v>CORPORATE</v>
      </c>
      <c r="F124" s="11" t="str">
        <f>IFERROR(__xludf.DUMMYFUNCTION("""COMPUTED_VALUE"""),"Product Page")</f>
        <v>Product Page</v>
      </c>
      <c r="G124" s="11" t="b">
        <f>IFERROR(__xludf.DUMMYFUNCTION("""COMPUTED_VALUE"""),FALSE)</f>
        <v>0</v>
      </c>
      <c r="H124" s="11"/>
      <c r="I124" s="11">
        <f>IFERROR(__xludf.DUMMYFUNCTION("""COMPUTED_VALUE"""),1.0)</f>
        <v>1</v>
      </c>
      <c r="J124" s="11">
        <f>IFERROR(__xludf.DUMMYFUNCTION("""COMPUTED_VALUE"""),0.0)</f>
        <v>0</v>
      </c>
      <c r="K124" s="11">
        <f>IFERROR(__xludf.DUMMYFUNCTION("""COMPUTED_VALUE"""),1.0)</f>
        <v>1</v>
      </c>
    </row>
    <row r="125" ht="15.75" customHeight="1">
      <c r="A125" s="10" t="str">
        <f>IFERROR(__xludf.DUMMYFUNCTION("""COMPUTED_VALUE"""),"https://optimisemedia.com/agency-services/")</f>
        <v>https://optimisemedia.com/agency-services/</v>
      </c>
      <c r="B125" s="11" t="str">
        <f>IFERROR(__xludf.DUMMYFUNCTION("""COMPUTED_VALUE"""),"Full-Service Media Agency | Optimise Media")</f>
        <v>Full-Service Media Agency | Optimise Media</v>
      </c>
      <c r="C125" s="10" t="str">
        <f>IFERROR(__xludf.DUMMYFUNCTION("""COMPUTED_VALUE"""),"optimisemedia.com")</f>
        <v>optimisemedia.com</v>
      </c>
      <c r="D125" s="11" t="str">
        <f>IFERROR(__xludf.DUMMYFUNCTION("""COMPUTED_VALUE"""),"PRODUCT_PAGE")</f>
        <v>PRODUCT_PAGE</v>
      </c>
      <c r="E125" s="11" t="str">
        <f>IFERROR(__xludf.DUMMYFUNCTION("""COMPUTED_VALUE"""),"CORPORATE")</f>
        <v>CORPORATE</v>
      </c>
      <c r="F125" s="11" t="str">
        <f>IFERROR(__xludf.DUMMYFUNCTION("""COMPUTED_VALUE"""),"Product Page")</f>
        <v>Product Page</v>
      </c>
      <c r="G125" s="11" t="b">
        <f>IFERROR(__xludf.DUMMYFUNCTION("""COMPUTED_VALUE"""),FALSE)</f>
        <v>0</v>
      </c>
      <c r="H125" s="11"/>
      <c r="I125" s="11">
        <f>IFERROR(__xludf.DUMMYFUNCTION("""COMPUTED_VALUE"""),1.0)</f>
        <v>1</v>
      </c>
      <c r="J125" s="11">
        <f>IFERROR(__xludf.DUMMYFUNCTION("""COMPUTED_VALUE"""),0.0)</f>
        <v>0</v>
      </c>
      <c r="K125" s="11">
        <f>IFERROR(__xludf.DUMMYFUNCTION("""COMPUTED_VALUE"""),0.0)</f>
        <v>0</v>
      </c>
    </row>
    <row r="126" ht="15.75" customHeight="1">
      <c r="A126" s="10" t="str">
        <f>IFERROR(__xludf.DUMMYFUNCTION("""COMPUTED_VALUE"""),"https://www.orangemantra.com/services/genrative-engine-optimization/")</f>
        <v>https://www.orangemantra.com/services/genrative-engine-optimization/</v>
      </c>
      <c r="B126" s="11" t="str">
        <f>IFERROR(__xludf.DUMMYFUNCTION("""COMPUTED_VALUE"""),"Generative Engine Optimization Services \| GEO Agency")</f>
        <v>Generative Engine Optimization Services \| GEO Agency</v>
      </c>
      <c r="C126" s="10" t="str">
        <f>IFERROR(__xludf.DUMMYFUNCTION("""COMPUTED_VALUE"""),"orangemantra.com")</f>
        <v>orangemantra.com</v>
      </c>
      <c r="D126" s="11" t="str">
        <f>IFERROR(__xludf.DUMMYFUNCTION("""COMPUTED_VALUE"""),"PRODUCT_PAGE")</f>
        <v>PRODUCT_PAGE</v>
      </c>
      <c r="E126" s="11" t="str">
        <f>IFERROR(__xludf.DUMMYFUNCTION("""COMPUTED_VALUE"""),"CORPORATE")</f>
        <v>CORPORATE</v>
      </c>
      <c r="F126" s="11" t="str">
        <f>IFERROR(__xludf.DUMMYFUNCTION("""COMPUTED_VALUE"""),"Product Page")</f>
        <v>Product Page</v>
      </c>
      <c r="G126" s="11" t="b">
        <f>IFERROR(__xludf.DUMMYFUNCTION("""COMPUTED_VALUE"""),FALSE)</f>
        <v>0</v>
      </c>
      <c r="H126" s="11"/>
      <c r="I126" s="11">
        <f>IFERROR(__xludf.DUMMYFUNCTION("""COMPUTED_VALUE"""),1.0)</f>
        <v>1</v>
      </c>
      <c r="J126" s="11">
        <f>IFERROR(__xludf.DUMMYFUNCTION("""COMPUTED_VALUE"""),0.0)</f>
        <v>0</v>
      </c>
      <c r="K126" s="11">
        <f>IFERROR(__xludf.DUMMYFUNCTION("""COMPUTED_VALUE"""),1.0)</f>
        <v>1</v>
      </c>
    </row>
    <row r="127" ht="15.75" customHeight="1">
      <c r="A127" s="10" t="str">
        <f>IFERROR(__xludf.DUMMYFUNCTION("""COMPUTED_VALUE"""),"https://www.panorama-consulting.com/services/ai-readiness-and-enablement-service-offering/")</f>
        <v>https://www.panorama-consulting.com/services/ai-readiness-and-enablement-service-offering/</v>
      </c>
      <c r="B127" s="11" t="str">
        <f>IFERROR(__xludf.DUMMYFUNCTION("""COMPUTED_VALUE"""),"AI Readiness &amp;amp; Integration Service | Generatiive AI Consulting")</f>
        <v>AI Readiness &amp;amp; Integration Service | Generatiive AI Consulting</v>
      </c>
      <c r="C127" s="10" t="str">
        <f>IFERROR(__xludf.DUMMYFUNCTION("""COMPUTED_VALUE"""),"panorama-consulting.com")</f>
        <v>panorama-consulting.com</v>
      </c>
      <c r="D127" s="11" t="str">
        <f>IFERROR(__xludf.DUMMYFUNCTION("""COMPUTED_VALUE"""),"PRODUCT_PAGE")</f>
        <v>PRODUCT_PAGE</v>
      </c>
      <c r="E127" s="11" t="str">
        <f>IFERROR(__xludf.DUMMYFUNCTION("""COMPUTED_VALUE"""),"CORPORATE")</f>
        <v>CORPORATE</v>
      </c>
      <c r="F127" s="11" t="str">
        <f>IFERROR(__xludf.DUMMYFUNCTION("""COMPUTED_VALUE"""),"Product Page")</f>
        <v>Product Page</v>
      </c>
      <c r="G127" s="11" t="b">
        <f>IFERROR(__xludf.DUMMYFUNCTION("""COMPUTED_VALUE"""),FALSE)</f>
        <v>0</v>
      </c>
      <c r="H127" s="11"/>
      <c r="I127" s="11">
        <f>IFERROR(__xludf.DUMMYFUNCTION("""COMPUTED_VALUE"""),1.0)</f>
        <v>1</v>
      </c>
      <c r="J127" s="11">
        <f>IFERROR(__xludf.DUMMYFUNCTION("""COMPUTED_VALUE"""),0.0)</f>
        <v>0</v>
      </c>
      <c r="K127" s="11">
        <f>IFERROR(__xludf.DUMMYFUNCTION("""COMPUTED_VALUE"""),0.0)</f>
        <v>0</v>
      </c>
    </row>
    <row r="128" ht="15.75" customHeight="1">
      <c r="A128" s="10" t="str">
        <f>IFERROR(__xludf.DUMMYFUNCTION("""COMPUTED_VALUE"""),"https://www.perceptive-analytics.com/marketing-analytics-companies/")</f>
        <v>https://www.perceptive-analytics.com/marketing-analytics-companies/</v>
      </c>
      <c r="B128" s="11" t="str">
        <f>IFERROR(__xludf.DUMMYFUNCTION("""COMPUTED_VALUE"""),"Marketing Analytics That Prove Revenue Impact \| Perceptive Analytics")</f>
        <v>Marketing Analytics That Prove Revenue Impact \| Perceptive Analytics</v>
      </c>
      <c r="C128" s="10" t="str">
        <f>IFERROR(__xludf.DUMMYFUNCTION("""COMPUTED_VALUE"""),"perceptive-analytics.com")</f>
        <v>perceptive-analytics.com</v>
      </c>
      <c r="D128" s="11" t="str">
        <f>IFERROR(__xludf.DUMMYFUNCTION("""COMPUTED_VALUE"""),"PRODUCT_PAGE")</f>
        <v>PRODUCT_PAGE</v>
      </c>
      <c r="E128" s="11" t="str">
        <f>IFERROR(__xludf.DUMMYFUNCTION("""COMPUTED_VALUE"""),"OTHER")</f>
        <v>OTHER</v>
      </c>
      <c r="F128" s="11" t="str">
        <f>IFERROR(__xludf.DUMMYFUNCTION("""COMPUTED_VALUE"""),"Product Page")</f>
        <v>Product Page</v>
      </c>
      <c r="G128" s="11" t="b">
        <f>IFERROR(__xludf.DUMMYFUNCTION("""COMPUTED_VALUE"""),FALSE)</f>
        <v>0</v>
      </c>
      <c r="H128" s="11"/>
      <c r="I128" s="11">
        <f>IFERROR(__xludf.DUMMYFUNCTION("""COMPUTED_VALUE"""),1.0)</f>
        <v>1</v>
      </c>
      <c r="J128" s="11">
        <f>IFERROR(__xludf.DUMMYFUNCTION("""COMPUTED_VALUE"""),0.0)</f>
        <v>0</v>
      </c>
      <c r="K128" s="11">
        <f>IFERROR(__xludf.DUMMYFUNCTION("""COMPUTED_VALUE"""),0.0)</f>
        <v>0</v>
      </c>
    </row>
    <row r="129" ht="15.75" customHeight="1">
      <c r="A129" s="10" t="str">
        <f>IFERROR(__xludf.DUMMYFUNCTION("""COMPUTED_VALUE"""),"https://phueled.com/marketing-science")</f>
        <v>https://phueled.com/marketing-science</v>
      </c>
      <c r="B129" s="11" t="str">
        <f>IFERROR(__xludf.DUMMYFUNCTION("""COMPUTED_VALUE"""),"PHUELED™ Growth Marketing Agency | Based in the United States")</f>
        <v>PHUELED™ Growth Marketing Agency | Based in the United States</v>
      </c>
      <c r="C129" s="10" t="str">
        <f>IFERROR(__xludf.DUMMYFUNCTION("""COMPUTED_VALUE"""),"phueled.com")</f>
        <v>phueled.com</v>
      </c>
      <c r="D129" s="11" t="str">
        <f>IFERROR(__xludf.DUMMYFUNCTION("""COMPUTED_VALUE"""),"PRODUCT_PAGE")</f>
        <v>PRODUCT_PAGE</v>
      </c>
      <c r="E129" s="11" t="str">
        <f>IFERROR(__xludf.DUMMYFUNCTION("""COMPUTED_VALUE"""),"CORPORATE")</f>
        <v>CORPORATE</v>
      </c>
      <c r="F129" s="11" t="str">
        <f>IFERROR(__xludf.DUMMYFUNCTION("""COMPUTED_VALUE"""),"Product Page")</f>
        <v>Product Page</v>
      </c>
      <c r="G129" s="11" t="b">
        <f>IFERROR(__xludf.DUMMYFUNCTION("""COMPUTED_VALUE"""),FALSE)</f>
        <v>0</v>
      </c>
      <c r="H129" s="11"/>
      <c r="I129" s="11">
        <f>IFERROR(__xludf.DUMMYFUNCTION("""COMPUTED_VALUE"""),1.0)</f>
        <v>1</v>
      </c>
      <c r="J129" s="11">
        <f>IFERROR(__xludf.DUMMYFUNCTION("""COMPUTED_VALUE"""),0.0)</f>
        <v>0</v>
      </c>
      <c r="K129" s="11">
        <f>IFERROR(__xludf.DUMMYFUNCTION("""COMPUTED_VALUE"""),0.0)</f>
        <v>0</v>
      </c>
    </row>
    <row r="130" ht="15.75" customHeight="1">
      <c r="A130" s="10" t="str">
        <f>IFERROR(__xludf.DUMMYFUNCTION("""COMPUTED_VALUE"""),"https://pointsourcemarketing.com/performance-marketing/analytics/ga-consulting/")</f>
        <v>https://pointsourcemarketing.com/performance-marketing/analytics/ga-consulting/</v>
      </c>
      <c r="B130" s="11" t="str">
        <f>IFERROR(__xludf.DUMMYFUNCTION("""COMPUTED_VALUE"""),"Google Analytics Consulting | Point Source Marketing")</f>
        <v>Google Analytics Consulting | Point Source Marketing</v>
      </c>
      <c r="C130" s="10" t="str">
        <f>IFERROR(__xludf.DUMMYFUNCTION("""COMPUTED_VALUE"""),"pointsourcemarketing.com")</f>
        <v>pointsourcemarketing.com</v>
      </c>
      <c r="D130" s="11" t="str">
        <f>IFERROR(__xludf.DUMMYFUNCTION("""COMPUTED_VALUE"""),"PRODUCT_PAGE")</f>
        <v>PRODUCT_PAGE</v>
      </c>
      <c r="E130" s="11" t="str">
        <f>IFERROR(__xludf.DUMMYFUNCTION("""COMPUTED_VALUE"""),"CORPORATE")</f>
        <v>CORPORATE</v>
      </c>
      <c r="F130" s="11" t="str">
        <f>IFERROR(__xludf.DUMMYFUNCTION("""COMPUTED_VALUE"""),"Product Page")</f>
        <v>Product Page</v>
      </c>
      <c r="G130" s="11" t="b">
        <f>IFERROR(__xludf.DUMMYFUNCTION("""COMPUTED_VALUE"""),FALSE)</f>
        <v>0</v>
      </c>
      <c r="H130" s="11" t="str">
        <f>IFERROR(__xludf.DUMMYFUNCTION("""COMPUTED_VALUE"""),"Clutch")</f>
        <v>Clutch</v>
      </c>
      <c r="I130" s="11">
        <f>IFERROR(__xludf.DUMMYFUNCTION("""COMPUTED_VALUE"""),1.0)</f>
        <v>1</v>
      </c>
      <c r="J130" s="11">
        <f>IFERROR(__xludf.DUMMYFUNCTION("""COMPUTED_VALUE"""),0.0)</f>
        <v>0</v>
      </c>
      <c r="K130" s="11">
        <f>IFERROR(__xludf.DUMMYFUNCTION("""COMPUTED_VALUE"""),1.0)</f>
        <v>1</v>
      </c>
    </row>
    <row r="131" ht="15.75" customHeight="1">
      <c r="A131" s="10" t="str">
        <f>IFERROR(__xludf.DUMMYFUNCTION("""COMPUTED_VALUE"""),"https://www.portagelabs.io/services/ai-enablement")</f>
        <v>https://www.portagelabs.io/services/ai-enablement</v>
      </c>
      <c r="B131" s="11" t="str">
        <f>IFERROR(__xludf.DUMMYFUNCTION("""COMPUTED_VALUE"""),"AI Integration Services for Marketing Teams | Portage Labs")</f>
        <v>AI Integration Services for Marketing Teams | Portage Labs</v>
      </c>
      <c r="C131" s="10" t="str">
        <f>IFERROR(__xludf.DUMMYFUNCTION("""COMPUTED_VALUE"""),"portagelabs.io")</f>
        <v>portagelabs.io</v>
      </c>
      <c r="D131" s="11" t="str">
        <f>IFERROR(__xludf.DUMMYFUNCTION("""COMPUTED_VALUE"""),"PRODUCT_PAGE")</f>
        <v>PRODUCT_PAGE</v>
      </c>
      <c r="E131" s="11" t="str">
        <f>IFERROR(__xludf.DUMMYFUNCTION("""COMPUTED_VALUE"""),"CORPORATE")</f>
        <v>CORPORATE</v>
      </c>
      <c r="F131" s="11" t="str">
        <f>IFERROR(__xludf.DUMMYFUNCTION("""COMPUTED_VALUE"""),"Product Page")</f>
        <v>Product Page</v>
      </c>
      <c r="G131" s="11" t="b">
        <f>IFERROR(__xludf.DUMMYFUNCTION("""COMPUTED_VALUE"""),FALSE)</f>
        <v>0</v>
      </c>
      <c r="H131" s="11" t="str">
        <f>IFERROR(__xludf.DUMMYFUNCTION("""COMPUTED_VALUE"""),"Anomaly, Momentum")</f>
        <v>Anomaly, Momentum</v>
      </c>
      <c r="I131" s="11">
        <f>IFERROR(__xludf.DUMMYFUNCTION("""COMPUTED_VALUE"""),1.0)</f>
        <v>1</v>
      </c>
      <c r="J131" s="11">
        <f>IFERROR(__xludf.DUMMYFUNCTION("""COMPUTED_VALUE"""),0.0)</f>
        <v>0</v>
      </c>
      <c r="K131" s="11">
        <f>IFERROR(__xludf.DUMMYFUNCTION("""COMPUTED_VALUE"""),0.0)</f>
        <v>0</v>
      </c>
    </row>
    <row r="132" ht="15.75" customHeight="1">
      <c r="A132" s="10" t="str">
        <f>IFERROR(__xludf.DUMMYFUNCTION("""COMPUTED_VALUE"""),"https://powerdigitalmarketing.com/atlanta/seo/")</f>
        <v>https://powerdigitalmarketing.com/atlanta/seo/</v>
      </c>
      <c r="B132" s="11" t="str">
        <f>IFERROR(__xludf.DUMMYFUNCTION("""COMPUTED_VALUE"""),"SEO Agency in Atlanta | Power Digital")</f>
        <v>SEO Agency in Atlanta | Power Digital</v>
      </c>
      <c r="C132" s="10" t="str">
        <f>IFERROR(__xludf.DUMMYFUNCTION("""COMPUTED_VALUE"""),"powerdigitalmarketing.com")</f>
        <v>powerdigitalmarketing.com</v>
      </c>
      <c r="D132" s="11" t="str">
        <f>IFERROR(__xludf.DUMMYFUNCTION("""COMPUTED_VALUE"""),"PRODUCT_PAGE")</f>
        <v>PRODUCT_PAGE</v>
      </c>
      <c r="E132" s="11" t="str">
        <f>IFERROR(__xludf.DUMMYFUNCTION("""COMPUTED_VALUE"""),"COMPETITOR")</f>
        <v>COMPETITOR</v>
      </c>
      <c r="F132" s="11" t="str">
        <f>IFERROR(__xludf.DUMMYFUNCTION("""COMPUTED_VALUE"""),"Product Page")</f>
        <v>Product Page</v>
      </c>
      <c r="G132" s="11" t="b">
        <f>IFERROR(__xludf.DUMMYFUNCTION("""COMPUTED_VALUE"""),FALSE)</f>
        <v>0</v>
      </c>
      <c r="H132" s="11" t="str">
        <f>IFERROR(__xludf.DUMMYFUNCTION("""COMPUTED_VALUE"""),"Power Digital")</f>
        <v>Power Digital</v>
      </c>
      <c r="I132" s="11">
        <f>IFERROR(__xludf.DUMMYFUNCTION("""COMPUTED_VALUE"""),1.0)</f>
        <v>1</v>
      </c>
      <c r="J132" s="11">
        <f>IFERROR(__xludf.DUMMYFUNCTION("""COMPUTED_VALUE"""),0.0)</f>
        <v>0</v>
      </c>
      <c r="K132" s="11">
        <f>IFERROR(__xludf.DUMMYFUNCTION("""COMPUTED_VALUE"""),1.0)</f>
        <v>1</v>
      </c>
    </row>
    <row r="133" ht="15.75" customHeight="1">
      <c r="A133" s="10" t="str">
        <f>IFERROR(__xludf.DUMMYFUNCTION("""COMPUTED_VALUE"""),"https://primetrics.cpa/what-we-do/it-services/ai-readiness-adoption/")</f>
        <v>https://primetrics.cpa/what-we-do/it-services/ai-readiness-adoption/</v>
      </c>
      <c r="B133" s="11" t="str">
        <f>IFERROR(__xludf.DUMMYFUNCTION("""COMPUTED_VALUE"""),"AI Readiness &amp;amp; Adoption - Primetrics")</f>
        <v>AI Readiness &amp;amp; Adoption - Primetrics</v>
      </c>
      <c r="C133" s="11" t="str">
        <f>IFERROR(__xludf.DUMMYFUNCTION("""COMPUTED_VALUE"""),"primetrics.cpa")</f>
        <v>primetrics.cpa</v>
      </c>
      <c r="D133" s="11" t="str">
        <f>IFERROR(__xludf.DUMMYFUNCTION("""COMPUTED_VALUE"""),"PRODUCT_PAGE")</f>
        <v>PRODUCT_PAGE</v>
      </c>
      <c r="E133" s="11" t="str">
        <f>IFERROR(__xludf.DUMMYFUNCTION("""COMPUTED_VALUE"""),"CORPORATE")</f>
        <v>CORPORATE</v>
      </c>
      <c r="F133" s="11" t="str">
        <f>IFERROR(__xludf.DUMMYFUNCTION("""COMPUTED_VALUE"""),"Product Page")</f>
        <v>Product Page</v>
      </c>
      <c r="G133" s="11" t="b">
        <f>IFERROR(__xludf.DUMMYFUNCTION("""COMPUTED_VALUE"""),FALSE)</f>
        <v>0</v>
      </c>
      <c r="H133" s="11"/>
      <c r="I133" s="11">
        <f>IFERROR(__xludf.DUMMYFUNCTION("""COMPUTED_VALUE"""),1.0)</f>
        <v>1</v>
      </c>
      <c r="J133" s="11">
        <f>IFERROR(__xludf.DUMMYFUNCTION("""COMPUTED_VALUE"""),0.0)</f>
        <v>0</v>
      </c>
      <c r="K133" s="11">
        <f>IFERROR(__xludf.DUMMYFUNCTION("""COMPUTED_VALUE"""),0.0)</f>
        <v>0</v>
      </c>
    </row>
    <row r="134" ht="15.75" customHeight="1">
      <c r="A134" s="10" t="str">
        <f>IFERROR(__xludf.DUMMYFUNCTION("""COMPUTED_VALUE"""),"https://rankmybusiness.com.au/ai-seo-marketing-agency/")</f>
        <v>https://rankmybusiness.com.au/ai-seo-marketing-agency/</v>
      </c>
      <c r="B134" s="11" t="str">
        <f>IFERROR(__xludf.DUMMYFUNCTION("""COMPUTED_VALUE"""),"AI Digital Marketing Agency | Australia&amp;#039;s Best AI Marketing &amp;amp; SEO Services")</f>
        <v>AI Digital Marketing Agency | Australia&amp;#039;s Best AI Marketing &amp;amp; SEO Services</v>
      </c>
      <c r="C134" s="10" t="str">
        <f>IFERROR(__xludf.DUMMYFUNCTION("""COMPUTED_VALUE"""),"rankmybusiness.com.au")</f>
        <v>rankmybusiness.com.au</v>
      </c>
      <c r="D134" s="11" t="str">
        <f>IFERROR(__xludf.DUMMYFUNCTION("""COMPUTED_VALUE"""),"PRODUCT_PAGE")</f>
        <v>PRODUCT_PAGE</v>
      </c>
      <c r="E134" s="11" t="str">
        <f>IFERROR(__xludf.DUMMYFUNCTION("""COMPUTED_VALUE"""),"CORPORATE")</f>
        <v>CORPORATE</v>
      </c>
      <c r="F134" s="11" t="str">
        <f>IFERROR(__xludf.DUMMYFUNCTION("""COMPUTED_VALUE"""),"Product Page")</f>
        <v>Product Page</v>
      </c>
      <c r="G134" s="11" t="b">
        <f>IFERROR(__xludf.DUMMYFUNCTION("""COMPUTED_VALUE"""),FALSE)</f>
        <v>0</v>
      </c>
      <c r="H134" s="11"/>
      <c r="I134" s="11">
        <f>IFERROR(__xludf.DUMMYFUNCTION("""COMPUTED_VALUE"""),1.0)</f>
        <v>1</v>
      </c>
      <c r="J134" s="11">
        <f>IFERROR(__xludf.DUMMYFUNCTION("""COMPUTED_VALUE"""),0.0)</f>
        <v>0</v>
      </c>
      <c r="K134" s="11">
        <f>IFERROR(__xludf.DUMMYFUNCTION("""COMPUTED_VALUE"""),1.0)</f>
        <v>1</v>
      </c>
    </row>
    <row r="135" ht="15.75" customHeight="1">
      <c r="A135" s="10" t="str">
        <f>IFERROR(__xludf.DUMMYFUNCTION("""COMPUTED_VALUE"""),"https://rational.partners/us/services/ai-enablement")</f>
        <v>https://rational.partners/us/services/ai-enablement</v>
      </c>
      <c r="B135" s="11" t="str">
        <f>IFERROR(__xludf.DUMMYFUNCTION("""COMPUTED_VALUE"""),"AI Consulting, Strategy &amp;amp; Training for US Companies | Rational Partners")</f>
        <v>AI Consulting, Strategy &amp;amp; Training for US Companies | Rational Partners</v>
      </c>
      <c r="C135" s="11" t="str">
        <f>IFERROR(__xludf.DUMMYFUNCTION("""COMPUTED_VALUE"""),"rational.partners")</f>
        <v>rational.partners</v>
      </c>
      <c r="D135" s="11" t="str">
        <f>IFERROR(__xludf.DUMMYFUNCTION("""COMPUTED_VALUE"""),"PRODUCT_PAGE")</f>
        <v>PRODUCT_PAGE</v>
      </c>
      <c r="E135" s="11" t="str">
        <f>IFERROR(__xludf.DUMMYFUNCTION("""COMPUTED_VALUE"""),"CORPORATE")</f>
        <v>CORPORATE</v>
      </c>
      <c r="F135" s="11" t="str">
        <f>IFERROR(__xludf.DUMMYFUNCTION("""COMPUTED_VALUE"""),"Product Page")</f>
        <v>Product Page</v>
      </c>
      <c r="G135" s="11" t="b">
        <f>IFERROR(__xludf.DUMMYFUNCTION("""COMPUTED_VALUE"""),FALSE)</f>
        <v>0</v>
      </c>
      <c r="H135" s="11"/>
      <c r="I135" s="11">
        <f>IFERROR(__xludf.DUMMYFUNCTION("""COMPUTED_VALUE"""),1.0)</f>
        <v>1</v>
      </c>
      <c r="J135" s="11">
        <f>IFERROR(__xludf.DUMMYFUNCTION("""COMPUTED_VALUE"""),0.0)</f>
        <v>0</v>
      </c>
      <c r="K135" s="11">
        <f>IFERROR(__xludf.DUMMYFUNCTION("""COMPUTED_VALUE"""),0.0)</f>
        <v>0</v>
      </c>
    </row>
    <row r="136" ht="15.75" customHeight="1">
      <c r="A136" s="10" t="str">
        <f>IFERROR(__xludf.DUMMYFUNCTION("""COMPUTED_VALUE"""),"https://rsmus.com/services/digital-transformation/ai-readiness-assessment.html")</f>
        <v>https://rsmus.com/services/digital-transformation/ai-readiness-assessment.html</v>
      </c>
      <c r="B136" s="11" t="str">
        <f>IFERROR(__xludf.DUMMYFUNCTION("""COMPUTED_VALUE"""),"AI readiness assessment | RSM US")</f>
        <v>AI readiness assessment | RSM US</v>
      </c>
      <c r="C136" s="10" t="str">
        <f>IFERROR(__xludf.DUMMYFUNCTION("""COMPUTED_VALUE"""),"rsmus.com")</f>
        <v>rsmus.com</v>
      </c>
      <c r="D136" s="11" t="str">
        <f>IFERROR(__xludf.DUMMYFUNCTION("""COMPUTED_VALUE"""),"PRODUCT_PAGE")</f>
        <v>PRODUCT_PAGE</v>
      </c>
      <c r="E136" s="11" t="str">
        <f>IFERROR(__xludf.DUMMYFUNCTION("""COMPUTED_VALUE"""),"CORPORATE")</f>
        <v>CORPORATE</v>
      </c>
      <c r="F136" s="11" t="str">
        <f>IFERROR(__xludf.DUMMYFUNCTION("""COMPUTED_VALUE"""),"Product Page")</f>
        <v>Product Page</v>
      </c>
      <c r="G136" s="11" t="b">
        <f>IFERROR(__xludf.DUMMYFUNCTION("""COMPUTED_VALUE"""),FALSE)</f>
        <v>0</v>
      </c>
      <c r="H136" s="11"/>
      <c r="I136" s="11">
        <f>IFERROR(__xludf.DUMMYFUNCTION("""COMPUTED_VALUE"""),1.0)</f>
        <v>1</v>
      </c>
      <c r="J136" s="11">
        <f>IFERROR(__xludf.DUMMYFUNCTION("""COMPUTED_VALUE"""),0.0)</f>
        <v>0</v>
      </c>
      <c r="K136" s="11">
        <f>IFERROR(__xludf.DUMMYFUNCTION("""COMPUTED_VALUE"""),0.0)</f>
        <v>0</v>
      </c>
    </row>
    <row r="137" ht="15.75" customHeight="1">
      <c r="A137" s="10" t="str">
        <f>IFERROR(__xludf.DUMMYFUNCTION("""COMPUTED_VALUE"""),"https://rsmus.com/services/digital-transformation/artificial-intelligence.html")</f>
        <v>https://rsmus.com/services/digital-transformation/artificial-intelligence.html</v>
      </c>
      <c r="B137" s="11" t="str">
        <f>IFERROR(__xludf.DUMMYFUNCTION("""COMPUTED_VALUE"""),"AI consulting services | RSM US")</f>
        <v>AI consulting services | RSM US</v>
      </c>
      <c r="C137" s="10" t="str">
        <f>IFERROR(__xludf.DUMMYFUNCTION("""COMPUTED_VALUE"""),"rsmus.com")</f>
        <v>rsmus.com</v>
      </c>
      <c r="D137" s="11" t="str">
        <f>IFERROR(__xludf.DUMMYFUNCTION("""COMPUTED_VALUE"""),"PRODUCT_PAGE")</f>
        <v>PRODUCT_PAGE</v>
      </c>
      <c r="E137" s="11" t="str">
        <f>IFERROR(__xludf.DUMMYFUNCTION("""COMPUTED_VALUE"""),"CORPORATE")</f>
        <v>CORPORATE</v>
      </c>
      <c r="F137" s="11" t="str">
        <f>IFERROR(__xludf.DUMMYFUNCTION("""COMPUTED_VALUE"""),"Product Page")</f>
        <v>Product Page</v>
      </c>
      <c r="G137" s="11" t="b">
        <f>IFERROR(__xludf.DUMMYFUNCTION("""COMPUTED_VALUE"""),FALSE)</f>
        <v>0</v>
      </c>
      <c r="H137" s="11"/>
      <c r="I137" s="11">
        <f>IFERROR(__xludf.DUMMYFUNCTION("""COMPUTED_VALUE"""),1.0)</f>
        <v>1</v>
      </c>
      <c r="J137" s="11">
        <f>IFERROR(__xludf.DUMMYFUNCTION("""COMPUTED_VALUE"""),0.0)</f>
        <v>0</v>
      </c>
      <c r="K137" s="11">
        <f>IFERROR(__xludf.DUMMYFUNCTION("""COMPUTED_VALUE"""),0.0)</f>
        <v>0</v>
      </c>
    </row>
    <row r="138" ht="15.75" customHeight="1">
      <c r="A138" s="10" t="str">
        <f>IFERROR(__xludf.DUMMYFUNCTION("""COMPUTED_VALUE"""),"https://s360digital.com/capabilities/data/incrementality-testing/")</f>
        <v>https://s360digital.com/capabilities/data/incrementality-testing/</v>
      </c>
      <c r="B138" s="11" t="str">
        <f>IFERROR(__xludf.DUMMYFUNCTION("""COMPUTED_VALUE"""),"Prove marketing impact with Incrementality Testing | s360")</f>
        <v>Prove marketing impact with Incrementality Testing | s360</v>
      </c>
      <c r="C138" s="10" t="str">
        <f>IFERROR(__xludf.DUMMYFUNCTION("""COMPUTED_VALUE"""),"s360digital.com")</f>
        <v>s360digital.com</v>
      </c>
      <c r="D138" s="11" t="str">
        <f>IFERROR(__xludf.DUMMYFUNCTION("""COMPUTED_VALUE"""),"PRODUCT_PAGE")</f>
        <v>PRODUCT_PAGE</v>
      </c>
      <c r="E138" s="11" t="str">
        <f>IFERROR(__xludf.DUMMYFUNCTION("""COMPUTED_VALUE"""),"CORPORATE")</f>
        <v>CORPORATE</v>
      </c>
      <c r="F138" s="11" t="str">
        <f>IFERROR(__xludf.DUMMYFUNCTION("""COMPUTED_VALUE"""),"Product Page")</f>
        <v>Product Page</v>
      </c>
      <c r="G138" s="11" t="b">
        <f>IFERROR(__xludf.DUMMYFUNCTION("""COMPUTED_VALUE"""),FALSE)</f>
        <v>0</v>
      </c>
      <c r="H138" s="11" t="str">
        <f>IFERROR(__xludf.DUMMYFUNCTION("""COMPUTED_VALUE"""),"Measured")</f>
        <v>Measured</v>
      </c>
      <c r="I138" s="11">
        <f>IFERROR(__xludf.DUMMYFUNCTION("""COMPUTED_VALUE"""),1.0)</f>
        <v>1</v>
      </c>
      <c r="J138" s="11">
        <f>IFERROR(__xludf.DUMMYFUNCTION("""COMPUTED_VALUE"""),0.0)</f>
        <v>0</v>
      </c>
      <c r="K138" s="11">
        <f>IFERROR(__xludf.DUMMYFUNCTION("""COMPUTED_VALUE"""),1.0)</f>
        <v>1</v>
      </c>
    </row>
    <row r="139" ht="15.75" customHeight="1">
      <c r="A139" s="10" t="str">
        <f>IFERROR(__xludf.DUMMYFUNCTION("""COMPUTED_VALUE"""),"https://www.sei.com/our-services/ai-readiness-assessments/")</f>
        <v>https://www.sei.com/our-services/ai-readiness-assessments/</v>
      </c>
      <c r="B139" s="11" t="str">
        <f>IFERROR(__xludf.DUMMYFUNCTION("""COMPUTED_VALUE"""),"AI Readiness Assessment Services | SEI Consulting")</f>
        <v>AI Readiness Assessment Services | SEI Consulting</v>
      </c>
      <c r="C139" s="10" t="str">
        <f>IFERROR(__xludf.DUMMYFUNCTION("""COMPUTED_VALUE"""),"sei.com")</f>
        <v>sei.com</v>
      </c>
      <c r="D139" s="11" t="str">
        <f>IFERROR(__xludf.DUMMYFUNCTION("""COMPUTED_VALUE"""),"PRODUCT_PAGE")</f>
        <v>PRODUCT_PAGE</v>
      </c>
      <c r="E139" s="11" t="str">
        <f>IFERROR(__xludf.DUMMYFUNCTION("""COMPUTED_VALUE"""),"CORPORATE")</f>
        <v>CORPORATE</v>
      </c>
      <c r="F139" s="11" t="str">
        <f>IFERROR(__xludf.DUMMYFUNCTION("""COMPUTED_VALUE"""),"Product Page")</f>
        <v>Product Page</v>
      </c>
      <c r="G139" s="11" t="b">
        <f>IFERROR(__xludf.DUMMYFUNCTION("""COMPUTED_VALUE"""),FALSE)</f>
        <v>0</v>
      </c>
      <c r="H139" s="11"/>
      <c r="I139" s="11">
        <f>IFERROR(__xludf.DUMMYFUNCTION("""COMPUTED_VALUE"""),1.0)</f>
        <v>1</v>
      </c>
      <c r="J139" s="11">
        <f>IFERROR(__xludf.DUMMYFUNCTION("""COMPUTED_VALUE"""),0.0)</f>
        <v>0</v>
      </c>
      <c r="K139" s="11">
        <f>IFERROR(__xludf.DUMMYFUNCTION("""COMPUTED_VALUE"""),0.0)</f>
        <v>0</v>
      </c>
    </row>
    <row r="140" ht="15.75" customHeight="1">
      <c r="A140" s="10" t="str">
        <f>IFERROR(__xludf.DUMMYFUNCTION("""COMPUTED_VALUE"""),"https://www.seo.com/ai/services/")</f>
        <v>https://www.seo.com/ai/services/</v>
      </c>
      <c r="B140" s="11" t="str">
        <f>IFERROR(__xludf.DUMMYFUNCTION("""COMPUTED_VALUE"""),"AI SEO Services That Increase Visibility for Businesses")</f>
        <v>AI SEO Services That Increase Visibility for Businesses</v>
      </c>
      <c r="C140" s="10" t="str">
        <f>IFERROR(__xludf.DUMMYFUNCTION("""COMPUTED_VALUE"""),"seo.com")</f>
        <v>seo.com</v>
      </c>
      <c r="D140" s="11" t="str">
        <f>IFERROR(__xludf.DUMMYFUNCTION("""COMPUTED_VALUE"""),"PRODUCT_PAGE")</f>
        <v>PRODUCT_PAGE</v>
      </c>
      <c r="E140" s="11" t="str">
        <f>IFERROR(__xludf.DUMMYFUNCTION("""COMPUTED_VALUE"""),"CORPORATE")</f>
        <v>CORPORATE</v>
      </c>
      <c r="F140" s="11" t="str">
        <f>IFERROR(__xludf.DUMMYFUNCTION("""COMPUTED_VALUE"""),"Product Page")</f>
        <v>Product Page</v>
      </c>
      <c r="G140" s="11" t="b">
        <f>IFERROR(__xludf.DUMMYFUNCTION("""COMPUTED_VALUE"""),FALSE)</f>
        <v>0</v>
      </c>
      <c r="H140" s="11" t="str">
        <f>IFERROR(__xludf.DUMMYFUNCTION("""COMPUTED_VALUE"""),"WebFX, Clutch")</f>
        <v>WebFX, Clutch</v>
      </c>
      <c r="I140" s="11">
        <f>IFERROR(__xludf.DUMMYFUNCTION("""COMPUTED_VALUE"""),1.0)</f>
        <v>1</v>
      </c>
      <c r="J140" s="11">
        <f>IFERROR(__xludf.DUMMYFUNCTION("""COMPUTED_VALUE"""),0.0)</f>
        <v>0</v>
      </c>
      <c r="K140" s="11">
        <f>IFERROR(__xludf.DUMMYFUNCTION("""COMPUTED_VALUE"""),1.0)</f>
        <v>1</v>
      </c>
    </row>
    <row r="141" ht="15.75" customHeight="1">
      <c r="A141" s="10" t="str">
        <f>IFERROR(__xludf.DUMMYFUNCTION("""COMPUTED_VALUE"""),"https://www.seobrand.com/ai-seo-services/")</f>
        <v>https://www.seobrand.com/ai-seo-services/</v>
      </c>
      <c r="B141" s="11" t="str">
        <f>IFERROR(__xludf.DUMMYFUNCTION("""COMPUTED_VALUE"""),"AI SEO Services for Stronger Brand Visibility in LLMs")</f>
        <v>AI SEO Services for Stronger Brand Visibility in LLMs</v>
      </c>
      <c r="C141" s="10" t="str">
        <f>IFERROR(__xludf.DUMMYFUNCTION("""COMPUTED_VALUE"""),"seobrand.com")</f>
        <v>seobrand.com</v>
      </c>
      <c r="D141" s="11" t="str">
        <f>IFERROR(__xludf.DUMMYFUNCTION("""COMPUTED_VALUE"""),"PRODUCT_PAGE")</f>
        <v>PRODUCT_PAGE</v>
      </c>
      <c r="E141" s="11" t="str">
        <f>IFERROR(__xludf.DUMMYFUNCTION("""COMPUTED_VALUE"""),"CORPORATE")</f>
        <v>CORPORATE</v>
      </c>
      <c r="F141" s="11" t="str">
        <f>IFERROR(__xludf.DUMMYFUNCTION("""COMPUTED_VALUE"""),"Product Page")</f>
        <v>Product Page</v>
      </c>
      <c r="G141" s="11" t="b">
        <f>IFERROR(__xludf.DUMMYFUNCTION("""COMPUTED_VALUE"""),FALSE)</f>
        <v>0</v>
      </c>
      <c r="H141" s="11" t="str">
        <f>IFERROR(__xludf.DUMMYFUNCTION("""COMPUTED_VALUE"""),"Clutch, Momentum")</f>
        <v>Clutch, Momentum</v>
      </c>
      <c r="I141" s="11">
        <f>IFERROR(__xludf.DUMMYFUNCTION("""COMPUTED_VALUE"""),1.0)</f>
        <v>1</v>
      </c>
      <c r="J141" s="11">
        <f>IFERROR(__xludf.DUMMYFUNCTION("""COMPUTED_VALUE"""),0.0)</f>
        <v>0</v>
      </c>
      <c r="K141" s="11">
        <f>IFERROR(__xludf.DUMMYFUNCTION("""COMPUTED_VALUE"""),1.0)</f>
        <v>1</v>
      </c>
    </row>
    <row r="142" ht="15.75" customHeight="1">
      <c r="A142" s="10" t="str">
        <f>IFERROR(__xludf.DUMMYFUNCTION("""COMPUTED_VALUE"""),"https://shifu-marketing.com/ai-consulting-services/ai-strategy-consulting/")</f>
        <v>https://shifu-marketing.com/ai-consulting-services/ai-strategy-consulting/</v>
      </c>
      <c r="B142" s="11" t="str">
        <f>IFERROR(__xludf.DUMMYFUNCTION("""COMPUTED_VALUE"""),"AI Strategy &amp;amp; Readiness - Shifu Marketing – AI Consulting &amp;amp; Strategy")</f>
        <v>AI Strategy &amp;amp; Readiness - Shifu Marketing – AI Consulting &amp;amp; Strategy</v>
      </c>
      <c r="C142" s="10" t="str">
        <f>IFERROR(__xludf.DUMMYFUNCTION("""COMPUTED_VALUE"""),"shifu-marketing.com")</f>
        <v>shifu-marketing.com</v>
      </c>
      <c r="D142" s="11" t="str">
        <f>IFERROR(__xludf.DUMMYFUNCTION("""COMPUTED_VALUE"""),"PRODUCT_PAGE")</f>
        <v>PRODUCT_PAGE</v>
      </c>
      <c r="E142" s="11" t="str">
        <f>IFERROR(__xludf.DUMMYFUNCTION("""COMPUTED_VALUE"""),"CORPORATE")</f>
        <v>CORPORATE</v>
      </c>
      <c r="F142" s="11" t="str">
        <f>IFERROR(__xludf.DUMMYFUNCTION("""COMPUTED_VALUE"""),"Product Page")</f>
        <v>Product Page</v>
      </c>
      <c r="G142" s="11" t="b">
        <f>IFERROR(__xludf.DUMMYFUNCTION("""COMPUTED_VALUE"""),FALSE)</f>
        <v>0</v>
      </c>
      <c r="H142" s="11" t="str">
        <f>IFERROR(__xludf.DUMMYFUNCTION("""COMPUTED_VALUE"""),"Momentum")</f>
        <v>Momentum</v>
      </c>
      <c r="I142" s="11">
        <f>IFERROR(__xludf.DUMMYFUNCTION("""COMPUTED_VALUE"""),1.0)</f>
        <v>1</v>
      </c>
      <c r="J142" s="11">
        <f>IFERROR(__xludf.DUMMYFUNCTION("""COMPUTED_VALUE"""),0.0)</f>
        <v>0</v>
      </c>
      <c r="K142" s="11">
        <f>IFERROR(__xludf.DUMMYFUNCTION("""COMPUTED_VALUE"""),1.0)</f>
        <v>1</v>
      </c>
    </row>
    <row r="143" ht="15.75" customHeight="1">
      <c r="A143" s="10" t="str">
        <f>IFERROR(__xludf.DUMMYFUNCTION("""COMPUTED_VALUE"""),"https://www.shipmercury.com/shipping-service/ctpat-consulting")</f>
        <v>https://www.shipmercury.com/shipping-service/ctpat-consulting</v>
      </c>
      <c r="B143" s="11" t="str">
        <f>IFERROR(__xludf.DUMMYFUNCTION("""COMPUTED_VALUE"""),"CTPAT Consulting Services | Mercury")</f>
        <v>CTPAT Consulting Services | Mercury</v>
      </c>
      <c r="C143" s="10" t="str">
        <f>IFERROR(__xludf.DUMMYFUNCTION("""COMPUTED_VALUE"""),"shipmercury.com")</f>
        <v>shipmercury.com</v>
      </c>
      <c r="D143" s="11" t="str">
        <f>IFERROR(__xludf.DUMMYFUNCTION("""COMPUTED_VALUE"""),"PRODUCT_PAGE")</f>
        <v>PRODUCT_PAGE</v>
      </c>
      <c r="E143" s="11" t="str">
        <f>IFERROR(__xludf.DUMMYFUNCTION("""COMPUTED_VALUE"""),"CORPORATE")</f>
        <v>CORPORATE</v>
      </c>
      <c r="F143" s="11" t="str">
        <f>IFERROR(__xludf.DUMMYFUNCTION("""COMPUTED_VALUE"""),"Product Page")</f>
        <v>Product Page</v>
      </c>
      <c r="G143" s="11" t="b">
        <f>IFERROR(__xludf.DUMMYFUNCTION("""COMPUTED_VALUE"""),FALSE)</f>
        <v>0</v>
      </c>
      <c r="H143" s="11"/>
      <c r="I143" s="11">
        <f>IFERROR(__xludf.DUMMYFUNCTION("""COMPUTED_VALUE"""),1.0)</f>
        <v>1</v>
      </c>
      <c r="J143" s="11">
        <f>IFERROR(__xludf.DUMMYFUNCTION("""COMPUTED_VALUE"""),0.0)</f>
        <v>0</v>
      </c>
      <c r="K143" s="11">
        <f>IFERROR(__xludf.DUMMYFUNCTION("""COMPUTED_VALUE"""),2.0)</f>
        <v>2</v>
      </c>
    </row>
    <row r="144" ht="15.75" customHeight="1">
      <c r="A144" s="10" t="str">
        <f>IFERROR(__xludf.DUMMYFUNCTION("""COMPUTED_VALUE"""),"https://www.silverbackstrategies.com/services/measurement/incrementality-testing/")</f>
        <v>https://www.silverbackstrategies.com/services/measurement/incrementality-testing/</v>
      </c>
      <c r="B144" s="11" t="str">
        <f>IFERROR(__xludf.DUMMYFUNCTION("""COMPUTED_VALUE"""),"Incrementality Testing Strategies | Silverback Strategies")</f>
        <v>Incrementality Testing Strategies | Silverback Strategies</v>
      </c>
      <c r="C144" s="10" t="str">
        <f>IFERROR(__xludf.DUMMYFUNCTION("""COMPUTED_VALUE"""),"silverbackstrategies.com")</f>
        <v>silverbackstrategies.com</v>
      </c>
      <c r="D144" s="11" t="str">
        <f>IFERROR(__xludf.DUMMYFUNCTION("""COMPUTED_VALUE"""),"PRODUCT_PAGE")</f>
        <v>PRODUCT_PAGE</v>
      </c>
      <c r="E144" s="11" t="str">
        <f>IFERROR(__xludf.DUMMYFUNCTION("""COMPUTED_VALUE"""),"COMPETITOR")</f>
        <v>COMPETITOR</v>
      </c>
      <c r="F144" s="11" t="str">
        <f>IFERROR(__xludf.DUMMYFUNCTION("""COMPUTED_VALUE"""),"Product Page")</f>
        <v>Product Page</v>
      </c>
      <c r="G144" s="11" t="b">
        <f>IFERROR(__xludf.DUMMYFUNCTION("""COMPUTED_VALUE"""),FALSE)</f>
        <v>0</v>
      </c>
      <c r="H144" s="11" t="str">
        <f>IFERROR(__xludf.DUMMYFUNCTION("""COMPUTED_VALUE"""),"Silverback Strategies")</f>
        <v>Silverback Strategies</v>
      </c>
      <c r="I144" s="11">
        <f>IFERROR(__xludf.DUMMYFUNCTION("""COMPUTED_VALUE"""),1.0)</f>
        <v>1</v>
      </c>
      <c r="J144" s="11">
        <f>IFERROR(__xludf.DUMMYFUNCTION("""COMPUTED_VALUE"""),0.0)</f>
        <v>0</v>
      </c>
      <c r="K144" s="11">
        <f>IFERROR(__xludf.DUMMYFUNCTION("""COMPUTED_VALUE"""),1.0)</f>
        <v>1</v>
      </c>
    </row>
    <row r="145" ht="15.75" customHeight="1">
      <c r="A145" s="10" t="str">
        <f>IFERROR(__xludf.DUMMYFUNCTION("""COMPUTED_VALUE"""),"https://www.smartsites.com/ppc-marketing/display-advertising/")</f>
        <v>https://www.smartsites.com/ppc-marketing/display-advertising/</v>
      </c>
      <c r="B145" s="11" t="str">
        <f>IFERROR(__xludf.DUMMYFUNCTION("""COMPUTED_VALUE"""),"Get Seen with #1 Best Display Advertising Services")</f>
        <v>Get Seen with #1 Best Display Advertising Services</v>
      </c>
      <c r="C145" s="10" t="str">
        <f>IFERROR(__xludf.DUMMYFUNCTION("""COMPUTED_VALUE"""),"smartsites.com")</f>
        <v>smartsites.com</v>
      </c>
      <c r="D145" s="11" t="str">
        <f>IFERROR(__xludf.DUMMYFUNCTION("""COMPUTED_VALUE"""),"PRODUCT_PAGE")</f>
        <v>PRODUCT_PAGE</v>
      </c>
      <c r="E145" s="11" t="str">
        <f>IFERROR(__xludf.DUMMYFUNCTION("""COMPUTED_VALUE"""),"COMPETITOR")</f>
        <v>COMPETITOR</v>
      </c>
      <c r="F145" s="11" t="str">
        <f>IFERROR(__xludf.DUMMYFUNCTION("""COMPUTED_VALUE"""),"Product Page")</f>
        <v>Product Page</v>
      </c>
      <c r="G145" s="11" t="b">
        <f>IFERROR(__xludf.DUMMYFUNCTION("""COMPUTED_VALUE"""),FALSE)</f>
        <v>0</v>
      </c>
      <c r="H145" s="11" t="str">
        <f>IFERROR(__xludf.DUMMYFUNCTION("""COMPUTED_VALUE"""),"SmartSites, Clutch, Huge")</f>
        <v>SmartSites, Clutch, Huge</v>
      </c>
      <c r="I145" s="11">
        <f>IFERROR(__xludf.DUMMYFUNCTION("""COMPUTED_VALUE"""),1.0)</f>
        <v>1</v>
      </c>
      <c r="J145" s="11">
        <f>IFERROR(__xludf.DUMMYFUNCTION("""COMPUTED_VALUE"""),0.0)</f>
        <v>0</v>
      </c>
      <c r="K145" s="11">
        <f>IFERROR(__xludf.DUMMYFUNCTION("""COMPUTED_VALUE"""),1.0)</f>
        <v>1</v>
      </c>
    </row>
    <row r="146" ht="15.75" customHeight="1">
      <c r="A146" s="10" t="str">
        <f>IFERROR(__xludf.DUMMYFUNCTION("""COMPUTED_VALUE"""),"https://www.smartsites.com/web-design/graphics-digital/web-display-banners/")</f>
        <v>https://www.smartsites.com/web-design/graphics-digital/web-display-banners/</v>
      </c>
      <c r="B146" s="11" t="str">
        <f>IFERROR(__xludf.DUMMYFUNCTION("""COMPUTED_VALUE"""),"Display Banners Design Agency Services | Award Winning Web Designers")</f>
        <v>Display Banners Design Agency Services | Award Winning Web Designers</v>
      </c>
      <c r="C146" s="10" t="str">
        <f>IFERROR(__xludf.DUMMYFUNCTION("""COMPUTED_VALUE"""),"smartsites.com")</f>
        <v>smartsites.com</v>
      </c>
      <c r="D146" s="11" t="str">
        <f>IFERROR(__xludf.DUMMYFUNCTION("""COMPUTED_VALUE"""),"PRODUCT_PAGE")</f>
        <v>PRODUCT_PAGE</v>
      </c>
      <c r="E146" s="11" t="str">
        <f>IFERROR(__xludf.DUMMYFUNCTION("""COMPUTED_VALUE"""),"COMPETITOR")</f>
        <v>COMPETITOR</v>
      </c>
      <c r="F146" s="11" t="str">
        <f>IFERROR(__xludf.DUMMYFUNCTION("""COMPUTED_VALUE"""),"Product Page")</f>
        <v>Product Page</v>
      </c>
      <c r="G146" s="11" t="b">
        <f>IFERROR(__xludf.DUMMYFUNCTION("""COMPUTED_VALUE"""),FALSE)</f>
        <v>0</v>
      </c>
      <c r="H146" s="11" t="str">
        <f>IFERROR(__xludf.DUMMYFUNCTION("""COMPUTED_VALUE"""),"SmartSites, Clutch")</f>
        <v>SmartSites, Clutch</v>
      </c>
      <c r="I146" s="11">
        <f>IFERROR(__xludf.DUMMYFUNCTION("""COMPUTED_VALUE"""),1.0)</f>
        <v>1</v>
      </c>
      <c r="J146" s="11">
        <f>IFERROR(__xludf.DUMMYFUNCTION("""COMPUTED_VALUE"""),0.0)</f>
        <v>0</v>
      </c>
      <c r="K146" s="11">
        <f>IFERROR(__xludf.DUMMYFUNCTION("""COMPUTED_VALUE"""),1.0)</f>
        <v>1</v>
      </c>
    </row>
    <row r="147" ht="15.75" customHeight="1">
      <c r="A147" s="10" t="str">
        <f>IFERROR(__xludf.DUMMYFUNCTION("""COMPUTED_VALUE"""),"https://soft-industry.com/data-analytics-services/")</f>
        <v>https://soft-industry.com/data-analytics-services/</v>
      </c>
      <c r="B147" s="11" t="str">
        <f>IFERROR(__xludf.DUMMYFUNCTION("""COMPUTED_VALUE"""),"Data &amp;amp; AI – Soft Industry Alliance")</f>
        <v>Data &amp;amp; AI – Soft Industry Alliance</v>
      </c>
      <c r="C147" s="10" t="str">
        <f>IFERROR(__xludf.DUMMYFUNCTION("""COMPUTED_VALUE"""),"soft-industry.com")</f>
        <v>soft-industry.com</v>
      </c>
      <c r="D147" s="11" t="str">
        <f>IFERROR(__xludf.DUMMYFUNCTION("""COMPUTED_VALUE"""),"PRODUCT_PAGE")</f>
        <v>PRODUCT_PAGE</v>
      </c>
      <c r="E147" s="11" t="str">
        <f>IFERROR(__xludf.DUMMYFUNCTION("""COMPUTED_VALUE"""),"CORPORATE")</f>
        <v>CORPORATE</v>
      </c>
      <c r="F147" s="11" t="str">
        <f>IFERROR(__xludf.DUMMYFUNCTION("""COMPUTED_VALUE"""),"Product Page")</f>
        <v>Product Page</v>
      </c>
      <c r="G147" s="11" t="b">
        <f>IFERROR(__xludf.DUMMYFUNCTION("""COMPUTED_VALUE"""),FALSE)</f>
        <v>0</v>
      </c>
      <c r="H147" s="11" t="str">
        <f>IFERROR(__xludf.DUMMYFUNCTION("""COMPUTED_VALUE"""),"McKinsey, Anomaly, Clutch")</f>
        <v>McKinsey, Anomaly, Clutch</v>
      </c>
      <c r="I147" s="11">
        <f>IFERROR(__xludf.DUMMYFUNCTION("""COMPUTED_VALUE"""),1.0)</f>
        <v>1</v>
      </c>
      <c r="J147" s="11">
        <f>IFERROR(__xludf.DUMMYFUNCTION("""COMPUTED_VALUE"""),0.0)</f>
        <v>0</v>
      </c>
      <c r="K147" s="11">
        <f>IFERROR(__xludf.DUMMYFUNCTION("""COMPUTED_VALUE"""),1.0)</f>
        <v>1</v>
      </c>
    </row>
    <row r="148" ht="15.75" customHeight="1">
      <c r="A148" s="10" t="str">
        <f>IFERROR(__xludf.DUMMYFUNCTION("""COMPUTED_VALUE"""),"https://technologyarch.com/it-consulting/ai-adoption/")</f>
        <v>https://technologyarch.com/it-consulting/ai-adoption/</v>
      </c>
      <c r="B148" s="11" t="str">
        <f>IFERROR(__xludf.DUMMYFUNCTION("""COMPUTED_VALUE"""),"AI Adoption Consulting in Minneapolis, Green Bay &amp;amp; Denver")</f>
        <v>AI Adoption Consulting in Minneapolis, Green Bay &amp;amp; Denver</v>
      </c>
      <c r="C148" s="10" t="str">
        <f>IFERROR(__xludf.DUMMYFUNCTION("""COMPUTED_VALUE"""),"technologyarch.com")</f>
        <v>technologyarch.com</v>
      </c>
      <c r="D148" s="11" t="str">
        <f>IFERROR(__xludf.DUMMYFUNCTION("""COMPUTED_VALUE"""),"PRODUCT_PAGE")</f>
        <v>PRODUCT_PAGE</v>
      </c>
      <c r="E148" s="11" t="str">
        <f>IFERROR(__xludf.DUMMYFUNCTION("""COMPUTED_VALUE"""),"CORPORATE")</f>
        <v>CORPORATE</v>
      </c>
      <c r="F148" s="11" t="str">
        <f>IFERROR(__xludf.DUMMYFUNCTION("""COMPUTED_VALUE"""),"Product Page")</f>
        <v>Product Page</v>
      </c>
      <c r="G148" s="11" t="b">
        <f>IFERROR(__xludf.DUMMYFUNCTION("""COMPUTED_VALUE"""),FALSE)</f>
        <v>0</v>
      </c>
      <c r="H148" s="11"/>
      <c r="I148" s="11">
        <f>IFERROR(__xludf.DUMMYFUNCTION("""COMPUTED_VALUE"""),1.0)</f>
        <v>1</v>
      </c>
      <c r="J148" s="11">
        <f>IFERROR(__xludf.DUMMYFUNCTION("""COMPUTED_VALUE"""),0.0)</f>
        <v>0</v>
      </c>
      <c r="K148" s="11">
        <f>IFERROR(__xludf.DUMMYFUNCTION("""COMPUTED_VALUE"""),0.0)</f>
        <v>0</v>
      </c>
    </row>
    <row r="149" ht="15.75" customHeight="1">
      <c r="A149" s="10" t="str">
        <f>IFERROR(__xludf.DUMMYFUNCTION("""COMPUTED_VALUE"""),"https://www.thehackettgroup.com/ai-consulting-hckt/")</f>
        <v>https://www.thehackettgroup.com/ai-consulting-hckt/</v>
      </c>
      <c r="B149" s="11" t="str">
        <f>IFERROR(__xludf.DUMMYFUNCTION("""COMPUTED_VALUE"""),"Reimagine Business with AI-Powered Transformation - The Hackett Group®")</f>
        <v>Reimagine Business with AI-Powered Transformation - The Hackett Group®</v>
      </c>
      <c r="C149" s="10" t="str">
        <f>IFERROR(__xludf.DUMMYFUNCTION("""COMPUTED_VALUE"""),"thehackettgroup.com")</f>
        <v>thehackettgroup.com</v>
      </c>
      <c r="D149" s="11" t="str">
        <f>IFERROR(__xludf.DUMMYFUNCTION("""COMPUTED_VALUE"""),"PRODUCT_PAGE")</f>
        <v>PRODUCT_PAGE</v>
      </c>
      <c r="E149" s="11" t="str">
        <f>IFERROR(__xludf.DUMMYFUNCTION("""COMPUTED_VALUE"""),"CORPORATE")</f>
        <v>CORPORATE</v>
      </c>
      <c r="F149" s="11" t="str">
        <f>IFERROR(__xludf.DUMMYFUNCTION("""COMPUTED_VALUE"""),"Product Page")</f>
        <v>Product Page</v>
      </c>
      <c r="G149" s="11" t="b">
        <f>IFERROR(__xludf.DUMMYFUNCTION("""COMPUTED_VALUE"""),FALSE)</f>
        <v>0</v>
      </c>
      <c r="H149" s="11" t="str">
        <f>IFERROR(__xludf.DUMMYFUNCTION("""COMPUTED_VALUE"""),"IBM")</f>
        <v>IBM</v>
      </c>
      <c r="I149" s="11">
        <f>IFERROR(__xludf.DUMMYFUNCTION("""COMPUTED_VALUE"""),1.0)</f>
        <v>1</v>
      </c>
      <c r="J149" s="11">
        <f>IFERROR(__xludf.DUMMYFUNCTION("""COMPUTED_VALUE"""),0.0)</f>
        <v>0</v>
      </c>
      <c r="K149" s="11">
        <f>IFERROR(__xludf.DUMMYFUNCTION("""COMPUTED_VALUE"""),1.0)</f>
        <v>1</v>
      </c>
    </row>
    <row r="150" ht="15.75" customHeight="1">
      <c r="A150" s="10" t="str">
        <f>IFERROR(__xludf.DUMMYFUNCTION("""COMPUTED_VALUE"""),"https://www.thekeenfolks.com/solutions/20-the-best-ai-marketing-companies-for-large-enterprises")</f>
        <v>https://www.thekeenfolks.com/solutions/20-the-best-ai-marketing-companies-for-large-enterprises</v>
      </c>
      <c r="B150" s="11" t="str">
        <f>IFERROR(__xludf.DUMMYFUNCTION("""COMPUTED_VALUE"""),"20-The best AI Marketing Companies for large enterprises")</f>
        <v>20-The best AI Marketing Companies for large enterprises</v>
      </c>
      <c r="C150" s="10" t="str">
        <f>IFERROR(__xludf.DUMMYFUNCTION("""COMPUTED_VALUE"""),"thekeenfolks.com")</f>
        <v>thekeenfolks.com</v>
      </c>
      <c r="D150" s="11" t="str">
        <f>IFERROR(__xludf.DUMMYFUNCTION("""COMPUTED_VALUE"""),"PRODUCT_PAGE")</f>
        <v>PRODUCT_PAGE</v>
      </c>
      <c r="E150" s="11" t="str">
        <f>IFERROR(__xludf.DUMMYFUNCTION("""COMPUTED_VALUE"""),"COMPETITOR")</f>
        <v>COMPETITOR</v>
      </c>
      <c r="F150" s="11" t="str">
        <f>IFERROR(__xludf.DUMMYFUNCTION("""COMPUTED_VALUE"""),"Product Page")</f>
        <v>Product Page</v>
      </c>
      <c r="G150" s="11" t="b">
        <f>IFERROR(__xludf.DUMMYFUNCTION("""COMPUTED_VALUE"""),FALSE)</f>
        <v>0</v>
      </c>
      <c r="H150" s="11" t="str">
        <f>IFERROR(__xludf.DUMMYFUNCTION("""COMPUTED_VALUE"""),"Keenfolks, Tinuiti, Wpromote, DEPT, Clay, Measured")</f>
        <v>Keenfolks, Tinuiti, Wpromote, DEPT, Clay, Measured</v>
      </c>
      <c r="I150" s="11">
        <f>IFERROR(__xludf.DUMMYFUNCTION("""COMPUTED_VALUE"""),1.0)</f>
        <v>1</v>
      </c>
      <c r="J150" s="11">
        <f>IFERROR(__xludf.DUMMYFUNCTION("""COMPUTED_VALUE"""),0.0)</f>
        <v>0</v>
      </c>
      <c r="K150" s="11">
        <f>IFERROR(__xludf.DUMMYFUNCTION("""COMPUTED_VALUE"""),2.0)</f>
        <v>2</v>
      </c>
    </row>
    <row r="151" ht="15.75" customHeight="1">
      <c r="A151" s="10" t="str">
        <f>IFERROR(__xludf.DUMMYFUNCTION("""COMPUTED_VALUE"""),"https://thinkstrategic.com/display-advertising/")</f>
        <v>https://thinkstrategic.com/display-advertising/</v>
      </c>
      <c r="B151" s="11" t="str">
        <f>IFERROR(__xludf.DUMMYFUNCTION("""COMPUTED_VALUE"""),"Display Advertising Agency | Strategic Marketing")</f>
        <v>Display Advertising Agency | Strategic Marketing</v>
      </c>
      <c r="C151" s="10" t="str">
        <f>IFERROR(__xludf.DUMMYFUNCTION("""COMPUTED_VALUE"""),"thinkstrategic.com")</f>
        <v>thinkstrategic.com</v>
      </c>
      <c r="D151" s="11" t="str">
        <f>IFERROR(__xludf.DUMMYFUNCTION("""COMPUTED_VALUE"""),"PRODUCT_PAGE")</f>
        <v>PRODUCT_PAGE</v>
      </c>
      <c r="E151" s="11" t="str">
        <f>IFERROR(__xludf.DUMMYFUNCTION("""COMPUTED_VALUE"""),"CORPORATE")</f>
        <v>CORPORATE</v>
      </c>
      <c r="F151" s="11" t="str">
        <f>IFERROR(__xludf.DUMMYFUNCTION("""COMPUTED_VALUE"""),"Product Page")</f>
        <v>Product Page</v>
      </c>
      <c r="G151" s="11" t="b">
        <f>IFERROR(__xludf.DUMMYFUNCTION("""COMPUTED_VALUE"""),FALSE)</f>
        <v>0</v>
      </c>
      <c r="H151" s="11" t="str">
        <f>IFERROR(__xludf.DUMMYFUNCTION("""COMPUTED_VALUE"""),"Measured, Huge")</f>
        <v>Measured, Huge</v>
      </c>
      <c r="I151" s="11">
        <f>IFERROR(__xludf.DUMMYFUNCTION("""COMPUTED_VALUE"""),1.0)</f>
        <v>1</v>
      </c>
      <c r="J151" s="11">
        <f>IFERROR(__xludf.DUMMYFUNCTION("""COMPUTED_VALUE"""),0.0)</f>
        <v>0</v>
      </c>
      <c r="K151" s="11">
        <f>IFERROR(__xludf.DUMMYFUNCTION("""COMPUTED_VALUE"""),1.0)</f>
        <v>1</v>
      </c>
    </row>
    <row r="152" ht="15.75" customHeight="1">
      <c r="A152" s="10" t="str">
        <f>IFERROR(__xludf.DUMMYFUNCTION("""COMPUTED_VALUE"""),"https://tinuiti.com/blisspoint/measurement/incrementality-lab/")</f>
        <v>https://tinuiti.com/blisspoint/measurement/incrementality-lab/</v>
      </c>
      <c r="B152" s="11" t="str">
        <f>IFERROR(__xludf.DUMMYFUNCTION("""COMPUTED_VALUE"""),"Incrementality Lab | Tinuiti")</f>
        <v>Incrementality Lab | Tinuiti</v>
      </c>
      <c r="C152" s="10" t="str">
        <f>IFERROR(__xludf.DUMMYFUNCTION("""COMPUTED_VALUE"""),"tinuiti.com")</f>
        <v>tinuiti.com</v>
      </c>
      <c r="D152" s="11" t="str">
        <f>IFERROR(__xludf.DUMMYFUNCTION("""COMPUTED_VALUE"""),"PRODUCT_PAGE")</f>
        <v>PRODUCT_PAGE</v>
      </c>
      <c r="E152" s="11" t="str">
        <f>IFERROR(__xludf.DUMMYFUNCTION("""COMPUTED_VALUE"""),"COMPETITOR")</f>
        <v>COMPETITOR</v>
      </c>
      <c r="F152" s="11" t="str">
        <f>IFERROR(__xludf.DUMMYFUNCTION("""COMPUTED_VALUE"""),"Product Page")</f>
        <v>Product Page</v>
      </c>
      <c r="G152" s="11" t="b">
        <f>IFERROR(__xludf.DUMMYFUNCTION("""COMPUTED_VALUE"""),FALSE)</f>
        <v>0</v>
      </c>
      <c r="H152" s="11" t="str">
        <f>IFERROR(__xludf.DUMMYFUNCTION("""COMPUTED_VALUE"""),"Tinuiti")</f>
        <v>Tinuiti</v>
      </c>
      <c r="I152" s="11">
        <f>IFERROR(__xludf.DUMMYFUNCTION("""COMPUTED_VALUE"""),1.0)</f>
        <v>1</v>
      </c>
      <c r="J152" s="11">
        <f>IFERROR(__xludf.DUMMYFUNCTION("""COMPUTED_VALUE"""),0.0)</f>
        <v>0</v>
      </c>
      <c r="K152" s="11">
        <f>IFERROR(__xludf.DUMMYFUNCTION("""COMPUTED_VALUE"""),1.0)</f>
        <v>1</v>
      </c>
    </row>
    <row r="153" ht="15.75" customHeight="1">
      <c r="A153" s="10" t="str">
        <f>IFERROR(__xludf.DUMMYFUNCTION("""COMPUTED_VALUE"""),"https://tinuiti.com/services/social/")</f>
        <v>https://tinuiti.com/services/social/</v>
      </c>
      <c r="B153" s="11" t="str">
        <f>IFERROR(__xludf.DUMMYFUNCTION("""COMPUTED_VALUE"""),"Paid Social Media Agency | Tinuiti")</f>
        <v>Paid Social Media Agency | Tinuiti</v>
      </c>
      <c r="C153" s="10" t="str">
        <f>IFERROR(__xludf.DUMMYFUNCTION("""COMPUTED_VALUE"""),"tinuiti.com")</f>
        <v>tinuiti.com</v>
      </c>
      <c r="D153" s="11" t="str">
        <f>IFERROR(__xludf.DUMMYFUNCTION("""COMPUTED_VALUE"""),"PRODUCT_PAGE")</f>
        <v>PRODUCT_PAGE</v>
      </c>
      <c r="E153" s="11" t="str">
        <f>IFERROR(__xludf.DUMMYFUNCTION("""COMPUTED_VALUE"""),"COMPETITOR")</f>
        <v>COMPETITOR</v>
      </c>
      <c r="F153" s="11" t="str">
        <f>IFERROR(__xludf.DUMMYFUNCTION("""COMPUTED_VALUE"""),"Product Page")</f>
        <v>Product Page</v>
      </c>
      <c r="G153" s="11" t="b">
        <f>IFERROR(__xludf.DUMMYFUNCTION("""COMPUTED_VALUE"""),FALSE)</f>
        <v>0</v>
      </c>
      <c r="H153" s="11" t="str">
        <f>IFERROR(__xludf.DUMMYFUNCTION("""COMPUTED_VALUE"""),"Tinuiti")</f>
        <v>Tinuiti</v>
      </c>
      <c r="I153" s="11">
        <f>IFERROR(__xludf.DUMMYFUNCTION("""COMPUTED_VALUE"""),1.0)</f>
        <v>1</v>
      </c>
      <c r="J153" s="11">
        <f>IFERROR(__xludf.DUMMYFUNCTION("""COMPUTED_VALUE"""),0.0)</f>
        <v>0</v>
      </c>
      <c r="K153" s="11">
        <f>IFERROR(__xludf.DUMMYFUNCTION("""COMPUTED_VALUE"""),2.0)</f>
        <v>2</v>
      </c>
    </row>
    <row r="154" ht="15.75" customHeight="1">
      <c r="A154" s="10" t="str">
        <f>IFERROR(__xludf.DUMMYFUNCTION("""COMPUTED_VALUE"""),"https://www.trinitybps.com/ai-consulting")</f>
        <v>https://www.trinitybps.com/ai-consulting</v>
      </c>
      <c r="B154" s="11" t="str">
        <f>IFERROR(__xludf.DUMMYFUNCTION("""COMPUTED_VALUE"""),"AI Adoption Consulting — ARTHA &amp;amp; PRISM | Trinity Bridge PS")</f>
        <v>AI Adoption Consulting — ARTHA &amp;amp; PRISM | Trinity Bridge PS</v>
      </c>
      <c r="C154" s="10" t="str">
        <f>IFERROR(__xludf.DUMMYFUNCTION("""COMPUTED_VALUE"""),"trinitybps.com")</f>
        <v>trinitybps.com</v>
      </c>
      <c r="D154" s="11" t="str">
        <f>IFERROR(__xludf.DUMMYFUNCTION("""COMPUTED_VALUE"""),"PRODUCT_PAGE")</f>
        <v>PRODUCT_PAGE</v>
      </c>
      <c r="E154" s="11" t="str">
        <f>IFERROR(__xludf.DUMMYFUNCTION("""COMPUTED_VALUE"""),"CORPORATE")</f>
        <v>CORPORATE</v>
      </c>
      <c r="F154" s="11" t="str">
        <f>IFERROR(__xludf.DUMMYFUNCTION("""COMPUTED_VALUE"""),"Product Page")</f>
        <v>Product Page</v>
      </c>
      <c r="G154" s="11" t="b">
        <f>IFERROR(__xludf.DUMMYFUNCTION("""COMPUTED_VALUE"""),FALSE)</f>
        <v>0</v>
      </c>
      <c r="H154" s="11"/>
      <c r="I154" s="11">
        <f>IFERROR(__xludf.DUMMYFUNCTION("""COMPUTED_VALUE"""),1.0)</f>
        <v>1</v>
      </c>
      <c r="J154" s="11">
        <f>IFERROR(__xludf.DUMMYFUNCTION("""COMPUTED_VALUE"""),0.0)</f>
        <v>0</v>
      </c>
      <c r="K154" s="11">
        <f>IFERROR(__xludf.DUMMYFUNCTION("""COMPUTED_VALUE"""),0.0)</f>
        <v>0</v>
      </c>
    </row>
    <row r="155" ht="15.75" customHeight="1">
      <c r="A155" s="10" t="str">
        <f>IFERROR(__xludf.DUMMYFUNCTION("""COMPUTED_VALUE"""),"https://www.useready.com/aixcelerate")</f>
        <v>https://www.useready.com/aixcelerate</v>
      </c>
      <c r="B155" s="11" t="str">
        <f>IFERROR(__xludf.DUMMYFUNCTION("""COMPUTED_VALUE"""),"AIxcelerate – Enterprise AI Adoption &amp;amp; Enablement Program | USEReady")</f>
        <v>AIxcelerate – Enterprise AI Adoption &amp;amp; Enablement Program | USEReady</v>
      </c>
      <c r="C155" s="10" t="str">
        <f>IFERROR(__xludf.DUMMYFUNCTION("""COMPUTED_VALUE"""),"useready.com")</f>
        <v>useready.com</v>
      </c>
      <c r="D155" s="11" t="str">
        <f>IFERROR(__xludf.DUMMYFUNCTION("""COMPUTED_VALUE"""),"PRODUCT_PAGE")</f>
        <v>PRODUCT_PAGE</v>
      </c>
      <c r="E155" s="11" t="str">
        <f>IFERROR(__xludf.DUMMYFUNCTION("""COMPUTED_VALUE"""),"CORPORATE")</f>
        <v>CORPORATE</v>
      </c>
      <c r="F155" s="11" t="str">
        <f>IFERROR(__xludf.DUMMYFUNCTION("""COMPUTED_VALUE"""),"Product Page")</f>
        <v>Product Page</v>
      </c>
      <c r="G155" s="11" t="b">
        <f>IFERROR(__xludf.DUMMYFUNCTION("""COMPUTED_VALUE"""),FALSE)</f>
        <v>0</v>
      </c>
      <c r="H155" s="11" t="str">
        <f>IFERROR(__xludf.DUMMYFUNCTION("""COMPUTED_VALUE"""),"BCG, Measured")</f>
        <v>BCG, Measured</v>
      </c>
      <c r="I155" s="11">
        <f>IFERROR(__xludf.DUMMYFUNCTION("""COMPUTED_VALUE"""),1.0)</f>
        <v>1</v>
      </c>
      <c r="J155" s="11">
        <f>IFERROR(__xludf.DUMMYFUNCTION("""COMPUTED_VALUE"""),0.0)</f>
        <v>0</v>
      </c>
      <c r="K155" s="11">
        <f>IFERROR(__xludf.DUMMYFUNCTION("""COMPUTED_VALUE"""),0.0)</f>
        <v>0</v>
      </c>
    </row>
    <row r="156" ht="15.75" customHeight="1">
      <c r="A156" s="10" t="str">
        <f>IFERROR(__xludf.DUMMYFUNCTION("""COMPUTED_VALUE"""),"https://verdtek.com/ai-adoption/")</f>
        <v>https://verdtek.com/ai-adoption/</v>
      </c>
      <c r="B156" s="11" t="str">
        <f>IFERROR(__xludf.DUMMYFUNCTION("""COMPUTED_VALUE"""),"AI Adoption - Verdtek")</f>
        <v>AI Adoption - Verdtek</v>
      </c>
      <c r="C156" s="10" t="str">
        <f>IFERROR(__xludf.DUMMYFUNCTION("""COMPUTED_VALUE"""),"verdtek.com")</f>
        <v>verdtek.com</v>
      </c>
      <c r="D156" s="11" t="str">
        <f>IFERROR(__xludf.DUMMYFUNCTION("""COMPUTED_VALUE"""),"PRODUCT_PAGE")</f>
        <v>PRODUCT_PAGE</v>
      </c>
      <c r="E156" s="11" t="str">
        <f>IFERROR(__xludf.DUMMYFUNCTION("""COMPUTED_VALUE"""),"CORPORATE")</f>
        <v>CORPORATE</v>
      </c>
      <c r="F156" s="11" t="str">
        <f>IFERROR(__xludf.DUMMYFUNCTION("""COMPUTED_VALUE"""),"Product Page")</f>
        <v>Product Page</v>
      </c>
      <c r="G156" s="11" t="b">
        <f>IFERROR(__xludf.DUMMYFUNCTION("""COMPUTED_VALUE"""),FALSE)</f>
        <v>0</v>
      </c>
      <c r="H156" s="11"/>
      <c r="I156" s="11">
        <f>IFERROR(__xludf.DUMMYFUNCTION("""COMPUTED_VALUE"""),1.0)</f>
        <v>1</v>
      </c>
      <c r="J156" s="11">
        <f>IFERROR(__xludf.DUMMYFUNCTION("""COMPUTED_VALUE"""),0.0)</f>
        <v>0</v>
      </c>
      <c r="K156" s="11">
        <f>IFERROR(__xludf.DUMMYFUNCTION("""COMPUTED_VALUE"""),0.0)</f>
        <v>0</v>
      </c>
    </row>
    <row r="157" ht="15.75" customHeight="1">
      <c r="A157" s="10" t="str">
        <f>IFERROR(__xludf.DUMMYFUNCTION("""COMPUTED_VALUE"""),"https://www.visioneerit.com/services/artificial-intelligence-adoption")</f>
        <v>https://www.visioneerit.com/services/artificial-intelligence-adoption</v>
      </c>
      <c r="B157" s="11" t="str">
        <f>IFERROR(__xludf.DUMMYFUNCTION("""COMPUTED_VALUE"""),"AI Adoption Services: Production AI That Drives Real Outcomes")</f>
        <v>AI Adoption Services: Production AI That Drives Real Outcomes</v>
      </c>
      <c r="C157" s="10" t="str">
        <f>IFERROR(__xludf.DUMMYFUNCTION("""COMPUTED_VALUE"""),"visioneerit.com")</f>
        <v>visioneerit.com</v>
      </c>
      <c r="D157" s="11" t="str">
        <f>IFERROR(__xludf.DUMMYFUNCTION("""COMPUTED_VALUE"""),"PRODUCT_PAGE")</f>
        <v>PRODUCT_PAGE</v>
      </c>
      <c r="E157" s="11" t="str">
        <f>IFERROR(__xludf.DUMMYFUNCTION("""COMPUTED_VALUE"""),"CORPORATE")</f>
        <v>CORPORATE</v>
      </c>
      <c r="F157" s="11" t="str">
        <f>IFERROR(__xludf.DUMMYFUNCTION("""COMPUTED_VALUE"""),"Product Page")</f>
        <v>Product Page</v>
      </c>
      <c r="G157" s="11" t="b">
        <f>IFERROR(__xludf.DUMMYFUNCTION("""COMPUTED_VALUE"""),FALSE)</f>
        <v>0</v>
      </c>
      <c r="H157" s="11"/>
      <c r="I157" s="11">
        <f>IFERROR(__xludf.DUMMYFUNCTION("""COMPUTED_VALUE"""),1.0)</f>
        <v>1</v>
      </c>
      <c r="J157" s="11">
        <f>IFERROR(__xludf.DUMMYFUNCTION("""COMPUTED_VALUE"""),0.0)</f>
        <v>0</v>
      </c>
      <c r="K157" s="11">
        <f>IFERROR(__xludf.DUMMYFUNCTION("""COMPUTED_VALUE"""),0.0)</f>
        <v>0</v>
      </c>
    </row>
    <row r="158" ht="15.75" customHeight="1">
      <c r="A158" s="10" t="str">
        <f>IFERROR(__xludf.DUMMYFUNCTION("""COMPUTED_VALUE"""),"https://www.wested.org/support/ai-readiness-and-integration/")</f>
        <v>https://www.wested.org/support/ai-readiness-and-integration/</v>
      </c>
      <c r="B158" s="11" t="str">
        <f>IFERROR(__xludf.DUMMYFUNCTION("""COMPUTED_VALUE"""),"AI Readiness and Integration&amp;nbsp; – WestEd")</f>
        <v>AI Readiness and Integration&amp;nbsp; – WestEd</v>
      </c>
      <c r="C158" s="10" t="str">
        <f>IFERROR(__xludf.DUMMYFUNCTION("""COMPUTED_VALUE"""),"wested.org")</f>
        <v>wested.org</v>
      </c>
      <c r="D158" s="11" t="str">
        <f>IFERROR(__xludf.DUMMYFUNCTION("""COMPUTED_VALUE"""),"PRODUCT_PAGE")</f>
        <v>PRODUCT_PAGE</v>
      </c>
      <c r="E158" s="11" t="str">
        <f>IFERROR(__xludf.DUMMYFUNCTION("""COMPUTED_VALUE"""),"INSTITUTIONAL")</f>
        <v>INSTITUTIONAL</v>
      </c>
      <c r="F158" s="11" t="str">
        <f>IFERROR(__xludf.DUMMYFUNCTION("""COMPUTED_VALUE"""),"Product Page")</f>
        <v>Product Page</v>
      </c>
      <c r="G158" s="11" t="b">
        <f>IFERROR(__xludf.DUMMYFUNCTION("""COMPUTED_VALUE"""),FALSE)</f>
        <v>0</v>
      </c>
      <c r="H158" s="11"/>
      <c r="I158" s="11">
        <f>IFERROR(__xludf.DUMMYFUNCTION("""COMPUTED_VALUE"""),1.0)</f>
        <v>1</v>
      </c>
      <c r="J158" s="11">
        <f>IFERROR(__xludf.DUMMYFUNCTION("""COMPUTED_VALUE"""),0.0)</f>
        <v>0</v>
      </c>
      <c r="K158" s="11">
        <f>IFERROR(__xludf.DUMMYFUNCTION("""COMPUTED_VALUE"""),2.0)</f>
        <v>2</v>
      </c>
    </row>
    <row r="159" ht="15.75" customHeight="1">
      <c r="A159" s="10" t="str">
        <f>IFERROR(__xludf.DUMMYFUNCTION("""COMPUTED_VALUE"""),"https://www.wpromote.com/digital-marketing-services/strategy-planning/")</f>
        <v>https://www.wpromote.com/digital-marketing-services/strategy-planning/</v>
      </c>
      <c r="B159" s="11" t="str">
        <f>IFERROR(__xludf.DUMMYFUNCTION("""COMPUTED_VALUE"""),"Marketing Strategy Services | Digital Marketing Agency | Wpromote")</f>
        <v>Marketing Strategy Services | Digital Marketing Agency | Wpromote</v>
      </c>
      <c r="C159" s="10" t="str">
        <f>IFERROR(__xludf.DUMMYFUNCTION("""COMPUTED_VALUE"""),"wpromote.com")</f>
        <v>wpromote.com</v>
      </c>
      <c r="D159" s="11" t="str">
        <f>IFERROR(__xludf.DUMMYFUNCTION("""COMPUTED_VALUE"""),"PRODUCT_PAGE")</f>
        <v>PRODUCT_PAGE</v>
      </c>
      <c r="E159" s="11" t="str">
        <f>IFERROR(__xludf.DUMMYFUNCTION("""COMPUTED_VALUE"""),"COMPETITOR")</f>
        <v>COMPETITOR</v>
      </c>
      <c r="F159" s="11" t="str">
        <f>IFERROR(__xludf.DUMMYFUNCTION("""COMPUTED_VALUE"""),"Product Page")</f>
        <v>Product Page</v>
      </c>
      <c r="G159" s="11" t="b">
        <f>IFERROR(__xludf.DUMMYFUNCTION("""COMPUTED_VALUE"""),FALSE)</f>
        <v>0</v>
      </c>
      <c r="H159" s="11" t="str">
        <f>IFERROR(__xludf.DUMMYFUNCTION("""COMPUTED_VALUE"""),"Wpromote, Giant Spoon")</f>
        <v>Wpromote, Giant Spoon</v>
      </c>
      <c r="I159" s="11">
        <f>IFERROR(__xludf.DUMMYFUNCTION("""COMPUTED_VALUE"""),1.0)</f>
        <v>1</v>
      </c>
      <c r="J159" s="11">
        <f>IFERROR(__xludf.DUMMYFUNCTION("""COMPUTED_VALUE"""),0.0)</f>
        <v>0</v>
      </c>
      <c r="K159" s="11">
        <f>IFERROR(__xludf.DUMMYFUNCTION("""COMPUTED_VALUE"""),1.0)</f>
        <v>1</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location=":~:text=Amazon%20Marketing%20Cloud%20(AMC)%20is%20a%20secure%2C,media%20strategy%E2%80%94all%20within%20a%20dedicated%2C%20pseudonymized%20environment."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location=":~:text=Generative%20Engine%20Optimization%20(GEO)%20is%20the%20process,structured%20data%2C%20entity%20optimization%2C%20and%20digital%20PR." ref="A20"/>
    <hyperlink r:id="rId37" ref="C20"/>
    <hyperlink r:id="rId38" ref="A21"/>
    <hyperlink r:id="rId39" ref="C21"/>
    <hyperlink r:id="rId40" ref="A22"/>
    <hyperlink r:id="rId41" ref="C22"/>
    <hyperlink r:id="rId42" location=":~:text=Deep%20Customer%20Engagement%20AI%20by%20BCG%20X.,%2D%20Supply%20Chain%20AI%20by%20BCG%20X." ref="A23"/>
    <hyperlink r:id="rId43" ref="C23"/>
    <hyperlink r:id="rId44" location=":~:text=Merkle%20B2B%20Merkle%20B2B%20specializes%20in%20enterprise%2Dgrade,complex%20buying%20committees%20across%20LinkedIn%20and%20Meta."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location=":~:text=The%20CTPAT%2FAEO%20%E2%80%93%20Supply%20Chain,system%20to%20ensure%20ongoing%20compliance." ref="A55"/>
    <hyperlink r:id="rId106" ref="C55"/>
    <hyperlink r:id="rId107" location=":~:text=Deringer%20is%20the%20largest%20privately,over%20a%20million%20entries%20annually."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A106"/>
    <hyperlink r:id="rId207" ref="C106"/>
    <hyperlink r:id="rId208" ref="A107"/>
    <hyperlink r:id="rId209" ref="C107"/>
    <hyperlink r:id="rId210" ref="A108"/>
    <hyperlink r:id="rId211" ref="C108"/>
    <hyperlink r:id="rId212" location=":~:text=Frequently%20Asked%20Questions%20%2D%20What%20is%20Answer,in%20AI%20Overviews%20and%20other%20answer%20engines%3F"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ref="A130"/>
    <hyperlink r:id="rId255" ref="C130"/>
    <hyperlink r:id="rId256" ref="A131"/>
    <hyperlink r:id="rId257" ref="C131"/>
    <hyperlink r:id="rId258" ref="A132"/>
    <hyperlink r:id="rId259" ref="C132"/>
    <hyperlink r:id="rId260" ref="A133"/>
    <hyperlink r:id="rId261" ref="A134"/>
    <hyperlink r:id="rId262" ref="C134"/>
    <hyperlink r:id="rId263" ref="A135"/>
    <hyperlink r:id="rId264" ref="A136"/>
    <hyperlink r:id="rId265" ref="C136"/>
    <hyperlink r:id="rId266" ref="A137"/>
    <hyperlink r:id="rId267" ref="C137"/>
    <hyperlink r:id="rId268" ref="A138"/>
    <hyperlink r:id="rId269" ref="C138"/>
    <hyperlink r:id="rId270" ref="A139"/>
    <hyperlink r:id="rId271" ref="C139"/>
    <hyperlink r:id="rId272" ref="A140"/>
    <hyperlink r:id="rId273" ref="C140"/>
    <hyperlink r:id="rId274" ref="A141"/>
    <hyperlink r:id="rId275" ref="C141"/>
    <hyperlink r:id="rId276" ref="A142"/>
    <hyperlink r:id="rId277" ref="C142"/>
    <hyperlink r:id="rId278" ref="A143"/>
    <hyperlink r:id="rId279" ref="C143"/>
    <hyperlink r:id="rId280" ref="A144"/>
    <hyperlink r:id="rId281" ref="C144"/>
    <hyperlink r:id="rId282" ref="A145"/>
    <hyperlink r:id="rId283" ref="C145"/>
    <hyperlink r:id="rId284" ref="A146"/>
    <hyperlink r:id="rId285" ref="C146"/>
    <hyperlink r:id="rId286" ref="A147"/>
    <hyperlink r:id="rId287" ref="C147"/>
    <hyperlink r:id="rId288" ref="A148"/>
    <hyperlink r:id="rId289" ref="C148"/>
    <hyperlink r:id="rId290" ref="A149"/>
    <hyperlink r:id="rId291" ref="C149"/>
    <hyperlink r:id="rId292" ref="A150"/>
    <hyperlink r:id="rId293" ref="C150"/>
    <hyperlink r:id="rId294" ref="A151"/>
    <hyperlink r:id="rId295" ref="C151"/>
    <hyperlink r:id="rId296" ref="A152"/>
    <hyperlink r:id="rId297" ref="C152"/>
    <hyperlink r:id="rId298" ref="A153"/>
    <hyperlink r:id="rId299" ref="C153"/>
    <hyperlink r:id="rId300" ref="A154"/>
    <hyperlink r:id="rId301" ref="C154"/>
    <hyperlink r:id="rId302" ref="A155"/>
    <hyperlink r:id="rId303" ref="C155"/>
    <hyperlink r:id="rId304" ref="A156"/>
    <hyperlink r:id="rId305" ref="C156"/>
    <hyperlink r:id="rId306" ref="A157"/>
    <hyperlink r:id="rId307" ref="C157"/>
    <hyperlink r:id="rId308" ref="A158"/>
    <hyperlink r:id="rId309" ref="C158"/>
    <hyperlink r:id="rId310" ref="A159"/>
    <hyperlink r:id="rId311" ref="C159"/>
  </hyperlinks>
  <drawing r:id="rId31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4</v>
      </c>
      <c r="F1" s="1" t="s">
        <v>5</v>
      </c>
      <c r="G1" s="1" t="s">
        <v>7</v>
      </c>
      <c r="H1" s="1" t="s">
        <v>6</v>
      </c>
      <c r="I1" s="1" t="s">
        <v>8</v>
      </c>
      <c r="J1" s="1" t="s">
        <v>11</v>
      </c>
      <c r="K1" s="3" t="s">
        <v>13</v>
      </c>
      <c r="L1" s="4"/>
      <c r="M1" s="4"/>
      <c r="N1" s="6"/>
      <c r="O1" s="6"/>
      <c r="P1" s="6"/>
      <c r="Q1" s="6"/>
      <c r="R1" s="6"/>
      <c r="S1" s="6"/>
      <c r="T1" s="6"/>
      <c r="U1" s="6"/>
      <c r="V1" s="6"/>
      <c r="W1" s="6"/>
      <c r="X1" s="6"/>
      <c r="Y1" s="6"/>
      <c r="Z1" s="6"/>
    </row>
    <row r="2" ht="15.75" customHeight="1">
      <c r="A2" s="10" t="str">
        <f>IFERROR(__xludf.DUMMYFUNCTION("IFERROR(
  FILTER(
    'PEEC - URLs - All'!A2:K1000,
    LOWER(TRIM(TO_TEXT('PEEC - URLs - All'!D2:D1000)))=""profile""
  ),
  """"
)"),"https://digitalagencynetwork.com/agencies/usa/ai-marketing/")</f>
        <v>https://digitalagencynetwork.com/agencies/usa/ai-marketing/</v>
      </c>
      <c r="B2" s="11" t="str">
        <f>IFERROR(__xludf.DUMMYFUNCTION("""COMPUTED_VALUE"""),"Top AI Marketing Agencies in USA (2026)")</f>
        <v>Top AI Marketing Agencies in USA (2026)</v>
      </c>
      <c r="C2" s="10" t="str">
        <f>IFERROR(__xludf.DUMMYFUNCTION("""COMPUTED_VALUE"""),"digitalagencynetwork.com")</f>
        <v>digitalagencynetwork.com</v>
      </c>
      <c r="D2" s="11" t="str">
        <f>IFERROR(__xludf.DUMMYFUNCTION("""COMPUTED_VALUE"""),"PROFILE")</f>
        <v>PROFILE</v>
      </c>
      <c r="E2" s="11" t="str">
        <f>IFERROR(__xludf.DUMMYFUNCTION("""COMPUTED_VALUE"""),"REFERENCE")</f>
        <v>REFERENCE</v>
      </c>
      <c r="F2" s="11" t="str">
        <f>IFERROR(__xludf.DUMMYFUNCTION("""COMPUTED_VALUE"""),"Profile")</f>
        <v>Profile</v>
      </c>
      <c r="G2" s="11" t="b">
        <f>IFERROR(__xludf.DUMMYFUNCTION("""COMPUTED_VALUE"""),FALSE)</f>
        <v>0</v>
      </c>
      <c r="H2" s="11" t="str">
        <f>IFERROR(__xludf.DUMMYFUNCTION("""COMPUTED_VALUE"""),"Major Tom, NoGood, Clay, Clutch, SmartSites, Ignite Visibility, Amsive, NinjaPromo, Victorious, BCG, Intero Digital")</f>
        <v>Major Tom, NoGood, Clay, Clutch, SmartSites, Ignite Visibility, Amsive, NinjaPromo, Victorious, BCG, Intero Digital</v>
      </c>
      <c r="I2" s="11">
        <f>IFERROR(__xludf.DUMMYFUNCTION("""COMPUTED_VALUE"""),59.0)</f>
        <v>59</v>
      </c>
      <c r="J2" s="11">
        <f>IFERROR(__xludf.DUMMYFUNCTION("""COMPUTED_VALUE"""),0.06)</f>
        <v>0.06</v>
      </c>
      <c r="K2" s="11">
        <f>IFERROR(__xludf.DUMMYFUNCTION("""COMPUTED_VALUE"""),0.22)</f>
        <v>0.22</v>
      </c>
    </row>
    <row r="3" ht="15.75" customHeight="1">
      <c r="A3" s="10" t="str">
        <f>IFERROR(__xludf.DUMMYFUNCTION("""COMPUTED_VALUE"""),"https://agencies.semrush.com/list/united-states/")</f>
        <v>https://agencies.semrush.com/list/united-states/</v>
      </c>
      <c r="B3" s="11" t="str">
        <f>IFERROR(__xludf.DUMMYFUNCTION("""COMPUTED_VALUE"""),"Best Digital Marketing Agencies in United States 2026 | Semrush")</f>
        <v>Best Digital Marketing Agencies in United States 2026 | Semrush</v>
      </c>
      <c r="C3" s="10" t="str">
        <f>IFERROR(__xludf.DUMMYFUNCTION("""COMPUTED_VALUE"""),"semrush.com")</f>
        <v>semrush.com</v>
      </c>
      <c r="D3" s="11" t="str">
        <f>IFERROR(__xludf.DUMMYFUNCTION("""COMPUTED_VALUE"""),"PROFILE")</f>
        <v>PROFILE</v>
      </c>
      <c r="E3" s="11" t="str">
        <f>IFERROR(__xludf.DUMMYFUNCTION("""COMPUTED_VALUE"""),"CORPORATE")</f>
        <v>CORPORATE</v>
      </c>
      <c r="F3" s="11" t="str">
        <f>IFERROR(__xludf.DUMMYFUNCTION("""COMPUTED_VALUE"""),"Profile")</f>
        <v>Profile</v>
      </c>
      <c r="G3" s="11" t="b">
        <f>IFERROR(__xludf.DUMMYFUNCTION("""COMPUTED_VALUE"""),FALSE)</f>
        <v>0</v>
      </c>
      <c r="H3" s="11" t="str">
        <f>IFERROR(__xludf.DUMMYFUNCTION("""COMPUTED_VALUE"""),"Clutch")</f>
        <v>Clutch</v>
      </c>
      <c r="I3" s="11">
        <f>IFERROR(__xludf.DUMMYFUNCTION("""COMPUTED_VALUE"""),33.0)</f>
        <v>33</v>
      </c>
      <c r="J3" s="11">
        <f>IFERROR(__xludf.DUMMYFUNCTION("""COMPUTED_VALUE"""),0.03)</f>
        <v>0.03</v>
      </c>
      <c r="K3" s="11">
        <f>IFERROR(__xludf.DUMMYFUNCTION("""COMPUTED_VALUE"""),0.24)</f>
        <v>0.24</v>
      </c>
    </row>
    <row r="4" ht="15.75" customHeight="1">
      <c r="A4" s="10" t="str">
        <f>IFERROR(__xludf.DUMMYFUNCTION("""COMPUTED_VALUE"""),"https://www.gartner.com/reviews/market/global-digital-marketing-agencies")</f>
        <v>https://www.gartner.com/reviews/market/global-digital-marketing-agencies</v>
      </c>
      <c r="B4" s="11" t="str">
        <f>IFERROR(__xludf.DUMMYFUNCTION("""COMPUTED_VALUE"""),"Best Global Digital Marketing Agencies Reviews 2026 | Gartner Peer Insights")</f>
        <v>Best Global Digital Marketing Agencies Reviews 2026 | Gartner Peer Insights</v>
      </c>
      <c r="C4" s="10" t="str">
        <f>IFERROR(__xludf.DUMMYFUNCTION("""COMPUTED_VALUE"""),"gartner.com")</f>
        <v>gartner.com</v>
      </c>
      <c r="D4" s="11" t="str">
        <f>IFERROR(__xludf.DUMMYFUNCTION("""COMPUTED_VALUE"""),"PROFILE")</f>
        <v>PROFILE</v>
      </c>
      <c r="E4" s="11" t="str">
        <f>IFERROR(__xludf.DUMMYFUNCTION("""COMPUTED_VALUE"""),"CORPORATE")</f>
        <v>CORPORATE</v>
      </c>
      <c r="F4" s="11" t="str">
        <f>IFERROR(__xludf.DUMMYFUNCTION("""COMPUTED_VALUE"""),"Profile")</f>
        <v>Profile</v>
      </c>
      <c r="G4" s="11" t="b">
        <f>IFERROR(__xludf.DUMMYFUNCTION("""COMPUTED_VALUE"""),FALSE)</f>
        <v>0</v>
      </c>
      <c r="H4" s="11" t="str">
        <f>IFERROR(__xludf.DUMMYFUNCTION("""COMPUTED_VALUE"""),"SmartSites, Accenture Song, Deloitte Digital, Huge, Merkle, AKQA, Digitas, VML, Ogilvy, R/GA")</f>
        <v>SmartSites, Accenture Song, Deloitte Digital, Huge, Merkle, AKQA, Digitas, VML, Ogilvy, R/GA</v>
      </c>
      <c r="I4" s="11">
        <f>IFERROR(__xludf.DUMMYFUNCTION("""COMPUTED_VALUE"""),18.0)</f>
        <v>18</v>
      </c>
      <c r="J4" s="11">
        <f>IFERROR(__xludf.DUMMYFUNCTION("""COMPUTED_VALUE"""),0.02)</f>
        <v>0.02</v>
      </c>
      <c r="K4" s="11">
        <f>IFERROR(__xludf.DUMMYFUNCTION("""COMPUTED_VALUE"""),1.61)</f>
        <v>1.61</v>
      </c>
    </row>
    <row r="5" ht="15.75" customHeight="1">
      <c r="A5" s="10" t="str">
        <f>IFERROR(__xludf.DUMMYFUNCTION("""COMPUTED_VALUE"""),"https://www.goodfirms.co/big-data-analytics/marketing-analytics")</f>
        <v>https://www.goodfirms.co/big-data-analytics/marketing-analytics</v>
      </c>
      <c r="B5" s="11" t="str">
        <f>IFERROR(__xludf.DUMMYFUNCTION("""COMPUTED_VALUE"""),"Top Marketing Analytics Companies - 2026 Reviews | Goodfirms")</f>
        <v>Top Marketing Analytics Companies - 2026 Reviews | Goodfirms</v>
      </c>
      <c r="C5" s="10" t="str">
        <f>IFERROR(__xludf.DUMMYFUNCTION("""COMPUTED_VALUE"""),"goodfirms.co")</f>
        <v>goodfirms.co</v>
      </c>
      <c r="D5" s="11" t="str">
        <f>IFERROR(__xludf.DUMMYFUNCTION("""COMPUTED_VALUE"""),"PROFILE")</f>
        <v>PROFILE</v>
      </c>
      <c r="E5" s="11" t="str">
        <f>IFERROR(__xludf.DUMMYFUNCTION("""COMPUTED_VALUE"""),"UGC")</f>
        <v>UGC</v>
      </c>
      <c r="F5" s="11" t="str">
        <f>IFERROR(__xludf.DUMMYFUNCTION("""COMPUTED_VALUE"""),"Profile")</f>
        <v>Profile</v>
      </c>
      <c r="G5" s="11" t="b">
        <f>IFERROR(__xludf.DUMMYFUNCTION("""COMPUTED_VALUE"""),FALSE)</f>
        <v>0</v>
      </c>
      <c r="H5" s="11"/>
      <c r="I5" s="11">
        <f>IFERROR(__xludf.DUMMYFUNCTION("""COMPUTED_VALUE"""),18.0)</f>
        <v>18</v>
      </c>
      <c r="J5" s="11">
        <f>IFERROR(__xludf.DUMMYFUNCTION("""COMPUTED_VALUE"""),0.02)</f>
        <v>0.02</v>
      </c>
      <c r="K5" s="11">
        <f>IFERROR(__xludf.DUMMYFUNCTION("""COMPUTED_VALUE"""),0.0)</f>
        <v>0</v>
      </c>
    </row>
    <row r="6" ht="15.75" customHeight="1">
      <c r="A6" s="10" t="str">
        <f>IFERROR(__xludf.DUMMYFUNCTION("""COMPUTED_VALUE"""),"https://www.businessofapps.com/marketplace/ai-marketing/")</f>
        <v>https://www.businessofapps.com/marketplace/ai-marketing/</v>
      </c>
      <c r="B6" s="11" t="str">
        <f>IFERROR(__xludf.DUMMYFUNCTION("""COMPUTED_VALUE"""),"Top AI Marketing Companies (2026) - Business of Apps")</f>
        <v>Top AI Marketing Companies (2026) - Business of Apps</v>
      </c>
      <c r="C6" s="10" t="str">
        <f>IFERROR(__xludf.DUMMYFUNCTION("""COMPUTED_VALUE"""),"businessofapps.com")</f>
        <v>businessofapps.com</v>
      </c>
      <c r="D6" s="11" t="str">
        <f>IFERROR(__xludf.DUMMYFUNCTION("""COMPUTED_VALUE"""),"PROFILE")</f>
        <v>PROFILE</v>
      </c>
      <c r="E6" s="11" t="str">
        <f>IFERROR(__xludf.DUMMYFUNCTION("""COMPUTED_VALUE"""),"EDITORIAL")</f>
        <v>EDITORIAL</v>
      </c>
      <c r="F6" s="11" t="str">
        <f>IFERROR(__xludf.DUMMYFUNCTION("""COMPUTED_VALUE"""),"Profile")</f>
        <v>Profile</v>
      </c>
      <c r="G6" s="11" t="b">
        <f>IFERROR(__xludf.DUMMYFUNCTION("""COMPUTED_VALUE"""),FALSE)</f>
        <v>0</v>
      </c>
      <c r="H6" s="11" t="str">
        <f>IFERROR(__xludf.DUMMYFUNCTION("""COMPUTED_VALUE"""),"Huge, NinjaPromo, Anomaly")</f>
        <v>Huge, NinjaPromo, Anomaly</v>
      </c>
      <c r="I6" s="11">
        <f>IFERROR(__xludf.DUMMYFUNCTION("""COMPUTED_VALUE"""),16.0)</f>
        <v>16</v>
      </c>
      <c r="J6" s="11">
        <f>IFERROR(__xludf.DUMMYFUNCTION("""COMPUTED_VALUE"""),0.02)</f>
        <v>0.02</v>
      </c>
      <c r="K6" s="11">
        <f>IFERROR(__xludf.DUMMYFUNCTION("""COMPUTED_VALUE"""),0.19)</f>
        <v>0.19</v>
      </c>
    </row>
    <row r="7" ht="15.75" customHeight="1">
      <c r="A7" s="10" t="str">
        <f>IFERROR(__xludf.DUMMYFUNCTION("""COMPUTED_VALUE"""),"https://digitalagencynetwork.com/agencies/usa/geo/")</f>
        <v>https://digitalagencynetwork.com/agencies/usa/geo/</v>
      </c>
      <c r="B7" s="11" t="str">
        <f>IFERROR(__xludf.DUMMYFUNCTION("""COMPUTED_VALUE"""),"Top GEO Agencies in USA for Generative Engine Optimization (2026)")</f>
        <v>Top GEO Agencies in USA for Generative Engine Optimization (2026)</v>
      </c>
      <c r="C7" s="10" t="str">
        <f>IFERROR(__xludf.DUMMYFUNCTION("""COMPUTED_VALUE"""),"digitalagencynetwork.com")</f>
        <v>digitalagencynetwork.com</v>
      </c>
      <c r="D7" s="11" t="str">
        <f>IFERROR(__xludf.DUMMYFUNCTION("""COMPUTED_VALUE"""),"PROFILE")</f>
        <v>PROFILE</v>
      </c>
      <c r="E7" s="11" t="str">
        <f>IFERROR(__xludf.DUMMYFUNCTION("""COMPUTED_VALUE"""),"REFERENCE")</f>
        <v>REFERENCE</v>
      </c>
      <c r="F7" s="11" t="str">
        <f>IFERROR(__xludf.DUMMYFUNCTION("""COMPUTED_VALUE"""),"Profile")</f>
        <v>Profile</v>
      </c>
      <c r="G7" s="11" t="b">
        <f>IFERROR(__xludf.DUMMYFUNCTION("""COMPUTED_VALUE"""),FALSE)</f>
        <v>0</v>
      </c>
      <c r="H7" s="11" t="str">
        <f>IFERROR(__xludf.DUMMYFUNCTION("""COMPUTED_VALUE"""),"Measured, Amsive, NoGood, Major Tom, Victorious, BCG, Web Tonic, Ignite Visibility")</f>
        <v>Measured, Amsive, NoGood, Major Tom, Victorious, BCG, Web Tonic, Ignite Visibility</v>
      </c>
      <c r="I7" s="11">
        <f>IFERROR(__xludf.DUMMYFUNCTION("""COMPUTED_VALUE"""),16.0)</f>
        <v>16</v>
      </c>
      <c r="J7" s="11">
        <f>IFERROR(__xludf.DUMMYFUNCTION("""COMPUTED_VALUE"""),0.02)</f>
        <v>0.02</v>
      </c>
      <c r="K7" s="11">
        <f>IFERROR(__xludf.DUMMYFUNCTION("""COMPUTED_VALUE"""),0.56)</f>
        <v>0.56</v>
      </c>
    </row>
    <row r="8" ht="15.75" customHeight="1">
      <c r="A8" s="10" t="str">
        <f>IFERROR(__xludf.DUMMYFUNCTION("""COMPUTED_VALUE"""),"https://techbehemoths.com/companies/marketing-analytics/united-states")</f>
        <v>https://techbehemoths.com/companies/marketing-analytics/united-states</v>
      </c>
      <c r="B8" s="11" t="str">
        <f>IFERROR(__xludf.DUMMYFUNCTION("""COMPUTED_VALUE"""),"Top 20+ Marketing analytics Companies in United States (2026) - TechBehemoths")</f>
        <v>Top 20+ Marketing analytics Companies in United States (2026) - TechBehemoths</v>
      </c>
      <c r="C8" s="10" t="str">
        <f>IFERROR(__xludf.DUMMYFUNCTION("""COMPUTED_VALUE"""),"techbehemoths.com")</f>
        <v>techbehemoths.com</v>
      </c>
      <c r="D8" s="11" t="str">
        <f>IFERROR(__xludf.DUMMYFUNCTION("""COMPUTED_VALUE"""),"PROFILE")</f>
        <v>PROFILE</v>
      </c>
      <c r="E8" s="11" t="str">
        <f>IFERROR(__xludf.DUMMYFUNCTION("""COMPUTED_VALUE"""),"REFERENCE")</f>
        <v>REFERENCE</v>
      </c>
      <c r="F8" s="11" t="str">
        <f>IFERROR(__xludf.DUMMYFUNCTION("""COMPUTED_VALUE"""),"Profile")</f>
        <v>Profile</v>
      </c>
      <c r="G8" s="11" t="b">
        <f>IFERROR(__xludf.DUMMYFUNCTION("""COMPUTED_VALUE"""),FALSE)</f>
        <v>0</v>
      </c>
      <c r="H8" s="11"/>
      <c r="I8" s="11">
        <f>IFERROR(__xludf.DUMMYFUNCTION("""COMPUTED_VALUE"""),15.0)</f>
        <v>15</v>
      </c>
      <c r="J8" s="11">
        <f>IFERROR(__xludf.DUMMYFUNCTION("""COMPUTED_VALUE"""),0.01)</f>
        <v>0.01</v>
      </c>
      <c r="K8" s="11">
        <f>IFERROR(__xludf.DUMMYFUNCTION("""COMPUTED_VALUE"""),0.13)</f>
        <v>0.13</v>
      </c>
    </row>
    <row r="9" ht="15.75" customHeight="1">
      <c r="A9" s="10" t="str">
        <f>IFERROR(__xludf.DUMMYFUNCTION("""COMPUTED_VALUE"""),"https://techbehemoths.com/companies/google-marketing-platform/united-states")</f>
        <v>https://techbehemoths.com/companies/google-marketing-platform/united-states</v>
      </c>
      <c r="B9" s="11" t="str">
        <f>IFERROR(__xludf.DUMMYFUNCTION("""COMPUTED_VALUE"""),"Top 20+ Google Marketing Platform Companies in United States (2026) - TechBehemoths")</f>
        <v>Top 20+ Google Marketing Platform Companies in United States (2026) - TechBehemoths</v>
      </c>
      <c r="C9" s="10" t="str">
        <f>IFERROR(__xludf.DUMMYFUNCTION("""COMPUTED_VALUE"""),"techbehemoths.com")</f>
        <v>techbehemoths.com</v>
      </c>
      <c r="D9" s="11" t="str">
        <f>IFERROR(__xludf.DUMMYFUNCTION("""COMPUTED_VALUE"""),"PROFILE")</f>
        <v>PROFILE</v>
      </c>
      <c r="E9" s="11" t="str">
        <f>IFERROR(__xludf.DUMMYFUNCTION("""COMPUTED_VALUE"""),"REFERENCE")</f>
        <v>REFERENCE</v>
      </c>
      <c r="F9" s="11" t="str">
        <f>IFERROR(__xludf.DUMMYFUNCTION("""COMPUTED_VALUE"""),"Profile")</f>
        <v>Profile</v>
      </c>
      <c r="G9" s="11" t="b">
        <f>IFERROR(__xludf.DUMMYFUNCTION("""COMPUTED_VALUE"""),FALSE)</f>
        <v>0</v>
      </c>
      <c r="H9" s="11" t="str">
        <f>IFERROR(__xludf.DUMMYFUNCTION("""COMPUTED_VALUE"""),"Storm Brain")</f>
        <v>Storm Brain</v>
      </c>
      <c r="I9" s="11">
        <f>IFERROR(__xludf.DUMMYFUNCTION("""COMPUTED_VALUE"""),13.0)</f>
        <v>13</v>
      </c>
      <c r="J9" s="11">
        <f>IFERROR(__xludf.DUMMYFUNCTION("""COMPUTED_VALUE"""),0.01)</f>
        <v>0.01</v>
      </c>
      <c r="K9" s="11">
        <f>IFERROR(__xludf.DUMMYFUNCTION("""COMPUTED_VALUE"""),0.08)</f>
        <v>0.08</v>
      </c>
    </row>
    <row r="10" ht="15.75" customHeight="1">
      <c r="A10" s="10" t="str">
        <f>IFERROR(__xludf.DUMMYFUNCTION("""COMPUTED_VALUE"""),"https://themanifest.com/us/media-buying/agencies")</f>
        <v>https://themanifest.com/us/media-buying/agencies</v>
      </c>
      <c r="B10" s="11" t="str">
        <f>IFERROR(__xludf.DUMMYFUNCTION("""COMPUTED_VALUE"""),"The Best Media Planning and Buying Companies in United States - Jun 2026 | The Manifest")</f>
        <v>The Best Media Planning and Buying Companies in United States - Jun 2026 | The Manifest</v>
      </c>
      <c r="C10" s="10" t="str">
        <f>IFERROR(__xludf.DUMMYFUNCTION("""COMPUTED_VALUE"""),"themanifest.com")</f>
        <v>themanifest.com</v>
      </c>
      <c r="D10" s="11" t="str">
        <f>IFERROR(__xludf.DUMMYFUNCTION("""COMPUTED_VALUE"""),"PROFILE")</f>
        <v>PROFILE</v>
      </c>
      <c r="E10" s="11" t="str">
        <f>IFERROR(__xludf.DUMMYFUNCTION("""COMPUTED_VALUE"""),"REFERENCE")</f>
        <v>REFERENCE</v>
      </c>
      <c r="F10" s="11" t="str">
        <f>IFERROR(__xludf.DUMMYFUNCTION("""COMPUTED_VALUE"""),"Profile")</f>
        <v>Profile</v>
      </c>
      <c r="G10" s="11" t="b">
        <f>IFERROR(__xludf.DUMMYFUNCTION("""COMPUTED_VALUE"""),FALSE)</f>
        <v>0</v>
      </c>
      <c r="H10" s="11" t="str">
        <f>IFERROR(__xludf.DUMMYFUNCTION("""COMPUTED_VALUE"""),"Clutch, Accelerated Digital Media, Tinuiti, NP Digital, MuteSix")</f>
        <v>Clutch, Accelerated Digital Media, Tinuiti, NP Digital, MuteSix</v>
      </c>
      <c r="I10" s="11">
        <f>IFERROR(__xludf.DUMMYFUNCTION("""COMPUTED_VALUE"""),12.0)</f>
        <v>12</v>
      </c>
      <c r="J10" s="11">
        <f>IFERROR(__xludf.DUMMYFUNCTION("""COMPUTED_VALUE"""),0.01)</f>
        <v>0.01</v>
      </c>
      <c r="K10" s="11">
        <f>IFERROR(__xludf.DUMMYFUNCTION("""COMPUTED_VALUE"""),0.0)</f>
        <v>0</v>
      </c>
    </row>
    <row r="11" ht="15.75" customHeight="1">
      <c r="A11" s="10" t="str">
        <f>IFERROR(__xludf.DUMMYFUNCTION("""COMPUTED_VALUE"""),"https://www.gartner.com/reviews/product/measured-89579724?marketSeoName=marketing-mix-modeling-solutions")</f>
        <v>https://www.gartner.com/reviews/product/measured-89579724?marketSeoName=marketing-mix-modeling-solutions</v>
      </c>
      <c r="B11" s="11" t="str">
        <f>IFERROR(__xludf.DUMMYFUNCTION("""COMPUTED_VALUE"""),"Measured Reviews &amp; Ratings 2026 \| Gartner Peer Insights")</f>
        <v>Measured Reviews &amp; Ratings 2026 \| Gartner Peer Insights</v>
      </c>
      <c r="C11" s="10" t="str">
        <f>IFERROR(__xludf.DUMMYFUNCTION("""COMPUTED_VALUE"""),"gartner.com")</f>
        <v>gartner.com</v>
      </c>
      <c r="D11" s="11" t="str">
        <f>IFERROR(__xludf.DUMMYFUNCTION("""COMPUTED_VALUE"""),"PROFILE")</f>
        <v>PROFILE</v>
      </c>
      <c r="E11" s="11" t="str">
        <f>IFERROR(__xludf.DUMMYFUNCTION("""COMPUTED_VALUE"""),"CORPORATE")</f>
        <v>CORPORATE</v>
      </c>
      <c r="F11" s="11" t="str">
        <f>IFERROR(__xludf.DUMMYFUNCTION("""COMPUTED_VALUE"""),"Profile")</f>
        <v>Profile</v>
      </c>
      <c r="G11" s="11" t="b">
        <f>IFERROR(__xludf.DUMMYFUNCTION("""COMPUTED_VALUE"""),FALSE)</f>
        <v>0</v>
      </c>
      <c r="H11" s="11" t="str">
        <f>IFERROR(__xludf.DUMMYFUNCTION("""COMPUTED_VALUE"""),"Measured, Nielsen")</f>
        <v>Measured, Nielsen</v>
      </c>
      <c r="I11" s="11">
        <f>IFERROR(__xludf.DUMMYFUNCTION("""COMPUTED_VALUE"""),11.0)</f>
        <v>11</v>
      </c>
      <c r="J11" s="11">
        <f>IFERROR(__xludf.DUMMYFUNCTION("""COMPUTED_VALUE"""),0.01)</f>
        <v>0.01</v>
      </c>
      <c r="K11" s="11">
        <f>IFERROR(__xludf.DUMMYFUNCTION("""COMPUTED_VALUE"""),1.18)</f>
        <v>1.18</v>
      </c>
    </row>
    <row r="12" ht="15.75" customHeight="1">
      <c r="A12" s="10" t="str">
        <f>IFERROR(__xludf.DUMMYFUNCTION("""COMPUTED_VALUE"""),"https://www.cbinsights.com/esp/enterprise-tech/marketing-&amp;-ad-tech/marketing-attribution")</f>
        <v>https://www.cbinsights.com/esp/enterprise-tech/marketing-&amp;-ad-tech/marketing-attribution</v>
      </c>
      <c r="B12" s="11" t="str">
        <f>IFERROR(__xludf.DUMMYFUNCTION("""COMPUTED_VALUE"""),"Marketing Attribution - ESP on CB Insights")</f>
        <v>Marketing Attribution - ESP on CB Insights</v>
      </c>
      <c r="C12" s="10" t="str">
        <f>IFERROR(__xludf.DUMMYFUNCTION("""COMPUTED_VALUE"""),"cbinsights.com")</f>
        <v>cbinsights.com</v>
      </c>
      <c r="D12" s="11" t="str">
        <f>IFERROR(__xludf.DUMMYFUNCTION("""COMPUTED_VALUE"""),"PROFILE")</f>
        <v>PROFILE</v>
      </c>
      <c r="E12" s="11" t="str">
        <f>IFERROR(__xludf.DUMMYFUNCTION("""COMPUTED_VALUE"""),"CORPORATE")</f>
        <v>CORPORATE</v>
      </c>
      <c r="F12" s="11" t="str">
        <f>IFERROR(__xludf.DUMMYFUNCTION("""COMPUTED_VALUE"""),"Profile")</f>
        <v>Profile</v>
      </c>
      <c r="G12" s="11" t="b">
        <f>IFERROR(__xludf.DUMMYFUNCTION("""COMPUTED_VALUE"""),FALSE)</f>
        <v>0</v>
      </c>
      <c r="H12" s="11" t="str">
        <f>IFERROR(__xludf.DUMMYFUNCTION("""COMPUTED_VALUE"""),"HockeyStack, Measured, Northbeam, Rockerbox")</f>
        <v>HockeyStack, Measured, Northbeam, Rockerbox</v>
      </c>
      <c r="I12" s="11">
        <f>IFERROR(__xludf.DUMMYFUNCTION("""COMPUTED_VALUE"""),10.0)</f>
        <v>10</v>
      </c>
      <c r="J12" s="11">
        <f>IFERROR(__xludf.DUMMYFUNCTION("""COMPUTED_VALUE"""),0.01)</f>
        <v>0.01</v>
      </c>
      <c r="K12" s="11">
        <f>IFERROR(__xludf.DUMMYFUNCTION("""COMPUTED_VALUE"""),0.0)</f>
        <v>0</v>
      </c>
    </row>
    <row r="13" ht="15.75" customHeight="1">
      <c r="A13" s="10" t="str">
        <f>IFERROR(__xludf.DUMMYFUNCTION("""COMPUTED_VALUE"""),"https://www.sortlist.com/attribution-marketing")</f>
        <v>https://www.sortlist.com/attribution-marketing</v>
      </c>
      <c r="B13" s="11" t="str">
        <f>IFERROR(__xludf.DUMMYFUNCTION("""COMPUTED_VALUE"""),"The 100 Best Attribution Marketing Agencies - 2026 Reviews")</f>
        <v>The 100 Best Attribution Marketing Agencies - 2026 Reviews</v>
      </c>
      <c r="C13" s="10" t="str">
        <f>IFERROR(__xludf.DUMMYFUNCTION("""COMPUTED_VALUE"""),"sortlist.com")</f>
        <v>sortlist.com</v>
      </c>
      <c r="D13" s="11" t="str">
        <f>IFERROR(__xludf.DUMMYFUNCTION("""COMPUTED_VALUE"""),"PROFILE")</f>
        <v>PROFILE</v>
      </c>
      <c r="E13" s="11" t="str">
        <f>IFERROR(__xludf.DUMMYFUNCTION("""COMPUTED_VALUE"""),"CORPORATE")</f>
        <v>CORPORATE</v>
      </c>
      <c r="F13" s="11" t="str">
        <f>IFERROR(__xludf.DUMMYFUNCTION("""COMPUTED_VALUE"""),"Profile")</f>
        <v>Profile</v>
      </c>
      <c r="G13" s="11" t="b">
        <f>IFERROR(__xludf.DUMMYFUNCTION("""COMPUTED_VALUE"""),FALSE)</f>
        <v>0</v>
      </c>
      <c r="H13" s="11" t="str">
        <f>IFERROR(__xludf.DUMMYFUNCTION("""COMPUTED_VALUE"""),"Triple Whale, Northbeam, HockeyStack, WPP")</f>
        <v>Triple Whale, Northbeam, HockeyStack, WPP</v>
      </c>
      <c r="I13" s="11">
        <f>IFERROR(__xludf.DUMMYFUNCTION("""COMPUTED_VALUE"""),10.0)</f>
        <v>10</v>
      </c>
      <c r="J13" s="11">
        <f>IFERROR(__xludf.DUMMYFUNCTION("""COMPUTED_VALUE"""),0.01)</f>
        <v>0.01</v>
      </c>
      <c r="K13" s="11">
        <f>IFERROR(__xludf.DUMMYFUNCTION("""COMPUTED_VALUE"""),0.0)</f>
        <v>0</v>
      </c>
    </row>
    <row r="14" ht="15.75" customHeight="1">
      <c r="A14" s="10" t="str">
        <f>IFERROR(__xludf.DUMMYFUNCTION("""COMPUTED_VALUE"""),"https://clutch.co/agencies/ppc/display%3Fpage%3D0")</f>
        <v>https://clutch.co/agencies/ppc/display%3Fpage%3D0</v>
      </c>
      <c r="B14" s="11" t="str">
        <f>IFERROR(__xludf.DUMMYFUNCTION("""COMPUTED_VALUE"""),"Top Display Advertising Agencies - Jul 2026 Rankings | Clutch.co")</f>
        <v>Top Display Advertising Agencies - Jul 2026 Rankings | Clutch.co</v>
      </c>
      <c r="C14" s="10" t="str">
        <f>IFERROR(__xludf.DUMMYFUNCTION("""COMPUTED_VALUE"""),"clutch.co")</f>
        <v>clutch.co</v>
      </c>
      <c r="D14" s="11" t="str">
        <f>IFERROR(__xludf.DUMMYFUNCTION("""COMPUTED_VALUE"""),"PROFILE")</f>
        <v>PROFILE</v>
      </c>
      <c r="E14" s="11" t="str">
        <f>IFERROR(__xludf.DUMMYFUNCTION("""COMPUTED_VALUE"""),"COMPETITOR")</f>
        <v>COMPETITOR</v>
      </c>
      <c r="F14" s="11" t="str">
        <f>IFERROR(__xludf.DUMMYFUNCTION("""COMPUTED_VALUE"""),"Profile")</f>
        <v>Profile</v>
      </c>
      <c r="G14" s="11" t="b">
        <f>IFERROR(__xludf.DUMMYFUNCTION("""COMPUTED_VALUE"""),FALSE)</f>
        <v>0</v>
      </c>
      <c r="H14" s="11" t="str">
        <f>IFERROR(__xludf.DUMMYFUNCTION("""COMPUTED_VALUE"""),"Clutch, Elit-Web, AdVenture Media, NinjaPromo, Storm Brain, Huge, The SEO Works")</f>
        <v>Clutch, Elit-Web, AdVenture Media, NinjaPromo, Storm Brain, Huge, The SEO Works</v>
      </c>
      <c r="I14" s="11">
        <f>IFERROR(__xludf.DUMMYFUNCTION("""COMPUTED_VALUE"""),8.0)</f>
        <v>8</v>
      </c>
      <c r="J14" s="11">
        <f>IFERROR(__xludf.DUMMYFUNCTION("""COMPUTED_VALUE"""),0.01)</f>
        <v>0.01</v>
      </c>
      <c r="K14" s="11">
        <f>IFERROR(__xludf.DUMMYFUNCTION("""COMPUTED_VALUE"""),0.0)</f>
        <v>0</v>
      </c>
    </row>
    <row r="15" ht="15.75" customHeight="1">
      <c r="A15" s="10" t="str">
        <f>IFERROR(__xludf.DUMMYFUNCTION("""COMPUTED_VALUE"""),"https://aimadethisbrand.com/government-ai-consulting/")</f>
        <v>https://aimadethisbrand.com/government-ai-consulting/</v>
      </c>
      <c r="B15" s="11" t="str">
        <f>IFERROR(__xludf.DUMMYFUNCTION("""COMPUTED_VALUE"""),"Government AI Consulting &amp;amp; Training | Georgia Certified | AI Made This Brand")</f>
        <v>Government AI Consulting &amp;amp; Training | Georgia Certified | AI Made This Brand</v>
      </c>
      <c r="C15" s="10" t="str">
        <f>IFERROR(__xludf.DUMMYFUNCTION("""COMPUTED_VALUE"""),"aimadethisbrand.com")</f>
        <v>aimadethisbrand.com</v>
      </c>
      <c r="D15" s="11" t="str">
        <f>IFERROR(__xludf.DUMMYFUNCTION("""COMPUTED_VALUE"""),"PROFILE")</f>
        <v>PROFILE</v>
      </c>
      <c r="E15" s="11" t="str">
        <f>IFERROR(__xludf.DUMMYFUNCTION("""COMPUTED_VALUE"""),"CORPORATE")</f>
        <v>CORPORATE</v>
      </c>
      <c r="F15" s="11" t="str">
        <f>IFERROR(__xludf.DUMMYFUNCTION("""COMPUTED_VALUE"""),"Profile")</f>
        <v>Profile</v>
      </c>
      <c r="G15" s="11" t="b">
        <f>IFERROR(__xludf.DUMMYFUNCTION("""COMPUTED_VALUE"""),FALSE)</f>
        <v>0</v>
      </c>
      <c r="H15" s="11" t="str">
        <f>IFERROR(__xludf.DUMMYFUNCTION("""COMPUTED_VALUE"""),"IBM, McKinsey")</f>
        <v>IBM, McKinsey</v>
      </c>
      <c r="I15" s="11">
        <f>IFERROR(__xludf.DUMMYFUNCTION("""COMPUTED_VALUE"""),7.0)</f>
        <v>7</v>
      </c>
      <c r="J15" s="11">
        <f>IFERROR(__xludf.DUMMYFUNCTION("""COMPUTED_VALUE"""),0.01)</f>
        <v>0.01</v>
      </c>
      <c r="K15" s="11">
        <f>IFERROR(__xludf.DUMMYFUNCTION("""COMPUTED_VALUE"""),0.0)</f>
        <v>0</v>
      </c>
    </row>
    <row r="16" ht="15.75" customHeight="1">
      <c r="A16" s="10" t="str">
        <f>IFERROR(__xludf.DUMMYFUNCTION("""COMPUTED_VALUE"""),"https://www.designrush.com/agency/digital-marketing")</f>
        <v>https://www.designrush.com/agency/digital-marketing</v>
      </c>
      <c r="B16" s="11" t="str">
        <f>IFERROR(__xludf.DUMMYFUNCTION("""COMPUTED_VALUE"""),"Top Digital Marketing Agencies in 2026")</f>
        <v>Top Digital Marketing Agencies in 2026</v>
      </c>
      <c r="C16" s="10" t="str">
        <f>IFERROR(__xludf.DUMMYFUNCTION("""COMPUTED_VALUE"""),"designrush.com")</f>
        <v>designrush.com</v>
      </c>
      <c r="D16" s="11" t="str">
        <f>IFERROR(__xludf.DUMMYFUNCTION("""COMPUTED_VALUE"""),"PROFILE")</f>
        <v>PROFILE</v>
      </c>
      <c r="E16" s="11" t="str">
        <f>IFERROR(__xludf.DUMMYFUNCTION("""COMPUTED_VALUE"""),"CORPORATE")</f>
        <v>CORPORATE</v>
      </c>
      <c r="F16" s="11" t="str">
        <f>IFERROR(__xludf.DUMMYFUNCTION("""COMPUTED_VALUE"""),"Profile")</f>
        <v>Profile</v>
      </c>
      <c r="G16" s="11" t="b">
        <f>IFERROR(__xludf.DUMMYFUNCTION("""COMPUTED_VALUE"""),FALSE)</f>
        <v>0</v>
      </c>
      <c r="H16" s="11" t="str">
        <f>IFERROR(__xludf.DUMMYFUNCTION("""COMPUTED_VALUE"""),"SmartSites, Searchbloom, Silverback Strategies, Intero Digital, Funnel Boost Media, Huge, Disruptive Advertising, IBM, PwC, NinjaPromo, KlientBoost, Elit-Web, Momentum")</f>
        <v>SmartSites, Searchbloom, Silverback Strategies, Intero Digital, Funnel Boost Media, Huge, Disruptive Advertising, IBM, PwC, NinjaPromo, KlientBoost, Elit-Web, Momentum</v>
      </c>
      <c r="I16" s="11">
        <f>IFERROR(__xludf.DUMMYFUNCTION("""COMPUTED_VALUE"""),6.0)</f>
        <v>6</v>
      </c>
      <c r="J16" s="11">
        <f>IFERROR(__xludf.DUMMYFUNCTION("""COMPUTED_VALUE"""),0.01)</f>
        <v>0.01</v>
      </c>
      <c r="K16" s="11">
        <f>IFERROR(__xludf.DUMMYFUNCTION("""COMPUTED_VALUE"""),0.0)</f>
        <v>0</v>
      </c>
    </row>
    <row r="17" ht="15.75" customHeight="1">
      <c r="A17" s="10" t="str">
        <f>IFERROR(__xludf.DUMMYFUNCTION("""COMPUTED_VALUE"""),"https://foundgrove.com/blog/top-generative-engine-optimization-agencies-2026")</f>
        <v>https://foundgrove.com/blog/top-generative-engine-optimization-agencies-2026</v>
      </c>
      <c r="B17" s="11" t="str">
        <f>IFERROR(__xludf.DUMMYFUNCTION("""COMPUTED_VALUE"""),"Top 10 GEO Agencies Compared (2026) | Foundgrove")</f>
        <v>Top 10 GEO Agencies Compared (2026) | Foundgrove</v>
      </c>
      <c r="C17" s="10" t="str">
        <f>IFERROR(__xludf.DUMMYFUNCTION("""COMPUTED_VALUE"""),"foundgrove.com")</f>
        <v>foundgrove.com</v>
      </c>
      <c r="D17" s="11" t="str">
        <f>IFERROR(__xludf.DUMMYFUNCTION("""COMPUTED_VALUE"""),"PROFILE")</f>
        <v>PROFILE</v>
      </c>
      <c r="E17" s="11" t="str">
        <f>IFERROR(__xludf.DUMMYFUNCTION("""COMPUTED_VALUE"""),"CORPORATE")</f>
        <v>CORPORATE</v>
      </c>
      <c r="F17" s="11" t="str">
        <f>IFERROR(__xludf.DUMMYFUNCTION("""COMPUTED_VALUE"""),"Profile")</f>
        <v>Profile</v>
      </c>
      <c r="G17" s="11" t="b">
        <f>IFERROR(__xludf.DUMMYFUNCTION("""COMPUTED_VALUE"""),FALSE)</f>
        <v>0</v>
      </c>
      <c r="H17" s="11" t="str">
        <f>IFERROR(__xludf.DUMMYFUNCTION("""COMPUTED_VALUE"""),"WebFX, First Page Sage, iPullRank, Go Fish Digital, Directive, Omniscient Digital, Clutch, Siege Media, NoGood, Measured")</f>
        <v>WebFX, First Page Sage, iPullRank, Go Fish Digital, Directive, Omniscient Digital, Clutch, Siege Media, NoGood, Measured</v>
      </c>
      <c r="I17" s="11">
        <f>IFERROR(__xludf.DUMMYFUNCTION("""COMPUTED_VALUE"""),6.0)</f>
        <v>6</v>
      </c>
      <c r="J17" s="11">
        <f>IFERROR(__xludf.DUMMYFUNCTION("""COMPUTED_VALUE"""),0.01)</f>
        <v>0.01</v>
      </c>
      <c r="K17" s="11">
        <f>IFERROR(__xludf.DUMMYFUNCTION("""COMPUTED_VALUE"""),0.0)</f>
        <v>0</v>
      </c>
    </row>
    <row r="18" ht="15.75" customHeight="1">
      <c r="A18" s="10" t="str">
        <f>IFERROR(__xludf.DUMMYFUNCTION("""COMPUTED_VALUE"""),"https://clutch.co/us/consulting/ai/maturation")</f>
        <v>https://clutch.co/us/consulting/ai/maturation</v>
      </c>
      <c r="B18" s="11" t="str">
        <f>IFERROR(__xludf.DUMMYFUNCTION("""COMPUTED_VALUE"""),"Top AI Maturation Services in the United States - Jul 2026 Rankings \| Clutch.co")</f>
        <v>Top AI Maturation Services in the United States - Jul 2026 Rankings \| Clutch.co</v>
      </c>
      <c r="C18" s="10" t="str">
        <f>IFERROR(__xludf.DUMMYFUNCTION("""COMPUTED_VALUE"""),"clutch.co")</f>
        <v>clutch.co</v>
      </c>
      <c r="D18" s="11" t="str">
        <f>IFERROR(__xludf.DUMMYFUNCTION("""COMPUTED_VALUE"""),"PROFILE")</f>
        <v>PROFILE</v>
      </c>
      <c r="E18" s="11" t="str">
        <f>IFERROR(__xludf.DUMMYFUNCTION("""COMPUTED_VALUE"""),"COMPETITOR")</f>
        <v>COMPETITOR</v>
      </c>
      <c r="F18" s="11" t="str">
        <f>IFERROR(__xludf.DUMMYFUNCTION("""COMPUTED_VALUE"""),"Profile")</f>
        <v>Profile</v>
      </c>
      <c r="G18" s="11" t="b">
        <f>IFERROR(__xludf.DUMMYFUNCTION("""COMPUTED_VALUE"""),FALSE)</f>
        <v>0</v>
      </c>
      <c r="H18" s="11" t="str">
        <f>IFERROR(__xludf.DUMMYFUNCTION("""COMPUTED_VALUE"""),"Clutch, Go Fish Digital")</f>
        <v>Clutch, Go Fish Digital</v>
      </c>
      <c r="I18" s="11">
        <f>IFERROR(__xludf.DUMMYFUNCTION("""COMPUTED_VALUE"""),5.0)</f>
        <v>5</v>
      </c>
      <c r="J18" s="11">
        <f>IFERROR(__xludf.DUMMYFUNCTION("""COMPUTED_VALUE"""),0.0)</f>
        <v>0</v>
      </c>
      <c r="K18" s="11">
        <f>IFERROR(__xludf.DUMMYFUNCTION("""COMPUTED_VALUE"""),1.6)</f>
        <v>1.6</v>
      </c>
    </row>
    <row r="19" ht="15.75" customHeight="1">
      <c r="A19" s="10" t="str">
        <f>IFERROR(__xludf.DUMMYFUNCTION("""COMPUTED_VALUE"""),"https://www.gartner.com/reviews/product/measured-89579724")</f>
        <v>https://www.gartner.com/reviews/product/measured-89579724</v>
      </c>
      <c r="B19" s="11" t="str">
        <f>IFERROR(__xludf.DUMMYFUNCTION("""COMPUTED_VALUE"""),"Measured Reviews &amp; Ratings 2026 \| Gartner Peer Insights")</f>
        <v>Measured Reviews &amp; Ratings 2026 \| Gartner Peer Insights</v>
      </c>
      <c r="C19" s="10" t="str">
        <f>IFERROR(__xludf.DUMMYFUNCTION("""COMPUTED_VALUE"""),"gartner.com")</f>
        <v>gartner.com</v>
      </c>
      <c r="D19" s="11" t="str">
        <f>IFERROR(__xludf.DUMMYFUNCTION("""COMPUTED_VALUE"""),"PROFILE")</f>
        <v>PROFILE</v>
      </c>
      <c r="E19" s="11" t="str">
        <f>IFERROR(__xludf.DUMMYFUNCTION("""COMPUTED_VALUE"""),"CORPORATE")</f>
        <v>CORPORATE</v>
      </c>
      <c r="F19" s="11" t="str">
        <f>IFERROR(__xludf.DUMMYFUNCTION("""COMPUTED_VALUE"""),"Profile")</f>
        <v>Profile</v>
      </c>
      <c r="G19" s="11" t="b">
        <f>IFERROR(__xludf.DUMMYFUNCTION("""COMPUTED_VALUE"""),FALSE)</f>
        <v>0</v>
      </c>
      <c r="H19" s="11" t="str">
        <f>IFERROR(__xludf.DUMMYFUNCTION("""COMPUTED_VALUE"""),"Measured, Haus, Nielsen")</f>
        <v>Measured, Haus, Nielsen</v>
      </c>
      <c r="I19" s="11">
        <f>IFERROR(__xludf.DUMMYFUNCTION("""COMPUTED_VALUE"""),5.0)</f>
        <v>5</v>
      </c>
      <c r="J19" s="11">
        <f>IFERROR(__xludf.DUMMYFUNCTION("""COMPUTED_VALUE"""),0.0)</f>
        <v>0</v>
      </c>
      <c r="K19" s="11">
        <f>IFERROR(__xludf.DUMMYFUNCTION("""COMPUTED_VALUE"""),1.2)</f>
        <v>1.2</v>
      </c>
    </row>
    <row r="20" ht="15.75" customHeight="1">
      <c r="A20" s="10" t="str">
        <f>IFERROR(__xludf.DUMMYFUNCTION("""COMPUTED_VALUE"""),"https://getrecast.com/recast-llm-information/")</f>
        <v>https://getrecast.com/recast-llm-information/</v>
      </c>
      <c r="B20" s="11" t="str">
        <f>IFERROR(__xludf.DUMMYFUNCTION("""COMPUTED_VALUE"""),"About Recast | Company Overview, Platforms &amp;amp; Methodology - Recast")</f>
        <v>About Recast | Company Overview, Platforms &amp;amp; Methodology - Recast</v>
      </c>
      <c r="C20" s="10" t="str">
        <f>IFERROR(__xludf.DUMMYFUNCTION("""COMPUTED_VALUE"""),"getrecast.com")</f>
        <v>getrecast.com</v>
      </c>
      <c r="D20" s="11" t="str">
        <f>IFERROR(__xludf.DUMMYFUNCTION("""COMPUTED_VALUE"""),"PROFILE")</f>
        <v>PROFILE</v>
      </c>
      <c r="E20" s="11" t="str">
        <f>IFERROR(__xludf.DUMMYFUNCTION("""COMPUTED_VALUE"""),"COMPETITOR")</f>
        <v>COMPETITOR</v>
      </c>
      <c r="F20" s="11" t="str">
        <f>IFERROR(__xludf.DUMMYFUNCTION("""COMPUTED_VALUE"""),"Profile")</f>
        <v>Profile</v>
      </c>
      <c r="G20" s="11" t="b">
        <f>IFERROR(__xludf.DUMMYFUNCTION("""COMPUTED_VALUE"""),FALSE)</f>
        <v>0</v>
      </c>
      <c r="H20" s="11" t="str">
        <f>IFERROR(__xludf.DUMMYFUNCTION("""COMPUTED_VALUE"""),"Recast")</f>
        <v>Recast</v>
      </c>
      <c r="I20" s="11">
        <f>IFERROR(__xludf.DUMMYFUNCTION("""COMPUTED_VALUE"""),5.0)</f>
        <v>5</v>
      </c>
      <c r="J20" s="11">
        <f>IFERROR(__xludf.DUMMYFUNCTION("""COMPUTED_VALUE"""),0.0)</f>
        <v>0</v>
      </c>
      <c r="K20" s="11">
        <f>IFERROR(__xludf.DUMMYFUNCTION("""COMPUTED_VALUE"""),0.4)</f>
        <v>0.4</v>
      </c>
    </row>
    <row r="21" ht="15.75" customHeight="1">
      <c r="A21" s="10" t="str">
        <f>IFERROR(__xludf.DUMMYFUNCTION("""COMPUTED_VALUE"""),"https://www.mobileappdaily.com/directory/digital-marketing-companies/us/")</f>
        <v>https://www.mobileappdaily.com/directory/digital-marketing-companies/us/</v>
      </c>
      <c r="B21" s="11" t="str">
        <f>IFERROR(__xludf.DUMMYFUNCTION("""COMPUTED_VALUE"""),"50+ Best Digital Marketing Companies in the USA - 2026 Reviews | MobileAppDaily")</f>
        <v>50+ Best Digital Marketing Companies in the USA - 2026 Reviews | MobileAppDaily</v>
      </c>
      <c r="C21" s="10" t="str">
        <f>IFERROR(__xludf.DUMMYFUNCTION("""COMPUTED_VALUE"""),"mobileappdaily.com")</f>
        <v>mobileappdaily.com</v>
      </c>
      <c r="D21" s="11" t="str">
        <f>IFERROR(__xludf.DUMMYFUNCTION("""COMPUTED_VALUE"""),"PROFILE")</f>
        <v>PROFILE</v>
      </c>
      <c r="E21" s="11" t="str">
        <f>IFERROR(__xludf.DUMMYFUNCTION("""COMPUTED_VALUE"""),"EDITORIAL")</f>
        <v>EDITORIAL</v>
      </c>
      <c r="F21" s="11" t="str">
        <f>IFERROR(__xludf.DUMMYFUNCTION("""COMPUTED_VALUE"""),"Profile")</f>
        <v>Profile</v>
      </c>
      <c r="G21" s="11" t="b">
        <f>IFERROR(__xludf.DUMMYFUNCTION("""COMPUTED_VALUE"""),FALSE)</f>
        <v>0</v>
      </c>
      <c r="H21" s="11" t="str">
        <f>IFERROR(__xludf.DUMMYFUNCTION("""COMPUTED_VALUE"""),"Disruptive Advertising, WebFX, PwC, Ignite Visibility, SmartSites, Intero Digital, Thrive Internet Marketing Agency, NP Digital, Searchbloom, Measured")</f>
        <v>Disruptive Advertising, WebFX, PwC, Ignite Visibility, SmartSites, Intero Digital, Thrive Internet Marketing Agency, NP Digital, Searchbloom, Measured</v>
      </c>
      <c r="I21" s="11">
        <f>IFERROR(__xludf.DUMMYFUNCTION("""COMPUTED_VALUE"""),5.0)</f>
        <v>5</v>
      </c>
      <c r="J21" s="11">
        <f>IFERROR(__xludf.DUMMYFUNCTION("""COMPUTED_VALUE"""),0.0)</f>
        <v>0</v>
      </c>
      <c r="K21" s="11">
        <f>IFERROR(__xludf.DUMMYFUNCTION("""COMPUTED_VALUE"""),0.0)</f>
        <v>0</v>
      </c>
    </row>
    <row r="22" ht="15.75" customHeight="1">
      <c r="A22" s="10" t="str">
        <f>IFERROR(__xludf.DUMMYFUNCTION("""COMPUTED_VALUE"""),"https://thegpn.org/page/Partners#:~:text=Cyclomedia%20Technology%20Inc.%20As%20a%20global%20company,imagery%20and%20LiDAR%20from%20a%20moving%20vehicle.")</f>
        <v>https://thegpn.org/page/Partners#:~:text=Cyclomedia%20Technology%20Inc.%20As%20a%20global%20company,imagery%20and%20LiDAR%20from%20a%20moving%20vehicle.</v>
      </c>
      <c r="B22" s="11" t="str">
        <f>IFERROR(__xludf.DUMMYFUNCTION("""COMPUTED_VALUE"""),"GPN Partner Directory")</f>
        <v>GPN Partner Directory</v>
      </c>
      <c r="C22" s="10" t="str">
        <f>IFERROR(__xludf.DUMMYFUNCTION("""COMPUTED_VALUE"""),"thegpn.org")</f>
        <v>thegpn.org</v>
      </c>
      <c r="D22" s="11" t="str">
        <f>IFERROR(__xludf.DUMMYFUNCTION("""COMPUTED_VALUE"""),"PROFILE")</f>
        <v>PROFILE</v>
      </c>
      <c r="E22" s="11" t="str">
        <f>IFERROR(__xludf.DUMMYFUNCTION("""COMPUTED_VALUE"""),"INSTITUTIONAL")</f>
        <v>INSTITUTIONAL</v>
      </c>
      <c r="F22" s="11" t="str">
        <f>IFERROR(__xludf.DUMMYFUNCTION("""COMPUTED_VALUE"""),"Profile")</f>
        <v>Profile</v>
      </c>
      <c r="G22" s="11" t="b">
        <f>IFERROR(__xludf.DUMMYFUNCTION("""COMPUTED_VALUE"""),FALSE)</f>
        <v>0</v>
      </c>
      <c r="H22" s="11"/>
      <c r="I22" s="11">
        <f>IFERROR(__xludf.DUMMYFUNCTION("""COMPUTED_VALUE"""),5.0)</f>
        <v>5</v>
      </c>
      <c r="J22" s="11">
        <f>IFERROR(__xludf.DUMMYFUNCTION("""COMPUTED_VALUE"""),0.0)</f>
        <v>0</v>
      </c>
      <c r="K22" s="11">
        <f>IFERROR(__xludf.DUMMYFUNCTION("""COMPUTED_VALUE"""),1.6)</f>
        <v>1.6</v>
      </c>
    </row>
    <row r="23" ht="15.75" customHeight="1">
      <c r="A23" s="10" t="str">
        <f>IFERROR(__xludf.DUMMYFUNCTION("""COMPUTED_VALUE"""),"https://clutch.co/us/consulting/ai/strategy%3Fpage%3D3")</f>
        <v>https://clutch.co/us/consulting/ai/strategy%3Fpage%3D3</v>
      </c>
      <c r="B23" s="11" t="str">
        <f>IFERROR(__xludf.DUMMYFUNCTION("""COMPUTED_VALUE"""),"Top AI Strategy Companies in the United States - Jul 2026 Rankings | Clutch.co")</f>
        <v>Top AI Strategy Companies in the United States - Jul 2026 Rankings | Clutch.co</v>
      </c>
      <c r="C23" s="10" t="str">
        <f>IFERROR(__xludf.DUMMYFUNCTION("""COMPUTED_VALUE"""),"clutch.co")</f>
        <v>clutch.co</v>
      </c>
      <c r="D23" s="11" t="str">
        <f>IFERROR(__xludf.DUMMYFUNCTION("""COMPUTED_VALUE"""),"PROFILE")</f>
        <v>PROFILE</v>
      </c>
      <c r="E23" s="11" t="str">
        <f>IFERROR(__xludf.DUMMYFUNCTION("""COMPUTED_VALUE"""),"COMPETITOR")</f>
        <v>COMPETITOR</v>
      </c>
      <c r="F23" s="11" t="str">
        <f>IFERROR(__xludf.DUMMYFUNCTION("""COMPUTED_VALUE"""),"Profile")</f>
        <v>Profile</v>
      </c>
      <c r="G23" s="11" t="b">
        <f>IFERROR(__xludf.DUMMYFUNCTION("""COMPUTED_VALUE"""),FALSE)</f>
        <v>0</v>
      </c>
      <c r="H23" s="11" t="str">
        <f>IFERROR(__xludf.DUMMYFUNCTION("""COMPUTED_VALUE"""),"Clutch")</f>
        <v>Clutch</v>
      </c>
      <c r="I23" s="11">
        <f>IFERROR(__xludf.DUMMYFUNCTION("""COMPUTED_VALUE"""),4.0)</f>
        <v>4</v>
      </c>
      <c r="J23" s="11">
        <f>IFERROR(__xludf.DUMMYFUNCTION("""COMPUTED_VALUE"""),0.0)</f>
        <v>0</v>
      </c>
      <c r="K23" s="11">
        <f>IFERROR(__xludf.DUMMYFUNCTION("""COMPUTED_VALUE"""),0.0)</f>
        <v>0</v>
      </c>
    </row>
    <row r="24" ht="15.75" customHeight="1">
      <c r="A24" s="10" t="str">
        <f>IFERROR(__xludf.DUMMYFUNCTION("""COMPUTED_VALUE"""),"https://www.goodfirms.co/artificial-intelligence/ai-consulting")</f>
        <v>https://www.goodfirms.co/artificial-intelligence/ai-consulting</v>
      </c>
      <c r="B24" s="11" t="str">
        <f>IFERROR(__xludf.DUMMYFUNCTION("""COMPUTED_VALUE"""),"Top 10+ AI Consulting Companies - 2026 Reviews | Goodfirms")</f>
        <v>Top 10+ AI Consulting Companies - 2026 Reviews | Goodfirms</v>
      </c>
      <c r="C24" s="10" t="str">
        <f>IFERROR(__xludf.DUMMYFUNCTION("""COMPUTED_VALUE"""),"goodfirms.co")</f>
        <v>goodfirms.co</v>
      </c>
      <c r="D24" s="11" t="str">
        <f>IFERROR(__xludf.DUMMYFUNCTION("""COMPUTED_VALUE"""),"PROFILE")</f>
        <v>PROFILE</v>
      </c>
      <c r="E24" s="11" t="str">
        <f>IFERROR(__xludf.DUMMYFUNCTION("""COMPUTED_VALUE"""),"UGC")</f>
        <v>UGC</v>
      </c>
      <c r="F24" s="11" t="str">
        <f>IFERROR(__xludf.DUMMYFUNCTION("""COMPUTED_VALUE"""),"Profile")</f>
        <v>Profile</v>
      </c>
      <c r="G24" s="11" t="b">
        <f>IFERROR(__xludf.DUMMYFUNCTION("""COMPUTED_VALUE"""),FALSE)</f>
        <v>0</v>
      </c>
      <c r="H24" s="11" t="str">
        <f>IFERROR(__xludf.DUMMYFUNCTION("""COMPUTED_VALUE"""),"Clutch")</f>
        <v>Clutch</v>
      </c>
      <c r="I24" s="11">
        <f>IFERROR(__xludf.DUMMYFUNCTION("""COMPUTED_VALUE"""),4.0)</f>
        <v>4</v>
      </c>
      <c r="J24" s="11">
        <f>IFERROR(__xludf.DUMMYFUNCTION("""COMPUTED_VALUE"""),0.0)</f>
        <v>0</v>
      </c>
      <c r="K24" s="11">
        <f>IFERROR(__xludf.DUMMYFUNCTION("""COMPUTED_VALUE"""),0.0)</f>
        <v>0</v>
      </c>
    </row>
    <row r="25" ht="15.75" customHeight="1">
      <c r="A25" s="10" t="str">
        <f>IFERROR(__xludf.DUMMYFUNCTION("""COMPUTED_VALUE"""),"https://www.semfirms.com/digital-marketing-firms")</f>
        <v>https://www.semfirms.com/digital-marketing-firms</v>
      </c>
      <c r="B25" s="11" t="str">
        <f>IFERROR(__xludf.DUMMYFUNCTION("""COMPUTED_VALUE"""),"Top Digital Marketing Firms in United States | Reviews &amp;amp; Rating")</f>
        <v>Top Digital Marketing Firms in United States | Reviews &amp;amp; Rating</v>
      </c>
      <c r="C25" s="10" t="str">
        <f>IFERROR(__xludf.DUMMYFUNCTION("""COMPUTED_VALUE"""),"semfirms.com")</f>
        <v>semfirms.com</v>
      </c>
      <c r="D25" s="11" t="str">
        <f>IFERROR(__xludf.DUMMYFUNCTION("""COMPUTED_VALUE"""),"PROFILE")</f>
        <v>PROFILE</v>
      </c>
      <c r="E25" s="11" t="str">
        <f>IFERROR(__xludf.DUMMYFUNCTION("""COMPUTED_VALUE"""),"REFERENCE")</f>
        <v>REFERENCE</v>
      </c>
      <c r="F25" s="11" t="str">
        <f>IFERROR(__xludf.DUMMYFUNCTION("""COMPUTED_VALUE"""),"Profile")</f>
        <v>Profile</v>
      </c>
      <c r="G25" s="11" t="b">
        <f>IFERROR(__xludf.DUMMYFUNCTION("""COMPUTED_VALUE"""),FALSE)</f>
        <v>0</v>
      </c>
      <c r="H25" s="11" t="str">
        <f>IFERROR(__xludf.DUMMYFUNCTION("""COMPUTED_VALUE"""),"Intero Digital, Funnel Boost Media")</f>
        <v>Intero Digital, Funnel Boost Media</v>
      </c>
      <c r="I25" s="11">
        <f>IFERROR(__xludf.DUMMYFUNCTION("""COMPUTED_VALUE"""),4.0)</f>
        <v>4</v>
      </c>
      <c r="J25" s="11">
        <f>IFERROR(__xludf.DUMMYFUNCTION("""COMPUTED_VALUE"""),0.0)</f>
        <v>0</v>
      </c>
      <c r="K25" s="11">
        <f>IFERROR(__xludf.DUMMYFUNCTION("""COMPUTED_VALUE"""),0.0)</f>
        <v>0</v>
      </c>
    </row>
    <row r="26" ht="15.75" customHeight="1">
      <c r="A26" s="10" t="str">
        <f>IFERROR(__xludf.DUMMYFUNCTION("""COMPUTED_VALUE"""),"https://www.cracklepr.com/best-geo-agencies-2026")</f>
        <v>https://www.cracklepr.com/best-geo-agencies-2026</v>
      </c>
      <c r="B26" s="11" t="str">
        <f>IFERROR(__xludf.DUMMYFUNCTION("""COMPUTED_VALUE"""),"Crackle PR — B2B Tech PR Agency for AI Search")</f>
        <v>Crackle PR — B2B Tech PR Agency for AI Search</v>
      </c>
      <c r="C26" s="10" t="str">
        <f>IFERROR(__xludf.DUMMYFUNCTION("""COMPUTED_VALUE"""),"cracklepr.com")</f>
        <v>cracklepr.com</v>
      </c>
      <c r="D26" s="11" t="str">
        <f>IFERROR(__xludf.DUMMYFUNCTION("""COMPUTED_VALUE"""),"PROFILE")</f>
        <v>PROFILE</v>
      </c>
      <c r="E26" s="11" t="str">
        <f>IFERROR(__xludf.DUMMYFUNCTION("""COMPUTED_VALUE"""),"CORPORATE")</f>
        <v>CORPORATE</v>
      </c>
      <c r="F26" s="11" t="str">
        <f>IFERROR(__xludf.DUMMYFUNCTION("""COMPUTED_VALUE"""),"Profile")</f>
        <v>Profile</v>
      </c>
      <c r="G26" s="11" t="b">
        <f>IFERROR(__xludf.DUMMYFUNCTION("""COMPUTED_VALUE"""),FALSE)</f>
        <v>0</v>
      </c>
      <c r="H26" s="11" t="str">
        <f>IFERROR(__xludf.DUMMYFUNCTION("""COMPUTED_VALUE"""),"Power Digital, iPullRank, NP Digital, Siege Media, Single Grain, Amsive")</f>
        <v>Power Digital, iPullRank, NP Digital, Siege Media, Single Grain, Amsive</v>
      </c>
      <c r="I26" s="11">
        <f>IFERROR(__xludf.DUMMYFUNCTION("""COMPUTED_VALUE"""),3.0)</f>
        <v>3</v>
      </c>
      <c r="J26" s="11">
        <f>IFERROR(__xludf.DUMMYFUNCTION("""COMPUTED_VALUE"""),0.0)</f>
        <v>0</v>
      </c>
      <c r="K26" s="11">
        <f>IFERROR(__xludf.DUMMYFUNCTION("""COMPUTED_VALUE"""),3.33)</f>
        <v>3.33</v>
      </c>
    </row>
    <row r="27" ht="15.75" customHeight="1">
      <c r="A27" s="10" t="str">
        <f>IFERROR(__xludf.DUMMYFUNCTION("""COMPUTED_VALUE"""),"https://www.designrush.com/agency/creative-agencies")</f>
        <v>https://www.designrush.com/agency/creative-agencies</v>
      </c>
      <c r="B27" s="11" t="str">
        <f>IFERROR(__xludf.DUMMYFUNCTION("""COMPUTED_VALUE"""),"Top Creative Agencies in 2026")</f>
        <v>Top Creative Agencies in 2026</v>
      </c>
      <c r="C27" s="10" t="str">
        <f>IFERROR(__xludf.DUMMYFUNCTION("""COMPUTED_VALUE"""),"designrush.com")</f>
        <v>designrush.com</v>
      </c>
      <c r="D27" s="11" t="str">
        <f>IFERROR(__xludf.DUMMYFUNCTION("""COMPUTED_VALUE"""),"PROFILE")</f>
        <v>PROFILE</v>
      </c>
      <c r="E27" s="11" t="str">
        <f>IFERROR(__xludf.DUMMYFUNCTION("""COMPUTED_VALUE"""),"CORPORATE")</f>
        <v>CORPORATE</v>
      </c>
      <c r="F27" s="11" t="str">
        <f>IFERROR(__xludf.DUMMYFUNCTION("""COMPUTED_VALUE"""),"Profile")</f>
        <v>Profile</v>
      </c>
      <c r="G27" s="11" t="b">
        <f>IFERROR(__xludf.DUMMYFUNCTION("""COMPUTED_VALUE"""),FALSE)</f>
        <v>0</v>
      </c>
      <c r="H27" s="11" t="str">
        <f>IFERROR(__xludf.DUMMYFUNCTION("""COMPUTED_VALUE"""),"Huge, IBM, Disruptive Advertising, Major Tom, McKinsey, Measured, Nielsen")</f>
        <v>Huge, IBM, Disruptive Advertising, Major Tom, McKinsey, Measured, Nielsen</v>
      </c>
      <c r="I27" s="11">
        <f>IFERROR(__xludf.DUMMYFUNCTION("""COMPUTED_VALUE"""),3.0)</f>
        <v>3</v>
      </c>
      <c r="J27" s="11">
        <f>IFERROR(__xludf.DUMMYFUNCTION("""COMPUTED_VALUE"""),0.0)</f>
        <v>0</v>
      </c>
      <c r="K27" s="11">
        <f>IFERROR(__xludf.DUMMYFUNCTION("""COMPUTED_VALUE"""),0.0)</f>
        <v>0</v>
      </c>
    </row>
    <row r="28" ht="15.75" customHeight="1">
      <c r="A28" s="10" t="str">
        <f>IFERROR(__xludf.DUMMYFUNCTION("""COMPUTED_VALUE"""),"https://en.wikipedia.org/wiki/Wieden+Kennedy")</f>
        <v>https://en.wikipedia.org/wiki/Wieden+Kennedy</v>
      </c>
      <c r="B28" s="11" t="str">
        <f>IFERROR(__xludf.DUMMYFUNCTION("""COMPUTED_VALUE"""),"Wieden+Kennedy - Wikipedia")</f>
        <v>Wieden+Kennedy - Wikipedia</v>
      </c>
      <c r="C28" s="10" t="str">
        <f>IFERROR(__xludf.DUMMYFUNCTION("""COMPUTED_VALUE"""),"wikipedia.org")</f>
        <v>wikipedia.org</v>
      </c>
      <c r="D28" s="11" t="str">
        <f>IFERROR(__xludf.DUMMYFUNCTION("""COMPUTED_VALUE"""),"PROFILE")</f>
        <v>PROFILE</v>
      </c>
      <c r="E28" s="11" t="str">
        <f>IFERROR(__xludf.DUMMYFUNCTION("""COMPUTED_VALUE"""),"REFERENCE")</f>
        <v>REFERENCE</v>
      </c>
      <c r="F28" s="11" t="str">
        <f>IFERROR(__xludf.DUMMYFUNCTION("""COMPUTED_VALUE"""),"Profile")</f>
        <v>Profile</v>
      </c>
      <c r="G28" s="11" t="b">
        <f>IFERROR(__xludf.DUMMYFUNCTION("""COMPUTED_VALUE"""),FALSE)</f>
        <v>0</v>
      </c>
      <c r="H28" s="11" t="str">
        <f>IFERROR(__xludf.DUMMYFUNCTION("""COMPUTED_VALUE"""),"Wieden+Kennedy")</f>
        <v>Wieden+Kennedy</v>
      </c>
      <c r="I28" s="11">
        <f>IFERROR(__xludf.DUMMYFUNCTION("""COMPUTED_VALUE"""),3.0)</f>
        <v>3</v>
      </c>
      <c r="J28" s="11">
        <f>IFERROR(__xludf.DUMMYFUNCTION("""COMPUTED_VALUE"""),0.0)</f>
        <v>0</v>
      </c>
      <c r="K28" s="11">
        <f>IFERROR(__xludf.DUMMYFUNCTION("""COMPUTED_VALUE"""),1.0)</f>
        <v>1</v>
      </c>
    </row>
    <row r="29" ht="15.75" customHeight="1">
      <c r="A29" s="10" t="str">
        <f>IFERROR(__xludf.DUMMYFUNCTION("""COMPUTED_VALUE"""),"https://www.g2.com/products/measured/reviews")</f>
        <v>https://www.g2.com/products/measured/reviews</v>
      </c>
      <c r="B29" s="11" t="str">
        <f>IFERROR(__xludf.DUMMYFUNCTION("""COMPUTED_VALUE"""),"Measured Reviews 2026: Details, Pricing, &amp; Features \| G2")</f>
        <v>Measured Reviews 2026: Details, Pricing, &amp; Features \| G2</v>
      </c>
      <c r="C29" s="10" t="str">
        <f>IFERROR(__xludf.DUMMYFUNCTION("""COMPUTED_VALUE"""),"g2.com")</f>
        <v>g2.com</v>
      </c>
      <c r="D29" s="11" t="str">
        <f>IFERROR(__xludf.DUMMYFUNCTION("""COMPUTED_VALUE"""),"PROFILE")</f>
        <v>PROFILE</v>
      </c>
      <c r="E29" s="11" t="str">
        <f>IFERROR(__xludf.DUMMYFUNCTION("""COMPUTED_VALUE"""),"UGC")</f>
        <v>UGC</v>
      </c>
      <c r="F29" s="11" t="str">
        <f>IFERROR(__xludf.DUMMYFUNCTION("""COMPUTED_VALUE"""),"Profile")</f>
        <v>Profile</v>
      </c>
      <c r="G29" s="11" t="b">
        <f>IFERROR(__xludf.DUMMYFUNCTION("""COMPUTED_VALUE"""),FALSE)</f>
        <v>0</v>
      </c>
      <c r="H29" s="11" t="str">
        <f>IFERROR(__xludf.DUMMYFUNCTION("""COMPUTED_VALUE"""),"Measured, Triple Whale, Rockerbox")</f>
        <v>Measured, Triple Whale, Rockerbox</v>
      </c>
      <c r="I29" s="11">
        <f>IFERROR(__xludf.DUMMYFUNCTION("""COMPUTED_VALUE"""),3.0)</f>
        <v>3</v>
      </c>
      <c r="J29" s="11">
        <f>IFERROR(__xludf.DUMMYFUNCTION("""COMPUTED_VALUE"""),0.0)</f>
        <v>0</v>
      </c>
      <c r="K29" s="11">
        <f>IFERROR(__xludf.DUMMYFUNCTION("""COMPUTED_VALUE"""),0.0)</f>
        <v>0</v>
      </c>
    </row>
    <row r="30" ht="15.75" customHeight="1">
      <c r="A30" s="10" t="str">
        <f>IFERROR(__xludf.DUMMYFUNCTION("""COMPUTED_VALUE"""),"https://www.pixelmojo.io/best-ai-visibility-agencies")</f>
        <v>https://www.pixelmojo.io/best-ai-visibility-agencies</v>
      </c>
      <c r="B30" s="11" t="str">
        <f>IFERROR(__xludf.DUMMYFUNCTION("""COMPUTED_VALUE"""),"Best AI Visibility Agencies in 2026 | GEO and AEO Agencies Compared")</f>
        <v>Best AI Visibility Agencies in 2026 | GEO and AEO Agencies Compared</v>
      </c>
      <c r="C30" s="10" t="str">
        <f>IFERROR(__xludf.DUMMYFUNCTION("""COMPUTED_VALUE"""),"pixelmojo.io")</f>
        <v>pixelmojo.io</v>
      </c>
      <c r="D30" s="11" t="str">
        <f>IFERROR(__xludf.DUMMYFUNCTION("""COMPUTED_VALUE"""),"PROFILE")</f>
        <v>PROFILE</v>
      </c>
      <c r="E30" s="11" t="str">
        <f>IFERROR(__xludf.DUMMYFUNCTION("""COMPUTED_VALUE"""),"CORPORATE")</f>
        <v>CORPORATE</v>
      </c>
      <c r="F30" s="11" t="str">
        <f>IFERROR(__xludf.DUMMYFUNCTION("""COMPUTED_VALUE"""),"Profile")</f>
        <v>Profile</v>
      </c>
      <c r="G30" s="11" t="b">
        <f>IFERROR(__xludf.DUMMYFUNCTION("""COMPUTED_VALUE"""),FALSE)</f>
        <v>0</v>
      </c>
      <c r="H30" s="11" t="str">
        <f>IFERROR(__xludf.DUMMYFUNCTION("""COMPUTED_VALUE"""),"WebFX, Seer Interactive, iPullRank, NoGood, Siege Media, Directive, Measured")</f>
        <v>WebFX, Seer Interactive, iPullRank, NoGood, Siege Media, Directive, Measured</v>
      </c>
      <c r="I30" s="11">
        <f>IFERROR(__xludf.DUMMYFUNCTION("""COMPUTED_VALUE"""),3.0)</f>
        <v>3</v>
      </c>
      <c r="J30" s="11">
        <f>IFERROR(__xludf.DUMMYFUNCTION("""COMPUTED_VALUE"""),0.0)</f>
        <v>0</v>
      </c>
      <c r="K30" s="11">
        <f>IFERROR(__xludf.DUMMYFUNCTION("""COMPUTED_VALUE"""),0.0)</f>
        <v>0</v>
      </c>
    </row>
    <row r="31" ht="15.75" customHeight="1">
      <c r="A31" s="10" t="str">
        <f>IFERROR(__xludf.DUMMYFUNCTION("""COMPUTED_VALUE"""),"https://www.sortlist.com/s/data-driven-marketing/united-states-us")</f>
        <v>https://www.sortlist.com/s/data-driven-marketing/united-states-us</v>
      </c>
      <c r="B31" s="11" t="str">
        <f>IFERROR(__xludf.DUMMYFUNCTION("""COMPUTED_VALUE"""),"The 10 Best Data Driven Marketing Agencies in the United States - 2026 Reviews")</f>
        <v>The 10 Best Data Driven Marketing Agencies in the United States - 2026 Reviews</v>
      </c>
      <c r="C31" s="10" t="str">
        <f>IFERROR(__xludf.DUMMYFUNCTION("""COMPUTED_VALUE"""),"sortlist.com")</f>
        <v>sortlist.com</v>
      </c>
      <c r="D31" s="11" t="str">
        <f>IFERROR(__xludf.DUMMYFUNCTION("""COMPUTED_VALUE"""),"PROFILE")</f>
        <v>PROFILE</v>
      </c>
      <c r="E31" s="11" t="str">
        <f>IFERROR(__xludf.DUMMYFUNCTION("""COMPUTED_VALUE"""),"CORPORATE")</f>
        <v>CORPORATE</v>
      </c>
      <c r="F31" s="11" t="str">
        <f>IFERROR(__xludf.DUMMYFUNCTION("""COMPUTED_VALUE"""),"Profile")</f>
        <v>Profile</v>
      </c>
      <c r="G31" s="11" t="b">
        <f>IFERROR(__xludf.DUMMYFUNCTION("""COMPUTED_VALUE"""),FALSE)</f>
        <v>0</v>
      </c>
      <c r="H31" s="11" t="str">
        <f>IFERROR(__xludf.DUMMYFUNCTION("""COMPUTED_VALUE"""),"NinjaPromo, IBM, Clutch, Measured")</f>
        <v>NinjaPromo, IBM, Clutch, Measured</v>
      </c>
      <c r="I31" s="11">
        <f>IFERROR(__xludf.DUMMYFUNCTION("""COMPUTED_VALUE"""),3.0)</f>
        <v>3</v>
      </c>
      <c r="J31" s="11">
        <f>IFERROR(__xludf.DUMMYFUNCTION("""COMPUTED_VALUE"""),0.0)</f>
        <v>0</v>
      </c>
      <c r="K31" s="11">
        <f>IFERROR(__xludf.DUMMYFUNCTION("""COMPUTED_VALUE"""),0.0)</f>
        <v>0</v>
      </c>
    </row>
    <row r="32" ht="15.75" customHeight="1">
      <c r="A32" s="10" t="str">
        <f>IFERROR(__xludf.DUMMYFUNCTION("""COMPUTED_VALUE"""),"https://www.linkedin.com/company/mutesix")</f>
        <v>https://www.linkedin.com/company/mutesix</v>
      </c>
      <c r="B32" s="11" t="str">
        <f>IFERROR(__xludf.DUMMYFUNCTION("""COMPUTED_VALUE"""),"MuteSix | LinkedIn")</f>
        <v>MuteSix | LinkedIn</v>
      </c>
      <c r="C32" s="10" t="str">
        <f>IFERROR(__xludf.DUMMYFUNCTION("""COMPUTED_VALUE"""),"linkedin.com")</f>
        <v>linkedin.com</v>
      </c>
      <c r="D32" s="11" t="str">
        <f>IFERROR(__xludf.DUMMYFUNCTION("""COMPUTED_VALUE"""),"PROFILE")</f>
        <v>PROFILE</v>
      </c>
      <c r="E32" s="11" t="str">
        <f>IFERROR(__xludf.DUMMYFUNCTION("""COMPUTED_VALUE"""),"UGC")</f>
        <v>UGC</v>
      </c>
      <c r="F32" s="11" t="str">
        <f>IFERROR(__xludf.DUMMYFUNCTION("""COMPUTED_VALUE"""),"Profile")</f>
        <v>Profile</v>
      </c>
      <c r="G32" s="11" t="b">
        <f>IFERROR(__xludf.DUMMYFUNCTION("""COMPUTED_VALUE"""),FALSE)</f>
        <v>0</v>
      </c>
      <c r="H32" s="11" t="str">
        <f>IFERROR(__xludf.DUMMYFUNCTION("""COMPUTED_VALUE"""),"MuteSix, Common Thread Collective, Power Digital, Wpromote, Tinuiti, Monks, NoGood")</f>
        <v>MuteSix, Common Thread Collective, Power Digital, Wpromote, Tinuiti, Monks, NoGood</v>
      </c>
      <c r="I32" s="11">
        <f>IFERROR(__xludf.DUMMYFUNCTION("""COMPUTED_VALUE"""),2.0)</f>
        <v>2</v>
      </c>
      <c r="J32" s="11">
        <f>IFERROR(__xludf.DUMMYFUNCTION("""COMPUTED_VALUE"""),0.0)</f>
        <v>0</v>
      </c>
      <c r="K32" s="11">
        <f>IFERROR(__xludf.DUMMYFUNCTION("""COMPUTED_VALUE"""),1.5)</f>
        <v>1.5</v>
      </c>
    </row>
    <row r="33" ht="15.75" customHeight="1">
      <c r="A33" s="10" t="str">
        <f>IFERROR(__xludf.DUMMYFUNCTION("""COMPUTED_VALUE"""),"https://www.monks.com/google-partnership")</f>
        <v>https://www.monks.com/google-partnership</v>
      </c>
      <c r="B33" s="11" t="str">
        <f>IFERROR(__xludf.DUMMYFUNCTION("""COMPUTED_VALUE"""),"Google-Certified Partner Agency | GMP, Google Cloud, and Media")</f>
        <v>Google-Certified Partner Agency | GMP, Google Cloud, and Media</v>
      </c>
      <c r="C33" s="10" t="str">
        <f>IFERROR(__xludf.DUMMYFUNCTION("""COMPUTED_VALUE"""),"monks.com")</f>
        <v>monks.com</v>
      </c>
      <c r="D33" s="11" t="str">
        <f>IFERROR(__xludf.DUMMYFUNCTION("""COMPUTED_VALUE"""),"PROFILE")</f>
        <v>PROFILE</v>
      </c>
      <c r="E33" s="11" t="str">
        <f>IFERROR(__xludf.DUMMYFUNCTION("""COMPUTED_VALUE"""),"COMPETITOR")</f>
        <v>COMPETITOR</v>
      </c>
      <c r="F33" s="11" t="str">
        <f>IFERROR(__xludf.DUMMYFUNCTION("""COMPUTED_VALUE"""),"Profile")</f>
        <v>Profile</v>
      </c>
      <c r="G33" s="11" t="b">
        <f>IFERROR(__xludf.DUMMYFUNCTION("""COMPUTED_VALUE"""),FALSE)</f>
        <v>0</v>
      </c>
      <c r="H33" s="11" t="str">
        <f>IFERROR(__xludf.DUMMYFUNCTION("""COMPUTED_VALUE"""),"Monks")</f>
        <v>Monks</v>
      </c>
      <c r="I33" s="11">
        <f>IFERROR(__xludf.DUMMYFUNCTION("""COMPUTED_VALUE"""),2.0)</f>
        <v>2</v>
      </c>
      <c r="J33" s="11">
        <f>IFERROR(__xludf.DUMMYFUNCTION("""COMPUTED_VALUE"""),0.0)</f>
        <v>0</v>
      </c>
      <c r="K33" s="11">
        <f>IFERROR(__xludf.DUMMYFUNCTION("""COMPUTED_VALUE"""),1.0)</f>
        <v>1</v>
      </c>
    </row>
    <row r="34" ht="15.75" customHeight="1">
      <c r="A34" s="10" t="str">
        <f>IFERROR(__xludf.DUMMYFUNCTION("""COMPUTED_VALUE"""),"https://www.semrush.com/agencies/list/display-advertising/united-states/")</f>
        <v>https://www.semrush.com/agencies/list/display-advertising/united-states/</v>
      </c>
      <c r="B34" s="11" t="str">
        <f>IFERROR(__xludf.DUMMYFUNCTION("""COMPUTED_VALUE"""),"Best Display Ads Agencies in United States 2026 \| Semrush")</f>
        <v>Best Display Ads Agencies in United States 2026 \| Semrush</v>
      </c>
      <c r="C34" s="10" t="str">
        <f>IFERROR(__xludf.DUMMYFUNCTION("""COMPUTED_VALUE"""),"semrush.com")</f>
        <v>semrush.com</v>
      </c>
      <c r="D34" s="11" t="str">
        <f>IFERROR(__xludf.DUMMYFUNCTION("""COMPUTED_VALUE"""),"PROFILE")</f>
        <v>PROFILE</v>
      </c>
      <c r="E34" s="11" t="str">
        <f>IFERROR(__xludf.DUMMYFUNCTION("""COMPUTED_VALUE"""),"CORPORATE")</f>
        <v>CORPORATE</v>
      </c>
      <c r="F34" s="11" t="str">
        <f>IFERROR(__xludf.DUMMYFUNCTION("""COMPUTED_VALUE"""),"Profile")</f>
        <v>Profile</v>
      </c>
      <c r="G34" s="11" t="b">
        <f>IFERROR(__xludf.DUMMYFUNCTION("""COMPUTED_VALUE"""),FALSE)</f>
        <v>0</v>
      </c>
      <c r="H34" s="11" t="str">
        <f>IFERROR(__xludf.DUMMYFUNCTION("""COMPUTED_VALUE"""),"SmartSites, Elit-Web, Brighter Click")</f>
        <v>SmartSites, Elit-Web, Brighter Click</v>
      </c>
      <c r="I34" s="11">
        <f>IFERROR(__xludf.DUMMYFUNCTION("""COMPUTED_VALUE"""),2.0)</f>
        <v>2</v>
      </c>
      <c r="J34" s="11">
        <f>IFERROR(__xludf.DUMMYFUNCTION("""COMPUTED_VALUE"""),0.0)</f>
        <v>0</v>
      </c>
      <c r="K34" s="11">
        <f>IFERROR(__xludf.DUMMYFUNCTION("""COMPUTED_VALUE"""),0.0)</f>
        <v>0</v>
      </c>
    </row>
    <row r="35" ht="15.75" customHeight="1">
      <c r="A35" s="10" t="str">
        <f>IFERROR(__xludf.DUMMYFUNCTION("""COMPUTED_VALUE"""),"https://www.trustradius.com/products/agency-analytics/reviews")</f>
        <v>https://www.trustradius.com/products/agency-analytics/reviews</v>
      </c>
      <c r="B35" s="11" t="str">
        <f>IFERROR(__xludf.DUMMYFUNCTION("""COMPUTED_VALUE"""),"Agency Analytics Reviews &amp; Ratings 2026 \| TrustRadius")</f>
        <v>Agency Analytics Reviews &amp; Ratings 2026 \| TrustRadius</v>
      </c>
      <c r="C35" s="10" t="str">
        <f>IFERROR(__xludf.DUMMYFUNCTION("""COMPUTED_VALUE"""),"trustradius.com")</f>
        <v>trustradius.com</v>
      </c>
      <c r="D35" s="11" t="str">
        <f>IFERROR(__xludf.DUMMYFUNCTION("""COMPUTED_VALUE"""),"PROFILE")</f>
        <v>PROFILE</v>
      </c>
      <c r="E35" s="11" t="str">
        <f>IFERROR(__xludf.DUMMYFUNCTION("""COMPUTED_VALUE"""),"UGC")</f>
        <v>UGC</v>
      </c>
      <c r="F35" s="11" t="str">
        <f>IFERROR(__xludf.DUMMYFUNCTION("""COMPUTED_VALUE"""),"Profile")</f>
        <v>Profile</v>
      </c>
      <c r="G35" s="11" t="b">
        <f>IFERROR(__xludf.DUMMYFUNCTION("""COMPUTED_VALUE"""),FALSE)</f>
        <v>0</v>
      </c>
      <c r="H35" s="11"/>
      <c r="I35" s="11">
        <f>IFERROR(__xludf.DUMMYFUNCTION("""COMPUTED_VALUE"""),2.0)</f>
        <v>2</v>
      </c>
      <c r="J35" s="11">
        <f>IFERROR(__xludf.DUMMYFUNCTION("""COMPUTED_VALUE"""),0.0)</f>
        <v>0</v>
      </c>
      <c r="K35" s="11">
        <f>IFERROR(__xludf.DUMMYFUNCTION("""COMPUTED_VALUE"""),0.0)</f>
        <v>0</v>
      </c>
    </row>
    <row r="36" ht="15.75" customHeight="1">
      <c r="A36" s="10" t="str">
        <f>IFERROR(__xludf.DUMMYFUNCTION("""COMPUTED_VALUE"""),"https://www.welcometothejungle.com/en/companies/artefact")</f>
        <v>https://www.welcometothejungle.com/en/companies/artefact</v>
      </c>
      <c r="B36" s="11" t="str">
        <f>IFERROR(__xludf.DUMMYFUNCTION("""COMPUTED_VALUE"""),"Artefact: pictures, videos and job openings")</f>
        <v>Artefact: pictures, videos and job openings</v>
      </c>
      <c r="C36" s="10" t="str">
        <f>IFERROR(__xludf.DUMMYFUNCTION("""COMPUTED_VALUE"""),"welcometothejungle.com")</f>
        <v>welcometothejungle.com</v>
      </c>
      <c r="D36" s="11" t="str">
        <f>IFERROR(__xludf.DUMMYFUNCTION("""COMPUTED_VALUE"""),"PROFILE")</f>
        <v>PROFILE</v>
      </c>
      <c r="E36" s="11" t="str">
        <f>IFERROR(__xludf.DUMMYFUNCTION("""COMPUTED_VALUE"""),"CORPORATE")</f>
        <v>CORPORATE</v>
      </c>
      <c r="F36" s="11" t="str">
        <f>IFERROR(__xludf.DUMMYFUNCTION("""COMPUTED_VALUE"""),"Profile")</f>
        <v>Profile</v>
      </c>
      <c r="G36" s="11" t="b">
        <f>IFERROR(__xludf.DUMMYFUNCTION("""COMPUTED_VALUE"""),FALSE)</f>
        <v>0</v>
      </c>
      <c r="H36" s="11"/>
      <c r="I36" s="11">
        <f>IFERROR(__xludf.DUMMYFUNCTION("""COMPUTED_VALUE"""),2.0)</f>
        <v>2</v>
      </c>
      <c r="J36" s="11">
        <f>IFERROR(__xludf.DUMMYFUNCTION("""COMPUTED_VALUE"""),0.0)</f>
        <v>0</v>
      </c>
      <c r="K36" s="11">
        <f>IFERROR(__xludf.DUMMYFUNCTION("""COMPUTED_VALUE"""),1.0)</f>
        <v>1</v>
      </c>
    </row>
    <row r="37" ht="15.75" customHeight="1">
      <c r="A37" s="10" t="str">
        <f>IFERROR(__xludf.DUMMYFUNCTION("""COMPUTED_VALUE"""),"https://www.wpp.com/en/about")</f>
        <v>https://www.wpp.com/en/about</v>
      </c>
      <c r="B37" s="11" t="str">
        <f>IFERROR(__xludf.DUMMYFUNCTION("""COMPUTED_VALUE"""),"About WPP – the trusted growth partner for leading brands | WPP")</f>
        <v>About WPP – the trusted growth partner for leading brands | WPP</v>
      </c>
      <c r="C37" s="10" t="str">
        <f>IFERROR(__xludf.DUMMYFUNCTION("""COMPUTED_VALUE"""),"wpp.com")</f>
        <v>wpp.com</v>
      </c>
      <c r="D37" s="11" t="str">
        <f>IFERROR(__xludf.DUMMYFUNCTION("""COMPUTED_VALUE"""),"PROFILE")</f>
        <v>PROFILE</v>
      </c>
      <c r="E37" s="11" t="str">
        <f>IFERROR(__xludf.DUMMYFUNCTION("""COMPUTED_VALUE"""),"COMPETITOR")</f>
        <v>COMPETITOR</v>
      </c>
      <c r="F37" s="11" t="str">
        <f>IFERROR(__xludf.DUMMYFUNCTION("""COMPUTED_VALUE"""),"Profile")</f>
        <v>Profile</v>
      </c>
      <c r="G37" s="11" t="b">
        <f>IFERROR(__xludf.DUMMYFUNCTION("""COMPUTED_VALUE"""),FALSE)</f>
        <v>0</v>
      </c>
      <c r="H37" s="11" t="str">
        <f>IFERROR(__xludf.DUMMYFUNCTION("""COMPUTED_VALUE"""),"WPP")</f>
        <v>WPP</v>
      </c>
      <c r="I37" s="11">
        <f>IFERROR(__xludf.DUMMYFUNCTION("""COMPUTED_VALUE"""),2.0)</f>
        <v>2</v>
      </c>
      <c r="J37" s="11">
        <f>IFERROR(__xludf.DUMMYFUNCTION("""COMPUTED_VALUE"""),0.0)</f>
        <v>0</v>
      </c>
      <c r="K37" s="11">
        <f>IFERROR(__xludf.DUMMYFUNCTION("""COMPUTED_VALUE"""),1.0)</f>
        <v>1</v>
      </c>
    </row>
    <row r="38" ht="15.75" customHeight="1">
      <c r="A38" s="10" t="str">
        <f>IFERROR(__xludf.DUMMYFUNCTION("""COMPUTED_VALUE"""),"https://www.aaaa.org/agency-profile/a4O5Y000001uknt/broadhead/")</f>
        <v>https://www.aaaa.org/agency-profile/a4O5Y000001uknt/broadhead/</v>
      </c>
      <c r="B38" s="11" t="str">
        <f>IFERROR(__xludf.DUMMYFUNCTION("""COMPUTED_VALUE"""),"Agency Profile - 4As")</f>
        <v>Agency Profile - 4As</v>
      </c>
      <c r="C38" s="10" t="str">
        <f>IFERROR(__xludf.DUMMYFUNCTION("""COMPUTED_VALUE"""),"aaaa.org")</f>
        <v>aaaa.org</v>
      </c>
      <c r="D38" s="11" t="str">
        <f>IFERROR(__xludf.DUMMYFUNCTION("""COMPUTED_VALUE"""),"PROFILE")</f>
        <v>PROFILE</v>
      </c>
      <c r="E38" s="11" t="str">
        <f>IFERROR(__xludf.DUMMYFUNCTION("""COMPUTED_VALUE"""),"INSTITUTIONAL")</f>
        <v>INSTITUTIONAL</v>
      </c>
      <c r="F38" s="11" t="str">
        <f>IFERROR(__xludf.DUMMYFUNCTION("""COMPUTED_VALUE"""),"Profile")</f>
        <v>Profile</v>
      </c>
      <c r="G38" s="11" t="b">
        <f>IFERROR(__xludf.DUMMYFUNCTION("""COMPUTED_VALUE"""),FALSE)</f>
        <v>0</v>
      </c>
      <c r="H38" s="11"/>
      <c r="I38" s="11">
        <f>IFERROR(__xludf.DUMMYFUNCTION("""COMPUTED_VALUE"""),1.0)</f>
        <v>1</v>
      </c>
      <c r="J38" s="11">
        <f>IFERROR(__xludf.DUMMYFUNCTION("""COMPUTED_VALUE"""),0.0)</f>
        <v>0</v>
      </c>
      <c r="K38" s="11">
        <f>IFERROR(__xludf.DUMMYFUNCTION("""COMPUTED_VALUE"""),0.0)</f>
        <v>0</v>
      </c>
    </row>
    <row r="39" ht="15.75" customHeight="1">
      <c r="A39" s="10" t="str">
        <f>IFERROR(__xludf.DUMMYFUNCTION("""COMPUTED_VALUE"""),"https://www.agencyspotter.com/bbdo")</f>
        <v>https://www.agencyspotter.com/bbdo</v>
      </c>
      <c r="B39" s="11" t="str">
        <f>IFERROR(__xludf.DUMMYFUNCTION("""COMPUTED_VALUE"""),"BBDO | New York Paid Search &amp;amp; Paid Social Advertising Agency | Agency Spotter")</f>
        <v>BBDO | New York Paid Search &amp;amp; Paid Social Advertising Agency | Agency Spotter</v>
      </c>
      <c r="C39" s="10" t="str">
        <f>IFERROR(__xludf.DUMMYFUNCTION("""COMPUTED_VALUE"""),"agencyspotter.com")</f>
        <v>agencyspotter.com</v>
      </c>
      <c r="D39" s="11" t="str">
        <f>IFERROR(__xludf.DUMMYFUNCTION("""COMPUTED_VALUE"""),"PROFILE")</f>
        <v>PROFILE</v>
      </c>
      <c r="E39" s="11" t="str">
        <f>IFERROR(__xludf.DUMMYFUNCTION("""COMPUTED_VALUE"""),"REFERENCE")</f>
        <v>REFERENCE</v>
      </c>
      <c r="F39" s="11" t="str">
        <f>IFERROR(__xludf.DUMMYFUNCTION("""COMPUTED_VALUE"""),"Profile")</f>
        <v>Profile</v>
      </c>
      <c r="G39" s="11" t="b">
        <f>IFERROR(__xludf.DUMMYFUNCTION("""COMPUTED_VALUE"""),FALSE)</f>
        <v>0</v>
      </c>
      <c r="H39" s="11" t="str">
        <f>IFERROR(__xludf.DUMMYFUNCTION("""COMPUTED_VALUE"""),"BBDO")</f>
        <v>BBDO</v>
      </c>
      <c r="I39" s="11">
        <f>IFERROR(__xludf.DUMMYFUNCTION("""COMPUTED_VALUE"""),1.0)</f>
        <v>1</v>
      </c>
      <c r="J39" s="11">
        <f>IFERROR(__xludf.DUMMYFUNCTION("""COMPUTED_VALUE"""),0.0)</f>
        <v>0</v>
      </c>
      <c r="K39" s="11">
        <f>IFERROR(__xludf.DUMMYFUNCTION("""COMPUTED_VALUE"""),1.0)</f>
        <v>1</v>
      </c>
    </row>
    <row r="40" ht="15.75" customHeight="1">
      <c r="A40" s="10" t="str">
        <f>IFERROR(__xludf.DUMMYFUNCTION("""COMPUTED_VALUE"""),"https://aiseo.keywordseverywhere.com/brand/recast")</f>
        <v>https://aiseo.keywordseverywhere.com/brand/recast</v>
      </c>
      <c r="B40" s="11" t="str">
        <f>IFERROR(__xludf.DUMMYFUNCTION("""COMPUTED_VALUE"""),"Recast AI Visibility Report in Media Mix Modeling Vendors")</f>
        <v>Recast AI Visibility Report in Media Mix Modeling Vendors</v>
      </c>
      <c r="C40" s="10" t="str">
        <f>IFERROR(__xludf.DUMMYFUNCTION("""COMPUTED_VALUE"""),"keywordseverywhere.com")</f>
        <v>keywordseverywhere.com</v>
      </c>
      <c r="D40" s="11" t="str">
        <f>IFERROR(__xludf.DUMMYFUNCTION("""COMPUTED_VALUE"""),"PROFILE")</f>
        <v>PROFILE</v>
      </c>
      <c r="E40" s="11" t="str">
        <f>IFERROR(__xludf.DUMMYFUNCTION("""COMPUTED_VALUE"""),"CORPORATE")</f>
        <v>CORPORATE</v>
      </c>
      <c r="F40" s="11" t="str">
        <f>IFERROR(__xludf.DUMMYFUNCTION("""COMPUTED_VALUE"""),"Profile")</f>
        <v>Profile</v>
      </c>
      <c r="G40" s="11" t="b">
        <f>IFERROR(__xludf.DUMMYFUNCTION("""COMPUTED_VALUE"""),FALSE)</f>
        <v>0</v>
      </c>
      <c r="H40" s="11" t="str">
        <f>IFERROR(__xludf.DUMMYFUNCTION("""COMPUTED_VALUE"""),"Recast, Measured, Northbeam, Triple Whale, Analytic Partners, Nielsen, Rockerbox, Circana, Kantar, Gain Theory, TransUnion, Neustar, Sellforte, Merkle, LiftLab, Dentsu, Accenture Song, Cardinal Path, Huge, Haus, LifeSight, HockeyStack, Jellyfish, Publicis"&amp;" Sapient, Epsilon, WPP, Kepler Group, McKinsey, PwC, GroupM, Omnicom Media Group")</f>
        <v>Recast, Measured, Northbeam, Triple Whale, Analytic Partners, Nielsen, Rockerbox, Circana, Kantar, Gain Theory, TransUnion, Neustar, Sellforte, Merkle, LiftLab, Dentsu, Accenture Song, Cardinal Path, Huge, Haus, LifeSight, HockeyStack, Jellyfish, Publicis Sapient, Epsilon, WPP, Kepler Group, McKinsey, PwC, GroupM, Omnicom Media Group</v>
      </c>
      <c r="I40" s="11">
        <f>IFERROR(__xludf.DUMMYFUNCTION("""COMPUTED_VALUE"""),1.0)</f>
        <v>1</v>
      </c>
      <c r="J40" s="11">
        <f>IFERROR(__xludf.DUMMYFUNCTION("""COMPUTED_VALUE"""),0.0)</f>
        <v>0</v>
      </c>
      <c r="K40" s="11">
        <f>IFERROR(__xludf.DUMMYFUNCTION("""COMPUTED_VALUE"""),0.0)</f>
        <v>0</v>
      </c>
    </row>
    <row r="41" ht="15.75" customHeight="1">
      <c r="A41" s="10" t="str">
        <f>IFERROR(__xludf.DUMMYFUNCTION("""COMPUTED_VALUE"""),"https://amakc.com/kansas-city-marketing-companies-directory/")</f>
        <v>https://amakc.com/kansas-city-marketing-companies-directory/</v>
      </c>
      <c r="B41" s="11" t="str">
        <f>IFERROR(__xludf.DUMMYFUNCTION("""COMPUTED_VALUE"""),"Kansas City Marketing Companies - AMA Kansas City")</f>
        <v>Kansas City Marketing Companies - AMA Kansas City</v>
      </c>
      <c r="C41" s="10" t="str">
        <f>IFERROR(__xludf.DUMMYFUNCTION("""COMPUTED_VALUE"""),"amakc.com")</f>
        <v>amakc.com</v>
      </c>
      <c r="D41" s="11" t="str">
        <f>IFERROR(__xludf.DUMMYFUNCTION("""COMPUTED_VALUE"""),"PROFILE")</f>
        <v>PROFILE</v>
      </c>
      <c r="E41" s="11" t="str">
        <f>IFERROR(__xludf.DUMMYFUNCTION("""COMPUTED_VALUE"""),"INSTITUTIONAL")</f>
        <v>INSTITUTIONAL</v>
      </c>
      <c r="F41" s="11" t="str">
        <f>IFERROR(__xludf.DUMMYFUNCTION("""COMPUTED_VALUE"""),"Profile")</f>
        <v>Profile</v>
      </c>
      <c r="G41" s="11" t="b">
        <f>IFERROR(__xludf.DUMMYFUNCTION("""COMPUTED_VALUE"""),FALSE)</f>
        <v>0</v>
      </c>
      <c r="H41" s="11" t="str">
        <f>IFERROR(__xludf.DUMMYFUNCTION("""COMPUTED_VALUE"""),"VML")</f>
        <v>VML</v>
      </c>
      <c r="I41" s="11">
        <f>IFERROR(__xludf.DUMMYFUNCTION("""COMPUTED_VALUE"""),1.0)</f>
        <v>1</v>
      </c>
      <c r="J41" s="11">
        <f>IFERROR(__xludf.DUMMYFUNCTION("""COMPUTED_VALUE"""),0.0)</f>
        <v>0</v>
      </c>
      <c r="K41" s="11">
        <f>IFERROR(__xludf.DUMMYFUNCTION("""COMPUTED_VALUE"""),0.0)</f>
        <v>0</v>
      </c>
    </row>
    <row r="42" ht="15.75" customHeight="1">
      <c r="A42" s="10" t="str">
        <f>IFERROR(__xludf.DUMMYFUNCTION("""COMPUTED_VALUE"""),"https://amworldgroup.com/directory/seo-agencies/jellyfish")</f>
        <v>https://amworldgroup.com/directory/seo-agencies/jellyfish</v>
      </c>
      <c r="B42" s="11" t="str">
        <f>IFERROR(__xludf.DUMMYFUNCTION("""COMPUTED_VALUE"""),"Jellyfish — SEO Agencies | AMW®")</f>
        <v>Jellyfish — SEO Agencies | AMW®</v>
      </c>
      <c r="C42" s="10" t="str">
        <f>IFERROR(__xludf.DUMMYFUNCTION("""COMPUTED_VALUE"""),"amworldgroup.com")</f>
        <v>amworldgroup.com</v>
      </c>
      <c r="D42" s="11" t="str">
        <f>IFERROR(__xludf.DUMMYFUNCTION("""COMPUTED_VALUE"""),"PROFILE")</f>
        <v>PROFILE</v>
      </c>
      <c r="E42" s="11" t="str">
        <f>IFERROR(__xludf.DUMMYFUNCTION("""COMPUTED_VALUE"""),"CORPORATE")</f>
        <v>CORPORATE</v>
      </c>
      <c r="F42" s="11" t="str">
        <f>IFERROR(__xludf.DUMMYFUNCTION("""COMPUTED_VALUE"""),"Profile")</f>
        <v>Profile</v>
      </c>
      <c r="G42" s="11" t="b">
        <f>IFERROR(__xludf.DUMMYFUNCTION("""COMPUTED_VALUE"""),FALSE)</f>
        <v>0</v>
      </c>
      <c r="H42" s="11" t="str">
        <f>IFERROR(__xludf.DUMMYFUNCTION("""COMPUTED_VALUE"""),"Jellyfish, Siege Media, Silverback Strategies")</f>
        <v>Jellyfish, Siege Media, Silverback Strategies</v>
      </c>
      <c r="I42" s="11">
        <f>IFERROR(__xludf.DUMMYFUNCTION("""COMPUTED_VALUE"""),1.0)</f>
        <v>1</v>
      </c>
      <c r="J42" s="11">
        <f>IFERROR(__xludf.DUMMYFUNCTION("""COMPUTED_VALUE"""),0.0)</f>
        <v>0</v>
      </c>
      <c r="K42" s="11">
        <f>IFERROR(__xludf.DUMMYFUNCTION("""COMPUTED_VALUE"""),1.0)</f>
        <v>1</v>
      </c>
    </row>
    <row r="43" ht="15.75" customHeight="1">
      <c r="A43" s="10" t="str">
        <f>IFERROR(__xludf.DUMMYFUNCTION("""COMPUTED_VALUE"""),"https://beyondthearc.com/news/recognition")</f>
        <v>https://beyondthearc.com/news/recognition</v>
      </c>
      <c r="B43" s="11" t="str">
        <f>IFERROR(__xludf.DUMMYFUNCTION("""COMPUTED_VALUE"""),"Accolades &amp;amp; Recognition - Beyond the Arc")</f>
        <v>Accolades &amp;amp; Recognition - Beyond the Arc</v>
      </c>
      <c r="C43" s="10" t="str">
        <f>IFERROR(__xludf.DUMMYFUNCTION("""COMPUTED_VALUE"""),"beyondthearc.com")</f>
        <v>beyondthearc.com</v>
      </c>
      <c r="D43" s="11" t="str">
        <f>IFERROR(__xludf.DUMMYFUNCTION("""COMPUTED_VALUE"""),"PROFILE")</f>
        <v>PROFILE</v>
      </c>
      <c r="E43" s="11" t="str">
        <f>IFERROR(__xludf.DUMMYFUNCTION("""COMPUTED_VALUE"""),"CORPORATE")</f>
        <v>CORPORATE</v>
      </c>
      <c r="F43" s="11" t="str">
        <f>IFERROR(__xludf.DUMMYFUNCTION("""COMPUTED_VALUE"""),"Profile")</f>
        <v>Profile</v>
      </c>
      <c r="G43" s="11" t="b">
        <f>IFERROR(__xludf.DUMMYFUNCTION("""COMPUTED_VALUE"""),FALSE)</f>
        <v>0</v>
      </c>
      <c r="H43" s="11" t="str">
        <f>IFERROR(__xludf.DUMMYFUNCTION("""COMPUTED_VALUE"""),"Clutch, IBM")</f>
        <v>Clutch, IBM</v>
      </c>
      <c r="I43" s="11">
        <f>IFERROR(__xludf.DUMMYFUNCTION("""COMPUTED_VALUE"""),1.0)</f>
        <v>1</v>
      </c>
      <c r="J43" s="11">
        <f>IFERROR(__xludf.DUMMYFUNCTION("""COMPUTED_VALUE"""),0.0)</f>
        <v>0</v>
      </c>
      <c r="K43" s="11">
        <f>IFERROR(__xludf.DUMMYFUNCTION("""COMPUTED_VALUE"""),1.0)</f>
        <v>1</v>
      </c>
    </row>
    <row r="44" ht="15.75" customHeight="1">
      <c r="A44" s="10" t="str">
        <f>IFERROR(__xludf.DUMMYFUNCTION("""COMPUTED_VALUE"""),"https://builtin.com/company/tinuiti")</f>
        <v>https://builtin.com/company/tinuiti</v>
      </c>
      <c r="B44" s="11" t="str">
        <f>IFERROR(__xludf.DUMMYFUNCTION("""COMPUTED_VALUE"""),"Tinuiti Careers, Perks + Culture | Built In")</f>
        <v>Tinuiti Careers, Perks + Culture | Built In</v>
      </c>
      <c r="C44" s="10" t="str">
        <f>IFERROR(__xludf.DUMMYFUNCTION("""COMPUTED_VALUE"""),"builtin.com")</f>
        <v>builtin.com</v>
      </c>
      <c r="D44" s="11" t="str">
        <f>IFERROR(__xludf.DUMMYFUNCTION("""COMPUTED_VALUE"""),"PROFILE")</f>
        <v>PROFILE</v>
      </c>
      <c r="E44" s="11" t="str">
        <f>IFERROR(__xludf.DUMMYFUNCTION("""COMPUTED_VALUE"""),"UGC")</f>
        <v>UGC</v>
      </c>
      <c r="F44" s="11" t="str">
        <f>IFERROR(__xludf.DUMMYFUNCTION("""COMPUTED_VALUE"""),"Profile")</f>
        <v>Profile</v>
      </c>
      <c r="G44" s="11" t="b">
        <f>IFERROR(__xludf.DUMMYFUNCTION("""COMPUTED_VALUE"""),FALSE)</f>
        <v>0</v>
      </c>
      <c r="H44" s="11" t="str">
        <f>IFERROR(__xludf.DUMMYFUNCTION("""COMPUTED_VALUE"""),"Tinuiti")</f>
        <v>Tinuiti</v>
      </c>
      <c r="I44" s="11">
        <f>IFERROR(__xludf.DUMMYFUNCTION("""COMPUTED_VALUE"""),1.0)</f>
        <v>1</v>
      </c>
      <c r="J44" s="11">
        <f>IFERROR(__xludf.DUMMYFUNCTION("""COMPUTED_VALUE"""),0.0)</f>
        <v>0</v>
      </c>
      <c r="K44" s="11">
        <f>IFERROR(__xludf.DUMMYFUNCTION("""COMPUTED_VALUE"""),2.0)</f>
        <v>2</v>
      </c>
    </row>
    <row r="45" ht="15.75" customHeight="1">
      <c r="A45" s="10" t="str">
        <f>IFERROR(__xludf.DUMMYFUNCTION("""COMPUTED_VALUE"""),"https://www.businessofapps.com/marketplace/vayner-media/")</f>
        <v>https://www.businessofapps.com/marketplace/vayner-media/</v>
      </c>
      <c r="B45" s="11" t="str">
        <f>IFERROR(__xludf.DUMMYFUNCTION("""COMPUTED_VALUE"""),"Vayner Media - Reviews, News and Ratings")</f>
        <v>Vayner Media - Reviews, News and Ratings</v>
      </c>
      <c r="C45" s="10" t="str">
        <f>IFERROR(__xludf.DUMMYFUNCTION("""COMPUTED_VALUE"""),"businessofapps.com")</f>
        <v>businessofapps.com</v>
      </c>
      <c r="D45" s="11" t="str">
        <f>IFERROR(__xludf.DUMMYFUNCTION("""COMPUTED_VALUE"""),"PROFILE")</f>
        <v>PROFILE</v>
      </c>
      <c r="E45" s="11" t="str">
        <f>IFERROR(__xludf.DUMMYFUNCTION("""COMPUTED_VALUE"""),"EDITORIAL")</f>
        <v>EDITORIAL</v>
      </c>
      <c r="F45" s="11" t="str">
        <f>IFERROR(__xludf.DUMMYFUNCTION("""COMPUTED_VALUE"""),"Profile")</f>
        <v>Profile</v>
      </c>
      <c r="G45" s="11" t="b">
        <f>IFERROR(__xludf.DUMMYFUNCTION("""COMPUTED_VALUE"""),FALSE)</f>
        <v>0</v>
      </c>
      <c r="H45" s="11" t="str">
        <f>IFERROR(__xludf.DUMMYFUNCTION("""COMPUTED_VALUE"""),"VaynerMedia, NinjaPromo, Thrive Internet Marketing Agency, Clutch")</f>
        <v>VaynerMedia, NinjaPromo, Thrive Internet Marketing Agency, Clutch</v>
      </c>
      <c r="I45" s="11">
        <f>IFERROR(__xludf.DUMMYFUNCTION("""COMPUTED_VALUE"""),1.0)</f>
        <v>1</v>
      </c>
      <c r="J45" s="11">
        <f>IFERROR(__xludf.DUMMYFUNCTION("""COMPUTED_VALUE"""),0.0)</f>
        <v>0</v>
      </c>
      <c r="K45" s="11">
        <f>IFERROR(__xludf.DUMMYFUNCTION("""COMPUTED_VALUE"""),1.0)</f>
        <v>1</v>
      </c>
    </row>
    <row r="46" ht="15.75" customHeight="1">
      <c r="A46" s="10" t="str">
        <f>IFERROR(__xludf.DUMMYFUNCTION("""COMPUTED_VALUE"""),"https://buywithprime.amazon.com/agency-partner-directory/tinuiti")</f>
        <v>https://buywithprime.amazon.com/agency-partner-directory/tinuiti</v>
      </c>
      <c r="B46" s="11" t="str">
        <f>IFERROR(__xludf.DUMMYFUNCTION("""COMPUTED_VALUE"""),"Tinuiti - Amazon Buy with Prime")</f>
        <v>Tinuiti - Amazon Buy with Prime</v>
      </c>
      <c r="C46" s="10" t="str">
        <f>IFERROR(__xludf.DUMMYFUNCTION("""COMPUTED_VALUE"""),"amazon.com")</f>
        <v>amazon.com</v>
      </c>
      <c r="D46" s="11" t="str">
        <f>IFERROR(__xludf.DUMMYFUNCTION("""COMPUTED_VALUE"""),"PROFILE")</f>
        <v>PROFILE</v>
      </c>
      <c r="E46" s="11" t="str">
        <f>IFERROR(__xludf.DUMMYFUNCTION("""COMPUTED_VALUE"""),"CORPORATE")</f>
        <v>CORPORATE</v>
      </c>
      <c r="F46" s="11" t="str">
        <f>IFERROR(__xludf.DUMMYFUNCTION("""COMPUTED_VALUE"""),"Profile")</f>
        <v>Profile</v>
      </c>
      <c r="G46" s="11" t="b">
        <f>IFERROR(__xludf.DUMMYFUNCTION("""COMPUTED_VALUE"""),FALSE)</f>
        <v>0</v>
      </c>
      <c r="H46" s="11" t="str">
        <f>IFERROR(__xludf.DUMMYFUNCTION("""COMPUTED_VALUE"""),"Tinuiti")</f>
        <v>Tinuiti</v>
      </c>
      <c r="I46" s="11">
        <f>IFERROR(__xludf.DUMMYFUNCTION("""COMPUTED_VALUE"""),1.0)</f>
        <v>1</v>
      </c>
      <c r="J46" s="11">
        <f>IFERROR(__xludf.DUMMYFUNCTION("""COMPUTED_VALUE"""),0.0)</f>
        <v>0</v>
      </c>
      <c r="K46" s="11">
        <f>IFERROR(__xludf.DUMMYFUNCTION("""COMPUTED_VALUE"""),1.0)</f>
        <v>1</v>
      </c>
    </row>
    <row r="47" ht="15.75" customHeight="1">
      <c r="A47" s="10" t="str">
        <f>IFERROR(__xludf.DUMMYFUNCTION("""COMPUTED_VALUE"""),"https://clutch.co/agencies/media-buying?page=0")</f>
        <v>https://clutch.co/agencies/media-buying?page=0</v>
      </c>
      <c r="B47" s="11" t="str">
        <f>IFERROR(__xludf.DUMMYFUNCTION("""COMPUTED_VALUE"""),"Top Media Buying &amp; Planning Agencies - Jul 2026 Rankings \| Clutch.co")</f>
        <v>Top Media Buying &amp; Planning Agencies - Jul 2026 Rankings \| Clutch.co</v>
      </c>
      <c r="C47" s="10" t="str">
        <f>IFERROR(__xludf.DUMMYFUNCTION("""COMPUTED_VALUE"""),"clutch.co")</f>
        <v>clutch.co</v>
      </c>
      <c r="D47" s="11" t="str">
        <f>IFERROR(__xludf.DUMMYFUNCTION("""COMPUTED_VALUE"""),"PROFILE")</f>
        <v>PROFILE</v>
      </c>
      <c r="E47" s="11" t="str">
        <f>IFERROR(__xludf.DUMMYFUNCTION("""COMPUTED_VALUE"""),"COMPETITOR")</f>
        <v>COMPETITOR</v>
      </c>
      <c r="F47" s="11" t="str">
        <f>IFERROR(__xludf.DUMMYFUNCTION("""COMPUTED_VALUE"""),"Profile")</f>
        <v>Profile</v>
      </c>
      <c r="G47" s="11" t="b">
        <f>IFERROR(__xludf.DUMMYFUNCTION("""COMPUTED_VALUE"""),FALSE)</f>
        <v>0</v>
      </c>
      <c r="H47" s="11" t="str">
        <f>IFERROR(__xludf.DUMMYFUNCTION("""COMPUTED_VALUE"""),"Clutch, Accelerated Digital Media, Major Tom, NP Digital, Tinuiti")</f>
        <v>Clutch, Accelerated Digital Media, Major Tom, NP Digital, Tinuiti</v>
      </c>
      <c r="I47" s="11">
        <f>IFERROR(__xludf.DUMMYFUNCTION("""COMPUTED_VALUE"""),1.0)</f>
        <v>1</v>
      </c>
      <c r="J47" s="11">
        <f>IFERROR(__xludf.DUMMYFUNCTION("""COMPUTED_VALUE"""),0.0)</f>
        <v>0</v>
      </c>
      <c r="K47" s="11">
        <f>IFERROR(__xludf.DUMMYFUNCTION("""COMPUTED_VALUE"""),0.0)</f>
        <v>0</v>
      </c>
    </row>
    <row r="48" ht="15.75" customHeight="1">
      <c r="A48" s="10" t="str">
        <f>IFERROR(__xludf.DUMMYFUNCTION("""COMPUTED_VALUE"""),"https://clutch.co/profile/mutesix")</f>
        <v>https://clutch.co/profile/mutesix</v>
      </c>
      <c r="B48" s="11" t="str">
        <f>IFERROR(__xludf.DUMMYFUNCTION("""COMPUTED_VALUE"""),"MuteSix Reviews (10), Pricing, Services &amp; Verified Ratings")</f>
        <v>MuteSix Reviews (10), Pricing, Services &amp; Verified Ratings</v>
      </c>
      <c r="C48" s="10" t="str">
        <f>IFERROR(__xludf.DUMMYFUNCTION("""COMPUTED_VALUE"""),"clutch.co")</f>
        <v>clutch.co</v>
      </c>
      <c r="D48" s="11" t="str">
        <f>IFERROR(__xludf.DUMMYFUNCTION("""COMPUTED_VALUE"""),"PROFILE")</f>
        <v>PROFILE</v>
      </c>
      <c r="E48" s="11" t="str">
        <f>IFERROR(__xludf.DUMMYFUNCTION("""COMPUTED_VALUE"""),"COMPETITOR")</f>
        <v>COMPETITOR</v>
      </c>
      <c r="F48" s="11" t="str">
        <f>IFERROR(__xludf.DUMMYFUNCTION("""COMPUTED_VALUE"""),"Profile")</f>
        <v>Profile</v>
      </c>
      <c r="G48" s="11" t="b">
        <f>IFERROR(__xludf.DUMMYFUNCTION("""COMPUTED_VALUE"""),FALSE)</f>
        <v>0</v>
      </c>
      <c r="H48" s="11" t="str">
        <f>IFERROR(__xludf.DUMMYFUNCTION("""COMPUTED_VALUE"""),"Clutch, MuteSix")</f>
        <v>Clutch, MuteSix</v>
      </c>
      <c r="I48" s="11">
        <f>IFERROR(__xludf.DUMMYFUNCTION("""COMPUTED_VALUE"""),1.0)</f>
        <v>1</v>
      </c>
      <c r="J48" s="11">
        <f>IFERROR(__xludf.DUMMYFUNCTION("""COMPUTED_VALUE"""),0.0)</f>
        <v>0</v>
      </c>
      <c r="K48" s="11">
        <f>IFERROR(__xludf.DUMMYFUNCTION("""COMPUTED_VALUE"""),1.0)</f>
        <v>1</v>
      </c>
    </row>
    <row r="49" ht="15.75" customHeight="1">
      <c r="A49" s="10" t="str">
        <f>IFERROR(__xludf.DUMMYFUNCTION("""COMPUTED_VALUE"""),"https://creativelivesinprogress.com/company-directory/huge")</f>
        <v>https://creativelivesinprogress.com/company-directory/huge</v>
      </c>
      <c r="B49" s="11" t="str">
        <f>IFERROR(__xludf.DUMMYFUNCTION("""COMPUTED_VALUE"""),"Huge")</f>
        <v>Huge</v>
      </c>
      <c r="C49" s="10" t="str">
        <f>IFERROR(__xludf.DUMMYFUNCTION("""COMPUTED_VALUE"""),"creativelivesinprogress.com")</f>
        <v>creativelivesinprogress.com</v>
      </c>
      <c r="D49" s="11" t="str">
        <f>IFERROR(__xludf.DUMMYFUNCTION("""COMPUTED_VALUE"""),"PROFILE")</f>
        <v>PROFILE</v>
      </c>
      <c r="E49" s="11" t="str">
        <f>IFERROR(__xludf.DUMMYFUNCTION("""COMPUTED_VALUE"""),"REFERENCE")</f>
        <v>REFERENCE</v>
      </c>
      <c r="F49" s="11" t="str">
        <f>IFERROR(__xludf.DUMMYFUNCTION("""COMPUTED_VALUE"""),"Profile")</f>
        <v>Profile</v>
      </c>
      <c r="G49" s="11" t="b">
        <f>IFERROR(__xludf.DUMMYFUNCTION("""COMPUTED_VALUE"""),FALSE)</f>
        <v>0</v>
      </c>
      <c r="H49" s="11" t="str">
        <f>IFERROR(__xludf.DUMMYFUNCTION("""COMPUTED_VALUE"""),"Huge")</f>
        <v>Huge</v>
      </c>
      <c r="I49" s="11">
        <f>IFERROR(__xludf.DUMMYFUNCTION("""COMPUTED_VALUE"""),1.0)</f>
        <v>1</v>
      </c>
      <c r="J49" s="11">
        <f>IFERROR(__xludf.DUMMYFUNCTION("""COMPUTED_VALUE"""),0.0)</f>
        <v>0</v>
      </c>
      <c r="K49" s="11">
        <f>IFERROR(__xludf.DUMMYFUNCTION("""COMPUTED_VALUE"""),1.0)</f>
        <v>1</v>
      </c>
    </row>
    <row r="50" ht="15.75" customHeight="1">
      <c r="A50" s="10" t="str">
        <f>IFERROR(__xludf.DUMMYFUNCTION("""COMPUTED_VALUE"""),"https://cybersecuritymarketingagencies.com/best-cybersecurity-marketing-agency")</f>
        <v>https://cybersecuritymarketingagencies.com/best-cybersecurity-marketing-agency</v>
      </c>
      <c r="B50" s="11" t="str">
        <f>IFERROR(__xludf.DUMMYFUNCTION("""COMPUTED_VALUE"""),"Best Cybersecurity Marketing Agency 2026: How to Compare and Choose")</f>
        <v>Best Cybersecurity Marketing Agency 2026: How to Compare and Choose</v>
      </c>
      <c r="C50" s="10" t="str">
        <f>IFERROR(__xludf.DUMMYFUNCTION("""COMPUTED_VALUE"""),"cybersecuritymarketingagencies.com")</f>
        <v>cybersecuritymarketingagencies.com</v>
      </c>
      <c r="D50" s="11" t="str">
        <f>IFERROR(__xludf.DUMMYFUNCTION("""COMPUTED_VALUE"""),"PROFILE")</f>
        <v>PROFILE</v>
      </c>
      <c r="E50" s="11" t="str">
        <f>IFERROR(__xludf.DUMMYFUNCTION("""COMPUTED_VALUE"""),"REFERENCE")</f>
        <v>REFERENCE</v>
      </c>
      <c r="F50" s="11" t="str">
        <f>IFERROR(__xludf.DUMMYFUNCTION("""COMPUTED_VALUE"""),"Profile")</f>
        <v>Profile</v>
      </c>
      <c r="G50" s="11" t="b">
        <f>IFERROR(__xludf.DUMMYFUNCTION("""COMPUTED_VALUE"""),FALSE)</f>
        <v>0</v>
      </c>
      <c r="H50" s="11" t="str">
        <f>IFERROR(__xludf.DUMMYFUNCTION("""COMPUTED_VALUE"""),"Clutch")</f>
        <v>Clutch</v>
      </c>
      <c r="I50" s="11">
        <f>IFERROR(__xludf.DUMMYFUNCTION("""COMPUTED_VALUE"""),1.0)</f>
        <v>1</v>
      </c>
      <c r="J50" s="11">
        <f>IFERROR(__xludf.DUMMYFUNCTION("""COMPUTED_VALUE"""),0.0)</f>
        <v>0</v>
      </c>
      <c r="K50" s="11">
        <f>IFERROR(__xludf.DUMMYFUNCTION("""COMPUTED_VALUE"""),1.0)</f>
        <v>1</v>
      </c>
    </row>
    <row r="51" ht="15.75" customHeight="1">
      <c r="A51" s="10" t="str">
        <f>IFERROR(__xludf.DUMMYFUNCTION("""COMPUTED_VALUE"""),"https://digitalagencynetwork.com/agency/seer-interactive/")</f>
        <v>https://digitalagencynetwork.com/agency/seer-interactive/</v>
      </c>
      <c r="B51" s="11" t="str">
        <f>IFERROR(__xludf.DUMMYFUNCTION("""COMPUTED_VALUE"""),"Seer Interactive Agency | Digital Agency Network")</f>
        <v>Seer Interactive Agency | Digital Agency Network</v>
      </c>
      <c r="C51" s="10" t="str">
        <f>IFERROR(__xludf.DUMMYFUNCTION("""COMPUTED_VALUE"""),"digitalagencynetwork.com")</f>
        <v>digitalagencynetwork.com</v>
      </c>
      <c r="D51" s="11" t="str">
        <f>IFERROR(__xludf.DUMMYFUNCTION("""COMPUTED_VALUE"""),"PROFILE")</f>
        <v>PROFILE</v>
      </c>
      <c r="E51" s="11" t="str">
        <f>IFERROR(__xludf.DUMMYFUNCTION("""COMPUTED_VALUE"""),"REFERENCE")</f>
        <v>REFERENCE</v>
      </c>
      <c r="F51" s="11" t="str">
        <f>IFERROR(__xludf.DUMMYFUNCTION("""COMPUTED_VALUE"""),"Profile")</f>
        <v>Profile</v>
      </c>
      <c r="G51" s="11" t="b">
        <f>IFERROR(__xludf.DUMMYFUNCTION("""COMPUTED_VALUE"""),FALSE)</f>
        <v>0</v>
      </c>
      <c r="H51" s="11" t="str">
        <f>IFERROR(__xludf.DUMMYFUNCTION("""COMPUTED_VALUE"""),"Seer Interactive")</f>
        <v>Seer Interactive</v>
      </c>
      <c r="I51" s="11">
        <f>IFERROR(__xludf.DUMMYFUNCTION("""COMPUTED_VALUE"""),1.0)</f>
        <v>1</v>
      </c>
      <c r="J51" s="11">
        <f>IFERROR(__xludf.DUMMYFUNCTION("""COMPUTED_VALUE"""),0.0)</f>
        <v>0</v>
      </c>
      <c r="K51" s="11">
        <f>IFERROR(__xludf.DUMMYFUNCTION("""COMPUTED_VALUE"""),0.0)</f>
        <v>0</v>
      </c>
    </row>
    <row r="52" ht="15.75" customHeight="1">
      <c r="A52" s="10" t="str">
        <f>IFERROR(__xludf.DUMMYFUNCTION("""COMPUTED_VALUE"""),"https://digitalagencynetwork.com/agency/webfx/")</f>
        <v>https://digitalagencynetwork.com/agency/webfx/</v>
      </c>
      <c r="B52" s="11" t="str">
        <f>IFERROR(__xludf.DUMMYFUNCTION("""COMPUTED_VALUE"""),"WebFX Agency | Digital Agency Network")</f>
        <v>WebFX Agency | Digital Agency Network</v>
      </c>
      <c r="C52" s="10" t="str">
        <f>IFERROR(__xludf.DUMMYFUNCTION("""COMPUTED_VALUE"""),"digitalagencynetwork.com")</f>
        <v>digitalagencynetwork.com</v>
      </c>
      <c r="D52" s="11" t="str">
        <f>IFERROR(__xludf.DUMMYFUNCTION("""COMPUTED_VALUE"""),"PROFILE")</f>
        <v>PROFILE</v>
      </c>
      <c r="E52" s="11" t="str">
        <f>IFERROR(__xludf.DUMMYFUNCTION("""COMPUTED_VALUE"""),"REFERENCE")</f>
        <v>REFERENCE</v>
      </c>
      <c r="F52" s="11" t="str">
        <f>IFERROR(__xludf.DUMMYFUNCTION("""COMPUTED_VALUE"""),"Profile")</f>
        <v>Profile</v>
      </c>
      <c r="G52" s="11" t="b">
        <f>IFERROR(__xludf.DUMMYFUNCTION("""COMPUTED_VALUE"""),FALSE)</f>
        <v>0</v>
      </c>
      <c r="H52" s="11" t="str">
        <f>IFERROR(__xludf.DUMMYFUNCTION("""COMPUTED_VALUE"""),"WebFX")</f>
        <v>WebFX</v>
      </c>
      <c r="I52" s="11">
        <f>IFERROR(__xludf.DUMMYFUNCTION("""COMPUTED_VALUE"""),1.0)</f>
        <v>1</v>
      </c>
      <c r="J52" s="11">
        <f>IFERROR(__xludf.DUMMYFUNCTION("""COMPUTED_VALUE"""),0.0)</f>
        <v>0</v>
      </c>
      <c r="K52" s="11">
        <f>IFERROR(__xludf.DUMMYFUNCTION("""COMPUTED_VALUE"""),1.0)</f>
        <v>1</v>
      </c>
    </row>
    <row r="53" ht="15.75" customHeight="1">
      <c r="A53" s="10" t="str">
        <f>IFERROR(__xludf.DUMMYFUNCTION("""COMPUTED_VALUE"""),"https://ecosystem.hubspot.com/marketplace/solutions/power-digital-marketing")</f>
        <v>https://ecosystem.hubspot.com/marketplace/solutions/power-digital-marketing</v>
      </c>
      <c r="B53" s="11" t="str">
        <f>IFERROR(__xludf.DUMMYFUNCTION("""COMPUTED_VALUE"""),"Power Digital Marketing Agency Services &amp; Qualifications | HubSpot")</f>
        <v>Power Digital Marketing Agency Services &amp; Qualifications | HubSpot</v>
      </c>
      <c r="C53" s="10" t="str">
        <f>IFERROR(__xludf.DUMMYFUNCTION("""COMPUTED_VALUE"""),"hubspot.com")</f>
        <v>hubspot.com</v>
      </c>
      <c r="D53" s="11" t="str">
        <f>IFERROR(__xludf.DUMMYFUNCTION("""COMPUTED_VALUE"""),"PROFILE")</f>
        <v>PROFILE</v>
      </c>
      <c r="E53" s="11" t="str">
        <f>IFERROR(__xludf.DUMMYFUNCTION("""COMPUTED_VALUE"""),"CORPORATE")</f>
        <v>CORPORATE</v>
      </c>
      <c r="F53" s="11" t="str">
        <f>IFERROR(__xludf.DUMMYFUNCTION("""COMPUTED_VALUE"""),"Profile")</f>
        <v>Profile</v>
      </c>
      <c r="G53" s="11" t="b">
        <f>IFERROR(__xludf.DUMMYFUNCTION("""COMPUTED_VALUE"""),FALSE)</f>
        <v>0</v>
      </c>
      <c r="H53" s="11" t="str">
        <f>IFERROR(__xludf.DUMMYFUNCTION("""COMPUTED_VALUE"""),"Power Digital")</f>
        <v>Power Digital</v>
      </c>
      <c r="I53" s="11">
        <f>IFERROR(__xludf.DUMMYFUNCTION("""COMPUTED_VALUE"""),1.0)</f>
        <v>1</v>
      </c>
      <c r="J53" s="11">
        <f>IFERROR(__xludf.DUMMYFUNCTION("""COMPUTED_VALUE"""),0.0)</f>
        <v>0</v>
      </c>
      <c r="K53" s="11">
        <f>IFERROR(__xludf.DUMMYFUNCTION("""COMPUTED_VALUE"""),1.0)</f>
        <v>1</v>
      </c>
    </row>
    <row r="54" ht="15.75" customHeight="1">
      <c r="A54" s="10" t="str">
        <f>IFERROR(__xludf.DUMMYFUNCTION("""COMPUTED_VALUE"""),"https://en.wikipedia.org/wiki/Ogilvy_%28agency%29")</f>
        <v>https://en.wikipedia.org/wiki/Ogilvy_%28agency%29</v>
      </c>
      <c r="B54" s="11" t="str">
        <f>IFERROR(__xludf.DUMMYFUNCTION("""COMPUTED_VALUE"""),"Ogilvy (agency) - Wikipedia")</f>
        <v>Ogilvy (agency) - Wikipedia</v>
      </c>
      <c r="C54" s="10" t="str">
        <f>IFERROR(__xludf.DUMMYFUNCTION("""COMPUTED_VALUE"""),"wikipedia.org")</f>
        <v>wikipedia.org</v>
      </c>
      <c r="D54" s="11" t="str">
        <f>IFERROR(__xludf.DUMMYFUNCTION("""COMPUTED_VALUE"""),"PROFILE")</f>
        <v>PROFILE</v>
      </c>
      <c r="E54" s="11" t="str">
        <f>IFERROR(__xludf.DUMMYFUNCTION("""COMPUTED_VALUE"""),"REFERENCE")</f>
        <v>REFERENCE</v>
      </c>
      <c r="F54" s="11" t="str">
        <f>IFERROR(__xludf.DUMMYFUNCTION("""COMPUTED_VALUE"""),"Profile")</f>
        <v>Profile</v>
      </c>
      <c r="G54" s="11" t="b">
        <f>IFERROR(__xludf.DUMMYFUNCTION("""COMPUTED_VALUE"""),FALSE)</f>
        <v>0</v>
      </c>
      <c r="H54" s="11" t="str">
        <f>IFERROR(__xludf.DUMMYFUNCTION("""COMPUTED_VALUE"""),"Ogilvy, WPP, IBM, AKQA, Kantar, VML")</f>
        <v>Ogilvy, WPP, IBM, AKQA, Kantar, VML</v>
      </c>
      <c r="I54" s="11">
        <f>IFERROR(__xludf.DUMMYFUNCTION("""COMPUTED_VALUE"""),1.0)</f>
        <v>1</v>
      </c>
      <c r="J54" s="11">
        <f>IFERROR(__xludf.DUMMYFUNCTION("""COMPUTED_VALUE"""),0.0)</f>
        <v>0</v>
      </c>
      <c r="K54" s="11">
        <f>IFERROR(__xludf.DUMMYFUNCTION("""COMPUTED_VALUE"""),1.0)</f>
        <v>1</v>
      </c>
    </row>
    <row r="55" ht="15.75" customHeight="1">
      <c r="A55" s="10" t="str">
        <f>IFERROR(__xludf.DUMMYFUNCTION("""COMPUTED_VALUE"""),"https://en.wikipedia.org/wiki/Ogilvy_(agency)")</f>
        <v>https://en.wikipedia.org/wiki/Ogilvy_(agency)</v>
      </c>
      <c r="B55" s="11" t="str">
        <f>IFERROR(__xludf.DUMMYFUNCTION("""COMPUTED_VALUE"""),"Ogilvy (agency) - Wikipedia")</f>
        <v>Ogilvy (agency) - Wikipedia</v>
      </c>
      <c r="C55" s="10" t="str">
        <f>IFERROR(__xludf.DUMMYFUNCTION("""COMPUTED_VALUE"""),"wikipedia.org")</f>
        <v>wikipedia.org</v>
      </c>
      <c r="D55" s="11" t="str">
        <f>IFERROR(__xludf.DUMMYFUNCTION("""COMPUTED_VALUE"""),"PROFILE")</f>
        <v>PROFILE</v>
      </c>
      <c r="E55" s="11" t="str">
        <f>IFERROR(__xludf.DUMMYFUNCTION("""COMPUTED_VALUE"""),"REFERENCE")</f>
        <v>REFERENCE</v>
      </c>
      <c r="F55" s="11" t="str">
        <f>IFERROR(__xludf.DUMMYFUNCTION("""COMPUTED_VALUE"""),"Profile")</f>
        <v>Profile</v>
      </c>
      <c r="G55" s="11" t="b">
        <f>IFERROR(__xludf.DUMMYFUNCTION("""COMPUTED_VALUE"""),FALSE)</f>
        <v>0</v>
      </c>
      <c r="H55" s="11" t="str">
        <f>IFERROR(__xludf.DUMMYFUNCTION("""COMPUTED_VALUE"""),"Ogilvy, WPP, IBM, AKQA, Kantar, VML")</f>
        <v>Ogilvy, WPP, IBM, AKQA, Kantar, VML</v>
      </c>
      <c r="I55" s="11">
        <f>IFERROR(__xludf.DUMMYFUNCTION("""COMPUTED_VALUE"""),1.0)</f>
        <v>1</v>
      </c>
      <c r="J55" s="11">
        <f>IFERROR(__xludf.DUMMYFUNCTION("""COMPUTED_VALUE"""),0.0)</f>
        <v>0</v>
      </c>
      <c r="K55" s="11">
        <f>IFERROR(__xludf.DUMMYFUNCTION("""COMPUTED_VALUE"""),0.0)</f>
        <v>0</v>
      </c>
    </row>
    <row r="56" ht="15.75" customHeight="1">
      <c r="A56" s="10" t="str">
        <f>IFERROR(__xludf.DUMMYFUNCTION("""COMPUTED_VALUE"""),"https://epinium.com/en/best-amazon-agencies/")</f>
        <v>https://epinium.com/en/best-amazon-agencies/</v>
      </c>
      <c r="B56" s="11" t="str">
        <f>IFERROR(__xludf.DUMMYFUNCTION("""COMPUTED_VALUE"""),"Best Amazon Agencies (2026): Ranked | Epinium")</f>
        <v>Best Amazon Agencies (2026): Ranked | Epinium</v>
      </c>
      <c r="C56" s="10" t="str">
        <f>IFERROR(__xludf.DUMMYFUNCTION("""COMPUTED_VALUE"""),"epinium.com")</f>
        <v>epinium.com</v>
      </c>
      <c r="D56" s="11" t="str">
        <f>IFERROR(__xludf.DUMMYFUNCTION("""COMPUTED_VALUE"""),"PROFILE")</f>
        <v>PROFILE</v>
      </c>
      <c r="E56" s="11" t="str">
        <f>IFERROR(__xludf.DUMMYFUNCTION("""COMPUTED_VALUE"""),"CORPORATE")</f>
        <v>CORPORATE</v>
      </c>
      <c r="F56" s="11" t="str">
        <f>IFERROR(__xludf.DUMMYFUNCTION("""COMPUTED_VALUE"""),"Profile")</f>
        <v>Profile</v>
      </c>
      <c r="G56" s="11" t="b">
        <f>IFERROR(__xludf.DUMMYFUNCTION("""COMPUTED_VALUE"""),FALSE)</f>
        <v>0</v>
      </c>
      <c r="H56" s="11" t="str">
        <f>IFERROR(__xludf.DUMMYFUNCTION("""COMPUTED_VALUE"""),"Tinuiti, Acadia")</f>
        <v>Tinuiti, Acadia</v>
      </c>
      <c r="I56" s="11">
        <f>IFERROR(__xludf.DUMMYFUNCTION("""COMPUTED_VALUE"""),1.0)</f>
        <v>1</v>
      </c>
      <c r="J56" s="11">
        <f>IFERROR(__xludf.DUMMYFUNCTION("""COMPUTED_VALUE"""),0.0)</f>
        <v>0</v>
      </c>
      <c r="K56" s="11">
        <f>IFERROR(__xludf.DUMMYFUNCTION("""COMPUTED_VALUE"""),1.0)</f>
        <v>1</v>
      </c>
    </row>
    <row r="57" ht="15.75" customHeight="1">
      <c r="A57" s="10" t="str">
        <f>IFERROR(__xludf.DUMMYFUNCTION("""COMPUTED_VALUE"""),"https://www.facebook.com/tinuiti1/")</f>
        <v>https://www.facebook.com/tinuiti1/</v>
      </c>
      <c r="B57" s="11" t="str">
        <f>IFERROR(__xludf.DUMMYFUNCTION("""COMPUTED_VALUE"""),"Facebook")</f>
        <v>Facebook</v>
      </c>
      <c r="C57" s="10" t="str">
        <f>IFERROR(__xludf.DUMMYFUNCTION("""COMPUTED_VALUE"""),"facebook.com")</f>
        <v>facebook.com</v>
      </c>
      <c r="D57" s="11" t="str">
        <f>IFERROR(__xludf.DUMMYFUNCTION("""COMPUTED_VALUE"""),"PROFILE")</f>
        <v>PROFILE</v>
      </c>
      <c r="E57" s="11" t="str">
        <f>IFERROR(__xludf.DUMMYFUNCTION("""COMPUTED_VALUE"""),"UGC")</f>
        <v>UGC</v>
      </c>
      <c r="F57" s="11" t="str">
        <f>IFERROR(__xludf.DUMMYFUNCTION("""COMPUTED_VALUE"""),"Profile")</f>
        <v>Profile</v>
      </c>
      <c r="G57" s="11" t="b">
        <f>IFERROR(__xludf.DUMMYFUNCTION("""COMPUTED_VALUE"""),FALSE)</f>
        <v>0</v>
      </c>
      <c r="H57" s="11"/>
      <c r="I57" s="11">
        <f>IFERROR(__xludf.DUMMYFUNCTION("""COMPUTED_VALUE"""),1.0)</f>
        <v>1</v>
      </c>
      <c r="J57" s="11">
        <f>IFERROR(__xludf.DUMMYFUNCTION("""COMPUTED_VALUE"""),0.0)</f>
        <v>0</v>
      </c>
      <c r="K57" s="11">
        <f>IFERROR(__xludf.DUMMYFUNCTION("""COMPUTED_VALUE"""),1.0)</f>
        <v>1</v>
      </c>
    </row>
    <row r="58" ht="15.75" customHeight="1">
      <c r="A58" s="10" t="str">
        <f>IFERROR(__xludf.DUMMYFUNCTION("""COMPUTED_VALUE"""),"https://finalscout.com/company/delve")</f>
        <v>https://finalscout.com/company/delve</v>
      </c>
      <c r="B58" s="11" t="str">
        <f>IFERROR(__xludf.DUMMYFUNCTION("""COMPUTED_VALUE"""),"DELVE profiles | FinalScout | FinalScout")</f>
        <v>DELVE profiles | FinalScout | FinalScout</v>
      </c>
      <c r="C58" s="10" t="str">
        <f>IFERROR(__xludf.DUMMYFUNCTION("""COMPUTED_VALUE"""),"finalscout.com")</f>
        <v>finalscout.com</v>
      </c>
      <c r="D58" s="11" t="str">
        <f>IFERROR(__xludf.DUMMYFUNCTION("""COMPUTED_VALUE"""),"PROFILE")</f>
        <v>PROFILE</v>
      </c>
      <c r="E58" s="11" t="str">
        <f>IFERROR(__xludf.DUMMYFUNCTION("""COMPUTED_VALUE"""),"CORPORATE")</f>
        <v>CORPORATE</v>
      </c>
      <c r="F58" s="11" t="str">
        <f>IFERROR(__xludf.DUMMYFUNCTION("""COMPUTED_VALUE"""),"Profile")</f>
        <v>Profile</v>
      </c>
      <c r="G58" s="11" t="b">
        <f>IFERROR(__xludf.DUMMYFUNCTION("""COMPUTED_VALUE"""),FALSE)</f>
        <v>0</v>
      </c>
      <c r="H58" s="11"/>
      <c r="I58" s="11">
        <f>IFERROR(__xludf.DUMMYFUNCTION("""COMPUTED_VALUE"""),1.0)</f>
        <v>1</v>
      </c>
      <c r="J58" s="11">
        <f>IFERROR(__xludf.DUMMYFUNCTION("""COMPUTED_VALUE"""),0.0)</f>
        <v>0</v>
      </c>
      <c r="K58" s="11">
        <f>IFERROR(__xludf.DUMMYFUNCTION("""COMPUTED_VALUE"""),1.0)</f>
        <v>1</v>
      </c>
    </row>
    <row r="59" ht="15.75" customHeight="1">
      <c r="A59" s="10" t="str">
        <f>IFERROR(__xludf.DUMMYFUNCTION("""COMPUTED_VALUE"""),"https://www.gartner.com/reviews/product/ogilvy-global-digital-marketing-agencies")</f>
        <v>https://www.gartner.com/reviews/product/ogilvy-global-digital-marketing-agencies</v>
      </c>
      <c r="B59" s="11" t="str">
        <f>IFERROR(__xludf.DUMMYFUNCTION("""COMPUTED_VALUE"""),"Ogilvy Global Digital Marketing Agencies Reviews &amp; Ratings 2026 \| Gartner Peer Insights")</f>
        <v>Ogilvy Global Digital Marketing Agencies Reviews &amp; Ratings 2026 \| Gartner Peer Insights</v>
      </c>
      <c r="C59" s="10" t="str">
        <f>IFERROR(__xludf.DUMMYFUNCTION("""COMPUTED_VALUE"""),"gartner.com")</f>
        <v>gartner.com</v>
      </c>
      <c r="D59" s="11" t="str">
        <f>IFERROR(__xludf.DUMMYFUNCTION("""COMPUTED_VALUE"""),"PROFILE")</f>
        <v>PROFILE</v>
      </c>
      <c r="E59" s="11" t="str">
        <f>IFERROR(__xludf.DUMMYFUNCTION("""COMPUTED_VALUE"""),"CORPORATE")</f>
        <v>CORPORATE</v>
      </c>
      <c r="F59" s="11" t="str">
        <f>IFERROR(__xludf.DUMMYFUNCTION("""COMPUTED_VALUE"""),"Profile")</f>
        <v>Profile</v>
      </c>
      <c r="G59" s="11" t="b">
        <f>IFERROR(__xludf.DUMMYFUNCTION("""COMPUTED_VALUE"""),FALSE)</f>
        <v>0</v>
      </c>
      <c r="H59" s="11" t="str">
        <f>IFERROR(__xludf.DUMMYFUNCTION("""COMPUTED_VALUE"""),"Ogilvy, VML, Accenture Song, Digitas")</f>
        <v>Ogilvy, VML, Accenture Song, Digitas</v>
      </c>
      <c r="I59" s="11">
        <f>IFERROR(__xludf.DUMMYFUNCTION("""COMPUTED_VALUE"""),1.0)</f>
        <v>1</v>
      </c>
      <c r="J59" s="11">
        <f>IFERROR(__xludf.DUMMYFUNCTION("""COMPUTED_VALUE"""),0.0)</f>
        <v>0</v>
      </c>
      <c r="K59" s="11">
        <f>IFERROR(__xludf.DUMMYFUNCTION("""COMPUTED_VALUE"""),1.0)</f>
        <v>1</v>
      </c>
    </row>
    <row r="60" ht="15.75" customHeight="1">
      <c r="A60" s="10" t="str">
        <f>IFERROR(__xludf.DUMMYFUNCTION("""COMPUTED_VALUE"""),"https://www.iacaward.org/iac/winner/18188/delve-wins-2021-iac-award-for-delve-applies-data-science-to-deliver-200-roas-for-unicef-usa.html")</f>
        <v>https://www.iacaward.org/iac/winner/18188/delve-wins-2021-iac-award-for-delve-applies-data-science-to-deliver-200-roas-for-unicef-usa.html</v>
      </c>
      <c r="B60" s="11" t="str">
        <f>IFERROR(__xludf.DUMMYFUNCTION("""COMPUTED_VALUE"""),"DELVE Wins 2021 Best Non-profit Online Campaign, Best Of Show Online Campaign Internet Advertising Award for DELVE Applies Data Science to Deliver 200% ROAS for UNICEF USA")</f>
        <v>DELVE Wins 2021 Best Non-profit Online Campaign, Best Of Show Online Campaign Internet Advertising Award for DELVE Applies Data Science to Deliver 200% ROAS for UNICEF USA</v>
      </c>
      <c r="C60" s="10" t="str">
        <f>IFERROR(__xludf.DUMMYFUNCTION("""COMPUTED_VALUE"""),"iacaward.org")</f>
        <v>iacaward.org</v>
      </c>
      <c r="D60" s="11" t="str">
        <f>IFERROR(__xludf.DUMMYFUNCTION("""COMPUTED_VALUE"""),"PROFILE")</f>
        <v>PROFILE</v>
      </c>
      <c r="E60" s="11" t="str">
        <f>IFERROR(__xludf.DUMMYFUNCTION("""COMPUTED_VALUE"""),"INSTITUTIONAL")</f>
        <v>INSTITUTIONAL</v>
      </c>
      <c r="F60" s="11" t="str">
        <f>IFERROR(__xludf.DUMMYFUNCTION("""COMPUTED_VALUE"""),"Profile")</f>
        <v>Profile</v>
      </c>
      <c r="G60" s="11" t="b">
        <f>IFERROR(__xludf.DUMMYFUNCTION("""COMPUTED_VALUE"""),FALSE)</f>
        <v>0</v>
      </c>
      <c r="H60" s="11"/>
      <c r="I60" s="11">
        <f>IFERROR(__xludf.DUMMYFUNCTION("""COMPUTED_VALUE"""),1.0)</f>
        <v>1</v>
      </c>
      <c r="J60" s="11">
        <f>IFERROR(__xludf.DUMMYFUNCTION("""COMPUTED_VALUE"""),0.0)</f>
        <v>0</v>
      </c>
      <c r="K60" s="11">
        <f>IFERROR(__xludf.DUMMYFUNCTION("""COMPUTED_VALUE"""),1.0)</f>
        <v>1</v>
      </c>
    </row>
    <row r="61" ht="15.75" customHeight="1">
      <c r="A61" s="10" t="str">
        <f>IFERROR(__xludf.DUMMYFUNCTION("""COMPUTED_VALUE"""),"https://impact.com/agency-partner-program/directory")</f>
        <v>https://impact.com/agency-partner-program/directory</v>
      </c>
      <c r="B61" s="11" t="str">
        <f>IFERROR(__xludf.DUMMYFUNCTION("""COMPUTED_VALUE"""),"Find the right impact.com Agency")</f>
        <v>Find the right impact.com Agency</v>
      </c>
      <c r="C61" s="10" t="str">
        <f>IFERROR(__xludf.DUMMYFUNCTION("""COMPUTED_VALUE"""),"impact.com")</f>
        <v>impact.com</v>
      </c>
      <c r="D61" s="11" t="str">
        <f>IFERROR(__xludf.DUMMYFUNCTION("""COMPUTED_VALUE"""),"PROFILE")</f>
        <v>PROFILE</v>
      </c>
      <c r="E61" s="11" t="str">
        <f>IFERROR(__xludf.DUMMYFUNCTION("""COMPUTED_VALUE"""),"CORPORATE")</f>
        <v>CORPORATE</v>
      </c>
      <c r="F61" s="11" t="str">
        <f>IFERROR(__xludf.DUMMYFUNCTION("""COMPUTED_VALUE"""),"Profile")</f>
        <v>Profile</v>
      </c>
      <c r="G61" s="11" t="b">
        <f>IFERROR(__xludf.DUMMYFUNCTION("""COMPUTED_VALUE"""),FALSE)</f>
        <v>0</v>
      </c>
      <c r="H61" s="11" t="str">
        <f>IFERROR(__xludf.DUMMYFUNCTION("""COMPUTED_VALUE"""),"Clutch, New Engen, Accenture Song, Acxiom, Right Side Up, Hawke Media, Huge")</f>
        <v>Clutch, New Engen, Accenture Song, Acxiom, Right Side Up, Hawke Media, Huge</v>
      </c>
      <c r="I61" s="11">
        <f>IFERROR(__xludf.DUMMYFUNCTION("""COMPUTED_VALUE"""),1.0)</f>
        <v>1</v>
      </c>
      <c r="J61" s="11">
        <f>IFERROR(__xludf.DUMMYFUNCTION("""COMPUTED_VALUE"""),0.0)</f>
        <v>0</v>
      </c>
      <c r="K61" s="11">
        <f>IFERROR(__xludf.DUMMYFUNCTION("""COMPUTED_VALUE"""),0.0)</f>
        <v>0</v>
      </c>
    </row>
    <row r="62" ht="15.75" customHeight="1">
      <c r="A62" s="10" t="str">
        <f>IFERROR(__xludf.DUMMYFUNCTION("""COMPUTED_VALUE"""),"https://www.latimes.com/b2b/industry-lists/top-ad-agencies/tbwa-chiat-day-los-angeles")</f>
        <v>https://www.latimes.com/b2b/industry-lists/top-ad-agencies/tbwa-chiat-day-los-angeles</v>
      </c>
      <c r="B62" s="11" t="str">
        <f>IFERROR(__xludf.DUMMYFUNCTION("""COMPUTED_VALUE"""),"TBWA\Chiat\Day Los Angeles - #8 Largest Advertising Agency in SoCal - Los Angeles Times")</f>
        <v>TBWA\Chiat\Day Los Angeles - #8 Largest Advertising Agency in SoCal - Los Angeles Times</v>
      </c>
      <c r="C62" s="10" t="str">
        <f>IFERROR(__xludf.DUMMYFUNCTION("""COMPUTED_VALUE"""),"latimes.com")</f>
        <v>latimes.com</v>
      </c>
      <c r="D62" s="11" t="str">
        <f>IFERROR(__xludf.DUMMYFUNCTION("""COMPUTED_VALUE"""),"PROFILE")</f>
        <v>PROFILE</v>
      </c>
      <c r="E62" s="11" t="str">
        <f>IFERROR(__xludf.DUMMYFUNCTION("""COMPUTED_VALUE"""),"EDITORIAL")</f>
        <v>EDITORIAL</v>
      </c>
      <c r="F62" s="11" t="str">
        <f>IFERROR(__xludf.DUMMYFUNCTION("""COMPUTED_VALUE"""),"Profile")</f>
        <v>Profile</v>
      </c>
      <c r="G62" s="11" t="b">
        <f>IFERROR(__xludf.DUMMYFUNCTION("""COMPUTED_VALUE"""),FALSE)</f>
        <v>0</v>
      </c>
      <c r="H62" s="11" t="str">
        <f>IFERROR(__xludf.DUMMYFUNCTION("""COMPUTED_VALUE"""),"TBWA\Chiat\Day")</f>
        <v>TBWA\Chiat\Day</v>
      </c>
      <c r="I62" s="11">
        <f>IFERROR(__xludf.DUMMYFUNCTION("""COMPUTED_VALUE"""),1.0)</f>
        <v>1</v>
      </c>
      <c r="J62" s="11">
        <f>IFERROR(__xludf.DUMMYFUNCTION("""COMPUTED_VALUE"""),0.0)</f>
        <v>0</v>
      </c>
      <c r="K62" s="11">
        <f>IFERROR(__xludf.DUMMYFUNCTION("""COMPUTED_VALUE"""),1.0)</f>
        <v>1</v>
      </c>
    </row>
    <row r="63" ht="15.75" customHeight="1">
      <c r="A63" s="10" t="str">
        <f>IFERROR(__xludf.DUMMYFUNCTION("""COMPUTED_VALUE"""),"https://leadiq.com/c/adaction/5a1d9d4223000053008d1c3e")</f>
        <v>https://leadiq.com/c/adaction/5a1d9d4223000053008d1c3e</v>
      </c>
      <c r="B63" s="11" t="str">
        <f>IFERROR(__xludf.DUMMYFUNCTION("""COMPUTED_VALUE"""),"AdAction Company Overview, Contact Details &amp;amp; Competitors | LeadIQ")</f>
        <v>AdAction Company Overview, Contact Details &amp;amp; Competitors | LeadIQ</v>
      </c>
      <c r="C63" s="10" t="str">
        <f>IFERROR(__xludf.DUMMYFUNCTION("""COMPUTED_VALUE"""),"leadiq.com")</f>
        <v>leadiq.com</v>
      </c>
      <c r="D63" s="11" t="str">
        <f>IFERROR(__xludf.DUMMYFUNCTION("""COMPUTED_VALUE"""),"PROFILE")</f>
        <v>PROFILE</v>
      </c>
      <c r="E63" s="11" t="str">
        <f>IFERROR(__xludf.DUMMYFUNCTION("""COMPUTED_VALUE"""),"CORPORATE")</f>
        <v>CORPORATE</v>
      </c>
      <c r="F63" s="11" t="str">
        <f>IFERROR(__xludf.DUMMYFUNCTION("""COMPUTED_VALUE"""),"Profile")</f>
        <v>Profile</v>
      </c>
      <c r="G63" s="11" t="b">
        <f>IFERROR(__xludf.DUMMYFUNCTION("""COMPUTED_VALUE"""),FALSE)</f>
        <v>0</v>
      </c>
      <c r="H63" s="11" t="str">
        <f>IFERROR(__xludf.DUMMYFUNCTION("""COMPUTED_VALUE"""),"Momentum")</f>
        <v>Momentum</v>
      </c>
      <c r="I63" s="11">
        <f>IFERROR(__xludf.DUMMYFUNCTION("""COMPUTED_VALUE"""),1.0)</f>
        <v>1</v>
      </c>
      <c r="J63" s="11">
        <f>IFERROR(__xludf.DUMMYFUNCTION("""COMPUTED_VALUE"""),0.0)</f>
        <v>0</v>
      </c>
      <c r="K63" s="11">
        <f>IFERROR(__xludf.DUMMYFUNCTION("""COMPUTED_VALUE"""),1.0)</f>
        <v>1</v>
      </c>
    </row>
    <row r="64" ht="15.75" customHeight="1">
      <c r="A64" s="10" t="str">
        <f>IFERROR(__xludf.DUMMYFUNCTION("""COMPUTED_VALUE"""),"https://www.linkedin.com/company/artefact-global")</f>
        <v>https://www.linkedin.com/company/artefact-global</v>
      </c>
      <c r="B64" s="11" t="str">
        <f>IFERROR(__xludf.DUMMYFUNCTION("""COMPUTED_VALUE"""),"Artefact | LinkedIn")</f>
        <v>Artefact | LinkedIn</v>
      </c>
      <c r="C64" s="10" t="str">
        <f>IFERROR(__xludf.DUMMYFUNCTION("""COMPUTED_VALUE"""),"linkedin.com")</f>
        <v>linkedin.com</v>
      </c>
      <c r="D64" s="11" t="str">
        <f>IFERROR(__xludf.DUMMYFUNCTION("""COMPUTED_VALUE"""),"PROFILE")</f>
        <v>PROFILE</v>
      </c>
      <c r="E64" s="11" t="str">
        <f>IFERROR(__xludf.DUMMYFUNCTION("""COMPUTED_VALUE"""),"UGC")</f>
        <v>UGC</v>
      </c>
      <c r="F64" s="11" t="str">
        <f>IFERROR(__xludf.DUMMYFUNCTION("""COMPUTED_VALUE"""),"Profile")</f>
        <v>Profile</v>
      </c>
      <c r="G64" s="11" t="b">
        <f>IFERROR(__xludf.DUMMYFUNCTION("""COMPUTED_VALUE"""),FALSE)</f>
        <v>0</v>
      </c>
      <c r="H64" s="11" t="str">
        <f>IFERROR(__xludf.DUMMYFUNCTION("""COMPUTED_VALUE"""),"Artefact, IBM, Momentum, BCG")</f>
        <v>Artefact, IBM, Momentum, BCG</v>
      </c>
      <c r="I64" s="11">
        <f>IFERROR(__xludf.DUMMYFUNCTION("""COMPUTED_VALUE"""),1.0)</f>
        <v>1</v>
      </c>
      <c r="J64" s="11">
        <f>IFERROR(__xludf.DUMMYFUNCTION("""COMPUTED_VALUE"""),0.0)</f>
        <v>0</v>
      </c>
      <c r="K64" s="11">
        <f>IFERROR(__xludf.DUMMYFUNCTION("""COMPUTED_VALUE"""),1.0)</f>
        <v>1</v>
      </c>
    </row>
    <row r="65" ht="15.75" customHeight="1">
      <c r="A65" s="10" t="str">
        <f>IFERROR(__xludf.DUMMYFUNCTION("""COMPUTED_VALUE"""),"https://www.linkedin.com/company/the-social-shepherd")</f>
        <v>https://www.linkedin.com/company/the-social-shepherd</v>
      </c>
      <c r="B65" s="11" t="str">
        <f>IFERROR(__xludf.DUMMYFUNCTION("""COMPUTED_VALUE"""),"The Social Shepherd | LinkedIn")</f>
        <v>The Social Shepherd | LinkedIn</v>
      </c>
      <c r="C65" s="10" t="str">
        <f>IFERROR(__xludf.DUMMYFUNCTION("""COMPUTED_VALUE"""),"linkedin.com")</f>
        <v>linkedin.com</v>
      </c>
      <c r="D65" s="11" t="str">
        <f>IFERROR(__xludf.DUMMYFUNCTION("""COMPUTED_VALUE"""),"PROFILE")</f>
        <v>PROFILE</v>
      </c>
      <c r="E65" s="11" t="str">
        <f>IFERROR(__xludf.DUMMYFUNCTION("""COMPUTED_VALUE"""),"UGC")</f>
        <v>UGC</v>
      </c>
      <c r="F65" s="11" t="str">
        <f>IFERROR(__xludf.DUMMYFUNCTION("""COMPUTED_VALUE"""),"Profile")</f>
        <v>Profile</v>
      </c>
      <c r="G65" s="11" t="b">
        <f>IFERROR(__xludf.DUMMYFUNCTION("""COMPUTED_VALUE"""),FALSE)</f>
        <v>0</v>
      </c>
      <c r="H65" s="11" t="str">
        <f>IFERROR(__xludf.DUMMYFUNCTION("""COMPUTED_VALUE"""),"The Social Shepherd, Huge")</f>
        <v>The Social Shepherd, Huge</v>
      </c>
      <c r="I65" s="11">
        <f>IFERROR(__xludf.DUMMYFUNCTION("""COMPUTED_VALUE"""),1.0)</f>
        <v>1</v>
      </c>
      <c r="J65" s="11">
        <f>IFERROR(__xludf.DUMMYFUNCTION("""COMPUTED_VALUE"""),0.0)</f>
        <v>0</v>
      </c>
      <c r="K65" s="11">
        <f>IFERROR(__xludf.DUMMYFUNCTION("""COMPUTED_VALUE"""),1.0)</f>
        <v>1</v>
      </c>
    </row>
    <row r="66" ht="15.75" customHeight="1">
      <c r="A66" s="10" t="str">
        <f>IFERROR(__xludf.DUMMYFUNCTION("""COMPUTED_VALUE"""),"https://www.linkedin.com/company/vaynermedia")</f>
        <v>https://www.linkedin.com/company/vaynermedia</v>
      </c>
      <c r="B66" s="11" t="str">
        <f>IFERROR(__xludf.DUMMYFUNCTION("""COMPUTED_VALUE"""),"VaynerMedia | LinkedIn")</f>
        <v>VaynerMedia | LinkedIn</v>
      </c>
      <c r="C66" s="10" t="str">
        <f>IFERROR(__xludf.DUMMYFUNCTION("""COMPUTED_VALUE"""),"linkedin.com")</f>
        <v>linkedin.com</v>
      </c>
      <c r="D66" s="11" t="str">
        <f>IFERROR(__xludf.DUMMYFUNCTION("""COMPUTED_VALUE"""),"PROFILE")</f>
        <v>PROFILE</v>
      </c>
      <c r="E66" s="11" t="str">
        <f>IFERROR(__xludf.DUMMYFUNCTION("""COMPUTED_VALUE"""),"UGC")</f>
        <v>UGC</v>
      </c>
      <c r="F66" s="11" t="str">
        <f>IFERROR(__xludf.DUMMYFUNCTION("""COMPUTED_VALUE"""),"Profile")</f>
        <v>Profile</v>
      </c>
      <c r="G66" s="11" t="b">
        <f>IFERROR(__xludf.DUMMYFUNCTION("""COMPUTED_VALUE"""),FALSE)</f>
        <v>0</v>
      </c>
      <c r="H66" s="11" t="str">
        <f>IFERROR(__xludf.DUMMYFUNCTION("""COMPUTED_VALUE"""),"VaynerMedia, Huge, DEPT, Ogilvy, Dentsu, VML, Publicis Groupe")</f>
        <v>VaynerMedia, Huge, DEPT, Ogilvy, Dentsu, VML, Publicis Groupe</v>
      </c>
      <c r="I66" s="11">
        <f>IFERROR(__xludf.DUMMYFUNCTION("""COMPUTED_VALUE"""),1.0)</f>
        <v>1</v>
      </c>
      <c r="J66" s="11">
        <f>IFERROR(__xludf.DUMMYFUNCTION("""COMPUTED_VALUE"""),0.0)</f>
        <v>0</v>
      </c>
      <c r="K66" s="11">
        <f>IFERROR(__xludf.DUMMYFUNCTION("""COMPUTED_VALUE"""),1.0)</f>
        <v>1</v>
      </c>
    </row>
    <row r="67" ht="15.75" customHeight="1">
      <c r="A67" s="10" t="str">
        <f>IFERROR(__xludf.DUMMYFUNCTION("""COMPUTED_VALUE"""),"https://luckie.com/about-us/")</f>
        <v>https://luckie.com/about-us/</v>
      </c>
      <c r="B67" s="11" t="str">
        <f>IFERROR(__xludf.DUMMYFUNCTION("""COMPUTED_VALUE"""),"About - Luckie &amp;amp; Co.")</f>
        <v>About - Luckie &amp;amp; Co.</v>
      </c>
      <c r="C67" s="10" t="str">
        <f>IFERROR(__xludf.DUMMYFUNCTION("""COMPUTED_VALUE"""),"luckie.com")</f>
        <v>luckie.com</v>
      </c>
      <c r="D67" s="11" t="str">
        <f>IFERROR(__xludf.DUMMYFUNCTION("""COMPUTED_VALUE"""),"PROFILE")</f>
        <v>PROFILE</v>
      </c>
      <c r="E67" s="11" t="str">
        <f>IFERROR(__xludf.DUMMYFUNCTION("""COMPUTED_VALUE"""),"CORPORATE")</f>
        <v>CORPORATE</v>
      </c>
      <c r="F67" s="11" t="str">
        <f>IFERROR(__xludf.DUMMYFUNCTION("""COMPUTED_VALUE"""),"Profile")</f>
        <v>Profile</v>
      </c>
      <c r="G67" s="11" t="b">
        <f>IFERROR(__xludf.DUMMYFUNCTION("""COMPUTED_VALUE"""),FALSE)</f>
        <v>0</v>
      </c>
      <c r="H67" s="11"/>
      <c r="I67" s="11">
        <f>IFERROR(__xludf.DUMMYFUNCTION("""COMPUTED_VALUE"""),1.0)</f>
        <v>1</v>
      </c>
      <c r="J67" s="11">
        <f>IFERROR(__xludf.DUMMYFUNCTION("""COMPUTED_VALUE"""),0.0)</f>
        <v>0</v>
      </c>
      <c r="K67" s="11">
        <f>IFERROR(__xludf.DUMMYFUNCTION("""COMPUTED_VALUE"""),0.0)</f>
        <v>0</v>
      </c>
    </row>
    <row r="68" ht="15.75" customHeight="1">
      <c r="A68" s="10" t="str">
        <f>IFERROR(__xludf.DUMMYFUNCTION("""COMPUTED_VALUE"""),"https://www.nv5.com/geospatial/")</f>
        <v>https://www.nv5.com/geospatial/</v>
      </c>
      <c r="B68" s="11" t="str">
        <f>IFERROR(__xludf.DUMMYFUNCTION("""COMPUTED_VALUE"""),"NV5 Geospatial Solutions &amp;amp; Services Expertise")</f>
        <v>NV5 Geospatial Solutions &amp;amp; Services Expertise</v>
      </c>
      <c r="C68" s="10" t="str">
        <f>IFERROR(__xludf.DUMMYFUNCTION("""COMPUTED_VALUE"""),"nv5.com")</f>
        <v>nv5.com</v>
      </c>
      <c r="D68" s="11" t="str">
        <f>IFERROR(__xludf.DUMMYFUNCTION("""COMPUTED_VALUE"""),"PROFILE")</f>
        <v>PROFILE</v>
      </c>
      <c r="E68" s="11" t="str">
        <f>IFERROR(__xludf.DUMMYFUNCTION("""COMPUTED_VALUE"""),"CORPORATE")</f>
        <v>CORPORATE</v>
      </c>
      <c r="F68" s="11" t="str">
        <f>IFERROR(__xludf.DUMMYFUNCTION("""COMPUTED_VALUE"""),"Profile")</f>
        <v>Profile</v>
      </c>
      <c r="G68" s="11" t="b">
        <f>IFERROR(__xludf.DUMMYFUNCTION("""COMPUTED_VALUE"""),FALSE)</f>
        <v>0</v>
      </c>
      <c r="H68" s="11"/>
      <c r="I68" s="11">
        <f>IFERROR(__xludf.DUMMYFUNCTION("""COMPUTED_VALUE"""),1.0)</f>
        <v>1</v>
      </c>
      <c r="J68" s="11">
        <f>IFERROR(__xludf.DUMMYFUNCTION("""COMPUTED_VALUE"""),0.0)</f>
        <v>0</v>
      </c>
      <c r="K68" s="11">
        <f>IFERROR(__xludf.DUMMYFUNCTION("""COMPUTED_VALUE"""),1.0)</f>
        <v>1</v>
      </c>
    </row>
    <row r="69" ht="15.75" customHeight="1">
      <c r="A69" s="10" t="str">
        <f>IFERROR(__xludf.DUMMYFUNCTION("""COMPUTED_VALUE"""),"https://www.oneclub.org/AWARDS/THEONESHOW/-archive/holdingcompany/2025/all/1/840")</f>
        <v>https://www.oneclub.org/AWARDS/THEONESHOW/-archive/holdingcompany/2025/all/1/840</v>
      </c>
      <c r="B69" s="11" t="str">
        <f>IFERROR(__xludf.DUMMYFUNCTION("""COMPUTED_VALUE"""),"One Show | Awards Archive | 2025")</f>
        <v>One Show | Awards Archive | 2025</v>
      </c>
      <c r="C69" s="10" t="str">
        <f>IFERROR(__xludf.DUMMYFUNCTION("""COMPUTED_VALUE"""),"oneclub.org")</f>
        <v>oneclub.org</v>
      </c>
      <c r="D69" s="11" t="str">
        <f>IFERROR(__xludf.DUMMYFUNCTION("""COMPUTED_VALUE"""),"PROFILE")</f>
        <v>PROFILE</v>
      </c>
      <c r="E69" s="11" t="str">
        <f>IFERROR(__xludf.DUMMYFUNCTION("""COMPUTED_VALUE"""),"INSTITUTIONAL")</f>
        <v>INSTITUTIONAL</v>
      </c>
      <c r="F69" s="11" t="str">
        <f>IFERROR(__xludf.DUMMYFUNCTION("""COMPUTED_VALUE"""),"Profile")</f>
        <v>Profile</v>
      </c>
      <c r="G69" s="11" t="b">
        <f>IFERROR(__xludf.DUMMYFUNCTION("""COMPUTED_VALUE"""),FALSE)</f>
        <v>0</v>
      </c>
      <c r="H69" s="11" t="str">
        <f>IFERROR(__xludf.DUMMYFUNCTION("""COMPUTED_VALUE"""),"BBDO, VML, Ogilvy, Dentsu, Droga5, AKQA, Monks")</f>
        <v>BBDO, VML, Ogilvy, Dentsu, Droga5, AKQA, Monks</v>
      </c>
      <c r="I69" s="11">
        <f>IFERROR(__xludf.DUMMYFUNCTION("""COMPUTED_VALUE"""),1.0)</f>
        <v>1</v>
      </c>
      <c r="J69" s="11">
        <f>IFERROR(__xludf.DUMMYFUNCTION("""COMPUTED_VALUE"""),0.0)</f>
        <v>0</v>
      </c>
      <c r="K69" s="11">
        <f>IFERROR(__xludf.DUMMYFUNCTION("""COMPUTED_VALUE"""),0.0)</f>
        <v>0</v>
      </c>
    </row>
    <row r="70" ht="15.75" customHeight="1">
      <c r="A70" s="10" t="str">
        <f>IFERROR(__xludf.DUMMYFUNCTION("""COMPUTED_VALUE"""),"https://open.spotify.com/artist/4yiB30K5scGkjmAgHGIH8Y")</f>
        <v>https://open.spotify.com/artist/4yiB30K5scGkjmAgHGIH8Y</v>
      </c>
      <c r="B70" s="11" t="str">
        <f>IFERROR(__xludf.DUMMYFUNCTION("""COMPUTED_VALUE"""),"T.O.P | Spotify")</f>
        <v>T.O.P | Spotify</v>
      </c>
      <c r="C70" s="10" t="str">
        <f>IFERROR(__xludf.DUMMYFUNCTION("""COMPUTED_VALUE"""),"spotify.com")</f>
        <v>spotify.com</v>
      </c>
      <c r="D70" s="11" t="str">
        <f>IFERROR(__xludf.DUMMYFUNCTION("""COMPUTED_VALUE"""),"PROFILE")</f>
        <v>PROFILE</v>
      </c>
      <c r="E70" s="11" t="str">
        <f>IFERROR(__xludf.DUMMYFUNCTION("""COMPUTED_VALUE"""),"UGC")</f>
        <v>UGC</v>
      </c>
      <c r="F70" s="11" t="str">
        <f>IFERROR(__xludf.DUMMYFUNCTION("""COMPUTED_VALUE"""),"Profile")</f>
        <v>Profile</v>
      </c>
      <c r="G70" s="11" t="b">
        <f>IFERROR(__xludf.DUMMYFUNCTION("""COMPUTED_VALUE"""),FALSE)</f>
        <v>0</v>
      </c>
      <c r="H70" s="11"/>
      <c r="I70" s="11">
        <f>IFERROR(__xludf.DUMMYFUNCTION("""COMPUTED_VALUE"""),1.0)</f>
        <v>1</v>
      </c>
      <c r="J70" s="11">
        <f>IFERROR(__xludf.DUMMYFUNCTION("""COMPUTED_VALUE"""),0.0)</f>
        <v>0</v>
      </c>
      <c r="K70" s="11">
        <f>IFERROR(__xludf.DUMMYFUNCTION("""COMPUTED_VALUE"""),0.0)</f>
        <v>0</v>
      </c>
    </row>
    <row r="71" ht="15.75" customHeight="1">
      <c r="A71" s="10" t="str">
        <f>IFERROR(__xludf.DUMMYFUNCTION("""COMPUTED_VALUE"""),"https://www.sdim.nl/en/certifications-and-partners/google-premier-partner/")</f>
        <v>https://www.sdim.nl/en/certifications-and-partners/google-premier-partner/</v>
      </c>
      <c r="B71" s="11" t="str">
        <f>IFERROR(__xludf.DUMMYFUNCTION("""COMPUTED_VALUE"""),"Google Premier Partner 2026 » SDIM Digital Marketing Agency")</f>
        <v>Google Premier Partner 2026 » SDIM Digital Marketing Agency</v>
      </c>
      <c r="C71" s="10" t="str">
        <f>IFERROR(__xludf.DUMMYFUNCTION("""COMPUTED_VALUE"""),"sdim.nl")</f>
        <v>sdim.nl</v>
      </c>
      <c r="D71" s="11" t="str">
        <f>IFERROR(__xludf.DUMMYFUNCTION("""COMPUTED_VALUE"""),"PROFILE")</f>
        <v>PROFILE</v>
      </c>
      <c r="E71" s="11" t="str">
        <f>IFERROR(__xludf.DUMMYFUNCTION("""COMPUTED_VALUE"""),"CORPORATE")</f>
        <v>CORPORATE</v>
      </c>
      <c r="F71" s="11" t="str">
        <f>IFERROR(__xludf.DUMMYFUNCTION("""COMPUTED_VALUE"""),"Profile")</f>
        <v>Profile</v>
      </c>
      <c r="G71" s="11" t="b">
        <f>IFERROR(__xludf.DUMMYFUNCTION("""COMPUTED_VALUE"""),FALSE)</f>
        <v>0</v>
      </c>
      <c r="H71" s="11"/>
      <c r="I71" s="11">
        <f>IFERROR(__xludf.DUMMYFUNCTION("""COMPUTED_VALUE"""),1.0)</f>
        <v>1</v>
      </c>
      <c r="J71" s="11">
        <f>IFERROR(__xludf.DUMMYFUNCTION("""COMPUTED_VALUE"""),0.0)</f>
        <v>0</v>
      </c>
      <c r="K71" s="11">
        <f>IFERROR(__xludf.DUMMYFUNCTION("""COMPUTED_VALUE"""),0.0)</f>
        <v>0</v>
      </c>
    </row>
    <row r="72" ht="15.75" customHeight="1">
      <c r="A72" s="10" t="str">
        <f>IFERROR(__xludf.DUMMYFUNCTION("""COMPUTED_VALUE"""),"https://selectedfirms.co/companies/aeo-companies")</f>
        <v>https://selectedfirms.co/companies/aeo-companies</v>
      </c>
      <c r="B72" s="11" t="str">
        <f>IFERROR(__xludf.DUMMYFUNCTION("""COMPUTED_VALUE"""),"Top AEO Companies Companies (2026) — SelectedFirms")</f>
        <v>Top AEO Companies Companies (2026) — SelectedFirms</v>
      </c>
      <c r="C72" s="10" t="str">
        <f>IFERROR(__xludf.DUMMYFUNCTION("""COMPUTED_VALUE"""),"selectedfirms.co")</f>
        <v>selectedfirms.co</v>
      </c>
      <c r="D72" s="11" t="str">
        <f>IFERROR(__xludf.DUMMYFUNCTION("""COMPUTED_VALUE"""),"PROFILE")</f>
        <v>PROFILE</v>
      </c>
      <c r="E72" s="11" t="str">
        <f>IFERROR(__xludf.DUMMYFUNCTION("""COMPUTED_VALUE"""),"CORPORATE")</f>
        <v>CORPORATE</v>
      </c>
      <c r="F72" s="11" t="str">
        <f>IFERROR(__xludf.DUMMYFUNCTION("""COMPUTED_VALUE"""),"Profile")</f>
        <v>Profile</v>
      </c>
      <c r="G72" s="11" t="b">
        <f>IFERROR(__xludf.DUMMYFUNCTION("""COMPUTED_VALUE"""),FALSE)</f>
        <v>0</v>
      </c>
      <c r="H72" s="11" t="str">
        <f>IFERROR(__xludf.DUMMYFUNCTION("""COMPUTED_VALUE"""),"IBM, Silverback Strategies, Clutch, Momentum, Avenue Z")</f>
        <v>IBM, Silverback Strategies, Clutch, Momentum, Avenue Z</v>
      </c>
      <c r="I72" s="11">
        <f>IFERROR(__xludf.DUMMYFUNCTION("""COMPUTED_VALUE"""),1.0)</f>
        <v>1</v>
      </c>
      <c r="J72" s="11">
        <f>IFERROR(__xludf.DUMMYFUNCTION("""COMPUTED_VALUE"""),0.0)</f>
        <v>0</v>
      </c>
      <c r="K72" s="11">
        <f>IFERROR(__xludf.DUMMYFUNCTION("""COMPUTED_VALUE"""),0.0)</f>
        <v>0</v>
      </c>
    </row>
    <row r="73" ht="15.75" customHeight="1">
      <c r="A73" s="10" t="str">
        <f>IFERROR(__xludf.DUMMYFUNCTION("""COMPUTED_VALUE"""),"https://www.semrush.com/agencies/list/display-advertising/information-technology/united-states/")</f>
        <v>https://www.semrush.com/agencies/list/display-advertising/information-technology/united-states/</v>
      </c>
      <c r="B73" s="11" t="str">
        <f>IFERROR(__xludf.DUMMYFUNCTION("""COMPUTED_VALUE"""),"Best IT Display Ads Agencies in United States 2026 \| Semrush")</f>
        <v>Best IT Display Ads Agencies in United States 2026 \| Semrush</v>
      </c>
      <c r="C73" s="10" t="str">
        <f>IFERROR(__xludf.DUMMYFUNCTION("""COMPUTED_VALUE"""),"semrush.com")</f>
        <v>semrush.com</v>
      </c>
      <c r="D73" s="11" t="str">
        <f>IFERROR(__xludf.DUMMYFUNCTION("""COMPUTED_VALUE"""),"PROFILE")</f>
        <v>PROFILE</v>
      </c>
      <c r="E73" s="11" t="str">
        <f>IFERROR(__xludf.DUMMYFUNCTION("""COMPUTED_VALUE"""),"CORPORATE")</f>
        <v>CORPORATE</v>
      </c>
      <c r="F73" s="11" t="str">
        <f>IFERROR(__xludf.DUMMYFUNCTION("""COMPUTED_VALUE"""),"Profile")</f>
        <v>Profile</v>
      </c>
      <c r="G73" s="11" t="b">
        <f>IFERROR(__xludf.DUMMYFUNCTION("""COMPUTED_VALUE"""),FALSE)</f>
        <v>0</v>
      </c>
      <c r="H73" s="11" t="str">
        <f>IFERROR(__xludf.DUMMYFUNCTION("""COMPUTED_VALUE"""),"SmartSites, Elit-Web, Silverback Strategies, WebFX, Measured, Funnel Boost Media")</f>
        <v>SmartSites, Elit-Web, Silverback Strategies, WebFX, Measured, Funnel Boost Media</v>
      </c>
      <c r="I73" s="11">
        <f>IFERROR(__xludf.DUMMYFUNCTION("""COMPUTED_VALUE"""),1.0)</f>
        <v>1</v>
      </c>
      <c r="J73" s="11">
        <f>IFERROR(__xludf.DUMMYFUNCTION("""COMPUTED_VALUE"""),0.0)</f>
        <v>0</v>
      </c>
      <c r="K73" s="11">
        <f>IFERROR(__xludf.DUMMYFUNCTION("""COMPUTED_VALUE"""),0.0)</f>
        <v>0</v>
      </c>
    </row>
    <row r="74" ht="15.75" customHeight="1">
      <c r="A74" s="10" t="str">
        <f>IFERROR(__xludf.DUMMYFUNCTION("""COMPUTED_VALUE"""),"https://sourceforge.net/software/product/INCRMNTAL/")</f>
        <v>https://sourceforge.net/software/product/INCRMNTAL/</v>
      </c>
      <c r="B74" s="11" t="str">
        <f>IFERROR(__xludf.DUMMYFUNCTION("""COMPUTED_VALUE"""),"INCRMNTAL Reviews in 2026")</f>
        <v>INCRMNTAL Reviews in 2026</v>
      </c>
      <c r="C74" s="10" t="str">
        <f>IFERROR(__xludf.DUMMYFUNCTION("""COMPUTED_VALUE"""),"sourceforge.net")</f>
        <v>sourceforge.net</v>
      </c>
      <c r="D74" s="11" t="str">
        <f>IFERROR(__xludf.DUMMYFUNCTION("""COMPUTED_VALUE"""),"PROFILE")</f>
        <v>PROFILE</v>
      </c>
      <c r="E74" s="11" t="str">
        <f>IFERROR(__xludf.DUMMYFUNCTION("""COMPUTED_VALUE"""),"OTHER")</f>
        <v>OTHER</v>
      </c>
      <c r="F74" s="11" t="str">
        <f>IFERROR(__xludf.DUMMYFUNCTION("""COMPUTED_VALUE"""),"Profile")</f>
        <v>Profile</v>
      </c>
      <c r="G74" s="11" t="b">
        <f>IFERROR(__xludf.DUMMYFUNCTION("""COMPUTED_VALUE"""),FALSE)</f>
        <v>0</v>
      </c>
      <c r="H74" s="11" t="str">
        <f>IFERROR(__xludf.DUMMYFUNCTION("""COMPUTED_VALUE"""),"INCRMNTAL, Haus, SegmentStream, Tinuiti, Measured, LifeSight")</f>
        <v>INCRMNTAL, Haus, SegmentStream, Tinuiti, Measured, LifeSight</v>
      </c>
      <c r="I74" s="11">
        <f>IFERROR(__xludf.DUMMYFUNCTION("""COMPUTED_VALUE"""),1.0)</f>
        <v>1</v>
      </c>
      <c r="J74" s="11">
        <f>IFERROR(__xludf.DUMMYFUNCTION("""COMPUTED_VALUE"""),0.0)</f>
        <v>0</v>
      </c>
      <c r="K74" s="11">
        <f>IFERROR(__xludf.DUMMYFUNCTION("""COMPUTED_VALUE"""),1.0)</f>
        <v>1</v>
      </c>
    </row>
    <row r="75" ht="15.75" customHeight="1">
      <c r="A75" s="10" t="str">
        <f>IFERROR(__xludf.DUMMYFUNCTION("""COMPUTED_VALUE"""),"https://talents.vaia.com/companies/vaynermedia-llc/")</f>
        <v>https://talents.vaia.com/companies/vaynermedia-llc/</v>
      </c>
      <c r="B75" s="11" t="str">
        <f>IFERROR(__xludf.DUMMYFUNCTION("""COMPUTED_VALUE"""),"VaynerMedia LLC – Vaia – Talents")</f>
        <v>VaynerMedia LLC – Vaia – Talents</v>
      </c>
      <c r="C75" s="10" t="str">
        <f>IFERROR(__xludf.DUMMYFUNCTION("""COMPUTED_VALUE"""),"vaia.com")</f>
        <v>vaia.com</v>
      </c>
      <c r="D75" s="11" t="str">
        <f>IFERROR(__xludf.DUMMYFUNCTION("""COMPUTED_VALUE"""),"PROFILE")</f>
        <v>PROFILE</v>
      </c>
      <c r="E75" s="11" t="str">
        <f>IFERROR(__xludf.DUMMYFUNCTION("""COMPUTED_VALUE"""),"CORPORATE")</f>
        <v>CORPORATE</v>
      </c>
      <c r="F75" s="11" t="str">
        <f>IFERROR(__xludf.DUMMYFUNCTION("""COMPUTED_VALUE"""),"Profile")</f>
        <v>Profile</v>
      </c>
      <c r="G75" s="11" t="b">
        <f>IFERROR(__xludf.DUMMYFUNCTION("""COMPUTED_VALUE"""),FALSE)</f>
        <v>0</v>
      </c>
      <c r="H75" s="11" t="str">
        <f>IFERROR(__xludf.DUMMYFUNCTION("""COMPUTED_VALUE"""),"VaynerMedia")</f>
        <v>VaynerMedia</v>
      </c>
      <c r="I75" s="11">
        <f>IFERROR(__xludf.DUMMYFUNCTION("""COMPUTED_VALUE"""),1.0)</f>
        <v>1</v>
      </c>
      <c r="J75" s="11">
        <f>IFERROR(__xludf.DUMMYFUNCTION("""COMPUTED_VALUE"""),0.0)</f>
        <v>0</v>
      </c>
      <c r="K75" s="11">
        <f>IFERROR(__xludf.DUMMYFUNCTION("""COMPUTED_VALUE"""),1.0)</f>
        <v>1</v>
      </c>
    </row>
    <row r="76" ht="15.75" customHeight="1">
      <c r="A76" s="10" t="str">
        <f>IFERROR(__xludf.DUMMYFUNCTION("""COMPUTED_VALUE"""),"https://www.theatdb.com/companies/accenture-song")</f>
        <v>https://www.theatdb.com/companies/accenture-song</v>
      </c>
      <c r="B76" s="11" t="str">
        <f>IFERROR(__xludf.DUMMYFUNCTION("""COMPUTED_VALUE"""),"Accenture Song — Creative &amp;amp; Experience Services | ATDb")</f>
        <v>Accenture Song — Creative &amp;amp; Experience Services | ATDb</v>
      </c>
      <c r="C76" s="10" t="str">
        <f>IFERROR(__xludf.DUMMYFUNCTION("""COMPUTED_VALUE"""),"theatdb.com")</f>
        <v>theatdb.com</v>
      </c>
      <c r="D76" s="11" t="str">
        <f>IFERROR(__xludf.DUMMYFUNCTION("""COMPUTED_VALUE"""),"PROFILE")</f>
        <v>PROFILE</v>
      </c>
      <c r="E76" s="11" t="str">
        <f>IFERROR(__xludf.DUMMYFUNCTION("""COMPUTED_VALUE"""),"REFERENCE")</f>
        <v>REFERENCE</v>
      </c>
      <c r="F76" s="11" t="str">
        <f>IFERROR(__xludf.DUMMYFUNCTION("""COMPUTED_VALUE"""),"Profile")</f>
        <v>Profile</v>
      </c>
      <c r="G76" s="11" t="b">
        <f>IFERROR(__xludf.DUMMYFUNCTION("""COMPUTED_VALUE"""),FALSE)</f>
        <v>0</v>
      </c>
      <c r="H76" s="11" t="str">
        <f>IFERROR(__xludf.DUMMYFUNCTION("""COMPUTED_VALUE"""),"Accenture Song, Droga5, WPP")</f>
        <v>Accenture Song, Droga5, WPP</v>
      </c>
      <c r="I76" s="11">
        <f>IFERROR(__xludf.DUMMYFUNCTION("""COMPUTED_VALUE"""),1.0)</f>
        <v>1</v>
      </c>
      <c r="J76" s="11">
        <f>IFERROR(__xludf.DUMMYFUNCTION("""COMPUTED_VALUE"""),0.0)</f>
        <v>0</v>
      </c>
      <c r="K76" s="11">
        <f>IFERROR(__xludf.DUMMYFUNCTION("""COMPUTED_VALUE"""),0.0)</f>
        <v>0</v>
      </c>
    </row>
    <row r="77" ht="15.75" customHeight="1">
      <c r="A77" s="10" t="str">
        <f>IFERROR(__xludf.DUMMYFUNCTION("""COMPUTED_VALUE"""),"https://www.trustpilot.com/review/www.mutesix.com")</f>
        <v>https://www.trustpilot.com/review/www.mutesix.com</v>
      </c>
      <c r="B77" s="11" t="str">
        <f>IFERROR(__xludf.DUMMYFUNCTION("""COMPUTED_VALUE"""),"MuteSix Reviews \| Read Customer Service Reviews of www.mutesix.com")</f>
        <v>MuteSix Reviews \| Read Customer Service Reviews of www.mutesix.com</v>
      </c>
      <c r="C77" s="10" t="str">
        <f>IFERROR(__xludf.DUMMYFUNCTION("""COMPUTED_VALUE"""),"trustpilot.com")</f>
        <v>trustpilot.com</v>
      </c>
      <c r="D77" s="11" t="str">
        <f>IFERROR(__xludf.DUMMYFUNCTION("""COMPUTED_VALUE"""),"PROFILE")</f>
        <v>PROFILE</v>
      </c>
      <c r="E77" s="11" t="str">
        <f>IFERROR(__xludf.DUMMYFUNCTION("""COMPUTED_VALUE"""),"UGC")</f>
        <v>UGC</v>
      </c>
      <c r="F77" s="11" t="str">
        <f>IFERROR(__xludf.DUMMYFUNCTION("""COMPUTED_VALUE"""),"Profile")</f>
        <v>Profile</v>
      </c>
      <c r="G77" s="11" t="b">
        <f>IFERROR(__xludf.DUMMYFUNCTION("""COMPUTED_VALUE"""),FALSE)</f>
        <v>0</v>
      </c>
      <c r="H77" s="11" t="str">
        <f>IFERROR(__xludf.DUMMYFUNCTION("""COMPUTED_VALUE"""),"NinjaPromo, MuteSix, LYFE Marketing, Superside")</f>
        <v>NinjaPromo, MuteSix, LYFE Marketing, Superside</v>
      </c>
      <c r="I77" s="11">
        <f>IFERROR(__xludf.DUMMYFUNCTION("""COMPUTED_VALUE"""),1.0)</f>
        <v>1</v>
      </c>
      <c r="J77" s="11">
        <f>IFERROR(__xludf.DUMMYFUNCTION("""COMPUTED_VALUE"""),0.0)</f>
        <v>0</v>
      </c>
      <c r="K77" s="11">
        <f>IFERROR(__xludf.DUMMYFUNCTION("""COMPUTED_VALUE"""),1.0)</f>
        <v>1</v>
      </c>
    </row>
    <row r="78" ht="15.75" customHeight="1">
      <c r="A78" s="10" t="str">
        <f>IFERROR(__xludf.DUMMYFUNCTION("""COMPUTED_VALUE"""),"https://www.tryprofound.com/partners/tinuiti")</f>
        <v>https://www.tryprofound.com/partners/tinuiti</v>
      </c>
      <c r="B78" s="11"/>
      <c r="C78" s="10" t="str">
        <f>IFERROR(__xludf.DUMMYFUNCTION("""COMPUTED_VALUE"""),"tryprofound.com")</f>
        <v>tryprofound.com</v>
      </c>
      <c r="D78" s="11" t="str">
        <f>IFERROR(__xludf.DUMMYFUNCTION("""COMPUTED_VALUE"""),"PROFILE")</f>
        <v>PROFILE</v>
      </c>
      <c r="E78" s="11" t="str">
        <f>IFERROR(__xludf.DUMMYFUNCTION("""COMPUTED_VALUE"""),"CORPORATE")</f>
        <v>CORPORATE</v>
      </c>
      <c r="F78" s="11" t="str">
        <f>IFERROR(__xludf.DUMMYFUNCTION("""COMPUTED_VALUE"""),"Profile")</f>
        <v>Profile</v>
      </c>
      <c r="G78" s="11" t="b">
        <f>IFERROR(__xludf.DUMMYFUNCTION("""COMPUTED_VALUE"""),FALSE)</f>
        <v>0</v>
      </c>
      <c r="H78" s="11" t="str">
        <f>IFERROR(__xludf.DUMMYFUNCTION("""COMPUTED_VALUE"""),"Tinuiti, Measured")</f>
        <v>Tinuiti, Measured</v>
      </c>
      <c r="I78" s="11">
        <f>IFERROR(__xludf.DUMMYFUNCTION("""COMPUTED_VALUE"""),1.0)</f>
        <v>1</v>
      </c>
      <c r="J78" s="11">
        <f>IFERROR(__xludf.DUMMYFUNCTION("""COMPUTED_VALUE"""),0.0)</f>
        <v>0</v>
      </c>
      <c r="K78" s="11">
        <f>IFERROR(__xludf.DUMMYFUNCTION("""COMPUTED_VALUE"""),1.0)</f>
        <v>1</v>
      </c>
    </row>
    <row r="79" ht="15.75" customHeight="1">
      <c r="A79" s="10" t="str">
        <f>IFERROR(__xludf.DUMMYFUNCTION("""COMPUTED_VALUE"""),"https://vaynermedia.com/work/")</f>
        <v>https://vaynermedia.com/work/</v>
      </c>
      <c r="B79" s="11" t="str">
        <f>IFERROR(__xludf.DUMMYFUNCTION("""COMPUTED_VALUE"""),"VaynerMedia Work, Clients, Case Studies &amp;amp; Awards")</f>
        <v>VaynerMedia Work, Clients, Case Studies &amp;amp; Awards</v>
      </c>
      <c r="C79" s="10" t="str">
        <f>IFERROR(__xludf.DUMMYFUNCTION("""COMPUTED_VALUE"""),"vaynermedia.com")</f>
        <v>vaynermedia.com</v>
      </c>
      <c r="D79" s="11" t="str">
        <f>IFERROR(__xludf.DUMMYFUNCTION("""COMPUTED_VALUE"""),"PROFILE")</f>
        <v>PROFILE</v>
      </c>
      <c r="E79" s="11" t="str">
        <f>IFERROR(__xludf.DUMMYFUNCTION("""COMPUTED_VALUE"""),"COMPETITOR")</f>
        <v>COMPETITOR</v>
      </c>
      <c r="F79" s="11" t="str">
        <f>IFERROR(__xludf.DUMMYFUNCTION("""COMPUTED_VALUE"""),"Profile")</f>
        <v>Profile</v>
      </c>
      <c r="G79" s="11" t="b">
        <f>IFERROR(__xludf.DUMMYFUNCTION("""COMPUTED_VALUE"""),FALSE)</f>
        <v>0</v>
      </c>
      <c r="H79" s="11" t="str">
        <f>IFERROR(__xludf.DUMMYFUNCTION("""COMPUTED_VALUE"""),"VaynerMedia, Digitas")</f>
        <v>VaynerMedia, Digitas</v>
      </c>
      <c r="I79" s="11">
        <f>IFERROR(__xludf.DUMMYFUNCTION("""COMPUTED_VALUE"""),1.0)</f>
        <v>1</v>
      </c>
      <c r="J79" s="11">
        <f>IFERROR(__xludf.DUMMYFUNCTION("""COMPUTED_VALUE"""),0.0)</f>
        <v>0</v>
      </c>
      <c r="K79" s="11">
        <f>IFERROR(__xludf.DUMMYFUNCTION("""COMPUTED_VALUE"""),1.0)</f>
        <v>1</v>
      </c>
    </row>
    <row r="80" ht="15.75" customHeight="1">
      <c r="A80" s="10" t="str">
        <f>IFERROR(__xludf.DUMMYFUNCTION("""COMPUTED_VALUE"""),"https://www.vendry.io/agency/the-social-shepherd-xbvkqj")</f>
        <v>https://www.vendry.io/agency/the-social-shepherd-xbvkqj</v>
      </c>
      <c r="B80" s="11" t="str">
        <f>IFERROR(__xludf.DUMMYFUNCTION("""COMPUTED_VALUE"""),"The Social Shepherd — Case Studies, Pricing &amp; Reviews \| Vendry")</f>
        <v>The Social Shepherd — Case Studies, Pricing &amp; Reviews \| Vendry</v>
      </c>
      <c r="C80" s="10" t="str">
        <f>IFERROR(__xludf.DUMMYFUNCTION("""COMPUTED_VALUE"""),"vendry.io")</f>
        <v>vendry.io</v>
      </c>
      <c r="D80" s="11" t="str">
        <f>IFERROR(__xludf.DUMMYFUNCTION("""COMPUTED_VALUE"""),"PROFILE")</f>
        <v>PROFILE</v>
      </c>
      <c r="E80" s="11" t="str">
        <f>IFERROR(__xludf.DUMMYFUNCTION("""COMPUTED_VALUE"""),"CORPORATE")</f>
        <v>CORPORATE</v>
      </c>
      <c r="F80" s="11" t="str">
        <f>IFERROR(__xludf.DUMMYFUNCTION("""COMPUTED_VALUE"""),"Profile")</f>
        <v>Profile</v>
      </c>
      <c r="G80" s="11" t="b">
        <f>IFERROR(__xludf.DUMMYFUNCTION("""COMPUTED_VALUE"""),FALSE)</f>
        <v>0</v>
      </c>
      <c r="H80" s="11" t="str">
        <f>IFERROR(__xludf.DUMMYFUNCTION("""COMPUTED_VALUE"""),"The Social Shepherd")</f>
        <v>The Social Shepherd</v>
      </c>
      <c r="I80" s="11">
        <f>IFERROR(__xludf.DUMMYFUNCTION("""COMPUTED_VALUE"""),1.0)</f>
        <v>1</v>
      </c>
      <c r="J80" s="11">
        <f>IFERROR(__xludf.DUMMYFUNCTION("""COMPUTED_VALUE"""),0.0)</f>
        <v>0</v>
      </c>
      <c r="K80" s="11">
        <f>IFERROR(__xludf.DUMMYFUNCTION("""COMPUTED_VALUE"""),1.0)</f>
        <v>1</v>
      </c>
    </row>
    <row r="81" ht="15.75" customHeight="1">
      <c r="A81" s="10" t="str">
        <f>IFERROR(__xludf.DUMMYFUNCTION("""COMPUTED_VALUE"""),"https://www.wpp.com/en/news/2026/03/wpp-claims-top-spot-on-warc-creative-100-for-fourth-consecutive-year")</f>
        <v>https://www.wpp.com/en/news/2026/03/wpp-claims-top-spot-on-warc-creative-100-for-fourth-consecutive-year</v>
      </c>
      <c r="B81" s="11" t="str">
        <f>IFERROR(__xludf.DUMMYFUNCTION("""COMPUTED_VALUE"""),"WPP claims top spot on WARC Creative 100 for fourth consecutive year | WPP")</f>
        <v>WPP claims top spot on WARC Creative 100 for fourth consecutive year | WPP</v>
      </c>
      <c r="C81" s="10" t="str">
        <f>IFERROR(__xludf.DUMMYFUNCTION("""COMPUTED_VALUE"""),"wpp.com")</f>
        <v>wpp.com</v>
      </c>
      <c r="D81" s="11" t="str">
        <f>IFERROR(__xludf.DUMMYFUNCTION("""COMPUTED_VALUE"""),"PROFILE")</f>
        <v>PROFILE</v>
      </c>
      <c r="E81" s="11" t="str">
        <f>IFERROR(__xludf.DUMMYFUNCTION("""COMPUTED_VALUE"""),"COMPETITOR")</f>
        <v>COMPETITOR</v>
      </c>
      <c r="F81" s="11" t="str">
        <f>IFERROR(__xludf.DUMMYFUNCTION("""COMPUTED_VALUE"""),"Profile")</f>
        <v>Profile</v>
      </c>
      <c r="G81" s="11" t="b">
        <f>IFERROR(__xludf.DUMMYFUNCTION("""COMPUTED_VALUE"""),FALSE)</f>
        <v>0</v>
      </c>
      <c r="H81" s="11" t="str">
        <f>IFERROR(__xludf.DUMMYFUNCTION("""COMPUTED_VALUE"""),"WPP, Ogilvy, VML, AKQA")</f>
        <v>WPP, Ogilvy, VML, AKQA</v>
      </c>
      <c r="I81" s="11">
        <f>IFERROR(__xludf.DUMMYFUNCTION("""COMPUTED_VALUE"""),1.0)</f>
        <v>1</v>
      </c>
      <c r="J81" s="11">
        <f>IFERROR(__xludf.DUMMYFUNCTION("""COMPUTED_VALUE"""),0.0)</f>
        <v>0</v>
      </c>
      <c r="K81" s="11">
        <f>IFERROR(__xludf.DUMMYFUNCTION("""COMPUTED_VALUE"""),0.0)</f>
        <v>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location=":~:text=Cyclomedia%20Technology%20Inc.%20As%20a%20global%20company,imagery%20and%20LiDAR%20from%20a%20moving%20vehicle."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s>
  <drawing r:id="rId160"/>
</worksheet>
</file>